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30" windowWidth="19320" windowHeight="7230" activeTab="2"/>
  </bookViews>
  <sheets>
    <sheet name="Płońsk" sheetId="1" r:id="rId1"/>
    <sheet name="Sochocin grupy" sheetId="2" r:id="rId2"/>
    <sheet name="Sochocin puchar" sheetId="3" r:id="rId3"/>
  </sheets>
  <externalReferences>
    <externalReference r:id="rId4"/>
    <externalReference r:id="rId5"/>
    <externalReference r:id="rId6"/>
    <externalReference r:id="rId7"/>
  </externalReferences>
  <definedNames>
    <definedName name="Gry" localSheetId="1">[1]dane!$J$3:$J$27</definedName>
    <definedName name="Gry" localSheetId="2">[1]dane!$J$3:$J$27</definedName>
    <definedName name="Gry">[2]dane!$J$3:$J$27</definedName>
    <definedName name="_xlnm.Print_Area" localSheetId="0">Płońsk!$Q$1:$AF$884</definedName>
    <definedName name="_xlnm.Print_Area" localSheetId="1">'Sochocin grupy'!$Q$1:$AF$6</definedName>
    <definedName name="_xlnm.Print_Area" localSheetId="2">'Sochocin puchar'!$M$1:$U$5</definedName>
    <definedName name="Podw" localSheetId="1">[1]dane!$J$13:$J$27</definedName>
    <definedName name="Podw" localSheetId="2">[1]dane!$J$13:$J$27</definedName>
    <definedName name="Podw">[2]dane!$J$13:$J$27</definedName>
    <definedName name="Poj" localSheetId="1">[1]dane!$J$3:$J$12</definedName>
    <definedName name="Poj" localSheetId="2">[1]dane!$J$3:$J$12</definedName>
    <definedName name="Poj">[2]dane!$J$3:$J$12</definedName>
    <definedName name="sędziowie" localSheetId="1">[1]sędziowie!$A$8:$A$32</definedName>
    <definedName name="sędziowie" localSheetId="2">[1]sędziowie!$A$8:$A$32</definedName>
    <definedName name="sędziowie">[2]sędziowie!$A$8:$A$32</definedName>
  </definedNames>
  <calcPr calcId="145621"/>
</workbook>
</file>

<file path=xl/calcChain.xml><?xml version="1.0" encoding="utf-8"?>
<calcChain xmlns="http://schemas.openxmlformats.org/spreadsheetml/2006/main">
  <c r="S405" i="3" l="1"/>
  <c r="K405" i="3"/>
  <c r="K404" i="3"/>
  <c r="M404" i="3" s="1"/>
  <c r="N404" i="3" s="1"/>
  <c r="L404" i="3"/>
  <c r="J404" i="3"/>
  <c r="I404" i="3"/>
  <c r="A404" i="3"/>
  <c r="H404" i="3"/>
  <c r="Q405" i="3" s="1"/>
  <c r="J402" i="3"/>
  <c r="A402" i="3"/>
  <c r="H402" i="3" s="1"/>
  <c r="R403" i="3" s="1"/>
  <c r="K401" i="3"/>
  <c r="L400" i="3"/>
  <c r="K400" i="3"/>
  <c r="M400" i="3" s="1"/>
  <c r="N400" i="3" s="1"/>
  <c r="J400" i="3"/>
  <c r="A400" i="3"/>
  <c r="H400" i="3" s="1"/>
  <c r="J398" i="3"/>
  <c r="A398" i="3"/>
  <c r="F398" i="3" s="1"/>
  <c r="K397" i="3"/>
  <c r="K396" i="3"/>
  <c r="J396" i="3"/>
  <c r="A396" i="3"/>
  <c r="H396" i="3" s="1"/>
  <c r="Q397" i="3" s="1"/>
  <c r="J394" i="3"/>
  <c r="A394" i="3"/>
  <c r="F394" i="3" s="1"/>
  <c r="K393" i="3"/>
  <c r="K392" i="3"/>
  <c r="J392" i="3"/>
  <c r="A392" i="3"/>
  <c r="H392" i="3" s="1"/>
  <c r="Q393" i="3" s="1"/>
  <c r="J390" i="3"/>
  <c r="A390" i="3"/>
  <c r="F390" i="3" s="1"/>
  <c r="H390" i="3"/>
  <c r="T391" i="3" s="1"/>
  <c r="K389" i="3"/>
  <c r="M388" i="3"/>
  <c r="N388" i="3" s="1"/>
  <c r="K388" i="3"/>
  <c r="L388" i="3" s="1"/>
  <c r="J388" i="3"/>
  <c r="A388" i="3"/>
  <c r="J386" i="3"/>
  <c r="A386" i="3"/>
  <c r="H386" i="3" s="1"/>
  <c r="R387" i="3" s="1"/>
  <c r="K385" i="3"/>
  <c r="K384" i="3"/>
  <c r="J384" i="3"/>
  <c r="H384" i="3"/>
  <c r="A384" i="3"/>
  <c r="J382" i="3"/>
  <c r="A382" i="3"/>
  <c r="K381" i="3"/>
  <c r="K380" i="3"/>
  <c r="J380" i="3"/>
  <c r="A380" i="3"/>
  <c r="H380" i="3" s="1"/>
  <c r="Q381" i="3" s="1"/>
  <c r="J378" i="3"/>
  <c r="F378" i="3"/>
  <c r="A378" i="3"/>
  <c r="H378" i="3"/>
  <c r="R379" i="3" s="1"/>
  <c r="K377" i="3"/>
  <c r="K376" i="3"/>
  <c r="J376" i="3"/>
  <c r="A376" i="3"/>
  <c r="J374" i="3"/>
  <c r="U374" i="3"/>
  <c r="A374" i="3"/>
  <c r="F374" i="3" s="1"/>
  <c r="D335" i="3" s="1"/>
  <c r="H374" i="3"/>
  <c r="U375" i="3" s="1"/>
  <c r="K373" i="3"/>
  <c r="K372" i="3"/>
  <c r="J372" i="3"/>
  <c r="A372" i="3"/>
  <c r="I372" i="3" s="1"/>
  <c r="H372" i="3"/>
  <c r="Q373" i="3" s="1"/>
  <c r="J370" i="3"/>
  <c r="H370" i="3"/>
  <c r="R371" i="3" s="1"/>
  <c r="A370" i="3"/>
  <c r="K369" i="3"/>
  <c r="L368" i="3"/>
  <c r="K368" i="3"/>
  <c r="M368" i="3" s="1"/>
  <c r="N368" i="3" s="1"/>
  <c r="J368" i="3"/>
  <c r="A368" i="3"/>
  <c r="J366" i="3"/>
  <c r="A366" i="3"/>
  <c r="K365" i="3"/>
  <c r="K364" i="3"/>
  <c r="J364" i="3"/>
  <c r="H364" i="3"/>
  <c r="Q365" i="3" s="1"/>
  <c r="A364" i="3"/>
  <c r="J362" i="3"/>
  <c r="F362" i="3"/>
  <c r="A362" i="3"/>
  <c r="H362" i="3"/>
  <c r="R363" i="3" s="1"/>
  <c r="K361" i="3"/>
  <c r="K360" i="3"/>
  <c r="J360" i="3"/>
  <c r="A360" i="3"/>
  <c r="J358" i="3"/>
  <c r="A358" i="3"/>
  <c r="K357" i="3"/>
  <c r="K356" i="3"/>
  <c r="J356" i="3"/>
  <c r="I356" i="3"/>
  <c r="A356" i="3"/>
  <c r="H356" i="3"/>
  <c r="J354" i="3"/>
  <c r="H354" i="3"/>
  <c r="R355" i="3" s="1"/>
  <c r="A354" i="3"/>
  <c r="K353" i="3"/>
  <c r="K352" i="3"/>
  <c r="J352" i="3"/>
  <c r="B354" i="3"/>
  <c r="A352" i="3"/>
  <c r="F352" i="3" s="1"/>
  <c r="Q352" i="3" s="1"/>
  <c r="H352" i="3"/>
  <c r="Q353" i="3" s="1"/>
  <c r="J350" i="3"/>
  <c r="A350" i="3"/>
  <c r="K349" i="3"/>
  <c r="K348" i="3"/>
  <c r="J348" i="3"/>
  <c r="F348" i="3"/>
  <c r="A348" i="3"/>
  <c r="H348" i="3"/>
  <c r="Q349" i="3" s="1"/>
  <c r="J346" i="3"/>
  <c r="R347" i="3"/>
  <c r="A346" i="3"/>
  <c r="H346" i="3" s="1"/>
  <c r="K345" i="3"/>
  <c r="K344" i="3"/>
  <c r="J344" i="3"/>
  <c r="B346" i="3"/>
  <c r="A344" i="3"/>
  <c r="F344" i="3" s="1"/>
  <c r="Q344" i="3" s="1"/>
  <c r="H344" i="3"/>
  <c r="Q345" i="3" s="1"/>
  <c r="N340" i="3"/>
  <c r="S339" i="3"/>
  <c r="K339" i="3"/>
  <c r="K338" i="3"/>
  <c r="J338" i="3"/>
  <c r="Q339" i="3"/>
  <c r="A338" i="3"/>
  <c r="H338" i="3" s="1"/>
  <c r="F338" i="3"/>
  <c r="M337" i="3"/>
  <c r="M336" i="3"/>
  <c r="J336" i="3"/>
  <c r="A336" i="3"/>
  <c r="F336" i="3" s="1"/>
  <c r="K335" i="3"/>
  <c r="J335" i="3"/>
  <c r="A335" i="3"/>
  <c r="K334" i="3"/>
  <c r="J334" i="3"/>
  <c r="A334" i="3"/>
  <c r="H334" i="3" s="1"/>
  <c r="Q335" i="3" s="1"/>
  <c r="F334" i="3"/>
  <c r="M333" i="3"/>
  <c r="M332" i="3"/>
  <c r="J332" i="3"/>
  <c r="A332" i="3"/>
  <c r="M331" i="3"/>
  <c r="N331" i="3" s="1"/>
  <c r="L331" i="3"/>
  <c r="K331" i="3"/>
  <c r="K330" i="3"/>
  <c r="J330" i="3"/>
  <c r="I330" i="3"/>
  <c r="A330" i="3"/>
  <c r="H330" i="3" s="1"/>
  <c r="M329" i="3"/>
  <c r="M328" i="3"/>
  <c r="J328" i="3"/>
  <c r="A328" i="3"/>
  <c r="M327" i="3"/>
  <c r="N327" i="3" s="1"/>
  <c r="K327" i="3"/>
  <c r="L327" i="3" s="1"/>
  <c r="K326" i="3"/>
  <c r="J326" i="3"/>
  <c r="H326" i="3"/>
  <c r="Q327" i="3" s="1"/>
  <c r="A326" i="3"/>
  <c r="I326" i="3" s="1"/>
  <c r="T325" i="3"/>
  <c r="M325" i="3"/>
  <c r="M324" i="3"/>
  <c r="J324" i="3"/>
  <c r="F324" i="3"/>
  <c r="A324" i="3"/>
  <c r="H324" i="3" s="1"/>
  <c r="K323" i="3"/>
  <c r="K322" i="3"/>
  <c r="J322" i="3"/>
  <c r="A322" i="3"/>
  <c r="M321" i="3"/>
  <c r="M320" i="3"/>
  <c r="J320" i="3"/>
  <c r="A320" i="3"/>
  <c r="K319" i="3"/>
  <c r="K318" i="3"/>
  <c r="J318" i="3"/>
  <c r="F318" i="3"/>
  <c r="A318" i="3"/>
  <c r="H318" i="3" s="1"/>
  <c r="Q319" i="3" s="1"/>
  <c r="M317" i="3"/>
  <c r="M316" i="3"/>
  <c r="J316" i="3"/>
  <c r="A316" i="3"/>
  <c r="F316" i="3" s="1"/>
  <c r="H316" i="3"/>
  <c r="S317" i="3" s="1"/>
  <c r="K315" i="3"/>
  <c r="K314" i="3"/>
  <c r="J314" i="3"/>
  <c r="A314" i="3"/>
  <c r="M313" i="3"/>
  <c r="M312" i="3"/>
  <c r="J312" i="3"/>
  <c r="A312" i="3"/>
  <c r="K311" i="3"/>
  <c r="K310" i="3"/>
  <c r="J310" i="3"/>
  <c r="A310" i="3"/>
  <c r="H310" i="3" s="1"/>
  <c r="M309" i="3"/>
  <c r="M308" i="3"/>
  <c r="J308" i="3"/>
  <c r="A308" i="3"/>
  <c r="K307" i="3"/>
  <c r="K306" i="3"/>
  <c r="J306" i="3"/>
  <c r="A306" i="3"/>
  <c r="M305" i="3"/>
  <c r="M304" i="3"/>
  <c r="J304" i="3"/>
  <c r="A304" i="3"/>
  <c r="F304" i="3" s="1"/>
  <c r="R304" i="3" s="1"/>
  <c r="K303" i="3"/>
  <c r="K302" i="3"/>
  <c r="J302" i="3"/>
  <c r="A302" i="3"/>
  <c r="M301" i="3"/>
  <c r="M300" i="3"/>
  <c r="J300" i="3"/>
  <c r="D300" i="3"/>
  <c r="A300" i="3"/>
  <c r="M299" i="3"/>
  <c r="N299" i="3" s="1"/>
  <c r="L299" i="3"/>
  <c r="K299" i="3"/>
  <c r="K298" i="3"/>
  <c r="J298" i="3"/>
  <c r="A298" i="3"/>
  <c r="M297" i="3"/>
  <c r="M296" i="3"/>
  <c r="J296" i="3"/>
  <c r="A296" i="3"/>
  <c r="K295" i="3"/>
  <c r="K294" i="3"/>
  <c r="J294" i="3"/>
  <c r="A294" i="3"/>
  <c r="M293" i="3"/>
  <c r="M292" i="3"/>
  <c r="J292" i="3"/>
  <c r="A292" i="3"/>
  <c r="F292" i="3" s="1"/>
  <c r="B308" i="3"/>
  <c r="K291" i="3"/>
  <c r="K290" i="3"/>
  <c r="J290" i="3"/>
  <c r="F290" i="3"/>
  <c r="Q290" i="3" s="1"/>
  <c r="A290" i="3"/>
  <c r="H290" i="3" s="1"/>
  <c r="Q291" i="3"/>
  <c r="M289" i="3"/>
  <c r="M288" i="3"/>
  <c r="J288" i="3"/>
  <c r="A288" i="3"/>
  <c r="K287" i="3"/>
  <c r="K286" i="3"/>
  <c r="J286" i="3"/>
  <c r="A286" i="3"/>
  <c r="F286" i="3" s="1"/>
  <c r="Q286" i="3" s="1"/>
  <c r="H286" i="3"/>
  <c r="Q287" i="3" s="1"/>
  <c r="J284" i="3"/>
  <c r="A284" i="3"/>
  <c r="F284" i="3" s="1"/>
  <c r="K283" i="3"/>
  <c r="K282" i="3"/>
  <c r="J282" i="3"/>
  <c r="I282" i="3"/>
  <c r="A282" i="3"/>
  <c r="J280" i="3"/>
  <c r="A280" i="3"/>
  <c r="K279" i="3"/>
  <c r="K278" i="3"/>
  <c r="M278" i="3"/>
  <c r="J278" i="3"/>
  <c r="A278" i="3"/>
  <c r="N273" i="3"/>
  <c r="S271" i="3"/>
  <c r="K271" i="3"/>
  <c r="K270" i="3"/>
  <c r="M270" i="3" s="1"/>
  <c r="N270" i="3" s="1"/>
  <c r="J270" i="3"/>
  <c r="A270" i="3"/>
  <c r="I270" i="3" s="1"/>
  <c r="J268" i="3"/>
  <c r="A268" i="3"/>
  <c r="K267" i="3"/>
  <c r="N266" i="3"/>
  <c r="K266" i="3"/>
  <c r="M266" i="3" s="1"/>
  <c r="J266" i="3"/>
  <c r="A266" i="3"/>
  <c r="H266" i="3" s="1"/>
  <c r="Q267" i="3" s="1"/>
  <c r="I266" i="3"/>
  <c r="J264" i="3"/>
  <c r="A264" i="3"/>
  <c r="H264" i="3" s="1"/>
  <c r="S265" i="3" s="1"/>
  <c r="F264" i="3"/>
  <c r="S264" i="3" s="1"/>
  <c r="K263" i="3"/>
  <c r="K262" i="3"/>
  <c r="J262" i="3"/>
  <c r="A262" i="3"/>
  <c r="J260" i="3"/>
  <c r="A260" i="3"/>
  <c r="F260" i="3" s="1"/>
  <c r="K259" i="3"/>
  <c r="K258" i="3"/>
  <c r="J258" i="3"/>
  <c r="A258" i="3"/>
  <c r="J256" i="3"/>
  <c r="D256" i="3"/>
  <c r="A256" i="3"/>
  <c r="K255" i="3"/>
  <c r="K254" i="3"/>
  <c r="M254" i="3" s="1"/>
  <c r="N254" i="3" s="1"/>
  <c r="J254" i="3"/>
  <c r="A254" i="3"/>
  <c r="I254" i="3" s="1"/>
  <c r="H254" i="3"/>
  <c r="Q255" i="3" s="1"/>
  <c r="J252" i="3"/>
  <c r="A252" i="3"/>
  <c r="K251" i="3"/>
  <c r="K250" i="3"/>
  <c r="J250" i="3"/>
  <c r="A250" i="3"/>
  <c r="J248" i="3"/>
  <c r="S249" i="3"/>
  <c r="A248" i="3"/>
  <c r="H248" i="3" s="1"/>
  <c r="F248" i="3"/>
  <c r="K247" i="3"/>
  <c r="K246" i="3"/>
  <c r="J246" i="3"/>
  <c r="F246" i="3"/>
  <c r="A246" i="3"/>
  <c r="H246" i="3" s="1"/>
  <c r="Q247" i="3"/>
  <c r="J244" i="3"/>
  <c r="A244" i="3"/>
  <c r="K243" i="3"/>
  <c r="K242" i="3"/>
  <c r="J242" i="3"/>
  <c r="A242" i="3"/>
  <c r="H242" i="3" s="1"/>
  <c r="Q243" i="3" s="1"/>
  <c r="J240" i="3"/>
  <c r="A240" i="3"/>
  <c r="H240" i="3" s="1"/>
  <c r="U241" i="3" s="1"/>
  <c r="K239" i="3"/>
  <c r="K238" i="3"/>
  <c r="M238" i="3" s="1"/>
  <c r="N238" i="3" s="1"/>
  <c r="J238" i="3"/>
  <c r="I238" i="3"/>
  <c r="A238" i="3"/>
  <c r="H238" i="3"/>
  <c r="Q239" i="3" s="1"/>
  <c r="J236" i="3"/>
  <c r="A236" i="3"/>
  <c r="F236" i="3" s="1"/>
  <c r="D232" i="3" s="1"/>
  <c r="K235" i="3"/>
  <c r="K234" i="3"/>
  <c r="M234" i="3" s="1"/>
  <c r="N234" i="3" s="1"/>
  <c r="J234" i="3"/>
  <c r="H234" i="3"/>
  <c r="A234" i="3"/>
  <c r="I234" i="3" s="1"/>
  <c r="J232" i="3"/>
  <c r="A232" i="3"/>
  <c r="K231" i="3"/>
  <c r="K230" i="3"/>
  <c r="J230" i="3"/>
  <c r="A230" i="3"/>
  <c r="H230" i="3" s="1"/>
  <c r="Q231" i="3" s="1"/>
  <c r="J228" i="3"/>
  <c r="F228" i="3"/>
  <c r="A228" i="3"/>
  <c r="H228" i="3" s="1"/>
  <c r="R229" i="3" s="1"/>
  <c r="K227" i="3"/>
  <c r="K226" i="3"/>
  <c r="J226" i="3"/>
  <c r="F226" i="3"/>
  <c r="A226" i="3"/>
  <c r="J224" i="3"/>
  <c r="A224" i="3"/>
  <c r="H224" i="3" s="1"/>
  <c r="T225" i="3" s="1"/>
  <c r="F224" i="3"/>
  <c r="K223" i="3"/>
  <c r="K222" i="3"/>
  <c r="M222" i="3"/>
  <c r="N222" i="3" s="1"/>
  <c r="J222" i="3"/>
  <c r="I222" i="3"/>
  <c r="A222" i="3"/>
  <c r="H222" i="3"/>
  <c r="Q223" i="3" s="1"/>
  <c r="J220" i="3"/>
  <c r="A220" i="3"/>
  <c r="F220" i="3"/>
  <c r="K219" i="3"/>
  <c r="K218" i="3"/>
  <c r="J218" i="3"/>
  <c r="A218" i="3"/>
  <c r="H218" i="3" s="1"/>
  <c r="Q219" i="3" s="1"/>
  <c r="J216" i="3"/>
  <c r="A216" i="3"/>
  <c r="F216" i="3" s="1"/>
  <c r="B224" i="3" s="1"/>
  <c r="K215" i="3"/>
  <c r="K214" i="3"/>
  <c r="J214" i="3"/>
  <c r="D212" i="3"/>
  <c r="A214" i="3"/>
  <c r="F214" i="3" s="1"/>
  <c r="Q214" i="3" s="1"/>
  <c r="H214" i="3"/>
  <c r="Q215" i="3" s="1"/>
  <c r="J212" i="3"/>
  <c r="A212" i="3"/>
  <c r="K211" i="3"/>
  <c r="K210" i="3"/>
  <c r="J210" i="3"/>
  <c r="B212" i="3"/>
  <c r="A210" i="3"/>
  <c r="F210" i="3" s="1"/>
  <c r="H210" i="3"/>
  <c r="Q211" i="3" s="1"/>
  <c r="N206" i="3"/>
  <c r="S205" i="3"/>
  <c r="K205" i="3"/>
  <c r="K204" i="3"/>
  <c r="J204" i="3"/>
  <c r="A204" i="3"/>
  <c r="M203" i="3"/>
  <c r="M202" i="3"/>
  <c r="J202" i="3"/>
  <c r="A202" i="3"/>
  <c r="K201" i="3"/>
  <c r="J201" i="3"/>
  <c r="A201" i="3"/>
  <c r="K200" i="3"/>
  <c r="J200" i="3"/>
  <c r="F200" i="3"/>
  <c r="B202" i="3" s="1"/>
  <c r="A200" i="3"/>
  <c r="H200" i="3" s="1"/>
  <c r="Q201" i="3" s="1"/>
  <c r="M199" i="3"/>
  <c r="M198" i="3"/>
  <c r="J198" i="3"/>
  <c r="A198" i="3"/>
  <c r="F198" i="3" s="1"/>
  <c r="K197" i="3"/>
  <c r="K196" i="3"/>
  <c r="J196" i="3"/>
  <c r="A196" i="3"/>
  <c r="H196" i="3" s="1"/>
  <c r="Q197" i="3" s="1"/>
  <c r="M195" i="3"/>
  <c r="M194" i="3"/>
  <c r="J194" i="3"/>
  <c r="F194" i="3"/>
  <c r="B198" i="3" s="1"/>
  <c r="A194" i="3"/>
  <c r="H194" i="3" s="1"/>
  <c r="R195" i="3" s="1"/>
  <c r="M193" i="3"/>
  <c r="N193" i="3" s="1"/>
  <c r="O193" i="3" s="1"/>
  <c r="K193" i="3"/>
  <c r="K192" i="3"/>
  <c r="J192" i="3"/>
  <c r="I192" i="3"/>
  <c r="A192" i="3"/>
  <c r="M191" i="3"/>
  <c r="M190" i="3"/>
  <c r="J190" i="3"/>
  <c r="A190" i="3"/>
  <c r="K189" i="3"/>
  <c r="K188" i="3"/>
  <c r="J188" i="3"/>
  <c r="A188" i="3"/>
  <c r="F188" i="3" s="1"/>
  <c r="Q188" i="3" s="1"/>
  <c r="M187" i="3"/>
  <c r="M186" i="3"/>
  <c r="J186" i="3"/>
  <c r="H186" i="3"/>
  <c r="R187" i="3" s="1"/>
  <c r="D186" i="3"/>
  <c r="A186" i="3"/>
  <c r="K185" i="3"/>
  <c r="K184" i="3"/>
  <c r="J184" i="3"/>
  <c r="H184" i="3"/>
  <c r="Q185" i="3" s="1"/>
  <c r="A184" i="3"/>
  <c r="F184" i="3" s="1"/>
  <c r="M183" i="3"/>
  <c r="M182" i="3"/>
  <c r="J182" i="3"/>
  <c r="A182" i="3"/>
  <c r="H182" i="3" s="1"/>
  <c r="S183" i="3" s="1"/>
  <c r="K181" i="3"/>
  <c r="M181" i="3"/>
  <c r="N181" i="3" s="1"/>
  <c r="D180" i="3" s="1"/>
  <c r="K180" i="3"/>
  <c r="J180" i="3"/>
  <c r="A180" i="3"/>
  <c r="I180" i="3" s="1"/>
  <c r="M179" i="3"/>
  <c r="M178" i="3"/>
  <c r="J178" i="3"/>
  <c r="A178" i="3"/>
  <c r="H178" i="3" s="1"/>
  <c r="R179" i="3" s="1"/>
  <c r="N177" i="3"/>
  <c r="K177" i="3"/>
  <c r="M177" i="3" s="1"/>
  <c r="K176" i="3"/>
  <c r="J176" i="3"/>
  <c r="H176" i="3"/>
  <c r="Q177" i="3" s="1"/>
  <c r="A176" i="3"/>
  <c r="I176" i="3" s="1"/>
  <c r="M175" i="3"/>
  <c r="M174" i="3"/>
  <c r="J174" i="3"/>
  <c r="A174" i="3"/>
  <c r="F174" i="3" s="1"/>
  <c r="B201" i="3" s="1"/>
  <c r="H174" i="3"/>
  <c r="U175" i="3" s="1"/>
  <c r="K173" i="3"/>
  <c r="K172" i="3"/>
  <c r="J172" i="3"/>
  <c r="A172" i="3"/>
  <c r="H172" i="3"/>
  <c r="Q173" i="3" s="1"/>
  <c r="M171" i="3"/>
  <c r="M170" i="3"/>
  <c r="J170" i="3"/>
  <c r="A170" i="3"/>
  <c r="H170" i="3" s="1"/>
  <c r="R171" i="3" s="1"/>
  <c r="K169" i="3"/>
  <c r="K168" i="3"/>
  <c r="J168" i="3"/>
  <c r="A168" i="3"/>
  <c r="F168" i="3"/>
  <c r="B170" i="3" s="1"/>
  <c r="M167" i="3"/>
  <c r="M166" i="3"/>
  <c r="J166" i="3"/>
  <c r="A166" i="3"/>
  <c r="F166" i="3"/>
  <c r="K165" i="3"/>
  <c r="K164" i="3"/>
  <c r="J164" i="3"/>
  <c r="H164" i="3"/>
  <c r="Q165" i="3" s="1"/>
  <c r="A164" i="3"/>
  <c r="M163" i="3"/>
  <c r="M162" i="3"/>
  <c r="J162" i="3"/>
  <c r="A162" i="3"/>
  <c r="H162" i="3" s="1"/>
  <c r="R163" i="3" s="1"/>
  <c r="K161" i="3"/>
  <c r="M161" i="3"/>
  <c r="N161" i="3" s="1"/>
  <c r="K160" i="3"/>
  <c r="J160" i="3"/>
  <c r="H160" i="3"/>
  <c r="A160" i="3"/>
  <c r="I160" i="3"/>
  <c r="M159" i="3"/>
  <c r="M158" i="3"/>
  <c r="J158" i="3"/>
  <c r="A158" i="3"/>
  <c r="H158" i="3"/>
  <c r="T159" i="3" s="1"/>
  <c r="K157" i="3"/>
  <c r="K156" i="3"/>
  <c r="J156" i="3"/>
  <c r="A156" i="3"/>
  <c r="H156" i="3"/>
  <c r="Q157" i="3" s="1"/>
  <c r="M155" i="3"/>
  <c r="M154" i="3"/>
  <c r="J154" i="3"/>
  <c r="A154" i="3"/>
  <c r="H154" i="3" s="1"/>
  <c r="R155" i="3" s="1"/>
  <c r="K153" i="3"/>
  <c r="K152" i="3"/>
  <c r="J152" i="3"/>
  <c r="A152" i="3"/>
  <c r="F152" i="3"/>
  <c r="B154" i="3" s="1"/>
  <c r="J150" i="3"/>
  <c r="A150" i="3"/>
  <c r="N149" i="3"/>
  <c r="M149" i="3"/>
  <c r="K149" i="3"/>
  <c r="K148" i="3"/>
  <c r="J148" i="3"/>
  <c r="A148" i="3"/>
  <c r="H148" i="3" s="1"/>
  <c r="J146" i="3"/>
  <c r="A146" i="3"/>
  <c r="H146" i="3" s="1"/>
  <c r="R147" i="3"/>
  <c r="K145" i="3"/>
  <c r="M145" i="3" s="1"/>
  <c r="N145" i="3"/>
  <c r="K144" i="3"/>
  <c r="M144" i="3" s="1"/>
  <c r="J144" i="3"/>
  <c r="H144" i="3"/>
  <c r="A144" i="3"/>
  <c r="I144" i="3"/>
  <c r="N139" i="3"/>
  <c r="S136" i="3"/>
  <c r="K136" i="3"/>
  <c r="M135" i="3"/>
  <c r="N135" i="3" s="1"/>
  <c r="L135" i="3"/>
  <c r="K135" i="3"/>
  <c r="J135" i="3"/>
  <c r="A135" i="3"/>
  <c r="J133" i="3"/>
  <c r="A133" i="3"/>
  <c r="F133" i="3" s="1"/>
  <c r="D129" i="3" s="1"/>
  <c r="H133" i="3"/>
  <c r="R134" i="3" s="1"/>
  <c r="K132" i="3"/>
  <c r="K131" i="3"/>
  <c r="J131" i="3"/>
  <c r="A131" i="3"/>
  <c r="F131" i="3" s="1"/>
  <c r="B133" i="3" s="1"/>
  <c r="J129" i="3"/>
  <c r="D121" i="3"/>
  <c r="A129" i="3"/>
  <c r="F129" i="3" s="1"/>
  <c r="H129" i="3"/>
  <c r="S130" i="3" s="1"/>
  <c r="K128" i="3"/>
  <c r="K127" i="3"/>
  <c r="J127" i="3"/>
  <c r="A127" i="3"/>
  <c r="F127" i="3"/>
  <c r="Q127" i="3" s="1"/>
  <c r="J125" i="3"/>
  <c r="A125" i="3"/>
  <c r="F125" i="3" s="1"/>
  <c r="B129" i="3" s="1"/>
  <c r="H125" i="3"/>
  <c r="R126" i="3" s="1"/>
  <c r="K124" i="3"/>
  <c r="K123" i="3"/>
  <c r="J123" i="3"/>
  <c r="A123" i="3"/>
  <c r="H123" i="3"/>
  <c r="Q124" i="3" s="1"/>
  <c r="J121" i="3"/>
  <c r="A121" i="3"/>
  <c r="K120" i="3"/>
  <c r="K119" i="3"/>
  <c r="J119" i="3"/>
  <c r="A119" i="3"/>
  <c r="F119" i="3"/>
  <c r="Q119" i="3" s="1"/>
  <c r="J117" i="3"/>
  <c r="A117" i="3"/>
  <c r="F117" i="3" s="1"/>
  <c r="D113" i="3" s="1"/>
  <c r="H117" i="3"/>
  <c r="R118" i="3" s="1"/>
  <c r="K116" i="3"/>
  <c r="K115" i="3"/>
  <c r="J115" i="3"/>
  <c r="A115" i="3"/>
  <c r="F115" i="3" s="1"/>
  <c r="B117" i="3" s="1"/>
  <c r="J113" i="3"/>
  <c r="B121" i="3"/>
  <c r="A113" i="3"/>
  <c r="F113" i="3" s="1"/>
  <c r="H113" i="3"/>
  <c r="S114" i="3" s="1"/>
  <c r="K112" i="3"/>
  <c r="K111" i="3"/>
  <c r="J111" i="3"/>
  <c r="A111" i="3"/>
  <c r="F111" i="3"/>
  <c r="Q111" i="3" s="1"/>
  <c r="J109" i="3"/>
  <c r="A109" i="3"/>
  <c r="F109" i="3" s="1"/>
  <c r="B113" i="3" s="1"/>
  <c r="H109" i="3"/>
  <c r="R110" i="3" s="1"/>
  <c r="K108" i="3"/>
  <c r="K107" i="3"/>
  <c r="J107" i="3"/>
  <c r="A107" i="3"/>
  <c r="J105" i="3"/>
  <c r="A105" i="3"/>
  <c r="K104" i="3"/>
  <c r="K103" i="3"/>
  <c r="J103" i="3"/>
  <c r="A103" i="3"/>
  <c r="J101" i="3"/>
  <c r="A101" i="3"/>
  <c r="K100" i="3"/>
  <c r="K99" i="3"/>
  <c r="J99" i="3"/>
  <c r="A99" i="3"/>
  <c r="J97" i="3"/>
  <c r="A97" i="3"/>
  <c r="F97" i="3"/>
  <c r="S97" i="3" s="1"/>
  <c r="K96" i="3"/>
  <c r="K95" i="3"/>
  <c r="J95" i="3"/>
  <c r="A95" i="3"/>
  <c r="J93" i="3"/>
  <c r="A93" i="3"/>
  <c r="K92" i="3"/>
  <c r="K91" i="3"/>
  <c r="J91" i="3"/>
  <c r="A91" i="3"/>
  <c r="J89" i="3"/>
  <c r="D89" i="3"/>
  <c r="A89" i="3"/>
  <c r="F89" i="3"/>
  <c r="K88" i="3"/>
  <c r="K87" i="3"/>
  <c r="J87" i="3"/>
  <c r="D85" i="3"/>
  <c r="A87" i="3"/>
  <c r="F87" i="3" s="1"/>
  <c r="Q87" i="3" s="1"/>
  <c r="H87" i="3"/>
  <c r="Q88" i="3" s="1"/>
  <c r="J85" i="3"/>
  <c r="A85" i="3"/>
  <c r="H85" i="3"/>
  <c r="R86" i="3" s="1"/>
  <c r="K84" i="3"/>
  <c r="K83" i="3"/>
  <c r="J83" i="3"/>
  <c r="A83" i="3"/>
  <c r="F83" i="3" s="1"/>
  <c r="B85" i="3" s="1"/>
  <c r="H83" i="3"/>
  <c r="Q84" i="3" s="1"/>
  <c r="J81" i="3"/>
  <c r="A81" i="3"/>
  <c r="F81" i="3"/>
  <c r="K80" i="3"/>
  <c r="Q79" i="3"/>
  <c r="K79" i="3"/>
  <c r="J79" i="3"/>
  <c r="A79" i="3"/>
  <c r="F79" i="3" s="1"/>
  <c r="D77" i="3" s="1"/>
  <c r="H79" i="3"/>
  <c r="Q80" i="3" s="1"/>
  <c r="J77" i="3"/>
  <c r="A77" i="3"/>
  <c r="K76" i="3"/>
  <c r="K75" i="3"/>
  <c r="J75" i="3"/>
  <c r="A75" i="3"/>
  <c r="F75" i="3" s="1"/>
  <c r="B77" i="3" s="1"/>
  <c r="H75" i="3"/>
  <c r="Q76" i="3" s="1"/>
  <c r="N71" i="3"/>
  <c r="S70" i="3"/>
  <c r="K70" i="3"/>
  <c r="K69" i="3"/>
  <c r="J69" i="3"/>
  <c r="A69" i="3"/>
  <c r="M68" i="3"/>
  <c r="M67" i="3"/>
  <c r="J67" i="3"/>
  <c r="A67" i="3"/>
  <c r="K66" i="3"/>
  <c r="J66" i="3"/>
  <c r="F66" i="3"/>
  <c r="U66" i="3" s="1"/>
  <c r="A66" i="3"/>
  <c r="H66" i="3" s="1"/>
  <c r="U67" i="3"/>
  <c r="K65" i="3"/>
  <c r="J65" i="3"/>
  <c r="A65" i="3"/>
  <c r="F65" i="3" s="1"/>
  <c r="B67" i="3" s="1"/>
  <c r="H65" i="3"/>
  <c r="Q66" i="3" s="1"/>
  <c r="M64" i="3"/>
  <c r="M63" i="3"/>
  <c r="J63" i="3"/>
  <c r="A63" i="3"/>
  <c r="K62" i="3"/>
  <c r="K61" i="3"/>
  <c r="J61" i="3"/>
  <c r="A61" i="3"/>
  <c r="F61" i="3" s="1"/>
  <c r="Q61" i="3" s="1"/>
  <c r="H61" i="3"/>
  <c r="Q62" i="3" s="1"/>
  <c r="M60" i="3"/>
  <c r="M59" i="3"/>
  <c r="J59" i="3"/>
  <c r="A59" i="3"/>
  <c r="H59" i="3" s="1"/>
  <c r="R60" i="3" s="1"/>
  <c r="K58" i="3"/>
  <c r="K57" i="3"/>
  <c r="J57" i="3"/>
  <c r="B59" i="3"/>
  <c r="A57" i="3"/>
  <c r="F57" i="3" s="1"/>
  <c r="H57" i="3"/>
  <c r="Q58" i="3" s="1"/>
  <c r="M56" i="3"/>
  <c r="M55" i="3"/>
  <c r="J55" i="3"/>
  <c r="T56" i="3"/>
  <c r="A55" i="3"/>
  <c r="H55" i="3" s="1"/>
  <c r="K54" i="3"/>
  <c r="K53" i="3"/>
  <c r="J53" i="3"/>
  <c r="A53" i="3"/>
  <c r="F53" i="3" s="1"/>
  <c r="Q53" i="3" s="1"/>
  <c r="H53" i="3"/>
  <c r="Q54" i="3" s="1"/>
  <c r="M52" i="3"/>
  <c r="M51" i="3"/>
  <c r="J51" i="3"/>
  <c r="A51" i="3"/>
  <c r="H51" i="3" s="1"/>
  <c r="R52" i="3" s="1"/>
  <c r="K50" i="3"/>
  <c r="K49" i="3"/>
  <c r="J49" i="3"/>
  <c r="B51" i="3"/>
  <c r="A49" i="3"/>
  <c r="F49" i="3" s="1"/>
  <c r="H49" i="3"/>
  <c r="Q50" i="3" s="1"/>
  <c r="M48" i="3"/>
  <c r="M47" i="3"/>
  <c r="J47" i="3"/>
  <c r="S48" i="3"/>
  <c r="A47" i="3"/>
  <c r="H47" i="3" s="1"/>
  <c r="K46" i="3"/>
  <c r="K45" i="3"/>
  <c r="J45" i="3"/>
  <c r="A45" i="3"/>
  <c r="F45" i="3" s="1"/>
  <c r="D43" i="3" s="1"/>
  <c r="H45" i="3"/>
  <c r="Q46" i="3" s="1"/>
  <c r="M44" i="3"/>
  <c r="M43" i="3"/>
  <c r="J43" i="3"/>
  <c r="A43" i="3"/>
  <c r="N42" i="3"/>
  <c r="D41" i="3" s="1"/>
  <c r="K42" i="3"/>
  <c r="M42" i="3" s="1"/>
  <c r="K41" i="3"/>
  <c r="J41" i="3"/>
  <c r="A41" i="3"/>
  <c r="M40" i="3"/>
  <c r="M39" i="3"/>
  <c r="J39" i="3"/>
  <c r="A39" i="3"/>
  <c r="H39" i="3"/>
  <c r="U40" i="3" s="1"/>
  <c r="K38" i="3"/>
  <c r="K37" i="3"/>
  <c r="J37" i="3"/>
  <c r="A37" i="3"/>
  <c r="F37" i="3" s="1"/>
  <c r="Q37" i="3" s="1"/>
  <c r="M36" i="3"/>
  <c r="M35" i="3"/>
  <c r="J35" i="3"/>
  <c r="A35" i="3"/>
  <c r="H35" i="3" s="1"/>
  <c r="R36" i="3" s="1"/>
  <c r="K34" i="3"/>
  <c r="K33" i="3"/>
  <c r="J33" i="3"/>
  <c r="A33" i="3"/>
  <c r="F33" i="3" s="1"/>
  <c r="B35" i="3" s="1"/>
  <c r="M32" i="3"/>
  <c r="M31" i="3"/>
  <c r="J31" i="3"/>
  <c r="A31" i="3"/>
  <c r="H31" i="3" s="1"/>
  <c r="S32" i="3" s="1"/>
  <c r="K30" i="3"/>
  <c r="K29" i="3"/>
  <c r="J29" i="3"/>
  <c r="A29" i="3"/>
  <c r="F29" i="3" s="1"/>
  <c r="M28" i="3"/>
  <c r="M27" i="3"/>
  <c r="J27" i="3"/>
  <c r="A27" i="3"/>
  <c r="K26" i="3"/>
  <c r="L26" i="3" s="1"/>
  <c r="K25" i="3"/>
  <c r="J25" i="3"/>
  <c r="H25" i="3"/>
  <c r="A25" i="3"/>
  <c r="M24" i="3"/>
  <c r="M23" i="3"/>
  <c r="J23" i="3"/>
  <c r="A23" i="3"/>
  <c r="F23" i="3" s="1"/>
  <c r="K22" i="3"/>
  <c r="K21" i="3"/>
  <c r="J21" i="3"/>
  <c r="A21" i="3"/>
  <c r="M20" i="3"/>
  <c r="M19" i="3"/>
  <c r="J19" i="3"/>
  <c r="F19" i="3"/>
  <c r="A19" i="3"/>
  <c r="H19" i="3"/>
  <c r="R20" i="3" s="1"/>
  <c r="K18" i="3"/>
  <c r="K17" i="3"/>
  <c r="J17" i="3"/>
  <c r="A17" i="3"/>
  <c r="H17" i="3"/>
  <c r="Q18" i="3" s="1"/>
  <c r="J15" i="3"/>
  <c r="A15" i="3"/>
  <c r="F15" i="3" s="1"/>
  <c r="S15" i="3" s="1"/>
  <c r="H15" i="3"/>
  <c r="S16" i="3" s="1"/>
  <c r="K14" i="3"/>
  <c r="K13" i="3"/>
  <c r="M13" i="3" s="1"/>
  <c r="N13" i="3" s="1"/>
  <c r="B13" i="3" s="1"/>
  <c r="J13" i="3"/>
  <c r="A13" i="3"/>
  <c r="H13" i="3" s="1"/>
  <c r="Q14" i="3" s="1"/>
  <c r="J11" i="3"/>
  <c r="A11" i="3"/>
  <c r="F11" i="3" s="1"/>
  <c r="B15" i="3" s="1"/>
  <c r="L10" i="3"/>
  <c r="K10" i="3"/>
  <c r="M10" i="3"/>
  <c r="N10" i="3" s="1"/>
  <c r="K9" i="3"/>
  <c r="M9" i="3"/>
  <c r="N9" i="3" s="1"/>
  <c r="O9" i="3" s="1"/>
  <c r="J9" i="3"/>
  <c r="A9" i="3"/>
  <c r="I9" i="3" s="1"/>
  <c r="N4" i="3"/>
  <c r="N2" i="3"/>
  <c r="N1" i="3"/>
  <c r="P1003" i="2"/>
  <c r="P1002" i="2"/>
  <c r="M1002" i="2"/>
  <c r="A1002" i="2"/>
  <c r="AA1001" i="2"/>
  <c r="AA1000" i="2"/>
  <c r="M1000" i="2"/>
  <c r="A1000" i="2"/>
  <c r="P999" i="2"/>
  <c r="O999" i="2" s="1"/>
  <c r="P998" i="2"/>
  <c r="O998" i="2" s="1"/>
  <c r="M998" i="2"/>
  <c r="A998" i="2"/>
  <c r="F998" i="2" s="1"/>
  <c r="B1000" i="2" s="1"/>
  <c r="U993" i="2"/>
  <c r="U992" i="2"/>
  <c r="O992" i="2"/>
  <c r="U991" i="2"/>
  <c r="AS990" i="2"/>
  <c r="AN990" i="2"/>
  <c r="AT990" i="2" s="1"/>
  <c r="AM990" i="2"/>
  <c r="AL990" i="2"/>
  <c r="AR990" i="2" s="1"/>
  <c r="AK990" i="2"/>
  <c r="AQ990" i="2" s="1"/>
  <c r="AJ990" i="2"/>
  <c r="AI990" i="2"/>
  <c r="AO990" i="2" s="1"/>
  <c r="U990" i="2"/>
  <c r="M990" i="2"/>
  <c r="I990" i="2"/>
  <c r="E990" i="2"/>
  <c r="D990" i="2"/>
  <c r="C990" i="2"/>
  <c r="B990" i="2"/>
  <c r="A990" i="2"/>
  <c r="AN989" i="2"/>
  <c r="AT989" i="2" s="1"/>
  <c r="AM989" i="2"/>
  <c r="AS989" i="2"/>
  <c r="AL989" i="2"/>
  <c r="AR989" i="2"/>
  <c r="AK989" i="2"/>
  <c r="AQ989" i="2" s="1"/>
  <c r="Z989" i="2" s="1"/>
  <c r="AJ989" i="2"/>
  <c r="AP989" i="2"/>
  <c r="AI989" i="2"/>
  <c r="AO989" i="2"/>
  <c r="U989" i="2"/>
  <c r="O989" i="2"/>
  <c r="M989" i="2"/>
  <c r="E989" i="2"/>
  <c r="D989" i="2"/>
  <c r="C989" i="2"/>
  <c r="B989" i="2"/>
  <c r="A989" i="2"/>
  <c r="AN988" i="2"/>
  <c r="AT988" i="2" s="1"/>
  <c r="AM988" i="2"/>
  <c r="AS988" i="2" s="1"/>
  <c r="AL988" i="2"/>
  <c r="AK988" i="2"/>
  <c r="AQ988" i="2" s="1"/>
  <c r="AJ988" i="2"/>
  <c r="AP988" i="2" s="1"/>
  <c r="AI988" i="2"/>
  <c r="BA988" i="2" s="1"/>
  <c r="AX990" i="2" s="1"/>
  <c r="U988" i="2"/>
  <c r="M988" i="2"/>
  <c r="I988" i="2"/>
  <c r="E988" i="2"/>
  <c r="D988" i="2"/>
  <c r="C988" i="2"/>
  <c r="B988" i="2"/>
  <c r="A988" i="2"/>
  <c r="U987" i="2"/>
  <c r="U986" i="2"/>
  <c r="O986" i="2"/>
  <c r="I986" i="2"/>
  <c r="U985" i="2"/>
  <c r="Q984" i="2"/>
  <c r="U982" i="2"/>
  <c r="U981" i="2"/>
  <c r="O981" i="2"/>
  <c r="U980" i="2"/>
  <c r="AT979" i="2"/>
  <c r="AO979" i="2"/>
  <c r="AN979" i="2"/>
  <c r="AM979" i="2"/>
  <c r="AS979" i="2" s="1"/>
  <c r="AL979" i="2"/>
  <c r="AR979" i="2"/>
  <c r="AK979" i="2"/>
  <c r="AJ979" i="2"/>
  <c r="AP979" i="2" s="1"/>
  <c r="AI979" i="2"/>
  <c r="U979" i="2"/>
  <c r="M979" i="2"/>
  <c r="I979" i="2"/>
  <c r="E979" i="2"/>
  <c r="D979" i="2"/>
  <c r="C979" i="2"/>
  <c r="B979" i="2"/>
  <c r="A979" i="2"/>
  <c r="AN978" i="2"/>
  <c r="AT978" i="2" s="1"/>
  <c r="AM978" i="2"/>
  <c r="AS978" i="2"/>
  <c r="Y982" i="2" s="1"/>
  <c r="AL978" i="2"/>
  <c r="AR978" i="2"/>
  <c r="AK978" i="2"/>
  <c r="AQ978" i="2" s="1"/>
  <c r="Z978" i="2" s="1"/>
  <c r="AJ978" i="2"/>
  <c r="AP978" i="2" s="1"/>
  <c r="Z977" i="2" s="1"/>
  <c r="AI978" i="2"/>
  <c r="AO978" i="2"/>
  <c r="U978" i="2"/>
  <c r="O978" i="2"/>
  <c r="M978" i="2"/>
  <c r="E978" i="2"/>
  <c r="D978" i="2"/>
  <c r="C978" i="2"/>
  <c r="B978" i="2"/>
  <c r="A978" i="2"/>
  <c r="AN977" i="2"/>
  <c r="AT977" i="2" s="1"/>
  <c r="AM977" i="2"/>
  <c r="AS977" i="2" s="1"/>
  <c r="AL977" i="2"/>
  <c r="AR977" i="2" s="1"/>
  <c r="AK977" i="2"/>
  <c r="AQ977" i="2" s="1"/>
  <c r="AJ977" i="2"/>
  <c r="AP977" i="2" s="1"/>
  <c r="AI977" i="2"/>
  <c r="AW979" i="2" s="1"/>
  <c r="U977" i="2"/>
  <c r="M977" i="2"/>
  <c r="I977" i="2"/>
  <c r="E977" i="2"/>
  <c r="D977" i="2"/>
  <c r="C977" i="2"/>
  <c r="B977" i="2"/>
  <c r="A977" i="2"/>
  <c r="U976" i="2"/>
  <c r="U975" i="2"/>
  <c r="O975" i="2"/>
  <c r="I975" i="2"/>
  <c r="U974" i="2"/>
  <c r="Q973" i="2"/>
  <c r="U971" i="2"/>
  <c r="U970" i="2"/>
  <c r="O970" i="2"/>
  <c r="U969" i="2"/>
  <c r="AN968" i="2"/>
  <c r="AT968" i="2" s="1"/>
  <c r="AM968" i="2"/>
  <c r="AS968" i="2" s="1"/>
  <c r="AL968" i="2"/>
  <c r="AR968" i="2" s="1"/>
  <c r="AK968" i="2"/>
  <c r="AQ968" i="2"/>
  <c r="AJ968" i="2"/>
  <c r="AP968" i="2" s="1"/>
  <c r="AI968" i="2"/>
  <c r="AO968" i="2" s="1"/>
  <c r="Y963" i="2" s="1"/>
  <c r="U968" i="2"/>
  <c r="M968" i="2"/>
  <c r="I968" i="2"/>
  <c r="E968" i="2"/>
  <c r="D968" i="2"/>
  <c r="C968" i="2"/>
  <c r="B968" i="2"/>
  <c r="A968" i="2"/>
  <c r="AW967" i="2"/>
  <c r="AP967" i="2"/>
  <c r="AN967" i="2"/>
  <c r="AT967" i="2"/>
  <c r="AM967" i="2"/>
  <c r="AS967" i="2"/>
  <c r="AL967" i="2"/>
  <c r="AR967" i="2" s="1"/>
  <c r="AK967" i="2"/>
  <c r="AQ967" i="2" s="1"/>
  <c r="AJ967" i="2"/>
  <c r="AI967" i="2"/>
  <c r="BA967" i="2" s="1"/>
  <c r="AZ968" i="2" s="1"/>
  <c r="U967" i="2"/>
  <c r="O967" i="2"/>
  <c r="M967" i="2"/>
  <c r="E967" i="2"/>
  <c r="D967" i="2"/>
  <c r="C967" i="2"/>
  <c r="B967" i="2"/>
  <c r="A967" i="2"/>
  <c r="AT966" i="2"/>
  <c r="AQ966" i="2"/>
  <c r="X970" i="2" s="1"/>
  <c r="AN966" i="2"/>
  <c r="AM966" i="2"/>
  <c r="AS966" i="2" s="1"/>
  <c r="AL966" i="2"/>
  <c r="AR966" i="2" s="1"/>
  <c r="AK966" i="2"/>
  <c r="AJ966" i="2"/>
  <c r="AI966" i="2"/>
  <c r="AO966" i="2"/>
  <c r="U966" i="2"/>
  <c r="M966" i="2"/>
  <c r="I966" i="2"/>
  <c r="E966" i="2"/>
  <c r="D966" i="2"/>
  <c r="C966" i="2"/>
  <c r="B966" i="2"/>
  <c r="A966" i="2"/>
  <c r="U965" i="2"/>
  <c r="U964" i="2"/>
  <c r="O964" i="2"/>
  <c r="I964" i="2"/>
  <c r="U963" i="2"/>
  <c r="Q962" i="2"/>
  <c r="U960" i="2"/>
  <c r="U959" i="2"/>
  <c r="O959" i="2"/>
  <c r="U958" i="2"/>
  <c r="AP957" i="2"/>
  <c r="AN957" i="2"/>
  <c r="AT957" i="2" s="1"/>
  <c r="AM957" i="2"/>
  <c r="AS957" i="2" s="1"/>
  <c r="AL957" i="2"/>
  <c r="AR957" i="2"/>
  <c r="AK957" i="2"/>
  <c r="AQ957" i="2"/>
  <c r="AJ957" i="2"/>
  <c r="AI957" i="2"/>
  <c r="AO957" i="2" s="1"/>
  <c r="Y952" i="2" s="1"/>
  <c r="U957" i="2"/>
  <c r="M957" i="2"/>
  <c r="I957" i="2"/>
  <c r="E957" i="2"/>
  <c r="D957" i="2"/>
  <c r="C957" i="2"/>
  <c r="B957" i="2"/>
  <c r="A957" i="2"/>
  <c r="AQ956" i="2"/>
  <c r="AN956" i="2"/>
  <c r="AT956" i="2" s="1"/>
  <c r="AM956" i="2"/>
  <c r="AS956" i="2" s="1"/>
  <c r="AL956" i="2"/>
  <c r="AR956" i="2" s="1"/>
  <c r="AK956" i="2"/>
  <c r="AJ956" i="2"/>
  <c r="AP956" i="2" s="1"/>
  <c r="AI956" i="2"/>
  <c r="AY957" i="2" s="1"/>
  <c r="BB956" i="2" s="1"/>
  <c r="AO956" i="2"/>
  <c r="U956" i="2"/>
  <c r="O956" i="2"/>
  <c r="M956" i="2"/>
  <c r="E956" i="2"/>
  <c r="D956" i="2"/>
  <c r="C956" i="2"/>
  <c r="B956" i="2"/>
  <c r="A956" i="2"/>
  <c r="AP955" i="2"/>
  <c r="AN955" i="2"/>
  <c r="AT955" i="2"/>
  <c r="AM955" i="2"/>
  <c r="AS955" i="2"/>
  <c r="AL955" i="2"/>
  <c r="AR955" i="2" s="1"/>
  <c r="AK955" i="2"/>
  <c r="AQ955" i="2" s="1"/>
  <c r="AJ955" i="2"/>
  <c r="AI955" i="2"/>
  <c r="U955" i="2"/>
  <c r="M955" i="2"/>
  <c r="I955" i="2"/>
  <c r="E955" i="2"/>
  <c r="D955" i="2"/>
  <c r="C955" i="2"/>
  <c r="B955" i="2"/>
  <c r="A955" i="2"/>
  <c r="U954" i="2"/>
  <c r="U953" i="2"/>
  <c r="O953" i="2"/>
  <c r="I953" i="2"/>
  <c r="U952" i="2"/>
  <c r="Q951" i="2"/>
  <c r="T949" i="2"/>
  <c r="X947" i="2"/>
  <c r="P947" i="2"/>
  <c r="X946" i="2"/>
  <c r="P946" i="2"/>
  <c r="M946" i="2"/>
  <c r="A946" i="2"/>
  <c r="AA945" i="2"/>
  <c r="AA944" i="2"/>
  <c r="M944" i="2"/>
  <c r="A944" i="2"/>
  <c r="H944" i="2" s="1"/>
  <c r="F944" i="2"/>
  <c r="D940" i="2" s="1"/>
  <c r="X943" i="2"/>
  <c r="P943" i="2"/>
  <c r="X942" i="2"/>
  <c r="P942" i="2"/>
  <c r="M942" i="2"/>
  <c r="F942" i="2"/>
  <c r="B944" i="2" s="1"/>
  <c r="A942" i="2"/>
  <c r="H942" i="2" s="1"/>
  <c r="AD941" i="2"/>
  <c r="AD940" i="2"/>
  <c r="M940" i="2"/>
  <c r="F940" i="2"/>
  <c r="A940" i="2"/>
  <c r="H940" i="2" s="1"/>
  <c r="X939" i="2"/>
  <c r="P939" i="2"/>
  <c r="X938" i="2"/>
  <c r="P938" i="2"/>
  <c r="M938" i="2"/>
  <c r="A938" i="2"/>
  <c r="H938" i="2" s="1"/>
  <c r="AA937" i="2"/>
  <c r="AA936" i="2"/>
  <c r="M936" i="2"/>
  <c r="H936" i="2"/>
  <c r="A936" i="2"/>
  <c r="X935" i="2"/>
  <c r="P935" i="2"/>
  <c r="O935" i="2" s="1"/>
  <c r="P934" i="2"/>
  <c r="O934" i="2" s="1"/>
  <c r="M934" i="2"/>
  <c r="A934" i="2"/>
  <c r="H934" i="2" s="1"/>
  <c r="L934" i="2"/>
  <c r="U929" i="2"/>
  <c r="U928" i="2"/>
  <c r="O928" i="2"/>
  <c r="U927" i="2"/>
  <c r="AN926" i="2"/>
  <c r="AT926" i="2" s="1"/>
  <c r="AM926" i="2"/>
  <c r="AS926" i="2" s="1"/>
  <c r="AL926" i="2"/>
  <c r="AR926" i="2"/>
  <c r="AK926" i="2"/>
  <c r="AJ926" i="2"/>
  <c r="AP926" i="2" s="1"/>
  <c r="AI926" i="2"/>
  <c r="AO926" i="2" s="1"/>
  <c r="U926" i="2"/>
  <c r="M926" i="2"/>
  <c r="I926" i="2"/>
  <c r="E926" i="2"/>
  <c r="D926" i="2"/>
  <c r="C926" i="2"/>
  <c r="B926" i="2"/>
  <c r="A926" i="2"/>
  <c r="AQ925" i="2"/>
  <c r="Z925" i="2" s="1"/>
  <c r="AN925" i="2"/>
  <c r="AT925" i="2"/>
  <c r="AM925" i="2"/>
  <c r="AS925" i="2"/>
  <c r="AL925" i="2"/>
  <c r="AR925" i="2"/>
  <c r="AK925" i="2"/>
  <c r="AJ925" i="2"/>
  <c r="AI925" i="2"/>
  <c r="AO925" i="2"/>
  <c r="U925" i="2"/>
  <c r="O925" i="2"/>
  <c r="M925" i="2"/>
  <c r="E925" i="2"/>
  <c r="D925" i="2"/>
  <c r="C925" i="2"/>
  <c r="B925" i="2"/>
  <c r="A925" i="2"/>
  <c r="AN924" i="2"/>
  <c r="AT924" i="2"/>
  <c r="AM924" i="2"/>
  <c r="AS924" i="2"/>
  <c r="X929" i="2" s="1"/>
  <c r="AL924" i="2"/>
  <c r="AR924" i="2"/>
  <c r="AK924" i="2"/>
  <c r="AQ924" i="2" s="1"/>
  <c r="AJ924" i="2"/>
  <c r="AP924" i="2"/>
  <c r="AI924" i="2"/>
  <c r="AW926" i="2" s="1"/>
  <c r="AO924" i="2"/>
  <c r="U924" i="2"/>
  <c r="M924" i="2"/>
  <c r="I924" i="2"/>
  <c r="E924" i="2"/>
  <c r="D924" i="2"/>
  <c r="C924" i="2"/>
  <c r="B924" i="2"/>
  <c r="A924" i="2"/>
  <c r="U923" i="2"/>
  <c r="U922" i="2"/>
  <c r="O922" i="2"/>
  <c r="I922" i="2"/>
  <c r="U921" i="2"/>
  <c r="Q920" i="2"/>
  <c r="U918" i="2"/>
  <c r="U917" i="2"/>
  <c r="O917" i="2"/>
  <c r="U916" i="2"/>
  <c r="AS915" i="2"/>
  <c r="X915" i="2" s="1"/>
  <c r="AN915" i="2"/>
  <c r="AT915" i="2" s="1"/>
  <c r="AM915" i="2"/>
  <c r="AL915" i="2"/>
  <c r="AR915" i="2" s="1"/>
  <c r="AK915" i="2"/>
  <c r="AJ915" i="2"/>
  <c r="AP915" i="2" s="1"/>
  <c r="AI915" i="2"/>
  <c r="AO915" i="2" s="1"/>
  <c r="U915" i="2"/>
  <c r="M915" i="2"/>
  <c r="I915" i="2"/>
  <c r="E915" i="2"/>
  <c r="D915" i="2"/>
  <c r="C915" i="2"/>
  <c r="B915" i="2"/>
  <c r="A915" i="2"/>
  <c r="AQ914" i="2"/>
  <c r="AN914" i="2"/>
  <c r="AT914" i="2"/>
  <c r="AM914" i="2"/>
  <c r="AS914" i="2"/>
  <c r="Y918" i="2" s="1"/>
  <c r="AL914" i="2"/>
  <c r="AK914" i="2"/>
  <c r="AJ914" i="2"/>
  <c r="AP914" i="2" s="1"/>
  <c r="AI914" i="2"/>
  <c r="U914" i="2"/>
  <c r="O914" i="2"/>
  <c r="M914" i="2"/>
  <c r="E914" i="2"/>
  <c r="D914" i="2"/>
  <c r="C914" i="2"/>
  <c r="B914" i="2"/>
  <c r="A914" i="2"/>
  <c r="AN913" i="2"/>
  <c r="AT913" i="2" s="1"/>
  <c r="AM913" i="2"/>
  <c r="AS913" i="2"/>
  <c r="X918" i="2" s="1"/>
  <c r="AL913" i="2"/>
  <c r="AR913" i="2"/>
  <c r="AK913" i="2"/>
  <c r="AQ913" i="2" s="1"/>
  <c r="AJ913" i="2"/>
  <c r="AI913" i="2"/>
  <c r="AO913" i="2"/>
  <c r="U913" i="2"/>
  <c r="M913" i="2"/>
  <c r="I913" i="2"/>
  <c r="E913" i="2"/>
  <c r="D913" i="2"/>
  <c r="C913" i="2"/>
  <c r="B913" i="2"/>
  <c r="A913" i="2"/>
  <c r="U912" i="2"/>
  <c r="U911" i="2"/>
  <c r="O911" i="2"/>
  <c r="I911" i="2"/>
  <c r="U910" i="2"/>
  <c r="Q909" i="2"/>
  <c r="U907" i="2"/>
  <c r="U906" i="2"/>
  <c r="O906" i="2"/>
  <c r="U905" i="2"/>
  <c r="AN904" i="2"/>
  <c r="AT904" i="2"/>
  <c r="AM904" i="2"/>
  <c r="AS904" i="2"/>
  <c r="Y901" i="2" s="1"/>
  <c r="AL904" i="2"/>
  <c r="AR904" i="2" s="1"/>
  <c r="AK904" i="2"/>
  <c r="AQ904" i="2" s="1"/>
  <c r="AJ904" i="2"/>
  <c r="AP904" i="2" s="1"/>
  <c r="AI904" i="2"/>
  <c r="U904" i="2"/>
  <c r="M904" i="2"/>
  <c r="I904" i="2"/>
  <c r="E904" i="2"/>
  <c r="D904" i="2"/>
  <c r="C904" i="2"/>
  <c r="B904" i="2"/>
  <c r="A904" i="2"/>
  <c r="AT903" i="2"/>
  <c r="AP903" i="2"/>
  <c r="AN903" i="2"/>
  <c r="AM903" i="2"/>
  <c r="AS903" i="2" s="1"/>
  <c r="AL903" i="2"/>
  <c r="AR903" i="2" s="1"/>
  <c r="AK903" i="2"/>
  <c r="AQ903" i="2" s="1"/>
  <c r="AJ903" i="2"/>
  <c r="AI903" i="2"/>
  <c r="U903" i="2"/>
  <c r="O903" i="2"/>
  <c r="M903" i="2"/>
  <c r="E903" i="2"/>
  <c r="D903" i="2"/>
  <c r="C903" i="2"/>
  <c r="B903" i="2"/>
  <c r="A903" i="2"/>
  <c r="AT902" i="2"/>
  <c r="AN902" i="2"/>
  <c r="AM902" i="2"/>
  <c r="AS902" i="2" s="1"/>
  <c r="AL902" i="2"/>
  <c r="AR902" i="2" s="1"/>
  <c r="AK902" i="2"/>
  <c r="AQ902" i="2" s="1"/>
  <c r="AJ902" i="2"/>
  <c r="AP902" i="2" s="1"/>
  <c r="BF902" i="2" s="1"/>
  <c r="AI902" i="2"/>
  <c r="U902" i="2"/>
  <c r="M902" i="2"/>
  <c r="I902" i="2"/>
  <c r="E902" i="2"/>
  <c r="D902" i="2"/>
  <c r="C902" i="2"/>
  <c r="B902" i="2"/>
  <c r="A902" i="2"/>
  <c r="U901" i="2"/>
  <c r="U900" i="2"/>
  <c r="O900" i="2"/>
  <c r="I900" i="2"/>
  <c r="U899" i="2"/>
  <c r="Q898" i="2"/>
  <c r="U896" i="2"/>
  <c r="U895" i="2"/>
  <c r="O895" i="2"/>
  <c r="U894" i="2"/>
  <c r="AT893" i="2"/>
  <c r="AO893" i="2"/>
  <c r="AN893" i="2"/>
  <c r="AM893" i="2"/>
  <c r="AS893" i="2" s="1"/>
  <c r="AL893" i="2"/>
  <c r="AK893" i="2"/>
  <c r="AQ893" i="2" s="1"/>
  <c r="AJ893" i="2"/>
  <c r="AP893" i="2" s="1"/>
  <c r="AI893" i="2"/>
  <c r="U893" i="2"/>
  <c r="M893" i="2"/>
  <c r="I893" i="2"/>
  <c r="E893" i="2"/>
  <c r="D893" i="2"/>
  <c r="C893" i="2"/>
  <c r="B893" i="2"/>
  <c r="A893" i="2"/>
  <c r="AN892" i="2"/>
  <c r="AT892" i="2"/>
  <c r="AM892" i="2"/>
  <c r="AS892" i="2" s="1"/>
  <c r="Z893" i="2" s="1"/>
  <c r="AL892" i="2"/>
  <c r="AR892" i="2" s="1"/>
  <c r="AK892" i="2"/>
  <c r="AQ892" i="2" s="1"/>
  <c r="AJ892" i="2"/>
  <c r="AP892" i="2" s="1"/>
  <c r="AI892" i="2"/>
  <c r="AO892" i="2" s="1"/>
  <c r="U892" i="2"/>
  <c r="O892" i="2"/>
  <c r="M892" i="2"/>
  <c r="E892" i="2"/>
  <c r="D892" i="2"/>
  <c r="C892" i="2"/>
  <c r="B892" i="2"/>
  <c r="A892" i="2"/>
  <c r="AR891" i="2"/>
  <c r="AN891" i="2"/>
  <c r="AT891" i="2" s="1"/>
  <c r="AM891" i="2"/>
  <c r="AS891" i="2" s="1"/>
  <c r="AL891" i="2"/>
  <c r="AK891" i="2"/>
  <c r="AQ891" i="2" s="1"/>
  <c r="AJ891" i="2"/>
  <c r="AP891" i="2"/>
  <c r="AI891" i="2"/>
  <c r="U891" i="2"/>
  <c r="M891" i="2"/>
  <c r="I891" i="2"/>
  <c r="E891" i="2"/>
  <c r="D891" i="2"/>
  <c r="C891" i="2"/>
  <c r="B891" i="2"/>
  <c r="A891" i="2"/>
  <c r="U890" i="2"/>
  <c r="U889" i="2"/>
  <c r="O889" i="2"/>
  <c r="I889" i="2"/>
  <c r="U888" i="2"/>
  <c r="Q887" i="2"/>
  <c r="U885" i="2"/>
  <c r="U884" i="2"/>
  <c r="O884" i="2"/>
  <c r="U883" i="2"/>
  <c r="AT882" i="2"/>
  <c r="AP882" i="2"/>
  <c r="AN882" i="2"/>
  <c r="AM882" i="2"/>
  <c r="AS882" i="2" s="1"/>
  <c r="AL882" i="2"/>
  <c r="AK882" i="2"/>
  <c r="AQ882" i="2" s="1"/>
  <c r="AJ882" i="2"/>
  <c r="AI882" i="2"/>
  <c r="AO882" i="2" s="1"/>
  <c r="U882" i="2"/>
  <c r="M882" i="2"/>
  <c r="I882" i="2"/>
  <c r="E882" i="2"/>
  <c r="D882" i="2"/>
  <c r="C882" i="2"/>
  <c r="B882" i="2"/>
  <c r="A882" i="2"/>
  <c r="AR881" i="2"/>
  <c r="AN881" i="2"/>
  <c r="AT881" i="2" s="1"/>
  <c r="AM881" i="2"/>
  <c r="AS881" i="2" s="1"/>
  <c r="AL881" i="2"/>
  <c r="AK881" i="2"/>
  <c r="AQ881" i="2" s="1"/>
  <c r="AJ881" i="2"/>
  <c r="AP881" i="2"/>
  <c r="AI881" i="2"/>
  <c r="AY882" i="2" s="1"/>
  <c r="BB881" i="2" s="1"/>
  <c r="U881" i="2"/>
  <c r="O881" i="2"/>
  <c r="M881" i="2"/>
  <c r="E881" i="2"/>
  <c r="D881" i="2"/>
  <c r="C881" i="2"/>
  <c r="B881" i="2"/>
  <c r="A881" i="2"/>
  <c r="AN880" i="2"/>
  <c r="AT880" i="2"/>
  <c r="AM880" i="2"/>
  <c r="AS880" i="2" s="1"/>
  <c r="AL880" i="2"/>
  <c r="AR880" i="2" s="1"/>
  <c r="AK880" i="2"/>
  <c r="AQ880" i="2" s="1"/>
  <c r="AJ880" i="2"/>
  <c r="AP880" i="2" s="1"/>
  <c r="AI880" i="2"/>
  <c r="AO880" i="2" s="1"/>
  <c r="U880" i="2"/>
  <c r="M880" i="2"/>
  <c r="I880" i="2"/>
  <c r="E880" i="2"/>
  <c r="D880" i="2"/>
  <c r="C880" i="2"/>
  <c r="B880" i="2"/>
  <c r="A880" i="2"/>
  <c r="U879" i="2"/>
  <c r="U878" i="2"/>
  <c r="O878" i="2"/>
  <c r="I878" i="2"/>
  <c r="U877" i="2"/>
  <c r="Q876" i="2"/>
  <c r="U874" i="2"/>
  <c r="U873" i="2"/>
  <c r="O873" i="2"/>
  <c r="U872" i="2"/>
  <c r="AT871" i="2"/>
  <c r="AO871" i="2"/>
  <c r="AN871" i="2"/>
  <c r="AM871" i="2"/>
  <c r="AS871" i="2" s="1"/>
  <c r="AL871" i="2"/>
  <c r="AK871" i="2"/>
  <c r="AQ871" i="2" s="1"/>
  <c r="AJ871" i="2"/>
  <c r="AP871" i="2" s="1"/>
  <c r="AI871" i="2"/>
  <c r="U871" i="2"/>
  <c r="M871" i="2"/>
  <c r="I871" i="2"/>
  <c r="E871" i="2"/>
  <c r="D871" i="2"/>
  <c r="C871" i="2"/>
  <c r="B871" i="2"/>
  <c r="A871" i="2"/>
  <c r="AN870" i="2"/>
  <c r="AT870" i="2" s="1"/>
  <c r="AM870" i="2"/>
  <c r="AS870" i="2" s="1"/>
  <c r="AL870" i="2"/>
  <c r="AR870" i="2" s="1"/>
  <c r="AK870" i="2"/>
  <c r="AQ870" i="2" s="1"/>
  <c r="AJ870" i="2"/>
  <c r="AP870" i="2"/>
  <c r="AI870" i="2"/>
  <c r="AO870" i="2" s="1"/>
  <c r="U870" i="2"/>
  <c r="O870" i="2"/>
  <c r="M870" i="2"/>
  <c r="E870" i="2"/>
  <c r="D870" i="2"/>
  <c r="C870" i="2"/>
  <c r="B870" i="2"/>
  <c r="A870" i="2"/>
  <c r="AY869" i="2"/>
  <c r="AR869" i="2"/>
  <c r="AN869" i="2"/>
  <c r="AT869" i="2" s="1"/>
  <c r="AM869" i="2"/>
  <c r="AS869" i="2" s="1"/>
  <c r="AL869" i="2"/>
  <c r="AK869" i="2"/>
  <c r="AQ869" i="2" s="1"/>
  <c r="AJ869" i="2"/>
  <c r="AP869" i="2"/>
  <c r="AI869" i="2"/>
  <c r="U869" i="2"/>
  <c r="M869" i="2"/>
  <c r="I869" i="2"/>
  <c r="E869" i="2"/>
  <c r="D869" i="2"/>
  <c r="C869" i="2"/>
  <c r="B869" i="2"/>
  <c r="A869" i="2"/>
  <c r="U868" i="2"/>
  <c r="U867" i="2"/>
  <c r="O867" i="2"/>
  <c r="I867" i="2"/>
  <c r="U866" i="2"/>
  <c r="Q865" i="2"/>
  <c r="U863" i="2"/>
  <c r="U862" i="2"/>
  <c r="O862" i="2"/>
  <c r="U861" i="2"/>
  <c r="AN860" i="2"/>
  <c r="AT860" i="2"/>
  <c r="AM860" i="2"/>
  <c r="AS860" i="2" s="1"/>
  <c r="X857" i="2" s="1"/>
  <c r="AL860" i="2"/>
  <c r="AR860" i="2"/>
  <c r="AK860" i="2"/>
  <c r="AQ860" i="2"/>
  <c r="AJ860" i="2"/>
  <c r="AI860" i="2"/>
  <c r="AO860" i="2" s="1"/>
  <c r="U860" i="2"/>
  <c r="M860" i="2"/>
  <c r="E860" i="2"/>
  <c r="D860" i="2"/>
  <c r="C860" i="2"/>
  <c r="B860" i="2"/>
  <c r="A860" i="2"/>
  <c r="AQ859" i="2"/>
  <c r="AA859" i="2" s="1"/>
  <c r="AN859" i="2"/>
  <c r="AT859" i="2"/>
  <c r="AM859" i="2"/>
  <c r="AS859" i="2"/>
  <c r="AL859" i="2"/>
  <c r="AR859" i="2"/>
  <c r="AK859" i="2"/>
  <c r="AJ859" i="2"/>
  <c r="AI859" i="2"/>
  <c r="AO859" i="2"/>
  <c r="U859" i="2"/>
  <c r="O859" i="2"/>
  <c r="M859" i="2"/>
  <c r="I859" i="2"/>
  <c r="E859" i="2"/>
  <c r="D859" i="2"/>
  <c r="C859" i="2"/>
  <c r="B859" i="2"/>
  <c r="A859" i="2"/>
  <c r="AN858" i="2"/>
  <c r="AT858" i="2"/>
  <c r="AM858" i="2"/>
  <c r="AS858" i="2" s="1"/>
  <c r="AL858" i="2"/>
  <c r="AR858" i="2" s="1"/>
  <c r="AK858" i="2"/>
  <c r="AQ858" i="2"/>
  <c r="Z856" i="2" s="1"/>
  <c r="AJ858" i="2"/>
  <c r="AI858" i="2"/>
  <c r="AO858" i="2" s="1"/>
  <c r="U858" i="2"/>
  <c r="M858" i="2"/>
  <c r="E858" i="2"/>
  <c r="D858" i="2"/>
  <c r="C858" i="2"/>
  <c r="B858" i="2"/>
  <c r="A858" i="2"/>
  <c r="AY857" i="2"/>
  <c r="BB856" i="2" s="1"/>
  <c r="AQ857" i="2"/>
  <c r="AN857" i="2"/>
  <c r="AT857" i="2" s="1"/>
  <c r="AM857" i="2"/>
  <c r="AS857" i="2" s="1"/>
  <c r="AL857" i="2"/>
  <c r="AR857" i="2" s="1"/>
  <c r="AK857" i="2"/>
  <c r="AJ857" i="2"/>
  <c r="AP857" i="2" s="1"/>
  <c r="AI857" i="2"/>
  <c r="AW858" i="2"/>
  <c r="U857" i="2"/>
  <c r="M857" i="2"/>
  <c r="I857" i="2"/>
  <c r="E857" i="2"/>
  <c r="D857" i="2"/>
  <c r="C857" i="2"/>
  <c r="B857" i="2"/>
  <c r="A857" i="2"/>
  <c r="AS856" i="2"/>
  <c r="AQ856" i="2"/>
  <c r="AN856" i="2"/>
  <c r="AT856" i="2"/>
  <c r="AM856" i="2"/>
  <c r="AL856" i="2"/>
  <c r="AR856" i="2" s="1"/>
  <c r="AK856" i="2"/>
  <c r="AJ856" i="2"/>
  <c r="AP856" i="2" s="1"/>
  <c r="AI856" i="2"/>
  <c r="BC856" i="2" s="1"/>
  <c r="AZ858" i="2" s="1"/>
  <c r="U856" i="2"/>
  <c r="O856" i="2"/>
  <c r="M856" i="2"/>
  <c r="E856" i="2"/>
  <c r="D856" i="2"/>
  <c r="C856" i="2"/>
  <c r="B856" i="2"/>
  <c r="A856" i="2"/>
  <c r="AN855" i="2"/>
  <c r="AT855" i="2" s="1"/>
  <c r="AM855" i="2"/>
  <c r="AS855" i="2" s="1"/>
  <c r="X860" i="2" s="1"/>
  <c r="AL855" i="2"/>
  <c r="AR855" i="2" s="1"/>
  <c r="AK855" i="2"/>
  <c r="AQ855" i="2" s="1"/>
  <c r="Z853" i="2" s="1"/>
  <c r="AJ855" i="2"/>
  <c r="AP855" i="2" s="1"/>
  <c r="AI855" i="2"/>
  <c r="BA855" i="2" s="1"/>
  <c r="AX857" i="2" s="1"/>
  <c r="U855" i="2"/>
  <c r="M855" i="2"/>
  <c r="I855" i="2"/>
  <c r="E855" i="2"/>
  <c r="D855" i="2"/>
  <c r="C855" i="2"/>
  <c r="B855" i="2"/>
  <c r="A855" i="2"/>
  <c r="U854" i="2"/>
  <c r="U853" i="2"/>
  <c r="O853" i="2"/>
  <c r="I853" i="2"/>
  <c r="U852" i="2"/>
  <c r="Q851" i="2"/>
  <c r="T849" i="2"/>
  <c r="X846" i="2"/>
  <c r="P846" i="2"/>
  <c r="X845" i="2"/>
  <c r="M845" i="2"/>
  <c r="A845" i="2"/>
  <c r="G845" i="2" s="1"/>
  <c r="E843" i="2" s="1"/>
  <c r="AA844" i="2"/>
  <c r="X844" i="2"/>
  <c r="P844" i="2"/>
  <c r="AA843" i="2"/>
  <c r="M843" i="2"/>
  <c r="A843" i="2"/>
  <c r="G843" i="2" s="1"/>
  <c r="E839" i="2" s="1"/>
  <c r="H843" i="2"/>
  <c r="AA842" i="2"/>
  <c r="X842" i="2"/>
  <c r="P842" i="2"/>
  <c r="X841" i="2"/>
  <c r="M841" i="2"/>
  <c r="A841" i="2"/>
  <c r="H841" i="2" s="1"/>
  <c r="AD840" i="2"/>
  <c r="X840" i="2"/>
  <c r="P840" i="2"/>
  <c r="AD839" i="2"/>
  <c r="M839" i="2"/>
  <c r="A839" i="2"/>
  <c r="H839" i="2" s="1"/>
  <c r="AD838" i="2"/>
  <c r="X838" i="2"/>
  <c r="P838" i="2"/>
  <c r="X837" i="2"/>
  <c r="M837" i="2"/>
  <c r="A837" i="2"/>
  <c r="H837" i="2" s="1"/>
  <c r="AA836" i="2"/>
  <c r="X836" i="2"/>
  <c r="P836" i="2"/>
  <c r="O836" i="2" s="1"/>
  <c r="Q836" i="2" s="1"/>
  <c r="AA835" i="2"/>
  <c r="M835" i="2"/>
  <c r="H835" i="2"/>
  <c r="A835" i="2"/>
  <c r="G835" i="2" s="1"/>
  <c r="C839" i="2" s="1"/>
  <c r="AA834" i="2"/>
  <c r="X834" i="2"/>
  <c r="P834" i="2"/>
  <c r="O834" i="2" s="1"/>
  <c r="Q834" i="2" s="1"/>
  <c r="M833" i="2"/>
  <c r="H833" i="2"/>
  <c r="A833" i="2"/>
  <c r="L833" i="2"/>
  <c r="P832" i="2"/>
  <c r="O832" i="2"/>
  <c r="U827" i="2"/>
  <c r="U826" i="2"/>
  <c r="O826" i="2"/>
  <c r="U825" i="2"/>
  <c r="AQ824" i="2"/>
  <c r="AN824" i="2"/>
  <c r="AT824" i="2" s="1"/>
  <c r="AM824" i="2"/>
  <c r="AS824" i="2"/>
  <c r="AL824" i="2"/>
  <c r="AR824" i="2"/>
  <c r="AK824" i="2"/>
  <c r="AJ824" i="2"/>
  <c r="AP824" i="2" s="1"/>
  <c r="AI824" i="2"/>
  <c r="AO824" i="2"/>
  <c r="U824" i="2"/>
  <c r="M824" i="2"/>
  <c r="I824" i="2"/>
  <c r="E824" i="2"/>
  <c r="D824" i="2"/>
  <c r="C824" i="2"/>
  <c r="B824" i="2"/>
  <c r="A824" i="2"/>
  <c r="AN823" i="2"/>
  <c r="AT823" i="2" s="1"/>
  <c r="AM823" i="2"/>
  <c r="AS823" i="2" s="1"/>
  <c r="AL823" i="2"/>
  <c r="AR823" i="2" s="1"/>
  <c r="AK823" i="2"/>
  <c r="AQ823" i="2" s="1"/>
  <c r="AJ823" i="2"/>
  <c r="AP823" i="2" s="1"/>
  <c r="BF823" i="2" s="1"/>
  <c r="AI823" i="2"/>
  <c r="AO823" i="2"/>
  <c r="U823" i="2"/>
  <c r="O823" i="2"/>
  <c r="M823" i="2"/>
  <c r="E823" i="2"/>
  <c r="D823" i="2"/>
  <c r="C823" i="2"/>
  <c r="B823" i="2"/>
  <c r="A823" i="2"/>
  <c r="AR822" i="2"/>
  <c r="AN822" i="2"/>
  <c r="AT822" i="2" s="1"/>
  <c r="AM822" i="2"/>
  <c r="AS822" i="2" s="1"/>
  <c r="AL822" i="2"/>
  <c r="AK822" i="2"/>
  <c r="AQ822" i="2" s="1"/>
  <c r="Z820" i="2" s="1"/>
  <c r="AJ822" i="2"/>
  <c r="AP822" i="2"/>
  <c r="AI822" i="2"/>
  <c r="AO822" i="2" s="1"/>
  <c r="Z819" i="2" s="1"/>
  <c r="U822" i="2"/>
  <c r="M822" i="2"/>
  <c r="I822" i="2"/>
  <c r="E822" i="2"/>
  <c r="D822" i="2"/>
  <c r="C822" i="2"/>
  <c r="B822" i="2"/>
  <c r="A822" i="2"/>
  <c r="U821" i="2"/>
  <c r="U820" i="2"/>
  <c r="O820" i="2"/>
  <c r="I820" i="2"/>
  <c r="U819" i="2"/>
  <c r="Q818" i="2"/>
  <c r="U816" i="2"/>
  <c r="U815" i="2"/>
  <c r="O815" i="2"/>
  <c r="U814" i="2"/>
  <c r="AN813" i="2"/>
  <c r="AT813" i="2" s="1"/>
  <c r="AM813" i="2"/>
  <c r="AS813" i="2" s="1"/>
  <c r="AL813" i="2"/>
  <c r="AR813" i="2"/>
  <c r="AK813" i="2"/>
  <c r="AQ813" i="2" s="1"/>
  <c r="AJ813" i="2"/>
  <c r="AP813" i="2" s="1"/>
  <c r="AI813" i="2"/>
  <c r="AO813" i="2" s="1"/>
  <c r="U813" i="2"/>
  <c r="M813" i="2"/>
  <c r="I813" i="2"/>
  <c r="E813" i="2"/>
  <c r="D813" i="2"/>
  <c r="C813" i="2"/>
  <c r="B813" i="2"/>
  <c r="A813" i="2"/>
  <c r="AN812" i="2"/>
  <c r="AT812" i="2" s="1"/>
  <c r="AM812" i="2"/>
  <c r="AS812" i="2" s="1"/>
  <c r="AL812" i="2"/>
  <c r="AR812" i="2" s="1"/>
  <c r="AK812" i="2"/>
  <c r="AQ812" i="2" s="1"/>
  <c r="AJ812" i="2"/>
  <c r="AP812" i="2"/>
  <c r="AI812" i="2"/>
  <c r="AO812" i="2" s="1"/>
  <c r="U812" i="2"/>
  <c r="O812" i="2"/>
  <c r="M812" i="2"/>
  <c r="E812" i="2"/>
  <c r="D812" i="2"/>
  <c r="C812" i="2"/>
  <c r="B812" i="2"/>
  <c r="A812" i="2"/>
  <c r="AO811" i="2"/>
  <c r="X814" i="2" s="1"/>
  <c r="AN811" i="2"/>
  <c r="AT811" i="2"/>
  <c r="AM811" i="2"/>
  <c r="AS811" i="2"/>
  <c r="X816" i="2" s="1"/>
  <c r="AL811" i="2"/>
  <c r="AR811" i="2" s="1"/>
  <c r="AK811" i="2"/>
  <c r="AQ811" i="2"/>
  <c r="AJ811" i="2"/>
  <c r="AP811" i="2"/>
  <c r="AI811" i="2"/>
  <c r="U811" i="2"/>
  <c r="M811" i="2"/>
  <c r="I811" i="2"/>
  <c r="E811" i="2"/>
  <c r="D811" i="2"/>
  <c r="C811" i="2"/>
  <c r="B811" i="2"/>
  <c r="A811" i="2"/>
  <c r="U810" i="2"/>
  <c r="U809" i="2"/>
  <c r="O809" i="2"/>
  <c r="I809" i="2"/>
  <c r="U808" i="2"/>
  <c r="Q807" i="2"/>
  <c r="U805" i="2"/>
  <c r="U804" i="2"/>
  <c r="O804" i="2"/>
  <c r="U803" i="2"/>
  <c r="AP802" i="2"/>
  <c r="AN802" i="2"/>
  <c r="AT802" i="2" s="1"/>
  <c r="AM802" i="2"/>
  <c r="AS802" i="2" s="1"/>
  <c r="AL802" i="2"/>
  <c r="AR802" i="2" s="1"/>
  <c r="AK802" i="2"/>
  <c r="AQ802" i="2"/>
  <c r="Y798" i="2" s="1"/>
  <c r="AJ802" i="2"/>
  <c r="AI802" i="2"/>
  <c r="AO802" i="2" s="1"/>
  <c r="U802" i="2"/>
  <c r="M802" i="2"/>
  <c r="I802" i="2"/>
  <c r="E802" i="2"/>
  <c r="D802" i="2"/>
  <c r="C802" i="2"/>
  <c r="B802" i="2"/>
  <c r="A802" i="2"/>
  <c r="AN801" i="2"/>
  <c r="AT801" i="2" s="1"/>
  <c r="AM801" i="2"/>
  <c r="AS801" i="2"/>
  <c r="Z802" i="2" s="1"/>
  <c r="AL801" i="2"/>
  <c r="AR801" i="2" s="1"/>
  <c r="AK801" i="2"/>
  <c r="AQ801" i="2" s="1"/>
  <c r="AJ801" i="2"/>
  <c r="AP801" i="2" s="1"/>
  <c r="AI801" i="2"/>
  <c r="AO801" i="2" s="1"/>
  <c r="U801" i="2"/>
  <c r="O801" i="2"/>
  <c r="M801" i="2"/>
  <c r="E801" i="2"/>
  <c r="D801" i="2"/>
  <c r="C801" i="2"/>
  <c r="B801" i="2"/>
  <c r="A801" i="2"/>
  <c r="AT800" i="2"/>
  <c r="AP800" i="2"/>
  <c r="AN800" i="2"/>
  <c r="AM800" i="2"/>
  <c r="AS800" i="2" s="1"/>
  <c r="AL800" i="2"/>
  <c r="AR800" i="2" s="1"/>
  <c r="AK800" i="2"/>
  <c r="AQ800" i="2" s="1"/>
  <c r="AJ800" i="2"/>
  <c r="AI800" i="2"/>
  <c r="U800" i="2"/>
  <c r="M800" i="2"/>
  <c r="I800" i="2"/>
  <c r="E800" i="2"/>
  <c r="D800" i="2"/>
  <c r="C800" i="2"/>
  <c r="B800" i="2"/>
  <c r="A800" i="2"/>
  <c r="U799" i="2"/>
  <c r="U798" i="2"/>
  <c r="O798" i="2"/>
  <c r="I798" i="2"/>
  <c r="U797" i="2"/>
  <c r="Q796" i="2"/>
  <c r="U794" i="2"/>
  <c r="U793" i="2"/>
  <c r="O793" i="2"/>
  <c r="U792" i="2"/>
  <c r="AN791" i="2"/>
  <c r="AT791" i="2"/>
  <c r="AM791" i="2"/>
  <c r="AS791" i="2" s="1"/>
  <c r="X791" i="2" s="1"/>
  <c r="AL791" i="2"/>
  <c r="AR791" i="2" s="1"/>
  <c r="AK791" i="2"/>
  <c r="AQ791" i="2" s="1"/>
  <c r="AJ791" i="2"/>
  <c r="AP791" i="2" s="1"/>
  <c r="AI791" i="2"/>
  <c r="AO791" i="2"/>
  <c r="U791" i="2"/>
  <c r="M791" i="2"/>
  <c r="I791" i="2"/>
  <c r="E791" i="2"/>
  <c r="D791" i="2"/>
  <c r="C791" i="2"/>
  <c r="B791" i="2"/>
  <c r="A791" i="2"/>
  <c r="AN790" i="2"/>
  <c r="AT790" i="2" s="1"/>
  <c r="AM790" i="2"/>
  <c r="AS790" i="2"/>
  <c r="Y794" i="2" s="1"/>
  <c r="AL790" i="2"/>
  <c r="AR790" i="2" s="1"/>
  <c r="AK790" i="2"/>
  <c r="AQ790" i="2" s="1"/>
  <c r="AJ790" i="2"/>
  <c r="AP790" i="2" s="1"/>
  <c r="BF790" i="2" s="1"/>
  <c r="AI790" i="2"/>
  <c r="AO790" i="2" s="1"/>
  <c r="U790" i="2"/>
  <c r="O790" i="2"/>
  <c r="M790" i="2"/>
  <c r="E790" i="2"/>
  <c r="D790" i="2"/>
  <c r="C790" i="2"/>
  <c r="B790" i="2"/>
  <c r="A790" i="2"/>
  <c r="AN789" i="2"/>
  <c r="AT789" i="2" s="1"/>
  <c r="AM789" i="2"/>
  <c r="AS789" i="2"/>
  <c r="AL789" i="2"/>
  <c r="AR789" i="2"/>
  <c r="AK789" i="2"/>
  <c r="AQ789" i="2" s="1"/>
  <c r="AJ789" i="2"/>
  <c r="AP789" i="2" s="1"/>
  <c r="BF789" i="2" s="1"/>
  <c r="AI789" i="2"/>
  <c r="U789" i="2"/>
  <c r="M789" i="2"/>
  <c r="I789" i="2"/>
  <c r="E789" i="2"/>
  <c r="D789" i="2"/>
  <c r="C789" i="2"/>
  <c r="B789" i="2"/>
  <c r="A789" i="2"/>
  <c r="U788" i="2"/>
  <c r="U787" i="2"/>
  <c r="O787" i="2"/>
  <c r="I787" i="2"/>
  <c r="U786" i="2"/>
  <c r="Q785" i="2"/>
  <c r="U783" i="2"/>
  <c r="U782" i="2"/>
  <c r="O782" i="2"/>
  <c r="U781" i="2"/>
  <c r="AN780" i="2"/>
  <c r="AT780" i="2"/>
  <c r="AM780" i="2"/>
  <c r="AS780" i="2" s="1"/>
  <c r="X780" i="2" s="1"/>
  <c r="AL780" i="2"/>
  <c r="AR780" i="2" s="1"/>
  <c r="AK780" i="2"/>
  <c r="AQ780" i="2" s="1"/>
  <c r="AJ780" i="2"/>
  <c r="AP780" i="2" s="1"/>
  <c r="AI780" i="2"/>
  <c r="AO780" i="2"/>
  <c r="U780" i="2"/>
  <c r="M780" i="2"/>
  <c r="I780" i="2"/>
  <c r="E780" i="2"/>
  <c r="D780" i="2"/>
  <c r="C780" i="2"/>
  <c r="B780" i="2"/>
  <c r="A780" i="2"/>
  <c r="AN779" i="2"/>
  <c r="AT779" i="2" s="1"/>
  <c r="AM779" i="2"/>
  <c r="AS779" i="2"/>
  <c r="Y783" i="2" s="1"/>
  <c r="AL779" i="2"/>
  <c r="AR779" i="2" s="1"/>
  <c r="AK779" i="2"/>
  <c r="AQ779" i="2" s="1"/>
  <c r="AJ779" i="2"/>
  <c r="AP779" i="2" s="1"/>
  <c r="AI779" i="2"/>
  <c r="AO779" i="2" s="1"/>
  <c r="U779" i="2"/>
  <c r="O779" i="2"/>
  <c r="M779" i="2"/>
  <c r="E779" i="2"/>
  <c r="D779" i="2"/>
  <c r="C779" i="2"/>
  <c r="B779" i="2"/>
  <c r="A779" i="2"/>
  <c r="AN778" i="2"/>
  <c r="AT778" i="2" s="1"/>
  <c r="AM778" i="2"/>
  <c r="AS778" i="2"/>
  <c r="AL778" i="2"/>
  <c r="AR778" i="2"/>
  <c r="AK778" i="2"/>
  <c r="AQ778" i="2" s="1"/>
  <c r="AJ778" i="2"/>
  <c r="AP778" i="2" s="1"/>
  <c r="BF778" i="2" s="1"/>
  <c r="AI778" i="2"/>
  <c r="U778" i="2"/>
  <c r="M778" i="2"/>
  <c r="I778" i="2"/>
  <c r="E778" i="2"/>
  <c r="D778" i="2"/>
  <c r="C778" i="2"/>
  <c r="B778" i="2"/>
  <c r="A778" i="2"/>
  <c r="U777" i="2"/>
  <c r="U776" i="2"/>
  <c r="O776" i="2"/>
  <c r="I776" i="2"/>
  <c r="U775" i="2"/>
  <c r="Q774" i="2"/>
  <c r="U772" i="2"/>
  <c r="U771" i="2"/>
  <c r="O771" i="2"/>
  <c r="U770" i="2"/>
  <c r="AN769" i="2"/>
  <c r="AT769" i="2" s="1"/>
  <c r="AM769" i="2"/>
  <c r="AS769" i="2" s="1"/>
  <c r="X769" i="2" s="1"/>
  <c r="AL769" i="2"/>
  <c r="AR769" i="2" s="1"/>
  <c r="AK769" i="2"/>
  <c r="AQ769" i="2" s="1"/>
  <c r="AJ769" i="2"/>
  <c r="AP769" i="2"/>
  <c r="AI769" i="2"/>
  <c r="AO769" i="2" s="1"/>
  <c r="U769" i="2"/>
  <c r="M769" i="2"/>
  <c r="I769" i="2"/>
  <c r="E769" i="2"/>
  <c r="D769" i="2"/>
  <c r="C769" i="2"/>
  <c r="B769" i="2"/>
  <c r="A769" i="2"/>
  <c r="AT768" i="2"/>
  <c r="AO768" i="2"/>
  <c r="AN768" i="2"/>
  <c r="AM768" i="2"/>
  <c r="AS768" i="2" s="1"/>
  <c r="Y772" i="2" s="1"/>
  <c r="AL768" i="2"/>
  <c r="AR768" i="2"/>
  <c r="AK768" i="2"/>
  <c r="AQ768" i="2"/>
  <c r="AJ768" i="2"/>
  <c r="AP768" i="2" s="1"/>
  <c r="AI768" i="2"/>
  <c r="U768" i="2"/>
  <c r="O768" i="2"/>
  <c r="M768" i="2"/>
  <c r="E768" i="2"/>
  <c r="D768" i="2"/>
  <c r="C768" i="2"/>
  <c r="B768" i="2"/>
  <c r="A768" i="2"/>
  <c r="AQ767" i="2"/>
  <c r="AN767" i="2"/>
  <c r="AT767" i="2" s="1"/>
  <c r="AM767" i="2"/>
  <c r="AS767" i="2"/>
  <c r="AL767" i="2"/>
  <c r="AR767" i="2"/>
  <c r="AK767" i="2"/>
  <c r="AJ767" i="2"/>
  <c r="AP767" i="2" s="1"/>
  <c r="AI767" i="2"/>
  <c r="U767" i="2"/>
  <c r="M767" i="2"/>
  <c r="I767" i="2"/>
  <c r="E767" i="2"/>
  <c r="D767" i="2"/>
  <c r="C767" i="2"/>
  <c r="B767" i="2"/>
  <c r="A767" i="2"/>
  <c r="U766" i="2"/>
  <c r="U765" i="2"/>
  <c r="O765" i="2"/>
  <c r="I765" i="2"/>
  <c r="U764" i="2"/>
  <c r="Q763" i="2"/>
  <c r="U761" i="2"/>
  <c r="U760" i="2"/>
  <c r="O760" i="2"/>
  <c r="U759" i="2"/>
  <c r="AR758" i="2"/>
  <c r="AN758" i="2"/>
  <c r="AT758" i="2" s="1"/>
  <c r="AM758" i="2"/>
  <c r="AS758" i="2"/>
  <c r="Y752" i="2" s="1"/>
  <c r="AL758" i="2"/>
  <c r="AK758" i="2"/>
  <c r="AQ758" i="2" s="1"/>
  <c r="Y751" i="2" s="1"/>
  <c r="AJ758" i="2"/>
  <c r="AP758" i="2" s="1"/>
  <c r="AI758" i="2"/>
  <c r="AO758" i="2" s="1"/>
  <c r="U758" i="2"/>
  <c r="M758" i="2"/>
  <c r="E758" i="2"/>
  <c r="D758" i="2"/>
  <c r="C758" i="2"/>
  <c r="B758" i="2"/>
  <c r="A758" i="2"/>
  <c r="AR757" i="2"/>
  <c r="AN757" i="2"/>
  <c r="AT757" i="2" s="1"/>
  <c r="AM757" i="2"/>
  <c r="AS757" i="2" s="1"/>
  <c r="AA758" i="2" s="1"/>
  <c r="AL757" i="2"/>
  <c r="AK757" i="2"/>
  <c r="AQ757" i="2"/>
  <c r="AJ757" i="2"/>
  <c r="AP757" i="2"/>
  <c r="AI757" i="2"/>
  <c r="BC755" i="2" s="1"/>
  <c r="BB756" i="2" s="1"/>
  <c r="U757" i="2"/>
  <c r="O757" i="2"/>
  <c r="M757" i="2"/>
  <c r="I757" i="2"/>
  <c r="E757" i="2"/>
  <c r="D757" i="2"/>
  <c r="C757" i="2"/>
  <c r="B757" i="2"/>
  <c r="A757" i="2"/>
  <c r="AR756" i="2"/>
  <c r="AP756" i="2"/>
  <c r="AN756" i="2"/>
  <c r="AT756" i="2"/>
  <c r="AM756" i="2"/>
  <c r="AS756" i="2"/>
  <c r="AL756" i="2"/>
  <c r="AK756" i="2"/>
  <c r="AQ756" i="2" s="1"/>
  <c r="Z754" i="2" s="1"/>
  <c r="AJ756" i="2"/>
  <c r="AI756" i="2"/>
  <c r="AO756" i="2" s="1"/>
  <c r="U756" i="2"/>
  <c r="M756" i="2"/>
  <c r="E756" i="2"/>
  <c r="D756" i="2"/>
  <c r="C756" i="2"/>
  <c r="B756" i="2"/>
  <c r="A756" i="2"/>
  <c r="AY755" i="2"/>
  <c r="BB754" i="2" s="1"/>
  <c r="AO755" i="2"/>
  <c r="AN755" i="2"/>
  <c r="AT755" i="2" s="1"/>
  <c r="AM755" i="2"/>
  <c r="AS755" i="2" s="1"/>
  <c r="AL755" i="2"/>
  <c r="AR755" i="2" s="1"/>
  <c r="AK755" i="2"/>
  <c r="AQ755" i="2" s="1"/>
  <c r="X760" i="2" s="1"/>
  <c r="AJ755" i="2"/>
  <c r="AP755" i="2" s="1"/>
  <c r="AA750" i="2"/>
  <c r="AI755" i="2"/>
  <c r="U755" i="2"/>
  <c r="M755" i="2"/>
  <c r="I755" i="2"/>
  <c r="E755" i="2"/>
  <c r="D755" i="2"/>
  <c r="C755" i="2"/>
  <c r="B755" i="2"/>
  <c r="A755" i="2"/>
  <c r="AN754" i="2"/>
  <c r="AT754" i="2" s="1"/>
  <c r="BF754" i="2" s="1"/>
  <c r="AM754" i="2"/>
  <c r="AS754" i="2" s="1"/>
  <c r="AL754" i="2"/>
  <c r="AR754" i="2" s="1"/>
  <c r="AK754" i="2"/>
  <c r="AQ754" i="2" s="1"/>
  <c r="AJ754" i="2"/>
  <c r="AP754" i="2" s="1"/>
  <c r="AI754" i="2"/>
  <c r="BC754" i="2" s="1"/>
  <c r="AZ756" i="2" s="1"/>
  <c r="U754" i="2"/>
  <c r="O754" i="2"/>
  <c r="M754" i="2"/>
  <c r="E754" i="2"/>
  <c r="D754" i="2"/>
  <c r="C754" i="2"/>
  <c r="B754" i="2"/>
  <c r="A754" i="2"/>
  <c r="BA753" i="2"/>
  <c r="AX755" i="2" s="1"/>
  <c r="AY753" i="2"/>
  <c r="AP753" i="2"/>
  <c r="AN753" i="2"/>
  <c r="AT753" i="2" s="1"/>
  <c r="AM753" i="2"/>
  <c r="AS753" i="2" s="1"/>
  <c r="X758" i="2" s="1"/>
  <c r="AL753" i="2"/>
  <c r="AR753" i="2" s="1"/>
  <c r="AK753" i="2"/>
  <c r="AQ753" i="2"/>
  <c r="AJ753" i="2"/>
  <c r="AW755" i="2"/>
  <c r="AI753" i="2"/>
  <c r="AO753" i="2" s="1"/>
  <c r="X756" i="2" s="1"/>
  <c r="X753" i="2"/>
  <c r="U753" i="2"/>
  <c r="M753" i="2"/>
  <c r="I753" i="2"/>
  <c r="E753" i="2"/>
  <c r="D753" i="2"/>
  <c r="C753" i="2"/>
  <c r="B753" i="2"/>
  <c r="A753" i="2"/>
  <c r="U752" i="2"/>
  <c r="U751" i="2"/>
  <c r="O751" i="2"/>
  <c r="I751" i="2"/>
  <c r="U750" i="2"/>
  <c r="Q749" i="2"/>
  <c r="T747" i="2"/>
  <c r="X743" i="2"/>
  <c r="P743" i="2"/>
  <c r="M742" i="2"/>
  <c r="A742" i="2"/>
  <c r="L742" i="2" s="1"/>
  <c r="AA741" i="2"/>
  <c r="P741" i="2"/>
  <c r="O741" i="2" s="1"/>
  <c r="AA740" i="2"/>
  <c r="M740" i="2"/>
  <c r="A740" i="2"/>
  <c r="AA739" i="2"/>
  <c r="X739" i="2"/>
  <c r="P739" i="2"/>
  <c r="X738" i="2"/>
  <c r="M738" i="2"/>
  <c r="A738" i="2"/>
  <c r="AD737" i="2"/>
  <c r="X737" i="2"/>
  <c r="P737" i="2"/>
  <c r="AD736" i="2"/>
  <c r="M736" i="2"/>
  <c r="A736" i="2"/>
  <c r="AD735" i="2"/>
  <c r="X735" i="2"/>
  <c r="P735" i="2"/>
  <c r="X734" i="2"/>
  <c r="M734" i="2"/>
  <c r="A734" i="2"/>
  <c r="AA733" i="2"/>
  <c r="X733" i="2"/>
  <c r="P733" i="2"/>
  <c r="AA732" i="2"/>
  <c r="T732" i="2"/>
  <c r="M732" i="2"/>
  <c r="A732" i="2"/>
  <c r="AA731" i="2"/>
  <c r="X731" i="2"/>
  <c r="P731" i="2"/>
  <c r="O731" i="2" s="1"/>
  <c r="Q731" i="2" s="1"/>
  <c r="T731" i="2"/>
  <c r="V731" i="2" s="1"/>
  <c r="M730" i="2"/>
  <c r="D730" i="2"/>
  <c r="A730" i="2"/>
  <c r="L730" i="2" s="1"/>
  <c r="P729" i="2"/>
  <c r="O729" i="2" s="1"/>
  <c r="O733" i="2" s="1"/>
  <c r="U724" i="2"/>
  <c r="U723" i="2"/>
  <c r="O723" i="2"/>
  <c r="U722" i="2"/>
  <c r="AS721" i="2"/>
  <c r="AP721" i="2"/>
  <c r="AN721" i="2"/>
  <c r="AT721" i="2" s="1"/>
  <c r="AM721" i="2"/>
  <c r="AL721" i="2"/>
  <c r="AK721" i="2"/>
  <c r="AQ721" i="2"/>
  <c r="AJ721" i="2"/>
  <c r="AI721" i="2"/>
  <c r="AO721" i="2" s="1"/>
  <c r="U721" i="2"/>
  <c r="M721" i="2"/>
  <c r="E721" i="2"/>
  <c r="D721" i="2"/>
  <c r="C721" i="2"/>
  <c r="B721" i="2"/>
  <c r="A721" i="2"/>
  <c r="AQ720" i="2"/>
  <c r="AN720" i="2"/>
  <c r="AT720" i="2"/>
  <c r="AM720" i="2"/>
  <c r="AS720" i="2" s="1"/>
  <c r="AA721" i="2" s="1"/>
  <c r="AL720" i="2"/>
  <c r="AR720" i="2" s="1"/>
  <c r="AK720" i="2"/>
  <c r="BC718" i="2" s="1"/>
  <c r="AJ720" i="2"/>
  <c r="AP720" i="2"/>
  <c r="AI720" i="2"/>
  <c r="U720" i="2"/>
  <c r="O720" i="2"/>
  <c r="M720" i="2"/>
  <c r="I720" i="2"/>
  <c r="E720" i="2"/>
  <c r="D720" i="2"/>
  <c r="C720" i="2"/>
  <c r="B720" i="2"/>
  <c r="A720" i="2"/>
  <c r="AS719" i="2"/>
  <c r="AO719" i="2"/>
  <c r="AN719" i="2"/>
  <c r="AT719" i="2" s="1"/>
  <c r="AM719" i="2"/>
  <c r="AL719" i="2"/>
  <c r="AR719" i="2"/>
  <c r="AK719" i="2"/>
  <c r="AQ719" i="2" s="1"/>
  <c r="Y720" i="2" s="1"/>
  <c r="AJ719" i="2"/>
  <c r="AP719" i="2" s="1"/>
  <c r="AI719" i="2"/>
  <c r="U719" i="2"/>
  <c r="M719" i="2"/>
  <c r="E719" i="2"/>
  <c r="D719" i="2"/>
  <c r="C719" i="2"/>
  <c r="B719" i="2"/>
  <c r="A719" i="2"/>
  <c r="BB719" i="2"/>
  <c r="AN718" i="2"/>
  <c r="AT718" i="2" s="1"/>
  <c r="AM718" i="2"/>
  <c r="AS718" i="2" s="1"/>
  <c r="AL718" i="2"/>
  <c r="AR718" i="2" s="1"/>
  <c r="AK718" i="2"/>
  <c r="AQ718" i="2"/>
  <c r="AJ718" i="2"/>
  <c r="AP718" i="2" s="1"/>
  <c r="AI718" i="2"/>
  <c r="U718" i="2"/>
  <c r="M718" i="2"/>
  <c r="I718" i="2"/>
  <c r="E718" i="2"/>
  <c r="D718" i="2"/>
  <c r="C718" i="2"/>
  <c r="B718" i="2"/>
  <c r="A718" i="2"/>
  <c r="AS717" i="2"/>
  <c r="AP717" i="2"/>
  <c r="AN717" i="2"/>
  <c r="AT717" i="2" s="1"/>
  <c r="AM717" i="2"/>
  <c r="AL717" i="2"/>
  <c r="AR717" i="2" s="1"/>
  <c r="AK717" i="2"/>
  <c r="AQ717" i="2"/>
  <c r="AJ717" i="2"/>
  <c r="AI717" i="2"/>
  <c r="AO717" i="2" s="1"/>
  <c r="U717" i="2"/>
  <c r="O717" i="2"/>
  <c r="M717" i="2"/>
  <c r="E717" i="2"/>
  <c r="D717" i="2"/>
  <c r="C717" i="2"/>
  <c r="B717" i="2"/>
  <c r="A717" i="2"/>
  <c r="AN716" i="2"/>
  <c r="AT716" i="2" s="1"/>
  <c r="AM716" i="2"/>
  <c r="AS716" i="2" s="1"/>
  <c r="AL716" i="2"/>
  <c r="AR716" i="2" s="1"/>
  <c r="AK716" i="2"/>
  <c r="AQ716" i="2"/>
  <c r="AJ716" i="2"/>
  <c r="AP716" i="2"/>
  <c r="AI716" i="2"/>
  <c r="U716" i="2"/>
  <c r="M716" i="2"/>
  <c r="I716" i="2"/>
  <c r="E716" i="2"/>
  <c r="D716" i="2"/>
  <c r="C716" i="2"/>
  <c r="B716" i="2"/>
  <c r="A716" i="2"/>
  <c r="U715" i="2"/>
  <c r="U714" i="2"/>
  <c r="O714" i="2"/>
  <c r="I714" i="2"/>
  <c r="U713" i="2"/>
  <c r="Q712" i="2"/>
  <c r="U710" i="2"/>
  <c r="U709" i="2"/>
  <c r="O709" i="2"/>
  <c r="U708" i="2"/>
  <c r="AS707" i="2"/>
  <c r="AQ707" i="2"/>
  <c r="AN707" i="2"/>
  <c r="AT707" i="2" s="1"/>
  <c r="AM707" i="2"/>
  <c r="AL707" i="2"/>
  <c r="AK707" i="2"/>
  <c r="AJ707" i="2"/>
  <c r="AP707" i="2" s="1"/>
  <c r="AI707" i="2"/>
  <c r="AO707" i="2"/>
  <c r="U707" i="2"/>
  <c r="M707" i="2"/>
  <c r="I707" i="2"/>
  <c r="E707" i="2"/>
  <c r="D707" i="2"/>
  <c r="C707" i="2"/>
  <c r="B707" i="2"/>
  <c r="A707" i="2"/>
  <c r="AR706" i="2"/>
  <c r="AN706" i="2"/>
  <c r="AT706" i="2" s="1"/>
  <c r="AM706" i="2"/>
  <c r="AS706" i="2" s="1"/>
  <c r="AL706" i="2"/>
  <c r="AK706" i="2"/>
  <c r="AQ706" i="2" s="1"/>
  <c r="AJ706" i="2"/>
  <c r="AP706" i="2"/>
  <c r="AI706" i="2"/>
  <c r="AY707" i="2" s="1"/>
  <c r="BB706" i="2" s="1"/>
  <c r="U706" i="2"/>
  <c r="O706" i="2"/>
  <c r="M706" i="2"/>
  <c r="E706" i="2"/>
  <c r="D706" i="2"/>
  <c r="C706" i="2"/>
  <c r="B706" i="2"/>
  <c r="A706" i="2"/>
  <c r="AN705" i="2"/>
  <c r="AT705" i="2"/>
  <c r="AM705" i="2"/>
  <c r="AS705" i="2" s="1"/>
  <c r="AL705" i="2"/>
  <c r="AR705" i="2" s="1"/>
  <c r="AK705" i="2"/>
  <c r="AQ705" i="2" s="1"/>
  <c r="AJ705" i="2"/>
  <c r="AP705" i="2" s="1"/>
  <c r="AI705" i="2"/>
  <c r="AO705" i="2" s="1"/>
  <c r="U705" i="2"/>
  <c r="M705" i="2"/>
  <c r="I705" i="2"/>
  <c r="E705" i="2"/>
  <c r="D705" i="2"/>
  <c r="C705" i="2"/>
  <c r="B705" i="2"/>
  <c r="A705" i="2"/>
  <c r="U704" i="2"/>
  <c r="U703" i="2"/>
  <c r="O703" i="2"/>
  <c r="I703" i="2"/>
  <c r="U702" i="2"/>
  <c r="Q701" i="2"/>
  <c r="U699" i="2"/>
  <c r="U698" i="2"/>
  <c r="O698" i="2"/>
  <c r="U697" i="2"/>
  <c r="AN696" i="2"/>
  <c r="AT696" i="2" s="1"/>
  <c r="AM696" i="2"/>
  <c r="AS696" i="2" s="1"/>
  <c r="AL696" i="2"/>
  <c r="AR696" i="2" s="1"/>
  <c r="AK696" i="2"/>
  <c r="AQ696" i="2"/>
  <c r="X695" i="2" s="1"/>
  <c r="AJ696" i="2"/>
  <c r="AP696" i="2" s="1"/>
  <c r="AI696" i="2"/>
  <c r="AO696" i="2" s="1"/>
  <c r="U696" i="2"/>
  <c r="M696" i="2"/>
  <c r="I696" i="2"/>
  <c r="E696" i="2"/>
  <c r="D696" i="2"/>
  <c r="C696" i="2"/>
  <c r="B696" i="2"/>
  <c r="A696" i="2"/>
  <c r="AQ695" i="2"/>
  <c r="AN695" i="2"/>
  <c r="AT695" i="2" s="1"/>
  <c r="AM695" i="2"/>
  <c r="AS695" i="2"/>
  <c r="AL695" i="2"/>
  <c r="AR695" i="2"/>
  <c r="AK695" i="2"/>
  <c r="AJ695" i="2"/>
  <c r="AP695" i="2" s="1"/>
  <c r="BF695" i="2" s="1"/>
  <c r="AI695" i="2"/>
  <c r="U695" i="2"/>
  <c r="O695" i="2"/>
  <c r="M695" i="2"/>
  <c r="E695" i="2"/>
  <c r="D695" i="2"/>
  <c r="C695" i="2"/>
  <c r="B695" i="2"/>
  <c r="A695" i="2"/>
  <c r="AT694" i="2"/>
  <c r="AN694" i="2"/>
  <c r="AM694" i="2"/>
  <c r="AS694" i="2" s="1"/>
  <c r="X699" i="2" s="1"/>
  <c r="AL694" i="2"/>
  <c r="AR694" i="2"/>
  <c r="AK694" i="2"/>
  <c r="AQ694" i="2" s="1"/>
  <c r="AJ694" i="2"/>
  <c r="AP694" i="2" s="1"/>
  <c r="AI694" i="2"/>
  <c r="U694" i="2"/>
  <c r="M694" i="2"/>
  <c r="I694" i="2"/>
  <c r="E694" i="2"/>
  <c r="D694" i="2"/>
  <c r="C694" i="2"/>
  <c r="B694" i="2"/>
  <c r="A694" i="2"/>
  <c r="U693" i="2"/>
  <c r="U692" i="2"/>
  <c r="O692" i="2"/>
  <c r="I692" i="2"/>
  <c r="U691" i="2"/>
  <c r="Q690" i="2"/>
  <c r="U688" i="2"/>
  <c r="U687" i="2"/>
  <c r="O687" i="2"/>
  <c r="U686" i="2"/>
  <c r="AN685" i="2"/>
  <c r="AT685" i="2" s="1"/>
  <c r="AM685" i="2"/>
  <c r="AS685" i="2" s="1"/>
  <c r="AL685" i="2"/>
  <c r="AR685" i="2" s="1"/>
  <c r="AK685" i="2"/>
  <c r="AQ685" i="2" s="1"/>
  <c r="AJ685" i="2"/>
  <c r="AP685" i="2"/>
  <c r="AI685" i="2"/>
  <c r="U685" i="2"/>
  <c r="M685" i="2"/>
  <c r="I685" i="2"/>
  <c r="E685" i="2"/>
  <c r="D685" i="2"/>
  <c r="C685" i="2"/>
  <c r="B685" i="2"/>
  <c r="A685" i="2"/>
  <c r="AQ684" i="2"/>
  <c r="AN684" i="2"/>
  <c r="AT684" i="2" s="1"/>
  <c r="AM684" i="2"/>
  <c r="AS684" i="2"/>
  <c r="AL684" i="2"/>
  <c r="AR684" i="2"/>
  <c r="AK684" i="2"/>
  <c r="AJ684" i="2"/>
  <c r="AP684" i="2" s="1"/>
  <c r="AI684" i="2"/>
  <c r="U684" i="2"/>
  <c r="O684" i="2"/>
  <c r="M684" i="2"/>
  <c r="E684" i="2"/>
  <c r="D684" i="2"/>
  <c r="C684" i="2"/>
  <c r="B684" i="2"/>
  <c r="A684" i="2"/>
  <c r="AN683" i="2"/>
  <c r="AT683" i="2" s="1"/>
  <c r="Z682" i="2" s="1"/>
  <c r="AM683" i="2"/>
  <c r="AS683" i="2"/>
  <c r="X688" i="2" s="1"/>
  <c r="AL683" i="2"/>
  <c r="AR683" i="2" s="1"/>
  <c r="AK683" i="2"/>
  <c r="AQ683" i="2" s="1"/>
  <c r="AJ683" i="2"/>
  <c r="AP683" i="2" s="1"/>
  <c r="AI683" i="2"/>
  <c r="U683" i="2"/>
  <c r="M683" i="2"/>
  <c r="I683" i="2"/>
  <c r="E683" i="2"/>
  <c r="D683" i="2"/>
  <c r="C683" i="2"/>
  <c r="B683" i="2"/>
  <c r="A683" i="2"/>
  <c r="U682" i="2"/>
  <c r="U681" i="2"/>
  <c r="O681" i="2"/>
  <c r="I681" i="2"/>
  <c r="U680" i="2"/>
  <c r="Q679" i="2"/>
  <c r="U677" i="2"/>
  <c r="U676" i="2"/>
  <c r="O676" i="2"/>
  <c r="U675" i="2"/>
  <c r="AN674" i="2"/>
  <c r="AT674" i="2" s="1"/>
  <c r="AM674" i="2"/>
  <c r="AS674" i="2" s="1"/>
  <c r="AL674" i="2"/>
  <c r="AR674" i="2" s="1"/>
  <c r="AK674" i="2"/>
  <c r="AQ674" i="2" s="1"/>
  <c r="AJ674" i="2"/>
  <c r="AP674" i="2"/>
  <c r="AI674" i="2"/>
  <c r="AO674" i="2" s="1"/>
  <c r="U674" i="2"/>
  <c r="M674" i="2"/>
  <c r="I674" i="2"/>
  <c r="E674" i="2"/>
  <c r="D674" i="2"/>
  <c r="C674" i="2"/>
  <c r="B674" i="2"/>
  <c r="A674" i="2"/>
  <c r="AP673" i="2"/>
  <c r="AN673" i="2"/>
  <c r="AT673" i="2" s="1"/>
  <c r="AM673" i="2"/>
  <c r="AS673" i="2"/>
  <c r="Z674" i="2" s="1"/>
  <c r="AL673" i="2"/>
  <c r="AR673" i="2" s="1"/>
  <c r="AK673" i="2"/>
  <c r="AQ673" i="2" s="1"/>
  <c r="AJ673" i="2"/>
  <c r="AI673" i="2"/>
  <c r="AO673" i="2" s="1"/>
  <c r="U673" i="2"/>
  <c r="O673" i="2"/>
  <c r="M673" i="2"/>
  <c r="E673" i="2"/>
  <c r="D673" i="2"/>
  <c r="C673" i="2"/>
  <c r="B673" i="2"/>
  <c r="A673" i="2"/>
  <c r="AQ672" i="2"/>
  <c r="AN672" i="2"/>
  <c r="AT672" i="2" s="1"/>
  <c r="AM672" i="2"/>
  <c r="AS672" i="2"/>
  <c r="AL672" i="2"/>
  <c r="AR672" i="2"/>
  <c r="AK672" i="2"/>
  <c r="AJ672" i="2"/>
  <c r="AP672" i="2" s="1"/>
  <c r="AI672" i="2"/>
  <c r="U672" i="2"/>
  <c r="M672" i="2"/>
  <c r="I672" i="2"/>
  <c r="E672" i="2"/>
  <c r="D672" i="2"/>
  <c r="C672" i="2"/>
  <c r="B672" i="2"/>
  <c r="A672" i="2"/>
  <c r="U671" i="2"/>
  <c r="U670" i="2"/>
  <c r="O670" i="2"/>
  <c r="I670" i="2"/>
  <c r="U669" i="2"/>
  <c r="Q668" i="2"/>
  <c r="U666" i="2"/>
  <c r="U665" i="2"/>
  <c r="O665" i="2"/>
  <c r="U664" i="2"/>
  <c r="AR663" i="2"/>
  <c r="AN663" i="2"/>
  <c r="AT663" i="2" s="1"/>
  <c r="AM663" i="2"/>
  <c r="AS663" i="2" s="1"/>
  <c r="AL663" i="2"/>
  <c r="AK663" i="2"/>
  <c r="AQ663" i="2" s="1"/>
  <c r="Y656" i="2" s="1"/>
  <c r="AJ663" i="2"/>
  <c r="AP663" i="2" s="1"/>
  <c r="AI663" i="2"/>
  <c r="U663" i="2"/>
  <c r="M663" i="2"/>
  <c r="E663" i="2"/>
  <c r="D663" i="2"/>
  <c r="C663" i="2"/>
  <c r="B663" i="2"/>
  <c r="A663" i="2"/>
  <c r="AS662" i="2"/>
  <c r="AN662" i="2"/>
  <c r="AT662" i="2" s="1"/>
  <c r="AM662" i="2"/>
  <c r="AL662" i="2"/>
  <c r="BC660" i="2" s="1"/>
  <c r="BB661" i="2" s="1"/>
  <c r="AK662" i="2"/>
  <c r="AQ662" i="2"/>
  <c r="AJ662" i="2"/>
  <c r="AP662" i="2"/>
  <c r="AI662" i="2"/>
  <c r="AO662" i="2" s="1"/>
  <c r="U662" i="2"/>
  <c r="O662" i="2"/>
  <c r="M662" i="2"/>
  <c r="I662" i="2"/>
  <c r="E662" i="2"/>
  <c r="D662" i="2"/>
  <c r="C662" i="2"/>
  <c r="B662" i="2"/>
  <c r="A662" i="2"/>
  <c r="AN661" i="2"/>
  <c r="AT661" i="2"/>
  <c r="AM661" i="2"/>
  <c r="AS661" i="2"/>
  <c r="AL661" i="2"/>
  <c r="AR661" i="2"/>
  <c r="AK661" i="2"/>
  <c r="AQ661" i="2" s="1"/>
  <c r="Y662" i="2" s="1"/>
  <c r="AJ661" i="2"/>
  <c r="AP661" i="2"/>
  <c r="AI661" i="2"/>
  <c r="AO661" i="2" s="1"/>
  <c r="U661" i="2"/>
  <c r="M661" i="2"/>
  <c r="E661" i="2"/>
  <c r="D661" i="2"/>
  <c r="C661" i="2"/>
  <c r="B661" i="2"/>
  <c r="A661" i="2"/>
  <c r="AO660" i="2"/>
  <c r="AN660" i="2"/>
  <c r="AT660" i="2" s="1"/>
  <c r="AM660" i="2"/>
  <c r="AS660" i="2" s="1"/>
  <c r="AL660" i="2"/>
  <c r="AR660" i="2" s="1"/>
  <c r="AK660" i="2"/>
  <c r="AQ660" i="2" s="1"/>
  <c r="AA656" i="2" s="1"/>
  <c r="AJ660" i="2"/>
  <c r="AP660" i="2" s="1"/>
  <c r="AI660" i="2"/>
  <c r="AW661" i="2" s="1"/>
  <c r="U660" i="2"/>
  <c r="M660" i="2"/>
  <c r="I660" i="2"/>
  <c r="E660" i="2"/>
  <c r="D660" i="2"/>
  <c r="C660" i="2"/>
  <c r="B660" i="2"/>
  <c r="A660" i="2"/>
  <c r="AT659" i="2"/>
  <c r="AO659" i="2"/>
  <c r="AN659" i="2"/>
  <c r="AM659" i="2"/>
  <c r="AS659" i="2" s="1"/>
  <c r="AL659" i="2"/>
  <c r="AR659" i="2"/>
  <c r="AK659" i="2"/>
  <c r="AJ659" i="2"/>
  <c r="AP659" i="2" s="1"/>
  <c r="AI659" i="2"/>
  <c r="U659" i="2"/>
  <c r="O659" i="2"/>
  <c r="M659" i="2"/>
  <c r="E659" i="2"/>
  <c r="D659" i="2"/>
  <c r="C659" i="2"/>
  <c r="B659" i="2"/>
  <c r="A659" i="2"/>
  <c r="BC658" i="2"/>
  <c r="AX661" i="2" s="1"/>
  <c r="AT658" i="2"/>
  <c r="AR658" i="2"/>
  <c r="AN658" i="2"/>
  <c r="AM658" i="2"/>
  <c r="AS658" i="2" s="1"/>
  <c r="X663" i="2" s="1"/>
  <c r="AL658" i="2"/>
  <c r="AK658" i="2"/>
  <c r="AJ658" i="2"/>
  <c r="AP658" i="2" s="1"/>
  <c r="AI658" i="2"/>
  <c r="AO658" i="2" s="1"/>
  <c r="U658" i="2"/>
  <c r="M658" i="2"/>
  <c r="I658" i="2"/>
  <c r="E658" i="2"/>
  <c r="D658" i="2"/>
  <c r="C658" i="2"/>
  <c r="B658" i="2"/>
  <c r="A658" i="2"/>
  <c r="U657" i="2"/>
  <c r="U656" i="2"/>
  <c r="O656" i="2"/>
  <c r="I656" i="2"/>
  <c r="U655" i="2"/>
  <c r="Q654" i="2"/>
  <c r="T652" i="2"/>
  <c r="X649" i="2"/>
  <c r="P649" i="2"/>
  <c r="M648" i="2"/>
  <c r="L648" i="2"/>
  <c r="A648" i="2"/>
  <c r="AA647" i="2"/>
  <c r="P647" i="2"/>
  <c r="O647" i="2"/>
  <c r="T647" i="2" s="1"/>
  <c r="AA646" i="2"/>
  <c r="M646" i="2"/>
  <c r="A646" i="2"/>
  <c r="G646" i="2" s="1"/>
  <c r="E642" i="2" s="1"/>
  <c r="AA645" i="2"/>
  <c r="X645" i="2"/>
  <c r="P645" i="2"/>
  <c r="X644" i="2"/>
  <c r="M644" i="2"/>
  <c r="A644" i="2"/>
  <c r="G644" i="2" s="1"/>
  <c r="C646" i="2" s="1"/>
  <c r="AD643" i="2"/>
  <c r="X643" i="2"/>
  <c r="P643" i="2"/>
  <c r="AD642" i="2"/>
  <c r="M642" i="2"/>
  <c r="A642" i="2"/>
  <c r="AD641" i="2"/>
  <c r="X641" i="2"/>
  <c r="P641" i="2"/>
  <c r="X640" i="2"/>
  <c r="M640" i="2"/>
  <c r="A640" i="2"/>
  <c r="G640" i="2"/>
  <c r="E638" i="2" s="1"/>
  <c r="AA639" i="2"/>
  <c r="X639" i="2"/>
  <c r="P639" i="2"/>
  <c r="AA638" i="2"/>
  <c r="M638" i="2"/>
  <c r="A638" i="2"/>
  <c r="G638" i="2" s="1"/>
  <c r="C642" i="2" s="1"/>
  <c r="AA637" i="2"/>
  <c r="X637" i="2"/>
  <c r="P637" i="2"/>
  <c r="O637" i="2" s="1"/>
  <c r="M636" i="2"/>
  <c r="A636" i="2"/>
  <c r="L636" i="2" s="1"/>
  <c r="P635" i="2"/>
  <c r="O635" i="2" s="1"/>
  <c r="U630" i="2"/>
  <c r="U629" i="2"/>
  <c r="O629" i="2"/>
  <c r="U628" i="2"/>
  <c r="AR627" i="2"/>
  <c r="AP627" i="2"/>
  <c r="AN627" i="2"/>
  <c r="AT627" i="2" s="1"/>
  <c r="AM627" i="2"/>
  <c r="AS627" i="2" s="1"/>
  <c r="AL627" i="2"/>
  <c r="AK627" i="2"/>
  <c r="AQ627" i="2" s="1"/>
  <c r="AJ627" i="2"/>
  <c r="AI627" i="2"/>
  <c r="AO627" i="2" s="1"/>
  <c r="U627" i="2"/>
  <c r="M627" i="2"/>
  <c r="I627" i="2"/>
  <c r="E627" i="2"/>
  <c r="D627" i="2"/>
  <c r="C627" i="2"/>
  <c r="B627" i="2"/>
  <c r="A627" i="2"/>
  <c r="AW626" i="2"/>
  <c r="AN626" i="2"/>
  <c r="AT626" i="2"/>
  <c r="AM626" i="2"/>
  <c r="AS626" i="2" s="1"/>
  <c r="AL626" i="2"/>
  <c r="AR626" i="2" s="1"/>
  <c r="AK626" i="2"/>
  <c r="AQ626" i="2"/>
  <c r="AJ626" i="2"/>
  <c r="AP626" i="2" s="1"/>
  <c r="AI626" i="2"/>
  <c r="AY627" i="2" s="1"/>
  <c r="BB626" i="2" s="1"/>
  <c r="U626" i="2"/>
  <c r="O626" i="2"/>
  <c r="M626" i="2"/>
  <c r="E626" i="2"/>
  <c r="D626" i="2"/>
  <c r="C626" i="2"/>
  <c r="B626" i="2"/>
  <c r="A626" i="2"/>
  <c r="AT625" i="2"/>
  <c r="AN625" i="2"/>
  <c r="AM625" i="2"/>
  <c r="AS625" i="2" s="1"/>
  <c r="AL625" i="2"/>
  <c r="AR625" i="2"/>
  <c r="AK625" i="2"/>
  <c r="AQ625" i="2"/>
  <c r="AJ625" i="2"/>
  <c r="AI625" i="2"/>
  <c r="AO625" i="2" s="1"/>
  <c r="U625" i="2"/>
  <c r="M625" i="2"/>
  <c r="I625" i="2"/>
  <c r="E625" i="2"/>
  <c r="D625" i="2"/>
  <c r="C625" i="2"/>
  <c r="B625" i="2"/>
  <c r="A625" i="2"/>
  <c r="U624" i="2"/>
  <c r="U623" i="2"/>
  <c r="O623" i="2"/>
  <c r="I623" i="2"/>
  <c r="U622" i="2"/>
  <c r="Q621" i="2"/>
  <c r="U619" i="2"/>
  <c r="U618" i="2"/>
  <c r="O618" i="2"/>
  <c r="U617" i="2"/>
  <c r="AQ616" i="2"/>
  <c r="AN616" i="2"/>
  <c r="AT616" i="2" s="1"/>
  <c r="AM616" i="2"/>
  <c r="AS616" i="2" s="1"/>
  <c r="Y613" i="2" s="1"/>
  <c r="AL616" i="2"/>
  <c r="AK616" i="2"/>
  <c r="AJ616" i="2"/>
  <c r="AP616" i="2" s="1"/>
  <c r="Y611" i="2" s="1"/>
  <c r="AI616" i="2"/>
  <c r="AO616" i="2"/>
  <c r="U616" i="2"/>
  <c r="M616" i="2"/>
  <c r="I616" i="2"/>
  <c r="E616" i="2"/>
  <c r="D616" i="2"/>
  <c r="C616" i="2"/>
  <c r="B616" i="2"/>
  <c r="A616" i="2"/>
  <c r="AN615" i="2"/>
  <c r="AT615" i="2" s="1"/>
  <c r="AM615" i="2"/>
  <c r="AS615" i="2" s="1"/>
  <c r="AL615" i="2"/>
  <c r="AR615" i="2" s="1"/>
  <c r="AK615" i="2"/>
  <c r="AQ615" i="2" s="1"/>
  <c r="AJ615" i="2"/>
  <c r="AI615" i="2"/>
  <c r="AO615" i="2" s="1"/>
  <c r="U615" i="2"/>
  <c r="O615" i="2"/>
  <c r="M615" i="2"/>
  <c r="E615" i="2"/>
  <c r="D615" i="2"/>
  <c r="C615" i="2"/>
  <c r="B615" i="2"/>
  <c r="A615" i="2"/>
  <c r="AP614" i="2"/>
  <c r="AN614" i="2"/>
  <c r="AT614" i="2" s="1"/>
  <c r="AM614" i="2"/>
  <c r="AS614" i="2" s="1"/>
  <c r="AL614" i="2"/>
  <c r="AR614" i="2" s="1"/>
  <c r="AK614" i="2"/>
  <c r="AQ614" i="2"/>
  <c r="Z612" i="2" s="1"/>
  <c r="AJ614" i="2"/>
  <c r="AI614" i="2"/>
  <c r="AO614" i="2" s="1"/>
  <c r="U614" i="2"/>
  <c r="M614" i="2"/>
  <c r="I614" i="2"/>
  <c r="E614" i="2"/>
  <c r="D614" i="2"/>
  <c r="C614" i="2"/>
  <c r="B614" i="2"/>
  <c r="A614" i="2"/>
  <c r="U613" i="2"/>
  <c r="U612" i="2"/>
  <c r="O612" i="2"/>
  <c r="I612" i="2"/>
  <c r="U611" i="2"/>
  <c r="Q610" i="2"/>
  <c r="U608" i="2"/>
  <c r="U607" i="2"/>
  <c r="O607" i="2"/>
  <c r="U606" i="2"/>
  <c r="AR605" i="2"/>
  <c r="AN605" i="2"/>
  <c r="AT605" i="2" s="1"/>
  <c r="AM605" i="2"/>
  <c r="AS605" i="2"/>
  <c r="AL605" i="2"/>
  <c r="AK605" i="2"/>
  <c r="AQ605" i="2" s="1"/>
  <c r="AJ605" i="2"/>
  <c r="AI605" i="2"/>
  <c r="AO605" i="2" s="1"/>
  <c r="U605" i="2"/>
  <c r="M605" i="2"/>
  <c r="I605" i="2"/>
  <c r="E605" i="2"/>
  <c r="D605" i="2"/>
  <c r="C605" i="2"/>
  <c r="B605" i="2"/>
  <c r="A605" i="2"/>
  <c r="AR604" i="2"/>
  <c r="AO604" i="2"/>
  <c r="AN604" i="2"/>
  <c r="AT604" i="2"/>
  <c r="AM604" i="2"/>
  <c r="AS604" i="2" s="1"/>
  <c r="AL604" i="2"/>
  <c r="AK604" i="2"/>
  <c r="AQ604" i="2" s="1"/>
  <c r="Z604" i="2" s="1"/>
  <c r="AJ604" i="2"/>
  <c r="AI604" i="2"/>
  <c r="U604" i="2"/>
  <c r="O604" i="2"/>
  <c r="M604" i="2"/>
  <c r="E604" i="2"/>
  <c r="D604" i="2"/>
  <c r="C604" i="2"/>
  <c r="B604" i="2"/>
  <c r="A604" i="2"/>
  <c r="AS603" i="2"/>
  <c r="AN603" i="2"/>
  <c r="AT603" i="2"/>
  <c r="AM603" i="2"/>
  <c r="AL603" i="2"/>
  <c r="AR603" i="2" s="1"/>
  <c r="AK603" i="2"/>
  <c r="AQ603" i="2"/>
  <c r="Z601" i="2" s="1"/>
  <c r="AJ603" i="2"/>
  <c r="AP603" i="2" s="1"/>
  <c r="AI603" i="2"/>
  <c r="AO603" i="2" s="1"/>
  <c r="U603" i="2"/>
  <c r="M603" i="2"/>
  <c r="I603" i="2"/>
  <c r="E603" i="2"/>
  <c r="D603" i="2"/>
  <c r="C603" i="2"/>
  <c r="B603" i="2"/>
  <c r="A603" i="2"/>
  <c r="U602" i="2"/>
  <c r="U601" i="2"/>
  <c r="O601" i="2"/>
  <c r="I601" i="2"/>
  <c r="U600" i="2"/>
  <c r="Q599" i="2"/>
  <c r="U597" i="2"/>
  <c r="U596" i="2"/>
  <c r="O596" i="2"/>
  <c r="U595" i="2"/>
  <c r="AP594" i="2"/>
  <c r="AN594" i="2"/>
  <c r="AT594" i="2" s="1"/>
  <c r="AM594" i="2"/>
  <c r="AS594" i="2" s="1"/>
  <c r="Y591" i="2" s="1"/>
  <c r="AL594" i="2"/>
  <c r="AR594" i="2" s="1"/>
  <c r="AK594" i="2"/>
  <c r="AQ594" i="2" s="1"/>
  <c r="AJ594" i="2"/>
  <c r="AI594" i="2"/>
  <c r="AO594" i="2" s="1"/>
  <c r="Y589" i="2" s="1"/>
  <c r="U594" i="2"/>
  <c r="M594" i="2"/>
  <c r="I594" i="2"/>
  <c r="E594" i="2"/>
  <c r="D594" i="2"/>
  <c r="C594" i="2"/>
  <c r="B594" i="2"/>
  <c r="A594" i="2"/>
  <c r="AW593" i="2"/>
  <c r="AN593" i="2"/>
  <c r="AT593" i="2" s="1"/>
  <c r="AM593" i="2"/>
  <c r="AS593" i="2" s="1"/>
  <c r="AL593" i="2"/>
  <c r="AR593" i="2"/>
  <c r="AK593" i="2"/>
  <c r="AQ593" i="2"/>
  <c r="AJ593" i="2"/>
  <c r="AI593" i="2"/>
  <c r="AY594" i="2" s="1"/>
  <c r="BB593" i="2" s="1"/>
  <c r="U593" i="2"/>
  <c r="O593" i="2"/>
  <c r="M593" i="2"/>
  <c r="E593" i="2"/>
  <c r="D593" i="2"/>
  <c r="C593" i="2"/>
  <c r="B593" i="2"/>
  <c r="A593" i="2"/>
  <c r="AY592" i="2"/>
  <c r="AN592" i="2"/>
  <c r="AT592" i="2"/>
  <c r="AM592" i="2"/>
  <c r="AS592" i="2" s="1"/>
  <c r="AL592" i="2"/>
  <c r="AR592" i="2"/>
  <c r="AK592" i="2"/>
  <c r="AQ592" i="2"/>
  <c r="Z590" i="2" s="1"/>
  <c r="AJ592" i="2"/>
  <c r="AI592" i="2"/>
  <c r="AW594" i="2" s="1"/>
  <c r="U592" i="2"/>
  <c r="M592" i="2"/>
  <c r="I592" i="2"/>
  <c r="E592" i="2"/>
  <c r="D592" i="2"/>
  <c r="C592" i="2"/>
  <c r="B592" i="2"/>
  <c r="A592" i="2"/>
  <c r="U591" i="2"/>
  <c r="U590" i="2"/>
  <c r="O590" i="2"/>
  <c r="I590" i="2"/>
  <c r="U589" i="2"/>
  <c r="Q588" i="2"/>
  <c r="U586" i="2"/>
  <c r="U585" i="2"/>
  <c r="O585" i="2"/>
  <c r="U584" i="2"/>
  <c r="AP583" i="2"/>
  <c r="AN583" i="2"/>
  <c r="AT583" i="2"/>
  <c r="AM583" i="2"/>
  <c r="AS583" i="2"/>
  <c r="AL583" i="2"/>
  <c r="AR583" i="2" s="1"/>
  <c r="AK583" i="2"/>
  <c r="AQ583" i="2" s="1"/>
  <c r="AJ583" i="2"/>
  <c r="AI583" i="2"/>
  <c r="AY581" i="2" s="1"/>
  <c r="U583" i="2"/>
  <c r="M583" i="2"/>
  <c r="I583" i="2"/>
  <c r="E583" i="2"/>
  <c r="D583" i="2"/>
  <c r="C583" i="2"/>
  <c r="B583" i="2"/>
  <c r="A583" i="2"/>
  <c r="AN582" i="2"/>
  <c r="AT582" i="2"/>
  <c r="AM582" i="2"/>
  <c r="AS582" i="2" s="1"/>
  <c r="AL582" i="2"/>
  <c r="AK582" i="2"/>
  <c r="AQ582" i="2"/>
  <c r="AJ582" i="2"/>
  <c r="AP582" i="2" s="1"/>
  <c r="AI582" i="2"/>
  <c r="AO582" i="2" s="1"/>
  <c r="BE582" i="2" s="1"/>
  <c r="U582" i="2"/>
  <c r="O582" i="2"/>
  <c r="M582" i="2"/>
  <c r="E582" i="2"/>
  <c r="D582" i="2"/>
  <c r="C582" i="2"/>
  <c r="B582" i="2"/>
  <c r="A582" i="2"/>
  <c r="AN581" i="2"/>
  <c r="AT581" i="2" s="1"/>
  <c r="AM581" i="2"/>
  <c r="AS581" i="2" s="1"/>
  <c r="AL581" i="2"/>
  <c r="AK581" i="2"/>
  <c r="AQ581" i="2" s="1"/>
  <c r="AJ581" i="2"/>
  <c r="AP581" i="2" s="1"/>
  <c r="AI581" i="2"/>
  <c r="AO581" i="2" s="1"/>
  <c r="U581" i="2"/>
  <c r="M581" i="2"/>
  <c r="I581" i="2"/>
  <c r="E581" i="2"/>
  <c r="D581" i="2"/>
  <c r="C581" i="2"/>
  <c r="B581" i="2"/>
  <c r="A581" i="2"/>
  <c r="U580" i="2"/>
  <c r="U579" i="2"/>
  <c r="O579" i="2"/>
  <c r="I579" i="2"/>
  <c r="U578" i="2"/>
  <c r="Q577" i="2"/>
  <c r="U575" i="2"/>
  <c r="U574" i="2"/>
  <c r="O574" i="2"/>
  <c r="U573" i="2"/>
  <c r="AR572" i="2"/>
  <c r="AN572" i="2"/>
  <c r="AT572" i="2" s="1"/>
  <c r="AM572" i="2"/>
  <c r="AS572" i="2"/>
  <c r="AL572" i="2"/>
  <c r="AK572" i="2"/>
  <c r="AQ572" i="2" s="1"/>
  <c r="AJ572" i="2"/>
  <c r="AP572" i="2" s="1"/>
  <c r="AI572" i="2"/>
  <c r="U572" i="2"/>
  <c r="M572" i="2"/>
  <c r="I572" i="2"/>
  <c r="E572" i="2"/>
  <c r="D572" i="2"/>
  <c r="C572" i="2"/>
  <c r="B572" i="2"/>
  <c r="A572" i="2"/>
  <c r="AP571" i="2"/>
  <c r="AN571" i="2"/>
  <c r="AT571" i="2" s="1"/>
  <c r="AM571" i="2"/>
  <c r="AS571" i="2" s="1"/>
  <c r="AL571" i="2"/>
  <c r="AK571" i="2"/>
  <c r="AQ571" i="2" s="1"/>
  <c r="AJ571" i="2"/>
  <c r="AI571" i="2"/>
  <c r="AO571" i="2" s="1"/>
  <c r="BE571" i="2" s="1"/>
  <c r="U571" i="2"/>
  <c r="O571" i="2"/>
  <c r="M571" i="2"/>
  <c r="E571" i="2"/>
  <c r="D571" i="2"/>
  <c r="C571" i="2"/>
  <c r="B571" i="2"/>
  <c r="A571" i="2"/>
  <c r="AN570" i="2"/>
  <c r="AT570" i="2"/>
  <c r="AM570" i="2"/>
  <c r="AS570" i="2" s="1"/>
  <c r="Z569" i="2" s="1"/>
  <c r="AL570" i="2"/>
  <c r="AK570" i="2"/>
  <c r="AQ570" i="2"/>
  <c r="AJ570" i="2"/>
  <c r="AP570" i="2" s="1"/>
  <c r="AI570" i="2"/>
  <c r="AO570" i="2" s="1"/>
  <c r="U570" i="2"/>
  <c r="M570" i="2"/>
  <c r="I570" i="2"/>
  <c r="E570" i="2"/>
  <c r="D570" i="2"/>
  <c r="C570" i="2"/>
  <c r="B570" i="2"/>
  <c r="A570" i="2"/>
  <c r="U569" i="2"/>
  <c r="U568" i="2"/>
  <c r="O568" i="2"/>
  <c r="I568" i="2"/>
  <c r="U567" i="2"/>
  <c r="Q566" i="2"/>
  <c r="T564" i="2"/>
  <c r="X562" i="2"/>
  <c r="P562" i="2"/>
  <c r="P561" i="2"/>
  <c r="O561" i="2"/>
  <c r="T561" i="2" s="1"/>
  <c r="M561" i="2"/>
  <c r="B561" i="2"/>
  <c r="A561" i="2"/>
  <c r="H561" i="2" s="1"/>
  <c r="AA560" i="2"/>
  <c r="AA559" i="2"/>
  <c r="M559" i="2"/>
  <c r="A559" i="2"/>
  <c r="X558" i="2"/>
  <c r="P558" i="2"/>
  <c r="X557" i="2"/>
  <c r="P557" i="2"/>
  <c r="M557" i="2"/>
  <c r="A557" i="2"/>
  <c r="AD556" i="2"/>
  <c r="AD555" i="2"/>
  <c r="M555" i="2"/>
  <c r="A555" i="2"/>
  <c r="F555" i="2" s="1"/>
  <c r="D547" i="2" s="1"/>
  <c r="H555" i="2"/>
  <c r="X554" i="2"/>
  <c r="P554" i="2"/>
  <c r="X553" i="2"/>
  <c r="P553" i="2"/>
  <c r="M553" i="2"/>
  <c r="H553" i="2"/>
  <c r="A553" i="2"/>
  <c r="F553" i="2"/>
  <c r="D551" i="2" s="1"/>
  <c r="AA552" i="2"/>
  <c r="AA551" i="2"/>
  <c r="M551" i="2"/>
  <c r="F551" i="2"/>
  <c r="B555" i="2" s="1"/>
  <c r="A551" i="2"/>
  <c r="H551" i="2" s="1"/>
  <c r="X550" i="2"/>
  <c r="P550" i="2"/>
  <c r="X549" i="2"/>
  <c r="P549" i="2"/>
  <c r="M549" i="2"/>
  <c r="A549" i="2"/>
  <c r="M547" i="2"/>
  <c r="A547" i="2"/>
  <c r="X546" i="2"/>
  <c r="P546" i="2"/>
  <c r="X545" i="2"/>
  <c r="P545" i="2"/>
  <c r="M545" i="2"/>
  <c r="H545" i="2"/>
  <c r="A545" i="2"/>
  <c r="F545" i="2" s="1"/>
  <c r="D543" i="2" s="1"/>
  <c r="AA544" i="2"/>
  <c r="AA543" i="2"/>
  <c r="M543" i="2"/>
  <c r="A543" i="2"/>
  <c r="H543" i="2" s="1"/>
  <c r="X542" i="2"/>
  <c r="P542" i="2"/>
  <c r="X541" i="2"/>
  <c r="P541" i="2"/>
  <c r="M541" i="2"/>
  <c r="A541" i="2"/>
  <c r="AD540" i="2"/>
  <c r="AD539" i="2"/>
  <c r="M539" i="2"/>
  <c r="A539" i="2"/>
  <c r="F539" i="2" s="1"/>
  <c r="B547" i="2" s="1"/>
  <c r="X538" i="2"/>
  <c r="P538" i="2"/>
  <c r="X537" i="2"/>
  <c r="P537" i="2"/>
  <c r="O537" i="2" s="1"/>
  <c r="M537" i="2"/>
  <c r="A537" i="2"/>
  <c r="F537" i="2" s="1"/>
  <c r="D535" i="2" s="1"/>
  <c r="AA536" i="2"/>
  <c r="AA535" i="2"/>
  <c r="M535" i="2"/>
  <c r="H535" i="2"/>
  <c r="A535" i="2"/>
  <c r="F535" i="2" s="1"/>
  <c r="B539" i="2" s="1"/>
  <c r="X534" i="2"/>
  <c r="P534" i="2"/>
  <c r="O534" i="2"/>
  <c r="Q534" i="2" s="1"/>
  <c r="P533" i="2"/>
  <c r="O533" i="2"/>
  <c r="Q533" i="2" s="1"/>
  <c r="M533" i="2"/>
  <c r="A533" i="2"/>
  <c r="U528" i="2"/>
  <c r="U527" i="2"/>
  <c r="O527" i="2"/>
  <c r="U526" i="2"/>
  <c r="AS525" i="2"/>
  <c r="Y522" i="2" s="1"/>
  <c r="AO525" i="2"/>
  <c r="AN525" i="2"/>
  <c r="AT525" i="2"/>
  <c r="AM525" i="2"/>
  <c r="AL525" i="2"/>
  <c r="AR525" i="2" s="1"/>
  <c r="AK525" i="2"/>
  <c r="AQ525" i="2" s="1"/>
  <c r="AJ525" i="2"/>
  <c r="AP525" i="2" s="1"/>
  <c r="AI525" i="2"/>
  <c r="AY523" i="2" s="1"/>
  <c r="U525" i="2"/>
  <c r="M525" i="2"/>
  <c r="I525" i="2"/>
  <c r="E525" i="2"/>
  <c r="D525" i="2"/>
  <c r="C525" i="2"/>
  <c r="B525" i="2"/>
  <c r="A525" i="2"/>
  <c r="AW524" i="2"/>
  <c r="BG524" i="2" s="1"/>
  <c r="AQ524" i="2"/>
  <c r="AN524" i="2"/>
  <c r="AT524" i="2"/>
  <c r="AM524" i="2"/>
  <c r="AS524" i="2"/>
  <c r="Y528" i="2" s="1"/>
  <c r="AL524" i="2"/>
  <c r="AK524" i="2"/>
  <c r="AJ524" i="2"/>
  <c r="AP524" i="2" s="1"/>
  <c r="AI524" i="2"/>
  <c r="BA524" i="2" s="1"/>
  <c r="AZ525" i="2" s="1"/>
  <c r="U524" i="2"/>
  <c r="O524" i="2"/>
  <c r="M524" i="2"/>
  <c r="E524" i="2"/>
  <c r="D524" i="2"/>
  <c r="C524" i="2"/>
  <c r="B524" i="2"/>
  <c r="A524" i="2"/>
  <c r="AQ523" i="2"/>
  <c r="X527" i="2" s="1"/>
  <c r="AN523" i="2"/>
  <c r="AT523" i="2" s="1"/>
  <c r="AM523" i="2"/>
  <c r="AS523" i="2"/>
  <c r="AL523" i="2"/>
  <c r="AR523" i="2"/>
  <c r="AK523" i="2"/>
  <c r="AJ523" i="2"/>
  <c r="AP523" i="2" s="1"/>
  <c r="AI523" i="2"/>
  <c r="AW525" i="2" s="1"/>
  <c r="BB523" i="2" s="1"/>
  <c r="AO523" i="2"/>
  <c r="BE523" i="2" s="1"/>
  <c r="U523" i="2"/>
  <c r="M523" i="2"/>
  <c r="I523" i="2"/>
  <c r="E523" i="2"/>
  <c r="D523" i="2"/>
  <c r="C523" i="2"/>
  <c r="B523" i="2"/>
  <c r="A523" i="2"/>
  <c r="U522" i="2"/>
  <c r="U521" i="2"/>
  <c r="O521" i="2"/>
  <c r="I521" i="2"/>
  <c r="U520" i="2"/>
  <c r="Q519" i="2"/>
  <c r="U517" i="2"/>
  <c r="U516" i="2"/>
  <c r="O516" i="2"/>
  <c r="U515" i="2"/>
  <c r="AR514" i="2"/>
  <c r="AN514" i="2"/>
  <c r="AT514" i="2" s="1"/>
  <c r="AM514" i="2"/>
  <c r="AS514" i="2" s="1"/>
  <c r="AL514" i="2"/>
  <c r="AK514" i="2"/>
  <c r="AQ514" i="2" s="1"/>
  <c r="AJ514" i="2"/>
  <c r="AI514" i="2"/>
  <c r="AO514" i="2" s="1"/>
  <c r="U514" i="2"/>
  <c r="M514" i="2"/>
  <c r="I514" i="2"/>
  <c r="E514" i="2"/>
  <c r="D514" i="2"/>
  <c r="C514" i="2"/>
  <c r="B514" i="2"/>
  <c r="A514" i="2"/>
  <c r="AN513" i="2"/>
  <c r="AT513" i="2" s="1"/>
  <c r="AM513" i="2"/>
  <c r="AS513" i="2"/>
  <c r="AL513" i="2"/>
  <c r="AR513" i="2" s="1"/>
  <c r="AK513" i="2"/>
  <c r="AQ513" i="2" s="1"/>
  <c r="AJ513" i="2"/>
  <c r="AP513" i="2"/>
  <c r="AI513" i="2"/>
  <c r="U513" i="2"/>
  <c r="O513" i="2"/>
  <c r="M513" i="2"/>
  <c r="E513" i="2"/>
  <c r="D513" i="2"/>
  <c r="C513" i="2"/>
  <c r="B513" i="2"/>
  <c r="A513" i="2"/>
  <c r="AY512" i="2"/>
  <c r="AN512" i="2"/>
  <c r="AT512" i="2"/>
  <c r="AM512" i="2"/>
  <c r="AS512" i="2"/>
  <c r="AL512" i="2"/>
  <c r="AR512" i="2"/>
  <c r="AK512" i="2"/>
  <c r="AQ512" i="2" s="1"/>
  <c r="AJ512" i="2"/>
  <c r="AP512" i="2" s="1"/>
  <c r="AI512" i="2"/>
  <c r="AO512" i="2"/>
  <c r="U512" i="2"/>
  <c r="M512" i="2"/>
  <c r="I512" i="2"/>
  <c r="E512" i="2"/>
  <c r="D512" i="2"/>
  <c r="C512" i="2"/>
  <c r="B512" i="2"/>
  <c r="A512" i="2"/>
  <c r="U511" i="2"/>
  <c r="U510" i="2"/>
  <c r="O510" i="2"/>
  <c r="I510" i="2"/>
  <c r="U509" i="2"/>
  <c r="Q508" i="2"/>
  <c r="U506" i="2"/>
  <c r="U505" i="2"/>
  <c r="O505" i="2"/>
  <c r="U504" i="2"/>
  <c r="AN503" i="2"/>
  <c r="AT503" i="2" s="1"/>
  <c r="AM503" i="2"/>
  <c r="AS503" i="2" s="1"/>
  <c r="AL503" i="2"/>
  <c r="AR503" i="2"/>
  <c r="AK503" i="2"/>
  <c r="AQ503" i="2"/>
  <c r="AJ503" i="2"/>
  <c r="AI503" i="2"/>
  <c r="AO503" i="2" s="1"/>
  <c r="U503" i="2"/>
  <c r="M503" i="2"/>
  <c r="I503" i="2"/>
  <c r="E503" i="2"/>
  <c r="D503" i="2"/>
  <c r="C503" i="2"/>
  <c r="B503" i="2"/>
  <c r="A503" i="2"/>
  <c r="AN502" i="2"/>
  <c r="AT502" i="2"/>
  <c r="AM502" i="2"/>
  <c r="AS502" i="2"/>
  <c r="AL502" i="2"/>
  <c r="AR502" i="2"/>
  <c r="AK502" i="2"/>
  <c r="AQ502" i="2" s="1"/>
  <c r="Z502" i="2" s="1"/>
  <c r="AJ502" i="2"/>
  <c r="AP502" i="2"/>
  <c r="AI502" i="2"/>
  <c r="AO502" i="2"/>
  <c r="U502" i="2"/>
  <c r="O502" i="2"/>
  <c r="M502" i="2"/>
  <c r="E502" i="2"/>
  <c r="D502" i="2"/>
  <c r="C502" i="2"/>
  <c r="B502" i="2"/>
  <c r="A502" i="2"/>
  <c r="AN501" i="2"/>
  <c r="AT501" i="2" s="1"/>
  <c r="AM501" i="2"/>
  <c r="AS501" i="2"/>
  <c r="X506" i="2" s="1"/>
  <c r="AL501" i="2"/>
  <c r="AR501" i="2"/>
  <c r="AK501" i="2"/>
  <c r="AQ501" i="2" s="1"/>
  <c r="Z499" i="2" s="1"/>
  <c r="AJ501" i="2"/>
  <c r="AP501" i="2"/>
  <c r="AI501" i="2"/>
  <c r="BA501" i="2" s="1"/>
  <c r="AX503" i="2" s="1"/>
  <c r="U501" i="2"/>
  <c r="M501" i="2"/>
  <c r="I501" i="2"/>
  <c r="E501" i="2"/>
  <c r="D501" i="2"/>
  <c r="C501" i="2"/>
  <c r="B501" i="2"/>
  <c r="A501" i="2"/>
  <c r="U500" i="2"/>
  <c r="U499" i="2"/>
  <c r="O499" i="2"/>
  <c r="I499" i="2"/>
  <c r="U498" i="2"/>
  <c r="Q497" i="2"/>
  <c r="U495" i="2"/>
  <c r="U494" i="2"/>
  <c r="O494" i="2"/>
  <c r="U493" i="2"/>
  <c r="AO492" i="2"/>
  <c r="AN492" i="2"/>
  <c r="AT492" i="2" s="1"/>
  <c r="AM492" i="2"/>
  <c r="AS492" i="2" s="1"/>
  <c r="AL492" i="2"/>
  <c r="AR492" i="2"/>
  <c r="AK492" i="2"/>
  <c r="AJ492" i="2"/>
  <c r="AP492" i="2" s="1"/>
  <c r="AI492" i="2"/>
  <c r="U492" i="2"/>
  <c r="M492" i="2"/>
  <c r="I492" i="2"/>
  <c r="E492" i="2"/>
  <c r="D492" i="2"/>
  <c r="C492" i="2"/>
  <c r="B492" i="2"/>
  <c r="A492" i="2"/>
  <c r="AW491" i="2"/>
  <c r="AP491" i="2"/>
  <c r="AN491" i="2"/>
  <c r="AT491" i="2"/>
  <c r="AM491" i="2"/>
  <c r="AS491" i="2" s="1"/>
  <c r="AL491" i="2"/>
  <c r="AR491" i="2" s="1"/>
  <c r="AK491" i="2"/>
  <c r="AQ491" i="2" s="1"/>
  <c r="Z491" i="2" s="1"/>
  <c r="AJ491" i="2"/>
  <c r="AI491" i="2"/>
  <c r="AO491" i="2" s="1"/>
  <c r="Z490" i="2" s="1"/>
  <c r="U491" i="2"/>
  <c r="O491" i="2"/>
  <c r="M491" i="2"/>
  <c r="E491" i="2"/>
  <c r="D491" i="2"/>
  <c r="C491" i="2"/>
  <c r="B491" i="2"/>
  <c r="A491" i="2"/>
  <c r="AN490" i="2"/>
  <c r="AT490" i="2" s="1"/>
  <c r="AM490" i="2"/>
  <c r="AS490" i="2" s="1"/>
  <c r="AL490" i="2"/>
  <c r="AR490" i="2" s="1"/>
  <c r="AK490" i="2"/>
  <c r="AQ490" i="2" s="1"/>
  <c r="AJ490" i="2"/>
  <c r="AI490" i="2"/>
  <c r="AO490" i="2"/>
  <c r="U490" i="2"/>
  <c r="M490" i="2"/>
  <c r="I490" i="2"/>
  <c r="E490" i="2"/>
  <c r="D490" i="2"/>
  <c r="C490" i="2"/>
  <c r="B490" i="2"/>
  <c r="A490" i="2"/>
  <c r="U489" i="2"/>
  <c r="U488" i="2"/>
  <c r="O488" i="2"/>
  <c r="I488" i="2"/>
  <c r="U487" i="2"/>
  <c r="Q486" i="2"/>
  <c r="U484" i="2"/>
  <c r="U483" i="2"/>
  <c r="O483" i="2"/>
  <c r="U482" i="2"/>
  <c r="AR481" i="2"/>
  <c r="AN481" i="2"/>
  <c r="AT481" i="2" s="1"/>
  <c r="AM481" i="2"/>
  <c r="AS481" i="2" s="1"/>
  <c r="Y478" i="2" s="1"/>
  <c r="AL481" i="2"/>
  <c r="AK481" i="2"/>
  <c r="AQ481" i="2"/>
  <c r="AJ481" i="2"/>
  <c r="AP481" i="2" s="1"/>
  <c r="AI481" i="2"/>
  <c r="AY479" i="2" s="1"/>
  <c r="U481" i="2"/>
  <c r="M481" i="2"/>
  <c r="I481" i="2"/>
  <c r="E481" i="2"/>
  <c r="D481" i="2"/>
  <c r="C481" i="2"/>
  <c r="B481" i="2"/>
  <c r="A481" i="2"/>
  <c r="AN480" i="2"/>
  <c r="AT480" i="2" s="1"/>
  <c r="AM480" i="2"/>
  <c r="AS480" i="2"/>
  <c r="Z481" i="2" s="1"/>
  <c r="AL480" i="2"/>
  <c r="AR480" i="2" s="1"/>
  <c r="AK480" i="2"/>
  <c r="AQ480" i="2" s="1"/>
  <c r="Z480" i="2" s="1"/>
  <c r="AJ480" i="2"/>
  <c r="AP480" i="2" s="1"/>
  <c r="AI480" i="2"/>
  <c r="BA480" i="2" s="1"/>
  <c r="AZ481" i="2" s="1"/>
  <c r="U480" i="2"/>
  <c r="O480" i="2"/>
  <c r="M480" i="2"/>
  <c r="E480" i="2"/>
  <c r="D480" i="2"/>
  <c r="C480" i="2"/>
  <c r="B480" i="2"/>
  <c r="A480" i="2"/>
  <c r="AT479" i="2"/>
  <c r="AP479" i="2"/>
  <c r="AN479" i="2"/>
  <c r="AM479" i="2"/>
  <c r="AS479" i="2" s="1"/>
  <c r="AL479" i="2"/>
  <c r="AR479" i="2" s="1"/>
  <c r="AK479" i="2"/>
  <c r="AQ479" i="2" s="1"/>
  <c r="X483" i="2" s="1"/>
  <c r="AJ479" i="2"/>
  <c r="AI479" i="2"/>
  <c r="AW481" i="2" s="1"/>
  <c r="U479" i="2"/>
  <c r="M479" i="2"/>
  <c r="I479" i="2"/>
  <c r="E479" i="2"/>
  <c r="D479" i="2"/>
  <c r="C479" i="2"/>
  <c r="B479" i="2"/>
  <c r="A479" i="2"/>
  <c r="U478" i="2"/>
  <c r="U477" i="2"/>
  <c r="O477" i="2"/>
  <c r="I477" i="2"/>
  <c r="U476" i="2"/>
  <c r="Q475" i="2"/>
  <c r="U473" i="2"/>
  <c r="U472" i="2"/>
  <c r="O472" i="2"/>
  <c r="U471" i="2"/>
  <c r="AR470" i="2"/>
  <c r="AN470" i="2"/>
  <c r="AT470" i="2" s="1"/>
  <c r="AM470" i="2"/>
  <c r="AS470" i="2" s="1"/>
  <c r="AL470" i="2"/>
  <c r="AK470" i="2"/>
  <c r="AQ470" i="2" s="1"/>
  <c r="AJ470" i="2"/>
  <c r="AI470" i="2"/>
  <c r="AO470" i="2" s="1"/>
  <c r="U470" i="2"/>
  <c r="M470" i="2"/>
  <c r="I470" i="2"/>
  <c r="E470" i="2"/>
  <c r="D470" i="2"/>
  <c r="C470" i="2"/>
  <c r="B470" i="2"/>
  <c r="A470" i="2"/>
  <c r="AN469" i="2"/>
  <c r="AT469" i="2" s="1"/>
  <c r="AM469" i="2"/>
  <c r="AS469" i="2"/>
  <c r="AL469" i="2"/>
  <c r="AR469" i="2" s="1"/>
  <c r="AK469" i="2"/>
  <c r="AQ469" i="2" s="1"/>
  <c r="Z469" i="2" s="1"/>
  <c r="AJ469" i="2"/>
  <c r="AP469" i="2"/>
  <c r="AI469" i="2"/>
  <c r="AO469" i="2"/>
  <c r="U469" i="2"/>
  <c r="O469" i="2"/>
  <c r="M469" i="2"/>
  <c r="E469" i="2"/>
  <c r="D469" i="2"/>
  <c r="C469" i="2"/>
  <c r="B469" i="2"/>
  <c r="A469" i="2"/>
  <c r="AN468" i="2"/>
  <c r="AT468" i="2"/>
  <c r="AM468" i="2"/>
  <c r="AS468" i="2"/>
  <c r="AL468" i="2"/>
  <c r="AR468" i="2"/>
  <c r="AK468" i="2"/>
  <c r="AQ468" i="2" s="1"/>
  <c r="AJ468" i="2"/>
  <c r="AP468" i="2" s="1"/>
  <c r="AI468" i="2"/>
  <c r="AO468" i="2"/>
  <c r="AU468" i="2" s="1"/>
  <c r="Q468" i="2" s="1"/>
  <c r="U468" i="2"/>
  <c r="M468" i="2"/>
  <c r="I468" i="2"/>
  <c r="E468" i="2"/>
  <c r="D468" i="2"/>
  <c r="C468" i="2"/>
  <c r="B468" i="2"/>
  <c r="A468" i="2"/>
  <c r="U467" i="2"/>
  <c r="U466" i="2"/>
  <c r="O466" i="2"/>
  <c r="I466" i="2"/>
  <c r="U465" i="2"/>
  <c r="Q464" i="2"/>
  <c r="U462" i="2"/>
  <c r="U461" i="2"/>
  <c r="O461" i="2"/>
  <c r="U460" i="2"/>
  <c r="AS459" i="2"/>
  <c r="AN459" i="2"/>
  <c r="AT459" i="2" s="1"/>
  <c r="X459" i="2" s="1"/>
  <c r="AM459" i="2"/>
  <c r="AL459" i="2"/>
  <c r="AR459" i="2" s="1"/>
  <c r="AK459" i="2"/>
  <c r="AQ459" i="2" s="1"/>
  <c r="AJ459" i="2"/>
  <c r="AI459" i="2"/>
  <c r="AO459" i="2" s="1"/>
  <c r="U459" i="2"/>
  <c r="M459" i="2"/>
  <c r="I459" i="2"/>
  <c r="E459" i="2"/>
  <c r="D459" i="2"/>
  <c r="C459" i="2"/>
  <c r="B459" i="2"/>
  <c r="A459" i="2"/>
  <c r="AN458" i="2"/>
  <c r="AT458" i="2"/>
  <c r="AM458" i="2"/>
  <c r="AS458" i="2"/>
  <c r="AL458" i="2"/>
  <c r="AR458" i="2"/>
  <c r="AK458" i="2"/>
  <c r="AQ458" i="2" s="1"/>
  <c r="Z458" i="2" s="1"/>
  <c r="AJ458" i="2"/>
  <c r="AP458" i="2"/>
  <c r="AI458" i="2"/>
  <c r="AO458" i="2"/>
  <c r="U458" i="2"/>
  <c r="O458" i="2"/>
  <c r="M458" i="2"/>
  <c r="E458" i="2"/>
  <c r="D458" i="2"/>
  <c r="C458" i="2"/>
  <c r="B458" i="2"/>
  <c r="A458" i="2"/>
  <c r="AN457" i="2"/>
  <c r="AT457" i="2" s="1"/>
  <c r="AM457" i="2"/>
  <c r="AS457" i="2" s="1"/>
  <c r="X462" i="2" s="1"/>
  <c r="AL457" i="2"/>
  <c r="AK457" i="2"/>
  <c r="AQ457" i="2" s="1"/>
  <c r="AJ457" i="2"/>
  <c r="AP457" i="2" s="1"/>
  <c r="AI457" i="2"/>
  <c r="BA457" i="2" s="1"/>
  <c r="AX459" i="2" s="1"/>
  <c r="U457" i="2"/>
  <c r="M457" i="2"/>
  <c r="I457" i="2"/>
  <c r="E457" i="2"/>
  <c r="D457" i="2"/>
  <c r="C457" i="2"/>
  <c r="B457" i="2"/>
  <c r="A457" i="2"/>
  <c r="U456" i="2"/>
  <c r="U455" i="2"/>
  <c r="O455" i="2"/>
  <c r="I455" i="2"/>
  <c r="U454" i="2"/>
  <c r="Q453" i="2"/>
  <c r="U451" i="2"/>
  <c r="U450" i="2"/>
  <c r="O450" i="2"/>
  <c r="U449" i="2"/>
  <c r="AP448" i="2"/>
  <c r="AN448" i="2"/>
  <c r="AT448" i="2" s="1"/>
  <c r="AM448" i="2"/>
  <c r="AS448" i="2" s="1"/>
  <c r="AL448" i="2"/>
  <c r="AR448" i="2" s="1"/>
  <c r="AK448" i="2"/>
  <c r="AJ448" i="2"/>
  <c r="AI448" i="2"/>
  <c r="AO448" i="2" s="1"/>
  <c r="U448" i="2"/>
  <c r="M448" i="2"/>
  <c r="I448" i="2"/>
  <c r="E448" i="2"/>
  <c r="D448" i="2"/>
  <c r="C448" i="2"/>
  <c r="B448" i="2"/>
  <c r="A448" i="2"/>
  <c r="AW447" i="2"/>
  <c r="AP447" i="2"/>
  <c r="AN447" i="2"/>
  <c r="AT447" i="2"/>
  <c r="AM447" i="2"/>
  <c r="AS447" i="2" s="1"/>
  <c r="AL447" i="2"/>
  <c r="AR447" i="2" s="1"/>
  <c r="AK447" i="2"/>
  <c r="AQ447" i="2" s="1"/>
  <c r="Z447" i="2" s="1"/>
  <c r="AJ447" i="2"/>
  <c r="AI447" i="2"/>
  <c r="AO447" i="2" s="1"/>
  <c r="U447" i="2"/>
  <c r="O447" i="2"/>
  <c r="M447" i="2"/>
  <c r="E447" i="2"/>
  <c r="D447" i="2"/>
  <c r="C447" i="2"/>
  <c r="B447" i="2"/>
  <c r="A447" i="2"/>
  <c r="AN446" i="2"/>
  <c r="AT446" i="2" s="1"/>
  <c r="AM446" i="2"/>
  <c r="AS446" i="2" s="1"/>
  <c r="AL446" i="2"/>
  <c r="AR446" i="2" s="1"/>
  <c r="AK446" i="2"/>
  <c r="AQ446" i="2" s="1"/>
  <c r="AJ446" i="2"/>
  <c r="AP446" i="2" s="1"/>
  <c r="BE448" i="2" s="1"/>
  <c r="AI446" i="2"/>
  <c r="AO446" i="2" s="1"/>
  <c r="Z443" i="2" s="1"/>
  <c r="U446" i="2"/>
  <c r="M446" i="2"/>
  <c r="I446" i="2"/>
  <c r="E446" i="2"/>
  <c r="D446" i="2"/>
  <c r="C446" i="2"/>
  <c r="B446" i="2"/>
  <c r="A446" i="2"/>
  <c r="U445" i="2"/>
  <c r="U444" i="2"/>
  <c r="O444" i="2"/>
  <c r="I444" i="2"/>
  <c r="U443" i="2"/>
  <c r="Q442" i="2"/>
  <c r="U440" i="2"/>
  <c r="U439" i="2"/>
  <c r="O439" i="2"/>
  <c r="U438" i="2"/>
  <c r="AR437" i="2"/>
  <c r="AN437" i="2"/>
  <c r="AT437" i="2" s="1"/>
  <c r="AM437" i="2"/>
  <c r="AS437" i="2" s="1"/>
  <c r="AL437" i="2"/>
  <c r="AK437" i="2"/>
  <c r="AQ437" i="2"/>
  <c r="AJ437" i="2"/>
  <c r="AP437" i="2" s="1"/>
  <c r="AI437" i="2"/>
  <c r="AY435" i="2" s="1"/>
  <c r="U437" i="2"/>
  <c r="M437" i="2"/>
  <c r="I437" i="2"/>
  <c r="E437" i="2"/>
  <c r="D437" i="2"/>
  <c r="C437" i="2"/>
  <c r="B437" i="2"/>
  <c r="A437" i="2"/>
  <c r="AN436" i="2"/>
  <c r="AT436" i="2" s="1"/>
  <c r="AM436" i="2"/>
  <c r="AS436" i="2" s="1"/>
  <c r="Y440" i="2" s="1"/>
  <c r="AL436" i="2"/>
  <c r="AK436" i="2"/>
  <c r="BA436" i="2" s="1"/>
  <c r="AZ437" i="2" s="1"/>
  <c r="AJ436" i="2"/>
  <c r="AP436" i="2"/>
  <c r="AI436" i="2"/>
  <c r="U436" i="2"/>
  <c r="O436" i="2"/>
  <c r="M436" i="2"/>
  <c r="E436" i="2"/>
  <c r="D436" i="2"/>
  <c r="C436" i="2"/>
  <c r="B436" i="2"/>
  <c r="A436" i="2"/>
  <c r="AT435" i="2"/>
  <c r="AP435" i="2"/>
  <c r="AN435" i="2"/>
  <c r="AM435" i="2"/>
  <c r="AS435" i="2" s="1"/>
  <c r="AL435" i="2"/>
  <c r="AR435" i="2" s="1"/>
  <c r="AK435" i="2"/>
  <c r="AQ435" i="2" s="1"/>
  <c r="AJ435" i="2"/>
  <c r="AI435" i="2"/>
  <c r="AW437" i="2" s="1"/>
  <c r="BB435" i="2" s="1"/>
  <c r="U435" i="2"/>
  <c r="M435" i="2"/>
  <c r="I435" i="2"/>
  <c r="E435" i="2"/>
  <c r="D435" i="2"/>
  <c r="C435" i="2"/>
  <c r="B435" i="2"/>
  <c r="A435" i="2"/>
  <c r="U434" i="2"/>
  <c r="U433" i="2"/>
  <c r="O433" i="2"/>
  <c r="I433" i="2"/>
  <c r="U432" i="2"/>
  <c r="Q431" i="2"/>
  <c r="U429" i="2"/>
  <c r="U428" i="2"/>
  <c r="O428" i="2"/>
  <c r="U427" i="2"/>
  <c r="AS426" i="2"/>
  <c r="AN426" i="2"/>
  <c r="AT426" i="2"/>
  <c r="AM426" i="2"/>
  <c r="AL426" i="2"/>
  <c r="AR426" i="2" s="1"/>
  <c r="AK426" i="2"/>
  <c r="AQ426" i="2"/>
  <c r="AJ426" i="2"/>
  <c r="AI426" i="2"/>
  <c r="AO426" i="2" s="1"/>
  <c r="U426" i="2"/>
  <c r="M426" i="2"/>
  <c r="I426" i="2"/>
  <c r="E426" i="2"/>
  <c r="D426" i="2"/>
  <c r="C426" i="2"/>
  <c r="B426" i="2"/>
  <c r="A426" i="2"/>
  <c r="AQ425" i="2"/>
  <c r="AN425" i="2"/>
  <c r="AT425" i="2" s="1"/>
  <c r="AM425" i="2"/>
  <c r="AS425" i="2" s="1"/>
  <c r="AL425" i="2"/>
  <c r="AR425" i="2" s="1"/>
  <c r="AK425" i="2"/>
  <c r="AJ425" i="2"/>
  <c r="AP425" i="2" s="1"/>
  <c r="AI425" i="2"/>
  <c r="U425" i="2"/>
  <c r="O425" i="2"/>
  <c r="M425" i="2"/>
  <c r="E425" i="2"/>
  <c r="D425" i="2"/>
  <c r="C425" i="2"/>
  <c r="B425" i="2"/>
  <c r="A425" i="2"/>
  <c r="AN424" i="2"/>
  <c r="AT424" i="2" s="1"/>
  <c r="AM424" i="2"/>
  <c r="AS424" i="2" s="1"/>
  <c r="AL424" i="2"/>
  <c r="AR424" i="2" s="1"/>
  <c r="AK424" i="2"/>
  <c r="AQ424" i="2" s="1"/>
  <c r="AJ424" i="2"/>
  <c r="AP424" i="2" s="1"/>
  <c r="AI424" i="2"/>
  <c r="AO424" i="2" s="1"/>
  <c r="U424" i="2"/>
  <c r="M424" i="2"/>
  <c r="I424" i="2"/>
  <c r="E424" i="2"/>
  <c r="D424" i="2"/>
  <c r="C424" i="2"/>
  <c r="B424" i="2"/>
  <c r="A424" i="2"/>
  <c r="U423" i="2"/>
  <c r="U422" i="2"/>
  <c r="O422" i="2"/>
  <c r="I422" i="2"/>
  <c r="U421" i="2"/>
  <c r="Q420" i="2"/>
  <c r="U418" i="2"/>
  <c r="U417" i="2"/>
  <c r="O417" i="2"/>
  <c r="U416" i="2"/>
  <c r="AS415" i="2"/>
  <c r="Y412" i="2" s="1"/>
  <c r="AO415" i="2"/>
  <c r="AN415" i="2"/>
  <c r="AT415" i="2"/>
  <c r="AM415" i="2"/>
  <c r="AL415" i="2"/>
  <c r="AR415" i="2" s="1"/>
  <c r="AK415" i="2"/>
  <c r="AQ415" i="2" s="1"/>
  <c r="AJ415" i="2"/>
  <c r="AI415" i="2"/>
  <c r="X415" i="2"/>
  <c r="U415" i="2"/>
  <c r="M415" i="2"/>
  <c r="I415" i="2"/>
  <c r="E415" i="2"/>
  <c r="D415" i="2"/>
  <c r="C415" i="2"/>
  <c r="B415" i="2"/>
  <c r="A415" i="2"/>
  <c r="AN414" i="2"/>
  <c r="AT414" i="2"/>
  <c r="AM414" i="2"/>
  <c r="AS414" i="2"/>
  <c r="AL414" i="2"/>
  <c r="AR414" i="2"/>
  <c r="AK414" i="2"/>
  <c r="AQ414" i="2" s="1"/>
  <c r="AJ414" i="2"/>
  <c r="AP414" i="2"/>
  <c r="AI414" i="2"/>
  <c r="AO414" i="2"/>
  <c r="U414" i="2"/>
  <c r="O414" i="2"/>
  <c r="M414" i="2"/>
  <c r="E414" i="2"/>
  <c r="D414" i="2"/>
  <c r="C414" i="2"/>
  <c r="B414" i="2"/>
  <c r="A414" i="2"/>
  <c r="AN413" i="2"/>
  <c r="AT413" i="2" s="1"/>
  <c r="AM413" i="2"/>
  <c r="AS413" i="2"/>
  <c r="X418" i="2" s="1"/>
  <c r="AL413" i="2"/>
  <c r="AR413" i="2"/>
  <c r="AK413" i="2"/>
  <c r="AQ413" i="2" s="1"/>
  <c r="Z411" i="2" s="1"/>
  <c r="AJ413" i="2"/>
  <c r="AP413" i="2"/>
  <c r="AI413" i="2"/>
  <c r="BA413" i="2" s="1"/>
  <c r="AX415" i="2" s="1"/>
  <c r="U413" i="2"/>
  <c r="M413" i="2"/>
  <c r="I413" i="2"/>
  <c r="E413" i="2"/>
  <c r="D413" i="2"/>
  <c r="C413" i="2"/>
  <c r="B413" i="2"/>
  <c r="A413" i="2"/>
  <c r="U412" i="2"/>
  <c r="U411" i="2"/>
  <c r="O411" i="2"/>
  <c r="I411" i="2"/>
  <c r="U410" i="2"/>
  <c r="Q409" i="2"/>
  <c r="U407" i="2"/>
  <c r="U406" i="2"/>
  <c r="O406" i="2"/>
  <c r="U405" i="2"/>
  <c r="AR404" i="2"/>
  <c r="AN404" i="2"/>
  <c r="AT404" i="2"/>
  <c r="AM404" i="2"/>
  <c r="AS404" i="2"/>
  <c r="AL404" i="2"/>
  <c r="AK404" i="2"/>
  <c r="AQ404" i="2" s="1"/>
  <c r="AJ404" i="2"/>
  <c r="AP404" i="2"/>
  <c r="AI404" i="2"/>
  <c r="U404" i="2"/>
  <c r="M404" i="2"/>
  <c r="I404" i="2"/>
  <c r="E404" i="2"/>
  <c r="D404" i="2"/>
  <c r="C404" i="2"/>
  <c r="B404" i="2"/>
  <c r="A404" i="2"/>
  <c r="AN403" i="2"/>
  <c r="AT403" i="2" s="1"/>
  <c r="AM403" i="2"/>
  <c r="AS403" i="2" s="1"/>
  <c r="AL403" i="2"/>
  <c r="AR403" i="2" s="1"/>
  <c r="AK403" i="2"/>
  <c r="AQ403" i="2" s="1"/>
  <c r="AJ403" i="2"/>
  <c r="AP403" i="2" s="1"/>
  <c r="AI403" i="2"/>
  <c r="AO403" i="2" s="1"/>
  <c r="U403" i="2"/>
  <c r="O403" i="2"/>
  <c r="M403" i="2"/>
  <c r="E403" i="2"/>
  <c r="D403" i="2"/>
  <c r="C403" i="2"/>
  <c r="B403" i="2"/>
  <c r="A403" i="2"/>
  <c r="AN402" i="2"/>
  <c r="AT402" i="2" s="1"/>
  <c r="AM402" i="2"/>
  <c r="AS402" i="2" s="1"/>
  <c r="AL402" i="2"/>
  <c r="AR402" i="2" s="1"/>
  <c r="AK402" i="2"/>
  <c r="AQ402" i="2"/>
  <c r="Z400" i="2" s="1"/>
  <c r="AJ402" i="2"/>
  <c r="AP402" i="2" s="1"/>
  <c r="AI402" i="2"/>
  <c r="AW404" i="2" s="1"/>
  <c r="U402" i="2"/>
  <c r="M402" i="2"/>
  <c r="I402" i="2"/>
  <c r="E402" i="2"/>
  <c r="D402" i="2"/>
  <c r="C402" i="2"/>
  <c r="B402" i="2"/>
  <c r="A402" i="2"/>
  <c r="U401" i="2"/>
  <c r="U400" i="2"/>
  <c r="O400" i="2"/>
  <c r="I400" i="2"/>
  <c r="U399" i="2"/>
  <c r="Q398" i="2"/>
  <c r="U396" i="2"/>
  <c r="U395" i="2"/>
  <c r="O395" i="2"/>
  <c r="U394" i="2"/>
  <c r="AN393" i="2"/>
  <c r="AT393" i="2"/>
  <c r="AM393" i="2"/>
  <c r="AS393" i="2"/>
  <c r="AL393" i="2"/>
  <c r="AR393" i="2" s="1"/>
  <c r="AK393" i="2"/>
  <c r="AQ393" i="2" s="1"/>
  <c r="AJ393" i="2"/>
  <c r="AP393" i="2"/>
  <c r="AI393" i="2"/>
  <c r="U393" i="2"/>
  <c r="M393" i="2"/>
  <c r="I393" i="2"/>
  <c r="E393" i="2"/>
  <c r="D393" i="2"/>
  <c r="C393" i="2"/>
  <c r="B393" i="2"/>
  <c r="A393" i="2"/>
  <c r="AP392" i="2"/>
  <c r="AN392" i="2"/>
  <c r="AT392" i="2" s="1"/>
  <c r="AM392" i="2"/>
  <c r="AS392" i="2" s="1"/>
  <c r="AL392" i="2"/>
  <c r="AR392" i="2" s="1"/>
  <c r="AK392" i="2"/>
  <c r="AQ392" i="2" s="1"/>
  <c r="Y395" i="2" s="1"/>
  <c r="AJ392" i="2"/>
  <c r="AI392" i="2"/>
  <c r="AO392" i="2" s="1"/>
  <c r="U392" i="2"/>
  <c r="O392" i="2"/>
  <c r="M392" i="2"/>
  <c r="E392" i="2"/>
  <c r="D392" i="2"/>
  <c r="C392" i="2"/>
  <c r="B392" i="2"/>
  <c r="A392" i="2"/>
  <c r="AN391" i="2"/>
  <c r="AT391" i="2" s="1"/>
  <c r="AM391" i="2"/>
  <c r="AS391" i="2" s="1"/>
  <c r="AL391" i="2"/>
  <c r="AR391" i="2"/>
  <c r="AK391" i="2"/>
  <c r="AJ391" i="2"/>
  <c r="AP391" i="2" s="1"/>
  <c r="AI391" i="2"/>
  <c r="AO391" i="2" s="1"/>
  <c r="U391" i="2"/>
  <c r="M391" i="2"/>
  <c r="I391" i="2"/>
  <c r="E391" i="2"/>
  <c r="D391" i="2"/>
  <c r="C391" i="2"/>
  <c r="B391" i="2"/>
  <c r="A391" i="2"/>
  <c r="U390" i="2"/>
  <c r="U389" i="2"/>
  <c r="O389" i="2"/>
  <c r="I389" i="2"/>
  <c r="U388" i="2"/>
  <c r="Q387" i="2"/>
  <c r="U385" i="2"/>
  <c r="U384" i="2"/>
  <c r="O384" i="2"/>
  <c r="U383" i="2"/>
  <c r="AN382" i="2"/>
  <c r="AT382" i="2" s="1"/>
  <c r="AM382" i="2"/>
  <c r="AS382" i="2" s="1"/>
  <c r="AL382" i="2"/>
  <c r="AR382" i="2" s="1"/>
  <c r="AK382" i="2"/>
  <c r="AQ382" i="2"/>
  <c r="AJ382" i="2"/>
  <c r="AP382" i="2"/>
  <c r="AI382" i="2"/>
  <c r="U382" i="2"/>
  <c r="M382" i="2"/>
  <c r="I382" i="2"/>
  <c r="E382" i="2"/>
  <c r="D382" i="2"/>
  <c r="C382" i="2"/>
  <c r="B382" i="2"/>
  <c r="A382" i="2"/>
  <c r="AT381" i="2"/>
  <c r="AP381" i="2"/>
  <c r="AN381" i="2"/>
  <c r="AM381" i="2"/>
  <c r="AS381" i="2" s="1"/>
  <c r="AL381" i="2"/>
  <c r="AR381" i="2"/>
  <c r="AK381" i="2"/>
  <c r="AQ381" i="2"/>
  <c r="AJ381" i="2"/>
  <c r="AI381" i="2"/>
  <c r="BA381" i="2" s="1"/>
  <c r="AZ382" i="2" s="1"/>
  <c r="U381" i="2"/>
  <c r="O381" i="2"/>
  <c r="M381" i="2"/>
  <c r="E381" i="2"/>
  <c r="D381" i="2"/>
  <c r="C381" i="2"/>
  <c r="B381" i="2"/>
  <c r="A381" i="2"/>
  <c r="AO380" i="2"/>
  <c r="AN380" i="2"/>
  <c r="AT380" i="2" s="1"/>
  <c r="AM380" i="2"/>
  <c r="AS380" i="2" s="1"/>
  <c r="Z379" i="2" s="1"/>
  <c r="AL380" i="2"/>
  <c r="AR380" i="2"/>
  <c r="AK380" i="2"/>
  <c r="AQ380" i="2"/>
  <c r="X384" i="2" s="1"/>
  <c r="AJ380" i="2"/>
  <c r="AP380" i="2" s="1"/>
  <c r="AI380" i="2"/>
  <c r="BA380" i="2" s="1"/>
  <c r="AX382" i="2" s="1"/>
  <c r="AW382" i="2"/>
  <c r="U380" i="2"/>
  <c r="M380" i="2"/>
  <c r="I380" i="2"/>
  <c r="E380" i="2"/>
  <c r="D380" i="2"/>
  <c r="C380" i="2"/>
  <c r="B380" i="2"/>
  <c r="A380" i="2"/>
  <c r="U379" i="2"/>
  <c r="Z378" i="2"/>
  <c r="U378" i="2"/>
  <c r="O378" i="2"/>
  <c r="I378" i="2"/>
  <c r="U377" i="2"/>
  <c r="Q376" i="2"/>
  <c r="T374" i="2"/>
  <c r="X371" i="2"/>
  <c r="P371" i="2"/>
  <c r="X370" i="2"/>
  <c r="M370" i="2"/>
  <c r="A370" i="2"/>
  <c r="F370" i="2" s="1"/>
  <c r="D368" i="2" s="1"/>
  <c r="AA369" i="2"/>
  <c r="X369" i="2"/>
  <c r="P369" i="2"/>
  <c r="AA368" i="2"/>
  <c r="M368" i="2"/>
  <c r="H368" i="2"/>
  <c r="A368" i="2"/>
  <c r="G368" i="2"/>
  <c r="E364" i="2" s="1"/>
  <c r="AA367" i="2"/>
  <c r="X367" i="2"/>
  <c r="P367" i="2"/>
  <c r="X366" i="2"/>
  <c r="M366" i="2"/>
  <c r="A366" i="2"/>
  <c r="AD365" i="2"/>
  <c r="X365" i="2"/>
  <c r="P365" i="2"/>
  <c r="AD364" i="2"/>
  <c r="M364" i="2"/>
  <c r="A364" i="2"/>
  <c r="H364" i="2" s="1"/>
  <c r="AD363" i="2"/>
  <c r="X363" i="2"/>
  <c r="P363" i="2"/>
  <c r="X362" i="2"/>
  <c r="M362" i="2"/>
  <c r="A362" i="2"/>
  <c r="AA361" i="2"/>
  <c r="X361" i="2"/>
  <c r="P361" i="2"/>
  <c r="AA360" i="2"/>
  <c r="M360" i="2"/>
  <c r="A360" i="2"/>
  <c r="H360" i="2" s="1"/>
  <c r="AA359" i="2"/>
  <c r="X359" i="2"/>
  <c r="P359" i="2"/>
  <c r="X358" i="2"/>
  <c r="M358" i="2"/>
  <c r="A358" i="2"/>
  <c r="F358" i="2" s="1"/>
  <c r="B360" i="2" s="1"/>
  <c r="X357" i="2"/>
  <c r="P357" i="2"/>
  <c r="O357" i="2"/>
  <c r="O359" i="2" s="1"/>
  <c r="U353" i="2"/>
  <c r="U352" i="2"/>
  <c r="O352" i="2"/>
  <c r="U351" i="2"/>
  <c r="AR350" i="2"/>
  <c r="AN350" i="2"/>
  <c r="AT350" i="2" s="1"/>
  <c r="AM350" i="2"/>
  <c r="AS350" i="2"/>
  <c r="Y344" i="2" s="1"/>
  <c r="AL350" i="2"/>
  <c r="AK350" i="2"/>
  <c r="AQ350" i="2" s="1"/>
  <c r="Y343" i="2" s="1"/>
  <c r="AJ350" i="2"/>
  <c r="AP350" i="2" s="1"/>
  <c r="AI350" i="2"/>
  <c r="U350" i="2"/>
  <c r="M350" i="2"/>
  <c r="E350" i="2"/>
  <c r="D350" i="2"/>
  <c r="C350" i="2"/>
  <c r="B350" i="2"/>
  <c r="A350" i="2"/>
  <c r="AN349" i="2"/>
  <c r="AT349" i="2" s="1"/>
  <c r="AM349" i="2"/>
  <c r="AS349" i="2" s="1"/>
  <c r="AL349" i="2"/>
  <c r="AR349" i="2" s="1"/>
  <c r="AK349" i="2"/>
  <c r="AJ349" i="2"/>
  <c r="AP349" i="2" s="1"/>
  <c r="AI349" i="2"/>
  <c r="AO349" i="2" s="1"/>
  <c r="U349" i="2"/>
  <c r="O349" i="2"/>
  <c r="M349" i="2"/>
  <c r="I349" i="2"/>
  <c r="E349" i="2"/>
  <c r="D349" i="2"/>
  <c r="C349" i="2"/>
  <c r="B349" i="2"/>
  <c r="A349" i="2"/>
  <c r="AN348" i="2"/>
  <c r="AT348" i="2" s="1"/>
  <c r="AM348" i="2"/>
  <c r="AS348" i="2" s="1"/>
  <c r="AL348" i="2"/>
  <c r="AR348" i="2" s="1"/>
  <c r="AK348" i="2"/>
  <c r="AQ348" i="2" s="1"/>
  <c r="AJ348" i="2"/>
  <c r="AP348" i="2"/>
  <c r="AI348" i="2"/>
  <c r="AO348" i="2" s="1"/>
  <c r="Z345" i="2" s="1"/>
  <c r="U348" i="2"/>
  <c r="M348" i="2"/>
  <c r="E348" i="2"/>
  <c r="D348" i="2"/>
  <c r="C348" i="2"/>
  <c r="B348" i="2"/>
  <c r="A348" i="2"/>
  <c r="AO347" i="2"/>
  <c r="AN347" i="2"/>
  <c r="AT347" i="2" s="1"/>
  <c r="AM347" i="2"/>
  <c r="AS347" i="2" s="1"/>
  <c r="AL347" i="2"/>
  <c r="AR347" i="2" s="1"/>
  <c r="AK347" i="2"/>
  <c r="AQ347" i="2" s="1"/>
  <c r="AA343" i="2" s="1"/>
  <c r="AJ347" i="2"/>
  <c r="AP347" i="2" s="1"/>
  <c r="AI347" i="2"/>
  <c r="U347" i="2"/>
  <c r="M347" i="2"/>
  <c r="I347" i="2"/>
  <c r="E347" i="2"/>
  <c r="D347" i="2"/>
  <c r="C347" i="2"/>
  <c r="B347" i="2"/>
  <c r="A347" i="2"/>
  <c r="AN346" i="2"/>
  <c r="AT346" i="2" s="1"/>
  <c r="AM346" i="2"/>
  <c r="AS346" i="2" s="1"/>
  <c r="AL346" i="2"/>
  <c r="AR346" i="2" s="1"/>
  <c r="AK346" i="2"/>
  <c r="AJ346" i="2"/>
  <c r="AP346" i="2" s="1"/>
  <c r="BE348" i="2" s="1"/>
  <c r="AI346" i="2"/>
  <c r="AO346" i="2" s="1"/>
  <c r="U346" i="2"/>
  <c r="O346" i="2"/>
  <c r="M346" i="2"/>
  <c r="E346" i="2"/>
  <c r="D346" i="2"/>
  <c r="C346" i="2"/>
  <c r="B346" i="2"/>
  <c r="A346" i="2"/>
  <c r="AR345" i="2"/>
  <c r="AN345" i="2"/>
  <c r="AT345" i="2" s="1"/>
  <c r="AM345" i="2"/>
  <c r="AS345" i="2" s="1"/>
  <c r="AL345" i="2"/>
  <c r="AK345" i="2"/>
  <c r="AJ345" i="2"/>
  <c r="AP345" i="2" s="1"/>
  <c r="AI345" i="2"/>
  <c r="AO345" i="2" s="1"/>
  <c r="U345" i="2"/>
  <c r="M345" i="2"/>
  <c r="I345" i="2"/>
  <c r="E345" i="2"/>
  <c r="D345" i="2"/>
  <c r="C345" i="2"/>
  <c r="B345" i="2"/>
  <c r="A345" i="2"/>
  <c r="U344" i="2"/>
  <c r="U343" i="2"/>
  <c r="O343" i="2"/>
  <c r="I343" i="2"/>
  <c r="U342" i="2"/>
  <c r="Q341" i="2"/>
  <c r="U339" i="2"/>
  <c r="U338" i="2"/>
  <c r="O338" i="2"/>
  <c r="U337" i="2"/>
  <c r="AN336" i="2"/>
  <c r="AT336" i="2" s="1"/>
  <c r="AM336" i="2"/>
  <c r="AS336" i="2" s="1"/>
  <c r="AL336" i="2"/>
  <c r="AR336" i="2" s="1"/>
  <c r="AK336" i="2"/>
  <c r="AQ336" i="2" s="1"/>
  <c r="AJ336" i="2"/>
  <c r="AI336" i="2"/>
  <c r="AO336" i="2" s="1"/>
  <c r="U336" i="2"/>
  <c r="M336" i="2"/>
  <c r="I336" i="2"/>
  <c r="E336" i="2"/>
  <c r="D336" i="2"/>
  <c r="C336" i="2"/>
  <c r="B336" i="2"/>
  <c r="A336" i="2"/>
  <c r="AT335" i="2"/>
  <c r="AP335" i="2"/>
  <c r="AN335" i="2"/>
  <c r="AM335" i="2"/>
  <c r="AS335" i="2" s="1"/>
  <c r="Z336" i="2" s="1"/>
  <c r="AL335" i="2"/>
  <c r="AR335" i="2" s="1"/>
  <c r="AK335" i="2"/>
  <c r="AJ335" i="2"/>
  <c r="AI335" i="2"/>
  <c r="AO335" i="2" s="1"/>
  <c r="Z334" i="2" s="1"/>
  <c r="U335" i="2"/>
  <c r="O335" i="2"/>
  <c r="M335" i="2"/>
  <c r="E335" i="2"/>
  <c r="D335" i="2"/>
  <c r="C335" i="2"/>
  <c r="B335" i="2"/>
  <c r="A335" i="2"/>
  <c r="AT334" i="2"/>
  <c r="AN334" i="2"/>
  <c r="AM334" i="2"/>
  <c r="AS334" i="2" s="1"/>
  <c r="Z333" i="2" s="1"/>
  <c r="AL334" i="2"/>
  <c r="AR334" i="2" s="1"/>
  <c r="AK334" i="2"/>
  <c r="AJ334" i="2"/>
  <c r="AI334" i="2"/>
  <c r="AO334" i="2" s="1"/>
  <c r="U334" i="2"/>
  <c r="M334" i="2"/>
  <c r="I334" i="2"/>
  <c r="E334" i="2"/>
  <c r="D334" i="2"/>
  <c r="C334" i="2"/>
  <c r="B334" i="2"/>
  <c r="A334" i="2"/>
  <c r="U333" i="2"/>
  <c r="U332" i="2"/>
  <c r="O332" i="2"/>
  <c r="I332" i="2"/>
  <c r="U331" i="2"/>
  <c r="Q330" i="2"/>
  <c r="U328" i="2"/>
  <c r="U327" i="2"/>
  <c r="O327" i="2"/>
  <c r="U326" i="2"/>
  <c r="AN325" i="2"/>
  <c r="AT325" i="2" s="1"/>
  <c r="AM325" i="2"/>
  <c r="AS325" i="2" s="1"/>
  <c r="AL325" i="2"/>
  <c r="AR325" i="2" s="1"/>
  <c r="AK325" i="2"/>
  <c r="AQ325" i="2" s="1"/>
  <c r="AJ325" i="2"/>
  <c r="AI325" i="2"/>
  <c r="AO325" i="2" s="1"/>
  <c r="U325" i="2"/>
  <c r="M325" i="2"/>
  <c r="I325" i="2"/>
  <c r="E325" i="2"/>
  <c r="D325" i="2"/>
  <c r="C325" i="2"/>
  <c r="B325" i="2"/>
  <c r="A325" i="2"/>
  <c r="AS324" i="2"/>
  <c r="AN324" i="2"/>
  <c r="AT324" i="2" s="1"/>
  <c r="AM324" i="2"/>
  <c r="AL324" i="2"/>
  <c r="AR324" i="2" s="1"/>
  <c r="AK324" i="2"/>
  <c r="AJ324" i="2"/>
  <c r="AP324" i="2" s="1"/>
  <c r="AI324" i="2"/>
  <c r="AO324" i="2" s="1"/>
  <c r="U324" i="2"/>
  <c r="O324" i="2"/>
  <c r="M324" i="2"/>
  <c r="E324" i="2"/>
  <c r="D324" i="2"/>
  <c r="C324" i="2"/>
  <c r="B324" i="2"/>
  <c r="A324" i="2"/>
  <c r="AT323" i="2"/>
  <c r="AO323" i="2"/>
  <c r="AN323" i="2"/>
  <c r="AM323" i="2"/>
  <c r="AS323" i="2" s="1"/>
  <c r="Z322" i="2" s="1"/>
  <c r="AL323" i="2"/>
  <c r="AR323" i="2" s="1"/>
  <c r="AK323" i="2"/>
  <c r="AQ323" i="2" s="1"/>
  <c r="AJ323" i="2"/>
  <c r="AI323" i="2"/>
  <c r="U323" i="2"/>
  <c r="M323" i="2"/>
  <c r="I323" i="2"/>
  <c r="E323" i="2"/>
  <c r="D323" i="2"/>
  <c r="C323" i="2"/>
  <c r="B323" i="2"/>
  <c r="A323" i="2"/>
  <c r="U322" i="2"/>
  <c r="U321" i="2"/>
  <c r="O321" i="2"/>
  <c r="I321" i="2"/>
  <c r="U320" i="2"/>
  <c r="Q319" i="2"/>
  <c r="U317" i="2"/>
  <c r="U316" i="2"/>
  <c r="O316" i="2"/>
  <c r="U315" i="2"/>
  <c r="AT314" i="2"/>
  <c r="AN314" i="2"/>
  <c r="AM314" i="2"/>
  <c r="AS314" i="2" s="1"/>
  <c r="AL314" i="2"/>
  <c r="AR314" i="2" s="1"/>
  <c r="AK314" i="2"/>
  <c r="AQ314" i="2" s="1"/>
  <c r="X313" i="2" s="1"/>
  <c r="AJ314" i="2"/>
  <c r="AI314" i="2"/>
  <c r="AO314" i="2" s="1"/>
  <c r="U314" i="2"/>
  <c r="M314" i="2"/>
  <c r="I314" i="2"/>
  <c r="E314" i="2"/>
  <c r="D314" i="2"/>
  <c r="C314" i="2"/>
  <c r="B314" i="2"/>
  <c r="A314" i="2"/>
  <c r="AS313" i="2"/>
  <c r="AN313" i="2"/>
  <c r="AT313" i="2" s="1"/>
  <c r="AM313" i="2"/>
  <c r="AL313" i="2"/>
  <c r="AR313" i="2" s="1"/>
  <c r="AK313" i="2"/>
  <c r="AJ313" i="2"/>
  <c r="AP313" i="2" s="1"/>
  <c r="AI313" i="2"/>
  <c r="AO313" i="2" s="1"/>
  <c r="U313" i="2"/>
  <c r="O313" i="2"/>
  <c r="M313" i="2"/>
  <c r="E313" i="2"/>
  <c r="D313" i="2"/>
  <c r="C313" i="2"/>
  <c r="B313" i="2"/>
  <c r="A313" i="2"/>
  <c r="AS312" i="2"/>
  <c r="X317" i="2" s="1"/>
  <c r="AN312" i="2"/>
  <c r="AT312" i="2" s="1"/>
  <c r="Z311" i="2" s="1"/>
  <c r="AM312" i="2"/>
  <c r="AL312" i="2"/>
  <c r="AR312" i="2" s="1"/>
  <c r="Z310" i="2" s="1"/>
  <c r="AK312" i="2"/>
  <c r="AQ312" i="2"/>
  <c r="AJ312" i="2"/>
  <c r="AI312" i="2"/>
  <c r="AO312" i="2" s="1"/>
  <c r="U312" i="2"/>
  <c r="M312" i="2"/>
  <c r="I312" i="2"/>
  <c r="E312" i="2"/>
  <c r="D312" i="2"/>
  <c r="C312" i="2"/>
  <c r="B312" i="2"/>
  <c r="A312" i="2"/>
  <c r="U311" i="2"/>
  <c r="U310" i="2"/>
  <c r="O310" i="2"/>
  <c r="I310" i="2"/>
  <c r="U309" i="2"/>
  <c r="Q308" i="2"/>
  <c r="U306" i="2"/>
  <c r="U305" i="2"/>
  <c r="O305" i="2"/>
  <c r="U304" i="2"/>
  <c r="AN303" i="2"/>
  <c r="AT303" i="2" s="1"/>
  <c r="AM303" i="2"/>
  <c r="AS303" i="2" s="1"/>
  <c r="AL303" i="2"/>
  <c r="AR303" i="2"/>
  <c r="AK303" i="2"/>
  <c r="AQ303" i="2" s="1"/>
  <c r="X302" i="2" s="1"/>
  <c r="AJ303" i="2"/>
  <c r="AI303" i="2"/>
  <c r="AO303" i="2"/>
  <c r="U303" i="2"/>
  <c r="M303" i="2"/>
  <c r="I303" i="2"/>
  <c r="E303" i="2"/>
  <c r="D303" i="2"/>
  <c r="C303" i="2"/>
  <c r="B303" i="2"/>
  <c r="A303" i="2"/>
  <c r="AR302" i="2"/>
  <c r="AN302" i="2"/>
  <c r="AT302" i="2" s="1"/>
  <c r="AM302" i="2"/>
  <c r="AS302" i="2" s="1"/>
  <c r="Z303" i="2" s="1"/>
  <c r="AL302" i="2"/>
  <c r="AK302" i="2"/>
  <c r="AJ302" i="2"/>
  <c r="AP302" i="2" s="1"/>
  <c r="AI302" i="2"/>
  <c r="AO302" i="2" s="1"/>
  <c r="U302" i="2"/>
  <c r="O302" i="2"/>
  <c r="M302" i="2"/>
  <c r="E302" i="2"/>
  <c r="D302" i="2"/>
  <c r="C302" i="2"/>
  <c r="B302" i="2"/>
  <c r="A302" i="2"/>
  <c r="AS301" i="2"/>
  <c r="AO301" i="2"/>
  <c r="BE301" i="2" s="1"/>
  <c r="AN301" i="2"/>
  <c r="AT301" i="2" s="1"/>
  <c r="AM301" i="2"/>
  <c r="AL301" i="2"/>
  <c r="AR301" i="2" s="1"/>
  <c r="AK301" i="2"/>
  <c r="AQ301" i="2"/>
  <c r="X305" i="2" s="1"/>
  <c r="AJ301" i="2"/>
  <c r="AW303" i="2" s="1"/>
  <c r="AI301" i="2"/>
  <c r="BA301" i="2" s="1"/>
  <c r="AX303" i="2" s="1"/>
  <c r="U301" i="2"/>
  <c r="M301" i="2"/>
  <c r="I301" i="2"/>
  <c r="E301" i="2"/>
  <c r="D301" i="2"/>
  <c r="C301" i="2"/>
  <c r="B301" i="2"/>
  <c r="A301" i="2"/>
  <c r="U300" i="2"/>
  <c r="U299" i="2"/>
  <c r="O299" i="2"/>
  <c r="I299" i="2"/>
  <c r="U298" i="2"/>
  <c r="Q297" i="2"/>
  <c r="U295" i="2"/>
  <c r="U294" i="2"/>
  <c r="O294" i="2"/>
  <c r="U293" i="2"/>
  <c r="AN292" i="2"/>
  <c r="AT292" i="2"/>
  <c r="AM292" i="2"/>
  <c r="AS292" i="2"/>
  <c r="AL292" i="2"/>
  <c r="AR292" i="2"/>
  <c r="AK292" i="2"/>
  <c r="AQ292" i="2" s="1"/>
  <c r="AJ292" i="2"/>
  <c r="AI292" i="2"/>
  <c r="AO292" i="2"/>
  <c r="U292" i="2"/>
  <c r="M292" i="2"/>
  <c r="I292" i="2"/>
  <c r="E292" i="2"/>
  <c r="D292" i="2"/>
  <c r="C292" i="2"/>
  <c r="B292" i="2"/>
  <c r="A292" i="2"/>
  <c r="AN291" i="2"/>
  <c r="AT291" i="2" s="1"/>
  <c r="AM291" i="2"/>
  <c r="AS291" i="2" s="1"/>
  <c r="AL291" i="2"/>
  <c r="AR291" i="2" s="1"/>
  <c r="AK291" i="2"/>
  <c r="AJ291" i="2"/>
  <c r="AP291" i="2" s="1"/>
  <c r="BF291" i="2" s="1"/>
  <c r="AI291" i="2"/>
  <c r="AO291" i="2" s="1"/>
  <c r="U291" i="2"/>
  <c r="O291" i="2"/>
  <c r="M291" i="2"/>
  <c r="E291" i="2"/>
  <c r="D291" i="2"/>
  <c r="C291" i="2"/>
  <c r="B291" i="2"/>
  <c r="A291" i="2"/>
  <c r="AN290" i="2"/>
  <c r="AT290" i="2" s="1"/>
  <c r="AM290" i="2"/>
  <c r="AS290" i="2" s="1"/>
  <c r="AL290" i="2"/>
  <c r="AR290" i="2" s="1"/>
  <c r="AK290" i="2"/>
  <c r="AJ290" i="2"/>
  <c r="AI290" i="2"/>
  <c r="AO290" i="2" s="1"/>
  <c r="U290" i="2"/>
  <c r="M290" i="2"/>
  <c r="I290" i="2"/>
  <c r="E290" i="2"/>
  <c r="D290" i="2"/>
  <c r="C290" i="2"/>
  <c r="B290" i="2"/>
  <c r="A290" i="2"/>
  <c r="U289" i="2"/>
  <c r="U288" i="2"/>
  <c r="O288" i="2"/>
  <c r="I288" i="2"/>
  <c r="U287" i="2"/>
  <c r="Q286" i="2"/>
  <c r="U284" i="2"/>
  <c r="U283" i="2"/>
  <c r="O283" i="2"/>
  <c r="U282" i="2"/>
  <c r="AQ281" i="2"/>
  <c r="AN281" i="2"/>
  <c r="AT281" i="2"/>
  <c r="AM281" i="2"/>
  <c r="AS281" i="2"/>
  <c r="AL281" i="2"/>
  <c r="AR281" i="2"/>
  <c r="AK281" i="2"/>
  <c r="AJ281" i="2"/>
  <c r="AI281" i="2"/>
  <c r="AO281" i="2"/>
  <c r="U281" i="2"/>
  <c r="M281" i="2"/>
  <c r="I281" i="2"/>
  <c r="E281" i="2"/>
  <c r="D281" i="2"/>
  <c r="C281" i="2"/>
  <c r="B281" i="2"/>
  <c r="A281" i="2"/>
  <c r="AR280" i="2"/>
  <c r="AN280" i="2"/>
  <c r="AT280" i="2" s="1"/>
  <c r="AM280" i="2"/>
  <c r="AS280" i="2" s="1"/>
  <c r="AL280" i="2"/>
  <c r="AK280" i="2"/>
  <c r="AJ280" i="2"/>
  <c r="AP280" i="2" s="1"/>
  <c r="AI280" i="2"/>
  <c r="AO280" i="2" s="1"/>
  <c r="U280" i="2"/>
  <c r="O280" i="2"/>
  <c r="M280" i="2"/>
  <c r="E280" i="2"/>
  <c r="D280" i="2"/>
  <c r="C280" i="2"/>
  <c r="B280" i="2"/>
  <c r="A280" i="2"/>
  <c r="AT279" i="2"/>
  <c r="AN279" i="2"/>
  <c r="AM279" i="2"/>
  <c r="AS279" i="2" s="1"/>
  <c r="Z278" i="2" s="1"/>
  <c r="AL279" i="2"/>
  <c r="AR279" i="2" s="1"/>
  <c r="AK279" i="2"/>
  <c r="AQ279" i="2" s="1"/>
  <c r="Z277" i="2" s="1"/>
  <c r="AJ279" i="2"/>
  <c r="AI279" i="2"/>
  <c r="AO279" i="2" s="1"/>
  <c r="BE279" i="2" s="1"/>
  <c r="U279" i="2"/>
  <c r="M279" i="2"/>
  <c r="I279" i="2"/>
  <c r="E279" i="2"/>
  <c r="D279" i="2"/>
  <c r="C279" i="2"/>
  <c r="B279" i="2"/>
  <c r="A279" i="2"/>
  <c r="U278" i="2"/>
  <c r="U277" i="2"/>
  <c r="O277" i="2"/>
  <c r="I277" i="2"/>
  <c r="U276" i="2"/>
  <c r="Q275" i="2"/>
  <c r="U273" i="2"/>
  <c r="U272" i="2"/>
  <c r="O272" i="2"/>
  <c r="U271" i="2"/>
  <c r="AN270" i="2"/>
  <c r="AT270" i="2" s="1"/>
  <c r="AM270" i="2"/>
  <c r="AS270" i="2"/>
  <c r="AL270" i="2"/>
  <c r="AR270" i="2"/>
  <c r="AK270" i="2"/>
  <c r="AQ270" i="2" s="1"/>
  <c r="AJ270" i="2"/>
  <c r="AP270" i="2" s="1"/>
  <c r="AI270" i="2"/>
  <c r="AO270" i="2"/>
  <c r="U270" i="2"/>
  <c r="M270" i="2"/>
  <c r="E270" i="2"/>
  <c r="D270" i="2"/>
  <c r="C270" i="2"/>
  <c r="B270" i="2"/>
  <c r="A270" i="2"/>
  <c r="AR269" i="2"/>
  <c r="AN269" i="2"/>
  <c r="AT269" i="2"/>
  <c r="AM269" i="2"/>
  <c r="AS269" i="2"/>
  <c r="AL269" i="2"/>
  <c r="AK269" i="2"/>
  <c r="AQ269" i="2" s="1"/>
  <c r="AJ269" i="2"/>
  <c r="AP269" i="2" s="1"/>
  <c r="AI269" i="2"/>
  <c r="U269" i="2"/>
  <c r="O269" i="2"/>
  <c r="M269" i="2"/>
  <c r="I269" i="2"/>
  <c r="E269" i="2"/>
  <c r="D269" i="2"/>
  <c r="C269" i="2"/>
  <c r="B269" i="2"/>
  <c r="A269" i="2"/>
  <c r="AP268" i="2"/>
  <c r="AN268" i="2"/>
  <c r="AT268" i="2" s="1"/>
  <c r="Z267" i="2" s="1"/>
  <c r="AM268" i="2"/>
  <c r="AS268" i="2"/>
  <c r="Y270" i="2" s="1"/>
  <c r="AL268" i="2"/>
  <c r="AR268" i="2"/>
  <c r="AK268" i="2"/>
  <c r="AQ268" i="2"/>
  <c r="AJ268" i="2"/>
  <c r="AI268" i="2"/>
  <c r="AO268" i="2" s="1"/>
  <c r="U268" i="2"/>
  <c r="M268" i="2"/>
  <c r="E268" i="2"/>
  <c r="D268" i="2"/>
  <c r="C268" i="2"/>
  <c r="B268" i="2"/>
  <c r="A268" i="2"/>
  <c r="AN267" i="2"/>
  <c r="AT267" i="2"/>
  <c r="AM267" i="2"/>
  <c r="AS267" i="2" s="1"/>
  <c r="AL267" i="2"/>
  <c r="AR267" i="2" s="1"/>
  <c r="AK267" i="2"/>
  <c r="AQ267" i="2" s="1"/>
  <c r="AJ267" i="2"/>
  <c r="AP267" i="2" s="1"/>
  <c r="AI267" i="2"/>
  <c r="AO267" i="2" s="1"/>
  <c r="U267" i="2"/>
  <c r="M267" i="2"/>
  <c r="I267" i="2"/>
  <c r="E267" i="2"/>
  <c r="D267" i="2"/>
  <c r="C267" i="2"/>
  <c r="B267" i="2"/>
  <c r="A267" i="2"/>
  <c r="AP266" i="2"/>
  <c r="AN266" i="2"/>
  <c r="AT266" i="2"/>
  <c r="AM266" i="2"/>
  <c r="AS266" i="2" s="1"/>
  <c r="AL266" i="2"/>
  <c r="AR266" i="2" s="1"/>
  <c r="AK266" i="2"/>
  <c r="AQ266" i="2"/>
  <c r="Y272" i="2" s="1"/>
  <c r="AJ266" i="2"/>
  <c r="AI266" i="2"/>
  <c r="AO266" i="2" s="1"/>
  <c r="Y271" i="2" s="1"/>
  <c r="U266" i="2"/>
  <c r="O266" i="2"/>
  <c r="M266" i="2"/>
  <c r="E266" i="2"/>
  <c r="D266" i="2"/>
  <c r="C266" i="2"/>
  <c r="B266" i="2"/>
  <c r="A266" i="2"/>
  <c r="AY265" i="2"/>
  <c r="AQ265" i="2"/>
  <c r="AN265" i="2"/>
  <c r="AT265" i="2"/>
  <c r="AM265" i="2"/>
  <c r="AS265" i="2" s="1"/>
  <c r="X270" i="2" s="1"/>
  <c r="AL265" i="2"/>
  <c r="AR265" i="2" s="1"/>
  <c r="AK265" i="2"/>
  <c r="AJ265" i="2"/>
  <c r="AP265" i="2" s="1"/>
  <c r="AI265" i="2"/>
  <c r="AW267" i="2" s="1"/>
  <c r="BB265" i="2" s="1"/>
  <c r="U265" i="2"/>
  <c r="M265" i="2"/>
  <c r="I265" i="2"/>
  <c r="E265" i="2"/>
  <c r="D265" i="2"/>
  <c r="C265" i="2"/>
  <c r="B265" i="2"/>
  <c r="A265" i="2"/>
  <c r="U264" i="2"/>
  <c r="U263" i="2"/>
  <c r="O263" i="2"/>
  <c r="I263" i="2"/>
  <c r="U262" i="2"/>
  <c r="Q261" i="2"/>
  <c r="T259" i="2"/>
  <c r="X256" i="2"/>
  <c r="P256" i="2"/>
  <c r="X255" i="2"/>
  <c r="M255" i="2"/>
  <c r="A255" i="2"/>
  <c r="G255" i="2" s="1"/>
  <c r="E253" i="2" s="1"/>
  <c r="AA254" i="2"/>
  <c r="X254" i="2"/>
  <c r="P254" i="2"/>
  <c r="AA253" i="2"/>
  <c r="M253" i="2"/>
  <c r="H253" i="2"/>
  <c r="A253" i="2"/>
  <c r="G253" i="2" s="1"/>
  <c r="E249" i="2" s="1"/>
  <c r="AA252" i="2"/>
  <c r="X252" i="2"/>
  <c r="P252" i="2"/>
  <c r="X251" i="2"/>
  <c r="M251" i="2"/>
  <c r="G251" i="2"/>
  <c r="C253" i="2" s="1"/>
  <c r="A251" i="2"/>
  <c r="H251" i="2" s="1"/>
  <c r="AD250" i="2"/>
  <c r="X250" i="2"/>
  <c r="P250" i="2"/>
  <c r="AD249" i="2"/>
  <c r="M249" i="2"/>
  <c r="G249" i="2"/>
  <c r="A249" i="2"/>
  <c r="H249" i="2" s="1"/>
  <c r="AD248" i="2"/>
  <c r="X248" i="2"/>
  <c r="P248" i="2"/>
  <c r="X247" i="2"/>
  <c r="M247" i="2"/>
  <c r="G247" i="2"/>
  <c r="E245" i="2" s="1"/>
  <c r="F247" i="2"/>
  <c r="A247" i="2"/>
  <c r="H247" i="2" s="1"/>
  <c r="AA246" i="2"/>
  <c r="X246" i="2"/>
  <c r="P246" i="2"/>
  <c r="AA245" i="2"/>
  <c r="M245" i="2"/>
  <c r="D245" i="2"/>
  <c r="A245" i="2"/>
  <c r="G245" i="2" s="1"/>
  <c r="C249" i="2" s="1"/>
  <c r="AA244" i="2"/>
  <c r="X244" i="2"/>
  <c r="P244" i="2"/>
  <c r="X243" i="2"/>
  <c r="M243" i="2"/>
  <c r="G243" i="2"/>
  <c r="C245" i="2" s="1"/>
  <c r="A243" i="2"/>
  <c r="H243" i="2" s="1"/>
  <c r="X242" i="2"/>
  <c r="P242" i="2"/>
  <c r="O242" i="2"/>
  <c r="O244" i="2" s="1"/>
  <c r="U237" i="2"/>
  <c r="U236" i="2"/>
  <c r="O236" i="2"/>
  <c r="U235" i="2"/>
  <c r="AT234" i="2"/>
  <c r="AP234" i="2"/>
  <c r="AN234" i="2"/>
  <c r="AM234" i="2"/>
  <c r="AS234" i="2" s="1"/>
  <c r="X234" i="2" s="1"/>
  <c r="AL234" i="2"/>
  <c r="AR234" i="2"/>
  <c r="AK234" i="2"/>
  <c r="AQ234" i="2" s="1"/>
  <c r="AJ234" i="2"/>
  <c r="AI234" i="2"/>
  <c r="AO234" i="2" s="1"/>
  <c r="U234" i="2"/>
  <c r="M234" i="2"/>
  <c r="I234" i="2"/>
  <c r="E234" i="2"/>
  <c r="D234" i="2"/>
  <c r="C234" i="2"/>
  <c r="B234" i="2"/>
  <c r="A234" i="2"/>
  <c r="AW233" i="2"/>
  <c r="AN233" i="2"/>
  <c r="AT233" i="2"/>
  <c r="AM233" i="2"/>
  <c r="AS233" i="2" s="1"/>
  <c r="AL233" i="2"/>
  <c r="AR233" i="2" s="1"/>
  <c r="AK233" i="2"/>
  <c r="AQ233" i="2" s="1"/>
  <c r="AJ233" i="2"/>
  <c r="AP233" i="2" s="1"/>
  <c r="AI233" i="2"/>
  <c r="U233" i="2"/>
  <c r="O233" i="2"/>
  <c r="M233" i="2"/>
  <c r="E233" i="2"/>
  <c r="D233" i="2"/>
  <c r="C233" i="2"/>
  <c r="B233" i="2"/>
  <c r="A233" i="2"/>
  <c r="AS232" i="2"/>
  <c r="AQ232" i="2"/>
  <c r="AN232" i="2"/>
  <c r="AT232" i="2"/>
  <c r="AM232" i="2"/>
  <c r="AL232" i="2"/>
  <c r="AR232" i="2" s="1"/>
  <c r="AK232" i="2"/>
  <c r="AJ232" i="2"/>
  <c r="AP232" i="2" s="1"/>
  <c r="BF232" i="2" s="1"/>
  <c r="AI232" i="2"/>
  <c r="AO232" i="2" s="1"/>
  <c r="X235" i="2" s="1"/>
  <c r="U232" i="2"/>
  <c r="M232" i="2"/>
  <c r="I232" i="2"/>
  <c r="E232" i="2"/>
  <c r="D232" i="2"/>
  <c r="C232" i="2"/>
  <c r="B232" i="2"/>
  <c r="A232" i="2"/>
  <c r="U231" i="2"/>
  <c r="U230" i="2"/>
  <c r="O230" i="2"/>
  <c r="I230" i="2"/>
  <c r="U229" i="2"/>
  <c r="Q228" i="2"/>
  <c r="U226" i="2"/>
  <c r="U225" i="2"/>
  <c r="O225" i="2"/>
  <c r="U224" i="2"/>
  <c r="AO223" i="2"/>
  <c r="AN223" i="2"/>
  <c r="AT223" i="2" s="1"/>
  <c r="AM223" i="2"/>
  <c r="AS223" i="2" s="1"/>
  <c r="AL223" i="2"/>
  <c r="AK223" i="2"/>
  <c r="AQ223" i="2" s="1"/>
  <c r="AJ223" i="2"/>
  <c r="AP223" i="2" s="1"/>
  <c r="AI223" i="2"/>
  <c r="U223" i="2"/>
  <c r="M223" i="2"/>
  <c r="I223" i="2"/>
  <c r="E223" i="2"/>
  <c r="D223" i="2"/>
  <c r="C223" i="2"/>
  <c r="B223" i="2"/>
  <c r="A223" i="2"/>
  <c r="AN222" i="2"/>
  <c r="AT222" i="2" s="1"/>
  <c r="AM222" i="2"/>
  <c r="AS222" i="2" s="1"/>
  <c r="AL222" i="2"/>
  <c r="AR222" i="2" s="1"/>
  <c r="AK222" i="2"/>
  <c r="AQ222" i="2" s="1"/>
  <c r="AJ222" i="2"/>
  <c r="AP222" i="2"/>
  <c r="AI222" i="2"/>
  <c r="AO222" i="2" s="1"/>
  <c r="Y224" i="2" s="1"/>
  <c r="U222" i="2"/>
  <c r="O222" i="2"/>
  <c r="M222" i="2"/>
  <c r="E222" i="2"/>
  <c r="D222" i="2"/>
  <c r="C222" i="2"/>
  <c r="B222" i="2"/>
  <c r="A222" i="2"/>
  <c r="AN221" i="2"/>
  <c r="AT221" i="2" s="1"/>
  <c r="AM221" i="2"/>
  <c r="AS221" i="2" s="1"/>
  <c r="AL221" i="2"/>
  <c r="AR221" i="2" s="1"/>
  <c r="AK221" i="2"/>
  <c r="AQ221" i="2" s="1"/>
  <c r="Z219" i="2" s="1"/>
  <c r="AJ221" i="2"/>
  <c r="AP221" i="2"/>
  <c r="AI221" i="2"/>
  <c r="U221" i="2"/>
  <c r="M221" i="2"/>
  <c r="I221" i="2"/>
  <c r="E221" i="2"/>
  <c r="D221" i="2"/>
  <c r="C221" i="2"/>
  <c r="B221" i="2"/>
  <c r="A221" i="2"/>
  <c r="U220" i="2"/>
  <c r="U219" i="2"/>
  <c r="O219" i="2"/>
  <c r="I219" i="2"/>
  <c r="U218" i="2"/>
  <c r="Q217" i="2"/>
  <c r="U215" i="2"/>
  <c r="U214" i="2"/>
  <c r="O214" i="2"/>
  <c r="U213" i="2"/>
  <c r="AS212" i="2"/>
  <c r="AQ212" i="2"/>
  <c r="AN212" i="2"/>
  <c r="AT212" i="2" s="1"/>
  <c r="AM212" i="2"/>
  <c r="AL212" i="2"/>
  <c r="AR212" i="2" s="1"/>
  <c r="Y208" i="2" s="1"/>
  <c r="AK212" i="2"/>
  <c r="AJ212" i="2"/>
  <c r="AP212" i="2" s="1"/>
  <c r="AI212" i="2"/>
  <c r="AO212" i="2"/>
  <c r="U212" i="2"/>
  <c r="M212" i="2"/>
  <c r="I212" i="2"/>
  <c r="E212" i="2"/>
  <c r="D212" i="2"/>
  <c r="C212" i="2"/>
  <c r="B212" i="2"/>
  <c r="A212" i="2"/>
  <c r="AW211" i="2"/>
  <c r="AN211" i="2"/>
  <c r="AT211" i="2"/>
  <c r="AM211" i="2"/>
  <c r="AS211" i="2" s="1"/>
  <c r="AL211" i="2"/>
  <c r="AR211" i="2" s="1"/>
  <c r="AK211" i="2"/>
  <c r="AQ211" i="2" s="1"/>
  <c r="AJ211" i="2"/>
  <c r="AP211" i="2" s="1"/>
  <c r="AI211" i="2"/>
  <c r="AY212" i="2" s="1"/>
  <c r="BB211" i="2" s="1"/>
  <c r="U211" i="2"/>
  <c r="O211" i="2"/>
  <c r="M211" i="2"/>
  <c r="E211" i="2"/>
  <c r="D211" i="2"/>
  <c r="C211" i="2"/>
  <c r="B211" i="2"/>
  <c r="A211" i="2"/>
  <c r="AS210" i="2"/>
  <c r="AQ210" i="2"/>
  <c r="AN210" i="2"/>
  <c r="AT210" i="2"/>
  <c r="AM210" i="2"/>
  <c r="AL210" i="2"/>
  <c r="AR210" i="2" s="1"/>
  <c r="AK210" i="2"/>
  <c r="AJ210" i="2"/>
  <c r="AP210" i="2" s="1"/>
  <c r="BF210" i="2" s="1"/>
  <c r="AI210" i="2"/>
  <c r="AO210" i="2" s="1"/>
  <c r="U210" i="2"/>
  <c r="M210" i="2"/>
  <c r="I210" i="2"/>
  <c r="E210" i="2"/>
  <c r="D210" i="2"/>
  <c r="C210" i="2"/>
  <c r="B210" i="2"/>
  <c r="A210" i="2"/>
  <c r="U209" i="2"/>
  <c r="U208" i="2"/>
  <c r="O208" i="2"/>
  <c r="I208" i="2"/>
  <c r="U207" i="2"/>
  <c r="Q206" i="2"/>
  <c r="U204" i="2"/>
  <c r="U203" i="2"/>
  <c r="O203" i="2"/>
  <c r="U202" i="2"/>
  <c r="AN201" i="2"/>
  <c r="AT201" i="2" s="1"/>
  <c r="AM201" i="2"/>
  <c r="AS201" i="2" s="1"/>
  <c r="AL201" i="2"/>
  <c r="AK201" i="2"/>
  <c r="AQ201" i="2"/>
  <c r="AJ201" i="2"/>
  <c r="AP201" i="2" s="1"/>
  <c r="AI201" i="2"/>
  <c r="AO201" i="2" s="1"/>
  <c r="X199" i="2" s="1"/>
  <c r="U201" i="2"/>
  <c r="M201" i="2"/>
  <c r="I201" i="2"/>
  <c r="E201" i="2"/>
  <c r="D201" i="2"/>
  <c r="C201" i="2"/>
  <c r="B201" i="2"/>
  <c r="A201" i="2"/>
  <c r="AN200" i="2"/>
  <c r="AT200" i="2"/>
  <c r="AM200" i="2"/>
  <c r="AS200" i="2" s="1"/>
  <c r="AL200" i="2"/>
  <c r="AR200" i="2" s="1"/>
  <c r="AK200" i="2"/>
  <c r="AQ200" i="2" s="1"/>
  <c r="AJ200" i="2"/>
  <c r="AP200" i="2" s="1"/>
  <c r="BF200" i="2" s="1"/>
  <c r="AI200" i="2"/>
  <c r="AO200" i="2" s="1"/>
  <c r="U200" i="2"/>
  <c r="O200" i="2"/>
  <c r="M200" i="2"/>
  <c r="E200" i="2"/>
  <c r="D200" i="2"/>
  <c r="C200" i="2"/>
  <c r="B200" i="2"/>
  <c r="A200" i="2"/>
  <c r="AN199" i="2"/>
  <c r="AT199" i="2"/>
  <c r="AM199" i="2"/>
  <c r="AS199" i="2" s="1"/>
  <c r="AL199" i="2"/>
  <c r="AR199" i="2" s="1"/>
  <c r="AK199" i="2"/>
  <c r="AQ199" i="2" s="1"/>
  <c r="Z197" i="2" s="1"/>
  <c r="AJ199" i="2"/>
  <c r="AP199" i="2" s="1"/>
  <c r="AI199" i="2"/>
  <c r="U199" i="2"/>
  <c r="M199" i="2"/>
  <c r="I199" i="2"/>
  <c r="E199" i="2"/>
  <c r="D199" i="2"/>
  <c r="C199" i="2"/>
  <c r="B199" i="2"/>
  <c r="A199" i="2"/>
  <c r="U198" i="2"/>
  <c r="U197" i="2"/>
  <c r="O197" i="2"/>
  <c r="I197" i="2"/>
  <c r="U196" i="2"/>
  <c r="Q195" i="2"/>
  <c r="U193" i="2"/>
  <c r="U192" i="2"/>
  <c r="O192" i="2"/>
  <c r="U191" i="2"/>
  <c r="AS190" i="2"/>
  <c r="AN190" i="2"/>
  <c r="AT190" i="2" s="1"/>
  <c r="AM190" i="2"/>
  <c r="AL190" i="2"/>
  <c r="AR190" i="2" s="1"/>
  <c r="AK190" i="2"/>
  <c r="AQ190" i="2" s="1"/>
  <c r="AJ190" i="2"/>
  <c r="AP190" i="2" s="1"/>
  <c r="AI190" i="2"/>
  <c r="AO190" i="2"/>
  <c r="Y185" i="2" s="1"/>
  <c r="U190" i="2"/>
  <c r="M190" i="2"/>
  <c r="I190" i="2"/>
  <c r="E190" i="2"/>
  <c r="D190" i="2"/>
  <c r="C190" i="2"/>
  <c r="B190" i="2"/>
  <c r="A190" i="2"/>
  <c r="AW189" i="2"/>
  <c r="AP189" i="2"/>
  <c r="AN189" i="2"/>
  <c r="AT189" i="2" s="1"/>
  <c r="AM189" i="2"/>
  <c r="AS189" i="2" s="1"/>
  <c r="AL189" i="2"/>
  <c r="AR189" i="2" s="1"/>
  <c r="AK189" i="2"/>
  <c r="AQ189" i="2" s="1"/>
  <c r="AJ189" i="2"/>
  <c r="AI189" i="2"/>
  <c r="BA189" i="2" s="1"/>
  <c r="AZ190" i="2" s="1"/>
  <c r="U189" i="2"/>
  <c r="O189" i="2"/>
  <c r="M189" i="2"/>
  <c r="E189" i="2"/>
  <c r="D189" i="2"/>
  <c r="C189" i="2"/>
  <c r="B189" i="2"/>
  <c r="A189" i="2"/>
  <c r="AY188" i="2"/>
  <c r="AX189" i="2" s="1"/>
  <c r="AT188" i="2"/>
  <c r="AP188" i="2"/>
  <c r="AN188" i="2"/>
  <c r="AM188" i="2"/>
  <c r="AS188" i="2" s="1"/>
  <c r="AL188" i="2"/>
  <c r="AR188" i="2" s="1"/>
  <c r="AK188" i="2"/>
  <c r="AQ188" i="2" s="1"/>
  <c r="AJ188" i="2"/>
  <c r="AI188" i="2"/>
  <c r="BA188" i="2" s="1"/>
  <c r="AX190" i="2" s="1"/>
  <c r="U188" i="2"/>
  <c r="M188" i="2"/>
  <c r="I188" i="2"/>
  <c r="E188" i="2"/>
  <c r="D188" i="2"/>
  <c r="C188" i="2"/>
  <c r="B188" i="2"/>
  <c r="A188" i="2"/>
  <c r="U187" i="2"/>
  <c r="U186" i="2"/>
  <c r="O186" i="2"/>
  <c r="I186" i="2"/>
  <c r="U185" i="2"/>
  <c r="Q184" i="2"/>
  <c r="U182" i="2"/>
  <c r="U181" i="2"/>
  <c r="O181" i="2"/>
  <c r="U180" i="2"/>
  <c r="AS179" i="2"/>
  <c r="AN179" i="2"/>
  <c r="AT179" i="2"/>
  <c r="AM179" i="2"/>
  <c r="AL179" i="2"/>
  <c r="AR179" i="2" s="1"/>
  <c r="AK179" i="2"/>
  <c r="AQ179" i="2"/>
  <c r="AJ179" i="2"/>
  <c r="AI179" i="2"/>
  <c r="AO179" i="2" s="1"/>
  <c r="U179" i="2"/>
  <c r="M179" i="2"/>
  <c r="I179" i="2"/>
  <c r="E179" i="2"/>
  <c r="D179" i="2"/>
  <c r="C179" i="2"/>
  <c r="B179" i="2"/>
  <c r="A179" i="2"/>
  <c r="AN178" i="2"/>
  <c r="AT178" i="2" s="1"/>
  <c r="AM178" i="2"/>
  <c r="AS178" i="2"/>
  <c r="AL178" i="2"/>
  <c r="AR178" i="2"/>
  <c r="AK178" i="2"/>
  <c r="AQ178" i="2" s="1"/>
  <c r="AJ178" i="2"/>
  <c r="AP178" i="2" s="1"/>
  <c r="AI178" i="2"/>
  <c r="AO178" i="2" s="1"/>
  <c r="Z177" i="2" s="1"/>
  <c r="U178" i="2"/>
  <c r="O178" i="2"/>
  <c r="M178" i="2"/>
  <c r="E178" i="2"/>
  <c r="D178" i="2"/>
  <c r="C178" i="2"/>
  <c r="B178" i="2"/>
  <c r="A178" i="2"/>
  <c r="AN177" i="2"/>
  <c r="AT177" i="2" s="1"/>
  <c r="AM177" i="2"/>
  <c r="AS177" i="2"/>
  <c r="Z176" i="2" s="1"/>
  <c r="AL177" i="2"/>
  <c r="AR177" i="2" s="1"/>
  <c r="AK177" i="2"/>
  <c r="AQ177" i="2" s="1"/>
  <c r="AJ177" i="2"/>
  <c r="AP177" i="2" s="1"/>
  <c r="BE179" i="2" s="1"/>
  <c r="AI177" i="2"/>
  <c r="BA177" i="2" s="1"/>
  <c r="AX179" i="2" s="1"/>
  <c r="U177" i="2"/>
  <c r="M177" i="2"/>
  <c r="I177" i="2"/>
  <c r="E177" i="2"/>
  <c r="D177" i="2"/>
  <c r="C177" i="2"/>
  <c r="B177" i="2"/>
  <c r="A177" i="2"/>
  <c r="U176" i="2"/>
  <c r="U175" i="2"/>
  <c r="O175" i="2"/>
  <c r="I175" i="2"/>
  <c r="U174" i="2"/>
  <c r="Q173" i="2"/>
  <c r="U171" i="2"/>
  <c r="U170" i="2"/>
  <c r="O170" i="2"/>
  <c r="U169" i="2"/>
  <c r="AR168" i="2"/>
  <c r="AN168" i="2"/>
  <c r="AT168" i="2"/>
  <c r="AM168" i="2"/>
  <c r="AS168" i="2"/>
  <c r="AL168" i="2"/>
  <c r="AK168" i="2"/>
  <c r="AQ168" i="2" s="1"/>
  <c r="AJ168" i="2"/>
  <c r="AI168" i="2"/>
  <c r="AO168" i="2"/>
  <c r="U168" i="2"/>
  <c r="M168" i="2"/>
  <c r="I168" i="2"/>
  <c r="E168" i="2"/>
  <c r="D168" i="2"/>
  <c r="C168" i="2"/>
  <c r="B168" i="2"/>
  <c r="A168" i="2"/>
  <c r="AN167" i="2"/>
  <c r="AT167" i="2" s="1"/>
  <c r="AM167" i="2"/>
  <c r="AS167" i="2" s="1"/>
  <c r="AL167" i="2"/>
  <c r="AR167" i="2"/>
  <c r="AK167" i="2"/>
  <c r="AQ167" i="2"/>
  <c r="AJ167" i="2"/>
  <c r="AP167" i="2" s="1"/>
  <c r="AI167" i="2"/>
  <c r="AO167" i="2" s="1"/>
  <c r="U167" i="2"/>
  <c r="O167" i="2"/>
  <c r="M167" i="2"/>
  <c r="E167" i="2"/>
  <c r="D167" i="2"/>
  <c r="C167" i="2"/>
  <c r="B167" i="2"/>
  <c r="A167" i="2"/>
  <c r="AO166" i="2"/>
  <c r="X169" i="2" s="1"/>
  <c r="AN166" i="2"/>
  <c r="AT166" i="2" s="1"/>
  <c r="AM166" i="2"/>
  <c r="AS166" i="2" s="1"/>
  <c r="AL166" i="2"/>
  <c r="AR166" i="2" s="1"/>
  <c r="AK166" i="2"/>
  <c r="AQ166" i="2" s="1"/>
  <c r="AJ166" i="2"/>
  <c r="AP166" i="2" s="1"/>
  <c r="AI166" i="2"/>
  <c r="BA166" i="2" s="1"/>
  <c r="AX168" i="2" s="1"/>
  <c r="U166" i="2"/>
  <c r="M166" i="2"/>
  <c r="I166" i="2"/>
  <c r="E166" i="2"/>
  <c r="D166" i="2"/>
  <c r="C166" i="2"/>
  <c r="B166" i="2"/>
  <c r="A166" i="2"/>
  <c r="U165" i="2"/>
  <c r="U164" i="2"/>
  <c r="O164" i="2"/>
  <c r="I164" i="2"/>
  <c r="U163" i="2"/>
  <c r="Q162" i="2"/>
  <c r="U160" i="2"/>
  <c r="U159" i="2"/>
  <c r="O159" i="2"/>
  <c r="U158" i="2"/>
  <c r="AN157" i="2"/>
  <c r="AT157" i="2"/>
  <c r="AM157" i="2"/>
  <c r="AS157" i="2"/>
  <c r="AL157" i="2"/>
  <c r="AR157" i="2" s="1"/>
  <c r="AK157" i="2"/>
  <c r="AQ157" i="2" s="1"/>
  <c r="AJ157" i="2"/>
  <c r="AP157" i="2"/>
  <c r="AI157" i="2"/>
  <c r="U157" i="2"/>
  <c r="M157" i="2"/>
  <c r="E157" i="2"/>
  <c r="D157" i="2"/>
  <c r="C157" i="2"/>
  <c r="B157" i="2"/>
  <c r="A157" i="2"/>
  <c r="AN156" i="2"/>
  <c r="AT156" i="2" s="1"/>
  <c r="AM156" i="2"/>
  <c r="AS156" i="2" s="1"/>
  <c r="AL156" i="2"/>
  <c r="AR156" i="2"/>
  <c r="AK156" i="2"/>
  <c r="AQ156" i="2"/>
  <c r="AJ156" i="2"/>
  <c r="AP156" i="2" s="1"/>
  <c r="AI156" i="2"/>
  <c r="AO156" i="2" s="1"/>
  <c r="Z158" i="2" s="1"/>
  <c r="U156" i="2"/>
  <c r="O156" i="2"/>
  <c r="M156" i="2"/>
  <c r="I156" i="2"/>
  <c r="E156" i="2"/>
  <c r="D156" i="2"/>
  <c r="C156" i="2"/>
  <c r="B156" i="2"/>
  <c r="A156" i="2"/>
  <c r="AQ155" i="2"/>
  <c r="Y156" i="2" s="1"/>
  <c r="AN155" i="2"/>
  <c r="AT155" i="2" s="1"/>
  <c r="AM155" i="2"/>
  <c r="AS155" i="2" s="1"/>
  <c r="Z154" i="2" s="1"/>
  <c r="AL155" i="2"/>
  <c r="AR155" i="2" s="1"/>
  <c r="AK155" i="2"/>
  <c r="AJ155" i="2"/>
  <c r="AP155" i="2" s="1"/>
  <c r="AI155" i="2"/>
  <c r="U155" i="2"/>
  <c r="M155" i="2"/>
  <c r="E155" i="2"/>
  <c r="D155" i="2"/>
  <c r="C155" i="2"/>
  <c r="B155" i="2"/>
  <c r="A155" i="2"/>
  <c r="AN154" i="2"/>
  <c r="AT154" i="2" s="1"/>
  <c r="AM154" i="2"/>
  <c r="AS154" i="2" s="1"/>
  <c r="AL154" i="2"/>
  <c r="AR154" i="2"/>
  <c r="AK154" i="2"/>
  <c r="AQ154" i="2"/>
  <c r="AJ154" i="2"/>
  <c r="AP154" i="2" s="1"/>
  <c r="AI154" i="2"/>
  <c r="AO154" i="2" s="1"/>
  <c r="U154" i="2"/>
  <c r="M154" i="2"/>
  <c r="I154" i="2"/>
  <c r="E154" i="2"/>
  <c r="D154" i="2"/>
  <c r="C154" i="2"/>
  <c r="B154" i="2"/>
  <c r="A154" i="2"/>
  <c r="BA153" i="2"/>
  <c r="AZ154" i="2" s="1"/>
  <c r="AT153" i="2"/>
  <c r="AN153" i="2"/>
  <c r="AM153" i="2"/>
  <c r="AS153" i="2" s="1"/>
  <c r="AA154" i="2" s="1"/>
  <c r="AL153" i="2"/>
  <c r="AR153" i="2"/>
  <c r="AK153" i="2"/>
  <c r="AQ153" i="2" s="1"/>
  <c r="AJ153" i="2"/>
  <c r="AP153" i="2" s="1"/>
  <c r="AI153" i="2"/>
  <c r="BC153" i="2" s="1"/>
  <c r="AZ155" i="2" s="1"/>
  <c r="U153" i="2"/>
  <c r="O153" i="2"/>
  <c r="M153" i="2"/>
  <c r="E153" i="2"/>
  <c r="D153" i="2"/>
  <c r="C153" i="2"/>
  <c r="B153" i="2"/>
  <c r="A153" i="2"/>
  <c r="AN152" i="2"/>
  <c r="AT152" i="2" s="1"/>
  <c r="AM152" i="2"/>
  <c r="AS152" i="2" s="1"/>
  <c r="AL152" i="2"/>
  <c r="AR152" i="2" s="1"/>
  <c r="AK152" i="2"/>
  <c r="AQ152" i="2" s="1"/>
  <c r="AJ152" i="2"/>
  <c r="AP152" i="2" s="1"/>
  <c r="AI152" i="2"/>
  <c r="AO152" i="2" s="1"/>
  <c r="BA152" i="2"/>
  <c r="AX154" i="2" s="1"/>
  <c r="U152" i="2"/>
  <c r="M152" i="2"/>
  <c r="I152" i="2"/>
  <c r="E152" i="2"/>
  <c r="D152" i="2"/>
  <c r="C152" i="2"/>
  <c r="B152" i="2"/>
  <c r="A152" i="2"/>
  <c r="U151" i="2"/>
  <c r="U150" i="2"/>
  <c r="O150" i="2"/>
  <c r="I150" i="2"/>
  <c r="U149" i="2"/>
  <c r="Q148" i="2"/>
  <c r="T146" i="2"/>
  <c r="X143" i="2"/>
  <c r="P143" i="2"/>
  <c r="M142" i="2"/>
  <c r="H142" i="2"/>
  <c r="A142" i="2"/>
  <c r="L142" i="2"/>
  <c r="AA141" i="2"/>
  <c r="P141" i="2"/>
  <c r="O141" i="2"/>
  <c r="Q141" i="2" s="1"/>
  <c r="AA140" i="2"/>
  <c r="M140" i="2"/>
  <c r="A140" i="2"/>
  <c r="H140" i="2" s="1"/>
  <c r="AA139" i="2"/>
  <c r="X139" i="2"/>
  <c r="P139" i="2"/>
  <c r="M138" i="2"/>
  <c r="A138" i="2"/>
  <c r="H138" i="2" s="1"/>
  <c r="AD137" i="2"/>
  <c r="P137" i="2"/>
  <c r="O137" i="2" s="1"/>
  <c r="AD136" i="2"/>
  <c r="M136" i="2"/>
  <c r="A136" i="2"/>
  <c r="F136" i="2" s="1"/>
  <c r="D128" i="2" s="1"/>
  <c r="AD135" i="2"/>
  <c r="X135" i="2"/>
  <c r="P135" i="2"/>
  <c r="M134" i="2"/>
  <c r="A134" i="2"/>
  <c r="H134" i="2" s="1"/>
  <c r="AA133" i="2"/>
  <c r="P133" i="2"/>
  <c r="O133" i="2" s="1"/>
  <c r="Q133" i="2" s="1"/>
  <c r="AA132" i="2"/>
  <c r="M132" i="2"/>
  <c r="H132" i="2"/>
  <c r="A132" i="2"/>
  <c r="F132" i="2" s="1"/>
  <c r="B136" i="2" s="1"/>
  <c r="AA131" i="2"/>
  <c r="X131" i="2"/>
  <c r="P131" i="2"/>
  <c r="X130" i="2"/>
  <c r="M130" i="2"/>
  <c r="A130" i="2"/>
  <c r="F130" i="2" s="1"/>
  <c r="B132" i="2" s="1"/>
  <c r="AD129" i="2"/>
  <c r="X129" i="2"/>
  <c r="P129" i="2"/>
  <c r="AD128" i="2"/>
  <c r="M128" i="2"/>
  <c r="H128" i="2"/>
  <c r="A128" i="2"/>
  <c r="F128" i="2" s="1"/>
  <c r="AD127" i="2"/>
  <c r="X127" i="2"/>
  <c r="P127" i="2"/>
  <c r="O127" i="2" s="1"/>
  <c r="Q127" i="2" s="1"/>
  <c r="M126" i="2"/>
  <c r="H126" i="2"/>
  <c r="A126" i="2"/>
  <c r="L126" i="2"/>
  <c r="AA125" i="2"/>
  <c r="P125" i="2"/>
  <c r="AA124" i="2"/>
  <c r="M124" i="2"/>
  <c r="A124" i="2"/>
  <c r="F124" i="2" s="1"/>
  <c r="D120" i="2" s="1"/>
  <c r="AA123" i="2"/>
  <c r="X123" i="2"/>
  <c r="P123" i="2"/>
  <c r="O123" i="2" s="1"/>
  <c r="Q123" i="2" s="1"/>
  <c r="M122" i="2"/>
  <c r="A122" i="2"/>
  <c r="H122" i="2" s="1"/>
  <c r="AD121" i="2"/>
  <c r="P121" i="2"/>
  <c r="AD120" i="2"/>
  <c r="M120" i="2"/>
  <c r="A120" i="2"/>
  <c r="G120" i="2"/>
  <c r="C128" i="2" s="1"/>
  <c r="AD119" i="2"/>
  <c r="X119" i="2"/>
  <c r="P119" i="2"/>
  <c r="O119" i="2"/>
  <c r="T119" i="2" s="1"/>
  <c r="V119" i="2" s="1"/>
  <c r="M118" i="2"/>
  <c r="A118" i="2"/>
  <c r="L118" i="2" s="1"/>
  <c r="AA117" i="2"/>
  <c r="P117" i="2"/>
  <c r="AA116" i="2"/>
  <c r="M116" i="2"/>
  <c r="A116" i="2"/>
  <c r="G116" i="2"/>
  <c r="C120" i="2" s="1"/>
  <c r="AA115" i="2"/>
  <c r="P115" i="2"/>
  <c r="O115" i="2" s="1"/>
  <c r="M114" i="2"/>
  <c r="A114" i="2"/>
  <c r="L114" i="2"/>
  <c r="P113" i="2"/>
  <c r="O113" i="2"/>
  <c r="O117" i="2" s="1"/>
  <c r="Q117" i="2" s="1"/>
  <c r="U109" i="2"/>
  <c r="U108" i="2"/>
  <c r="O108" i="2"/>
  <c r="U107" i="2"/>
  <c r="AQ106" i="2"/>
  <c r="AN106" i="2"/>
  <c r="AT106" i="2" s="1"/>
  <c r="AM106" i="2"/>
  <c r="AS106" i="2"/>
  <c r="Y100" i="2" s="1"/>
  <c r="AL106" i="2"/>
  <c r="AR106" i="2" s="1"/>
  <c r="Y99" i="2" s="1"/>
  <c r="AK106" i="2"/>
  <c r="AJ106" i="2"/>
  <c r="AP106" i="2" s="1"/>
  <c r="AI106" i="2"/>
  <c r="U106" i="2"/>
  <c r="M106" i="2"/>
  <c r="E106" i="2"/>
  <c r="D106" i="2"/>
  <c r="C106" i="2"/>
  <c r="B106" i="2"/>
  <c r="A106" i="2"/>
  <c r="AO105" i="2"/>
  <c r="AN105" i="2"/>
  <c r="AT105" i="2"/>
  <c r="AM105" i="2"/>
  <c r="AS105" i="2" s="1"/>
  <c r="Z109" i="2" s="1"/>
  <c r="AL105" i="2"/>
  <c r="AR105" i="2" s="1"/>
  <c r="AK105" i="2"/>
  <c r="AQ105" i="2"/>
  <c r="Z108" i="2" s="1"/>
  <c r="AJ105" i="2"/>
  <c r="AP105" i="2" s="1"/>
  <c r="AA104" i="2" s="1"/>
  <c r="AI105" i="2"/>
  <c r="U105" i="2"/>
  <c r="O105" i="2"/>
  <c r="M105" i="2"/>
  <c r="I105" i="2"/>
  <c r="E105" i="2"/>
  <c r="D105" i="2"/>
  <c r="C105" i="2"/>
  <c r="B105" i="2"/>
  <c r="A105" i="2"/>
  <c r="AN104" i="2"/>
  <c r="AT104" i="2" s="1"/>
  <c r="AM104" i="2"/>
  <c r="AS104" i="2"/>
  <c r="Z103" i="2" s="1"/>
  <c r="AL104" i="2"/>
  <c r="AR104" i="2"/>
  <c r="AK104" i="2"/>
  <c r="AQ104" i="2" s="1"/>
  <c r="AJ104" i="2"/>
  <c r="AP104" i="2" s="1"/>
  <c r="AI104" i="2"/>
  <c r="AO104" i="2" s="1"/>
  <c r="U104" i="2"/>
  <c r="M104" i="2"/>
  <c r="E104" i="2"/>
  <c r="D104" i="2"/>
  <c r="C104" i="2"/>
  <c r="B104" i="2"/>
  <c r="A104" i="2"/>
  <c r="AN103" i="2"/>
  <c r="AT103" i="2" s="1"/>
  <c r="AM103" i="2"/>
  <c r="AS103" i="2" s="1"/>
  <c r="X109" i="2" s="1"/>
  <c r="AL103" i="2"/>
  <c r="AR103" i="2" s="1"/>
  <c r="AK103" i="2"/>
  <c r="AQ103" i="2"/>
  <c r="X108" i="2" s="1"/>
  <c r="AJ103" i="2"/>
  <c r="AP103" i="2" s="1"/>
  <c r="AI103" i="2"/>
  <c r="AO103" i="2" s="1"/>
  <c r="U103" i="2"/>
  <c r="M103" i="2"/>
  <c r="I103" i="2"/>
  <c r="E103" i="2"/>
  <c r="D103" i="2"/>
  <c r="C103" i="2"/>
  <c r="B103" i="2"/>
  <c r="A103" i="2"/>
  <c r="BA102" i="2"/>
  <c r="AZ103" i="2" s="1"/>
  <c r="AT102" i="2"/>
  <c r="AO102" i="2"/>
  <c r="AN102" i="2"/>
  <c r="AM102" i="2"/>
  <c r="AS102" i="2" s="1"/>
  <c r="AA103" i="2" s="1"/>
  <c r="AL102" i="2"/>
  <c r="AR102" i="2"/>
  <c r="AK102" i="2"/>
  <c r="AJ102" i="2"/>
  <c r="AY104" i="2" s="1"/>
  <c r="BD102" i="2" s="1"/>
  <c r="AI102" i="2"/>
  <c r="U102" i="2"/>
  <c r="O102" i="2"/>
  <c r="M102" i="2"/>
  <c r="E102" i="2"/>
  <c r="D102" i="2"/>
  <c r="C102" i="2"/>
  <c r="B102" i="2"/>
  <c r="A102" i="2"/>
  <c r="AY101" i="2"/>
  <c r="AN101" i="2"/>
  <c r="AT101" i="2" s="1"/>
  <c r="AM101" i="2"/>
  <c r="AS101" i="2" s="1"/>
  <c r="X106" i="2" s="1"/>
  <c r="AL101" i="2"/>
  <c r="AR101" i="2" s="1"/>
  <c r="AK101" i="2"/>
  <c r="AQ101" i="2" s="1"/>
  <c r="AJ101" i="2"/>
  <c r="AP101" i="2" s="1"/>
  <c r="AI101" i="2"/>
  <c r="AO101" i="2" s="1"/>
  <c r="U101" i="2"/>
  <c r="M101" i="2"/>
  <c r="I101" i="2"/>
  <c r="E101" i="2"/>
  <c r="D101" i="2"/>
  <c r="C101" i="2"/>
  <c r="B101" i="2"/>
  <c r="A101" i="2"/>
  <c r="U100" i="2"/>
  <c r="U99" i="2"/>
  <c r="O99" i="2"/>
  <c r="I99" i="2"/>
  <c r="U98" i="2"/>
  <c r="Q97" i="2"/>
  <c r="U95" i="2"/>
  <c r="U94" i="2"/>
  <c r="O94" i="2"/>
  <c r="U93" i="2"/>
  <c r="AN92" i="2"/>
  <c r="AT92" i="2"/>
  <c r="AM92" i="2"/>
  <c r="AS92" i="2"/>
  <c r="AL92" i="2"/>
  <c r="AR92" i="2"/>
  <c r="AK92" i="2"/>
  <c r="AQ92" i="2" s="1"/>
  <c r="AJ92" i="2"/>
  <c r="AP92" i="2"/>
  <c r="AI92" i="2"/>
  <c r="AO92" i="2" s="1"/>
  <c r="Y87" i="2" s="1"/>
  <c r="U92" i="2"/>
  <c r="M92" i="2"/>
  <c r="I92" i="2"/>
  <c r="E92" i="2"/>
  <c r="D92" i="2"/>
  <c r="C92" i="2"/>
  <c r="B92" i="2"/>
  <c r="A92" i="2"/>
  <c r="AT91" i="2"/>
  <c r="AN91" i="2"/>
  <c r="AM91" i="2"/>
  <c r="AS91" i="2" s="1"/>
  <c r="Z92" i="2" s="1"/>
  <c r="AL91" i="2"/>
  <c r="AR91" i="2"/>
  <c r="AK91" i="2"/>
  <c r="AQ91" i="2"/>
  <c r="AJ91" i="2"/>
  <c r="AP91" i="2" s="1"/>
  <c r="BF91" i="2" s="1"/>
  <c r="AI91" i="2"/>
  <c r="AO91" i="2" s="1"/>
  <c r="U91" i="2"/>
  <c r="O91" i="2"/>
  <c r="M91" i="2"/>
  <c r="E91" i="2"/>
  <c r="D91" i="2"/>
  <c r="C91" i="2"/>
  <c r="B91" i="2"/>
  <c r="A91" i="2"/>
  <c r="AN90" i="2"/>
  <c r="AT90" i="2" s="1"/>
  <c r="AM90" i="2"/>
  <c r="AS90" i="2" s="1"/>
  <c r="AL90" i="2"/>
  <c r="AW92" i="2" s="1"/>
  <c r="AK90" i="2"/>
  <c r="AQ90" i="2"/>
  <c r="AJ90" i="2"/>
  <c r="AP90" i="2"/>
  <c r="AI90" i="2"/>
  <c r="AO90" i="2" s="1"/>
  <c r="U90" i="2"/>
  <c r="M90" i="2"/>
  <c r="I90" i="2"/>
  <c r="E90" i="2"/>
  <c r="D90" i="2"/>
  <c r="C90" i="2"/>
  <c r="B90" i="2"/>
  <c r="A90" i="2"/>
  <c r="U89" i="2"/>
  <c r="U88" i="2"/>
  <c r="O88" i="2"/>
  <c r="I88" i="2"/>
  <c r="U87" i="2"/>
  <c r="Q86" i="2"/>
  <c r="U84" i="2"/>
  <c r="U83" i="2"/>
  <c r="O83" i="2"/>
  <c r="U82" i="2"/>
  <c r="AQ81" i="2"/>
  <c r="AN81" i="2"/>
  <c r="AT81" i="2"/>
  <c r="AM81" i="2"/>
  <c r="AS81" i="2"/>
  <c r="AL81" i="2"/>
  <c r="AR81" i="2"/>
  <c r="AK81" i="2"/>
  <c r="AJ81" i="2"/>
  <c r="AP81" i="2" s="1"/>
  <c r="AU81" i="2" s="1"/>
  <c r="AI81" i="2"/>
  <c r="AO81" i="2"/>
  <c r="Y76" i="2" s="1"/>
  <c r="U81" i="2"/>
  <c r="M81" i="2"/>
  <c r="I81" i="2"/>
  <c r="E81" i="2"/>
  <c r="D81" i="2"/>
  <c r="C81" i="2"/>
  <c r="B81" i="2"/>
  <c r="A81" i="2"/>
  <c r="AN80" i="2"/>
  <c r="AT80" i="2" s="1"/>
  <c r="AM80" i="2"/>
  <c r="AS80" i="2" s="1"/>
  <c r="Z81" i="2" s="1"/>
  <c r="AL80" i="2"/>
  <c r="AR80" i="2"/>
  <c r="AK80" i="2"/>
  <c r="AQ80" i="2"/>
  <c r="Y83" i="2" s="1"/>
  <c r="AJ80" i="2"/>
  <c r="AP80" i="2" s="1"/>
  <c r="BF80" i="2" s="1"/>
  <c r="AI80" i="2"/>
  <c r="AO80" i="2" s="1"/>
  <c r="U80" i="2"/>
  <c r="O80" i="2"/>
  <c r="M80" i="2"/>
  <c r="E80" i="2"/>
  <c r="D80" i="2"/>
  <c r="C80" i="2"/>
  <c r="B80" i="2"/>
  <c r="A80" i="2"/>
  <c r="AR79" i="2"/>
  <c r="AN79" i="2"/>
  <c r="AT79" i="2"/>
  <c r="AM79" i="2"/>
  <c r="AS79" i="2" s="1"/>
  <c r="AL79" i="2"/>
  <c r="AK79" i="2"/>
  <c r="AQ79" i="2" s="1"/>
  <c r="Z77" i="2" s="1"/>
  <c r="AJ79" i="2"/>
  <c r="AP79" i="2" s="1"/>
  <c r="AI79" i="2"/>
  <c r="AO79" i="2" s="1"/>
  <c r="U79" i="2"/>
  <c r="M79" i="2"/>
  <c r="I79" i="2"/>
  <c r="E79" i="2"/>
  <c r="D79" i="2"/>
  <c r="C79" i="2"/>
  <c r="B79" i="2"/>
  <c r="A79" i="2"/>
  <c r="U78" i="2"/>
  <c r="U77" i="2"/>
  <c r="O77" i="2"/>
  <c r="I77" i="2"/>
  <c r="U76" i="2"/>
  <c r="Q75" i="2"/>
  <c r="U73" i="2"/>
  <c r="U72" i="2"/>
  <c r="O72" i="2"/>
  <c r="U71" i="2"/>
  <c r="AN70" i="2"/>
  <c r="AT70" i="2" s="1"/>
  <c r="AM70" i="2"/>
  <c r="AS70" i="2" s="1"/>
  <c r="AL70" i="2"/>
  <c r="AR70" i="2" s="1"/>
  <c r="AK70" i="2"/>
  <c r="AQ70" i="2" s="1"/>
  <c r="AJ70" i="2"/>
  <c r="AP70" i="2" s="1"/>
  <c r="AI70" i="2"/>
  <c r="AW69" i="2" s="1"/>
  <c r="U70" i="2"/>
  <c r="M70" i="2"/>
  <c r="I70" i="2"/>
  <c r="E70" i="2"/>
  <c r="D70" i="2"/>
  <c r="C70" i="2"/>
  <c r="B70" i="2"/>
  <c r="A70" i="2"/>
  <c r="AN69" i="2"/>
  <c r="AT69" i="2" s="1"/>
  <c r="AM69" i="2"/>
  <c r="AS69" i="2" s="1"/>
  <c r="Z70" i="2" s="1"/>
  <c r="AL69" i="2"/>
  <c r="AR69" i="2" s="1"/>
  <c r="AK69" i="2"/>
  <c r="AJ69" i="2"/>
  <c r="AP69" i="2" s="1"/>
  <c r="AI69" i="2"/>
  <c r="AO69" i="2" s="1"/>
  <c r="Z68" i="2" s="1"/>
  <c r="U69" i="2"/>
  <c r="O69" i="2"/>
  <c r="M69" i="2"/>
  <c r="E69" i="2"/>
  <c r="D69" i="2"/>
  <c r="C69" i="2"/>
  <c r="B69" i="2"/>
  <c r="A69" i="2"/>
  <c r="AT68" i="2"/>
  <c r="AN68" i="2"/>
  <c r="AM68" i="2"/>
  <c r="AS68" i="2" s="1"/>
  <c r="AL68" i="2"/>
  <c r="AR68" i="2"/>
  <c r="AK68" i="2"/>
  <c r="AJ68" i="2"/>
  <c r="AP68" i="2" s="1"/>
  <c r="BF68" i="2" s="1"/>
  <c r="AI68" i="2"/>
  <c r="AO68" i="2" s="1"/>
  <c r="U68" i="2"/>
  <c r="M68" i="2"/>
  <c r="I68" i="2"/>
  <c r="E68" i="2"/>
  <c r="D68" i="2"/>
  <c r="C68" i="2"/>
  <c r="B68" i="2"/>
  <c r="A68" i="2"/>
  <c r="U67" i="2"/>
  <c r="U66" i="2"/>
  <c r="O66" i="2"/>
  <c r="I66" i="2"/>
  <c r="U65" i="2"/>
  <c r="Q64" i="2"/>
  <c r="U62" i="2"/>
  <c r="U61" i="2"/>
  <c r="O61" i="2"/>
  <c r="U60" i="2"/>
  <c r="AN59" i="2"/>
  <c r="AT59" i="2"/>
  <c r="AM59" i="2"/>
  <c r="AS59" i="2"/>
  <c r="AL59" i="2"/>
  <c r="AR59" i="2" s="1"/>
  <c r="AK59" i="2"/>
  <c r="AQ59" i="2" s="1"/>
  <c r="AJ59" i="2"/>
  <c r="AP59" i="2"/>
  <c r="AI59" i="2"/>
  <c r="AW58" i="2"/>
  <c r="U59" i="2"/>
  <c r="M59" i="2"/>
  <c r="I59" i="2"/>
  <c r="E59" i="2"/>
  <c r="D59" i="2"/>
  <c r="C59" i="2"/>
  <c r="B59" i="2"/>
  <c r="A59" i="2"/>
  <c r="AN58" i="2"/>
  <c r="AT58" i="2" s="1"/>
  <c r="AM58" i="2"/>
  <c r="AS58" i="2" s="1"/>
  <c r="Z59" i="2" s="1"/>
  <c r="AL58" i="2"/>
  <c r="AR58" i="2"/>
  <c r="AK58" i="2"/>
  <c r="AJ58" i="2"/>
  <c r="AP58" i="2" s="1"/>
  <c r="AI58" i="2"/>
  <c r="AO58" i="2" s="1"/>
  <c r="AY59" i="2"/>
  <c r="BB58" i="2" s="1"/>
  <c r="U58" i="2"/>
  <c r="O58" i="2"/>
  <c r="M58" i="2"/>
  <c r="E58" i="2"/>
  <c r="D58" i="2"/>
  <c r="C58" i="2"/>
  <c r="B58" i="2"/>
  <c r="A58" i="2"/>
  <c r="AS57" i="2"/>
  <c r="AN57" i="2"/>
  <c r="AT57" i="2" s="1"/>
  <c r="Z56" i="2" s="1"/>
  <c r="AM57" i="2"/>
  <c r="AL57" i="2"/>
  <c r="AR57" i="2" s="1"/>
  <c r="AK57" i="2"/>
  <c r="AJ57" i="2"/>
  <c r="AP57" i="2" s="1"/>
  <c r="BF57" i="2" s="1"/>
  <c r="AI57" i="2"/>
  <c r="AO57" i="2" s="1"/>
  <c r="U57" i="2"/>
  <c r="M57" i="2"/>
  <c r="I57" i="2"/>
  <c r="E57" i="2"/>
  <c r="D57" i="2"/>
  <c r="C57" i="2"/>
  <c r="B57" i="2"/>
  <c r="A57" i="2"/>
  <c r="U56" i="2"/>
  <c r="U55" i="2"/>
  <c r="O55" i="2"/>
  <c r="I55" i="2"/>
  <c r="U54" i="2"/>
  <c r="Q53" i="2"/>
  <c r="U51" i="2"/>
  <c r="U50" i="2"/>
  <c r="O50" i="2"/>
  <c r="U49" i="2"/>
  <c r="AN48" i="2"/>
  <c r="AT48" i="2" s="1"/>
  <c r="AM48" i="2"/>
  <c r="AS48" i="2" s="1"/>
  <c r="AL48" i="2"/>
  <c r="AR48" i="2" s="1"/>
  <c r="AK48" i="2"/>
  <c r="AQ48" i="2" s="1"/>
  <c r="AJ48" i="2"/>
  <c r="AP48" i="2" s="1"/>
  <c r="AI48" i="2"/>
  <c r="AW47" i="2" s="1"/>
  <c r="U48" i="2"/>
  <c r="M48" i="2"/>
  <c r="I48" i="2"/>
  <c r="E48" i="2"/>
  <c r="D48" i="2"/>
  <c r="C48" i="2"/>
  <c r="B48" i="2"/>
  <c r="A48" i="2"/>
  <c r="AN47" i="2"/>
  <c r="AT47" i="2" s="1"/>
  <c r="AM47" i="2"/>
  <c r="AS47" i="2" s="1"/>
  <c r="AL47" i="2"/>
  <c r="AR47" i="2" s="1"/>
  <c r="AK47" i="2"/>
  <c r="AJ47" i="2"/>
  <c r="AP47" i="2" s="1"/>
  <c r="AI47" i="2"/>
  <c r="AO47" i="2" s="1"/>
  <c r="U47" i="2"/>
  <c r="O47" i="2"/>
  <c r="M47" i="2"/>
  <c r="E47" i="2"/>
  <c r="D47" i="2"/>
  <c r="C47" i="2"/>
  <c r="B47" i="2"/>
  <c r="A47" i="2"/>
  <c r="AT46" i="2"/>
  <c r="AN46" i="2"/>
  <c r="AM46" i="2"/>
  <c r="AS46" i="2" s="1"/>
  <c r="AL46" i="2"/>
  <c r="AR46" i="2"/>
  <c r="AK46" i="2"/>
  <c r="AJ46" i="2"/>
  <c r="AP46" i="2" s="1"/>
  <c r="BF46" i="2" s="1"/>
  <c r="AI46" i="2"/>
  <c r="AO46" i="2" s="1"/>
  <c r="U46" i="2"/>
  <c r="M46" i="2"/>
  <c r="I46" i="2"/>
  <c r="E46" i="2"/>
  <c r="D46" i="2"/>
  <c r="C46" i="2"/>
  <c r="B46" i="2"/>
  <c r="A46" i="2"/>
  <c r="U45" i="2"/>
  <c r="U44" i="2"/>
  <c r="O44" i="2"/>
  <c r="I44" i="2"/>
  <c r="U43" i="2"/>
  <c r="Q42" i="2"/>
  <c r="U40" i="2"/>
  <c r="U39" i="2"/>
  <c r="O39" i="2"/>
  <c r="U38" i="2"/>
  <c r="AN37" i="2"/>
  <c r="AT37" i="2"/>
  <c r="AM37" i="2"/>
  <c r="AS37" i="2"/>
  <c r="AL37" i="2"/>
  <c r="AR37" i="2" s="1"/>
  <c r="AK37" i="2"/>
  <c r="AQ37" i="2" s="1"/>
  <c r="AJ37" i="2"/>
  <c r="AP37" i="2"/>
  <c r="AI37" i="2"/>
  <c r="AW36" i="2"/>
  <c r="U37" i="2"/>
  <c r="M37" i="2"/>
  <c r="I37" i="2"/>
  <c r="E37" i="2"/>
  <c r="D37" i="2"/>
  <c r="C37" i="2"/>
  <c r="B37" i="2"/>
  <c r="A37" i="2"/>
  <c r="AP36" i="2"/>
  <c r="AN36" i="2"/>
  <c r="AT36" i="2" s="1"/>
  <c r="AM36" i="2"/>
  <c r="AS36" i="2" s="1"/>
  <c r="Z37" i="2" s="1"/>
  <c r="AL36" i="2"/>
  <c r="AR36" i="2"/>
  <c r="AK36" i="2"/>
  <c r="AQ36" i="2"/>
  <c r="AJ36" i="2"/>
  <c r="AI36" i="2"/>
  <c r="AO36" i="2" s="1"/>
  <c r="Y38" i="2" s="1"/>
  <c r="U36" i="2"/>
  <c r="O36" i="2"/>
  <c r="M36" i="2"/>
  <c r="E36" i="2"/>
  <c r="D36" i="2"/>
  <c r="C36" i="2"/>
  <c r="B36" i="2"/>
  <c r="A36" i="2"/>
  <c r="AT35" i="2"/>
  <c r="AN35" i="2"/>
  <c r="AM35" i="2"/>
  <c r="AS35" i="2" s="1"/>
  <c r="AL35" i="2"/>
  <c r="AR35" i="2"/>
  <c r="AK35" i="2"/>
  <c r="AQ35" i="2"/>
  <c r="AJ35" i="2"/>
  <c r="AP35" i="2" s="1"/>
  <c r="BF35" i="2" s="1"/>
  <c r="AI35" i="2"/>
  <c r="AO35" i="2" s="1"/>
  <c r="U35" i="2"/>
  <c r="M35" i="2"/>
  <c r="I35" i="2"/>
  <c r="E35" i="2"/>
  <c r="D35" i="2"/>
  <c r="C35" i="2"/>
  <c r="B35" i="2"/>
  <c r="A35" i="2"/>
  <c r="U34" i="2"/>
  <c r="U33" i="2"/>
  <c r="O33" i="2"/>
  <c r="I33" i="2"/>
  <c r="U32" i="2"/>
  <c r="Q31" i="2"/>
  <c r="U29" i="2"/>
  <c r="U28" i="2"/>
  <c r="O28" i="2"/>
  <c r="U27" i="2"/>
  <c r="AN26" i="2"/>
  <c r="AT26" i="2"/>
  <c r="AM26" i="2"/>
  <c r="AS26" i="2"/>
  <c r="AL26" i="2"/>
  <c r="AR26" i="2" s="1"/>
  <c r="AK26" i="2"/>
  <c r="AQ26" i="2" s="1"/>
  <c r="AJ26" i="2"/>
  <c r="AP26" i="2"/>
  <c r="AI26" i="2"/>
  <c r="AW25" i="2"/>
  <c r="U26" i="2"/>
  <c r="M26" i="2"/>
  <c r="I26" i="2"/>
  <c r="E26" i="2"/>
  <c r="D26" i="2"/>
  <c r="C26" i="2"/>
  <c r="B26" i="2"/>
  <c r="A26" i="2"/>
  <c r="AP25" i="2"/>
  <c r="AN25" i="2"/>
  <c r="AT25" i="2" s="1"/>
  <c r="AM25" i="2"/>
  <c r="AS25" i="2" s="1"/>
  <c r="Z26" i="2" s="1"/>
  <c r="AL25" i="2"/>
  <c r="AR25" i="2"/>
  <c r="AK25" i="2"/>
  <c r="AQ25" i="2"/>
  <c r="AJ25" i="2"/>
  <c r="AI25" i="2"/>
  <c r="AO25" i="2" s="1"/>
  <c r="Y27" i="2" s="1"/>
  <c r="U25" i="2"/>
  <c r="O25" i="2"/>
  <c r="M25" i="2"/>
  <c r="E25" i="2"/>
  <c r="D25" i="2"/>
  <c r="C25" i="2"/>
  <c r="B25" i="2"/>
  <c r="A25" i="2"/>
  <c r="AT24" i="2"/>
  <c r="AN24" i="2"/>
  <c r="AM24" i="2"/>
  <c r="AS24" i="2" s="1"/>
  <c r="AL24" i="2"/>
  <c r="AR24" i="2"/>
  <c r="AK24" i="2"/>
  <c r="AQ24" i="2"/>
  <c r="AJ24" i="2"/>
  <c r="AP24" i="2" s="1"/>
  <c r="BE26" i="2" s="1"/>
  <c r="AI24" i="2"/>
  <c r="AO24" i="2" s="1"/>
  <c r="U24" i="2"/>
  <c r="M24" i="2"/>
  <c r="I24" i="2"/>
  <c r="E24" i="2"/>
  <c r="D24" i="2"/>
  <c r="C24" i="2"/>
  <c r="B24" i="2"/>
  <c r="A24" i="2"/>
  <c r="U23" i="2"/>
  <c r="U22" i="2"/>
  <c r="O22" i="2"/>
  <c r="I22" i="2"/>
  <c r="U21" i="2"/>
  <c r="Q20" i="2"/>
  <c r="U18" i="2"/>
  <c r="U17" i="2"/>
  <c r="O17" i="2"/>
  <c r="U16" i="2"/>
  <c r="AQ15" i="2"/>
  <c r="X11" i="2" s="1"/>
  <c r="AN15" i="2"/>
  <c r="AT15" i="2" s="1"/>
  <c r="AM15" i="2"/>
  <c r="AS15" i="2"/>
  <c r="X12" i="2" s="1"/>
  <c r="AL15" i="2"/>
  <c r="AR15" i="2"/>
  <c r="AK15" i="2"/>
  <c r="AJ15" i="2"/>
  <c r="AI15" i="2"/>
  <c r="AO15" i="2"/>
  <c r="U15" i="2"/>
  <c r="M15" i="2"/>
  <c r="E15" i="2"/>
  <c r="D15" i="2"/>
  <c r="C15" i="2"/>
  <c r="B15" i="2"/>
  <c r="A15" i="2"/>
  <c r="AS14" i="2"/>
  <c r="AN14" i="2"/>
  <c r="AT14" i="2" s="1"/>
  <c r="AA15" i="2"/>
  <c r="AM14" i="2"/>
  <c r="AL14" i="2"/>
  <c r="AR14" i="2" s="1"/>
  <c r="AK14" i="2"/>
  <c r="AQ14" i="2"/>
  <c r="AJ14" i="2"/>
  <c r="AP14" i="2"/>
  <c r="AI14" i="2"/>
  <c r="AO14" i="2" s="1"/>
  <c r="U14" i="2"/>
  <c r="O14" i="2"/>
  <c r="M14" i="2"/>
  <c r="I14" i="2"/>
  <c r="E14" i="2"/>
  <c r="D14" i="2"/>
  <c r="C14" i="2"/>
  <c r="B14" i="2"/>
  <c r="A14" i="2"/>
  <c r="AT13" i="2"/>
  <c r="AN13" i="2"/>
  <c r="AM13" i="2"/>
  <c r="AS13" i="2" s="1"/>
  <c r="AL13" i="2"/>
  <c r="AR13" i="2" s="1"/>
  <c r="Z11" i="2"/>
  <c r="AK13" i="2"/>
  <c r="AQ13" i="2" s="1"/>
  <c r="AJ13" i="2"/>
  <c r="AP13" i="2" s="1"/>
  <c r="BE12" i="2" s="1"/>
  <c r="AI13" i="2"/>
  <c r="AO13" i="2"/>
  <c r="U13" i="2"/>
  <c r="M13" i="2"/>
  <c r="E13" i="2"/>
  <c r="D13" i="2"/>
  <c r="C13" i="2"/>
  <c r="B13" i="2"/>
  <c r="A13" i="2"/>
  <c r="AS12" i="2"/>
  <c r="X18" i="2" s="1"/>
  <c r="AO12" i="2"/>
  <c r="AN12" i="2"/>
  <c r="AT12" i="2"/>
  <c r="AM12" i="2"/>
  <c r="AL12" i="2"/>
  <c r="AR12" i="2" s="1"/>
  <c r="AK12" i="2"/>
  <c r="AQ12" i="2"/>
  <c r="AA8" i="2" s="1"/>
  <c r="AJ12" i="2"/>
  <c r="AW13" i="2"/>
  <c r="AI12" i="2"/>
  <c r="U12" i="2"/>
  <c r="M12" i="2"/>
  <c r="I12" i="2"/>
  <c r="E12" i="2"/>
  <c r="D12" i="2"/>
  <c r="C12" i="2"/>
  <c r="B12" i="2"/>
  <c r="A12" i="2"/>
  <c r="AT11" i="2"/>
  <c r="AA12" i="2"/>
  <c r="AN11" i="2"/>
  <c r="AM11" i="2"/>
  <c r="AS11" i="2" s="1"/>
  <c r="AL11" i="2"/>
  <c r="AR11" i="2"/>
  <c r="AK11" i="2"/>
  <c r="AQ11" i="2"/>
  <c r="AJ11" i="2"/>
  <c r="AP11" i="2" s="1"/>
  <c r="AI11" i="2"/>
  <c r="BC11" i="2" s="1"/>
  <c r="AZ13" i="2"/>
  <c r="U11" i="2"/>
  <c r="O11" i="2"/>
  <c r="M11" i="2"/>
  <c r="E11" i="2"/>
  <c r="D11" i="2"/>
  <c r="C11" i="2"/>
  <c r="B11" i="2"/>
  <c r="A11" i="2"/>
  <c r="AS10" i="2"/>
  <c r="AO10" i="2"/>
  <c r="AN10" i="2"/>
  <c r="AT10" i="2"/>
  <c r="AM10" i="2"/>
  <c r="AL10" i="2"/>
  <c r="AR10" i="2" s="1"/>
  <c r="AK10" i="2"/>
  <c r="AQ10" i="2"/>
  <c r="X14" i="2" s="1"/>
  <c r="AJ10" i="2"/>
  <c r="BA10" i="2"/>
  <c r="AX12" i="2" s="1"/>
  <c r="AI10" i="2"/>
  <c r="U10" i="2"/>
  <c r="M10" i="2"/>
  <c r="I10" i="2"/>
  <c r="E10" i="2"/>
  <c r="D10" i="2"/>
  <c r="C10" i="2"/>
  <c r="B10" i="2"/>
  <c r="A10" i="2"/>
  <c r="U9" i="2"/>
  <c r="U8" i="2"/>
  <c r="O8" i="2"/>
  <c r="I8" i="2"/>
  <c r="U7" i="2"/>
  <c r="Q6" i="2"/>
  <c r="T4" i="2"/>
  <c r="T2" i="2"/>
  <c r="T1" i="2"/>
  <c r="O10" i="3"/>
  <c r="D9" i="3"/>
  <c r="R19" i="3"/>
  <c r="D15" i="3"/>
  <c r="B23" i="3"/>
  <c r="F27" i="3"/>
  <c r="F43" i="3"/>
  <c r="F69" i="3"/>
  <c r="D158" i="3"/>
  <c r="S166" i="3"/>
  <c r="F21" i="3"/>
  <c r="O13" i="3"/>
  <c r="I25" i="3"/>
  <c r="Q26" i="3" s="1"/>
  <c r="M26" i="3"/>
  <c r="N26" i="3" s="1"/>
  <c r="H27" i="3"/>
  <c r="R28" i="3" s="1"/>
  <c r="Q33" i="3"/>
  <c r="F35" i="3"/>
  <c r="H43" i="3"/>
  <c r="R44" i="3" s="1"/>
  <c r="Q49" i="3"/>
  <c r="F51" i="3"/>
  <c r="F59" i="3"/>
  <c r="F63" i="3"/>
  <c r="F67" i="3"/>
  <c r="F77" i="3"/>
  <c r="H107" i="3"/>
  <c r="Q108" i="3" s="1"/>
  <c r="F107" i="3"/>
  <c r="O135" i="3"/>
  <c r="B135" i="3"/>
  <c r="B9" i="3"/>
  <c r="F9" i="3"/>
  <c r="R11" i="3"/>
  <c r="M14" i="3"/>
  <c r="H21" i="3"/>
  <c r="Q22" i="3"/>
  <c r="F31" i="3"/>
  <c r="D35" i="3"/>
  <c r="O42" i="3"/>
  <c r="F47" i="3"/>
  <c r="D51" i="3"/>
  <c r="F55" i="3"/>
  <c r="H63" i="3"/>
  <c r="S64" i="3"/>
  <c r="H67" i="3"/>
  <c r="R68" i="3"/>
  <c r="H77" i="3"/>
  <c r="R78" i="3"/>
  <c r="H105" i="3"/>
  <c r="U106" i="3"/>
  <c r="F105" i="3"/>
  <c r="D144" i="3"/>
  <c r="O145" i="3"/>
  <c r="R220" i="3"/>
  <c r="D216" i="3"/>
  <c r="I13" i="3"/>
  <c r="F13" i="3"/>
  <c r="F17" i="3"/>
  <c r="B105" i="3"/>
  <c r="T89" i="3"/>
  <c r="F93" i="3"/>
  <c r="B39" i="3"/>
  <c r="T23" i="3"/>
  <c r="F39" i="3"/>
  <c r="H69" i="3"/>
  <c r="Q70" i="3" s="1"/>
  <c r="S81" i="3"/>
  <c r="B89" i="3"/>
  <c r="F85" i="3"/>
  <c r="H93" i="3"/>
  <c r="R94" i="3"/>
  <c r="L103" i="3"/>
  <c r="M103" i="3"/>
  <c r="N103" i="3" s="1"/>
  <c r="D160" i="3"/>
  <c r="O161" i="3"/>
  <c r="Q57" i="3"/>
  <c r="Q65" i="3"/>
  <c r="Q75" i="3"/>
  <c r="H81" i="3"/>
  <c r="S82" i="3"/>
  <c r="Q83" i="3"/>
  <c r="H89" i="3"/>
  <c r="T90" i="3" s="1"/>
  <c r="H97" i="3"/>
  <c r="S98" i="3"/>
  <c r="Q115" i="3"/>
  <c r="F121" i="3"/>
  <c r="F123" i="3"/>
  <c r="Q131" i="3"/>
  <c r="I135" i="3"/>
  <c r="H152" i="3"/>
  <c r="Q153" i="3"/>
  <c r="U174" i="3"/>
  <c r="D176" i="3"/>
  <c r="O177" i="3"/>
  <c r="H180" i="3"/>
  <c r="Q181" i="3"/>
  <c r="H192" i="3"/>
  <c r="Q193" i="3"/>
  <c r="R194" i="3"/>
  <c r="H202" i="3"/>
  <c r="R203" i="3" s="1"/>
  <c r="H212" i="3"/>
  <c r="R213" i="3" s="1"/>
  <c r="R236" i="3"/>
  <c r="F244" i="3"/>
  <c r="O404" i="3"/>
  <c r="B404" i="3"/>
  <c r="D109" i="3"/>
  <c r="R109" i="3"/>
  <c r="H111" i="3"/>
  <c r="Q112" i="3" s="1"/>
  <c r="H121" i="3"/>
  <c r="T122" i="3" s="1"/>
  <c r="D125" i="3"/>
  <c r="R125" i="3"/>
  <c r="H127" i="3"/>
  <c r="Q128" i="3" s="1"/>
  <c r="M148" i="3"/>
  <c r="F156" i="3"/>
  <c r="F162" i="3"/>
  <c r="F164" i="3"/>
  <c r="H168" i="3"/>
  <c r="Q169" i="3"/>
  <c r="F182" i="3"/>
  <c r="B186" i="3"/>
  <c r="Q184" i="3"/>
  <c r="H188" i="3"/>
  <c r="Q189" i="3" s="1"/>
  <c r="H190" i="3"/>
  <c r="T191" i="3" s="1"/>
  <c r="F190" i="3"/>
  <c r="F201" i="3"/>
  <c r="U201" i="3"/>
  <c r="H201" i="3"/>
  <c r="U202" i="3"/>
  <c r="F202" i="3"/>
  <c r="Q210" i="3"/>
  <c r="F212" i="3"/>
  <c r="H226" i="3"/>
  <c r="Q227" i="3" s="1"/>
  <c r="H236" i="3"/>
  <c r="R237" i="3" s="1"/>
  <c r="O238" i="3"/>
  <c r="B238" i="3"/>
  <c r="F240" i="3"/>
  <c r="H244" i="3"/>
  <c r="R245" i="3"/>
  <c r="F256" i="3"/>
  <c r="H256" i="3"/>
  <c r="T257" i="3" s="1"/>
  <c r="L283" i="3"/>
  <c r="M283" i="3"/>
  <c r="N283" i="3"/>
  <c r="M311" i="3"/>
  <c r="N311" i="3"/>
  <c r="L311" i="3"/>
  <c r="S113" i="3"/>
  <c r="S129" i="3"/>
  <c r="N144" i="3"/>
  <c r="Q152" i="3"/>
  <c r="F172" i="3"/>
  <c r="F178" i="3"/>
  <c r="F204" i="3"/>
  <c r="H220" i="3"/>
  <c r="R221" i="3"/>
  <c r="O222" i="3"/>
  <c r="B222" i="3"/>
  <c r="O234" i="3"/>
  <c r="B234" i="3"/>
  <c r="F250" i="3"/>
  <c r="H258" i="3"/>
  <c r="Q259" i="3" s="1"/>
  <c r="F258" i="3"/>
  <c r="B270" i="3"/>
  <c r="O270" i="3"/>
  <c r="N278" i="3"/>
  <c r="F302" i="3"/>
  <c r="H302" i="3"/>
  <c r="Q303" i="3"/>
  <c r="M315" i="3"/>
  <c r="N315" i="3"/>
  <c r="L315" i="3"/>
  <c r="F322" i="3"/>
  <c r="H322" i="3"/>
  <c r="Q323" i="3"/>
  <c r="H115" i="3"/>
  <c r="Q116" i="3"/>
  <c r="D117" i="3"/>
  <c r="R117" i="3"/>
  <c r="H119" i="3"/>
  <c r="Q120" i="3"/>
  <c r="H131" i="3"/>
  <c r="Q132" i="3"/>
  <c r="R133" i="3"/>
  <c r="H135" i="3"/>
  <c r="F146" i="3"/>
  <c r="F158" i="3"/>
  <c r="H166" i="3"/>
  <c r="S167" i="3"/>
  <c r="Q168" i="3"/>
  <c r="O181" i="3"/>
  <c r="F196" i="3"/>
  <c r="H198" i="3"/>
  <c r="S199" i="3" s="1"/>
  <c r="H204" i="3"/>
  <c r="Q205" i="3" s="1"/>
  <c r="F218" i="3"/>
  <c r="T224" i="3"/>
  <c r="B240" i="3"/>
  <c r="B228" i="3"/>
  <c r="Q226" i="3"/>
  <c r="H250" i="3"/>
  <c r="Q251" i="3" s="1"/>
  <c r="O266" i="3"/>
  <c r="B266" i="3"/>
  <c r="D288" i="3"/>
  <c r="I298" i="3"/>
  <c r="H298" i="3"/>
  <c r="Q299" i="3" s="1"/>
  <c r="F186" i="3"/>
  <c r="F242" i="3"/>
  <c r="H252" i="3"/>
  <c r="R253" i="3" s="1"/>
  <c r="H282" i="3"/>
  <c r="Q283" i="3" s="1"/>
  <c r="T324" i="3"/>
  <c r="D308" i="3"/>
  <c r="Q235" i="3"/>
  <c r="F252" i="3"/>
  <c r="H268" i="3"/>
  <c r="R269" i="3" s="1"/>
  <c r="F268" i="3"/>
  <c r="I278" i="3"/>
  <c r="H278" i="3"/>
  <c r="Q279" i="3" s="1"/>
  <c r="O327" i="3"/>
  <c r="D326" i="3"/>
  <c r="D298" i="3"/>
  <c r="O299" i="3"/>
  <c r="H308" i="3"/>
  <c r="U309" i="3" s="1"/>
  <c r="F308" i="3"/>
  <c r="H312" i="3"/>
  <c r="R313" i="3"/>
  <c r="F312" i="3"/>
  <c r="F350" i="3"/>
  <c r="H350" i="3"/>
  <c r="S351" i="3"/>
  <c r="B366" i="3"/>
  <c r="R362" i="3"/>
  <c r="F288" i="3"/>
  <c r="H288" i="3"/>
  <c r="R289" i="3" s="1"/>
  <c r="H296" i="3"/>
  <c r="R297" i="3" s="1"/>
  <c r="F296" i="3"/>
  <c r="H300" i="3"/>
  <c r="S301" i="3"/>
  <c r="F300" i="3"/>
  <c r="O331" i="3"/>
  <c r="D330" i="3"/>
  <c r="F380" i="3"/>
  <c r="H292" i="3"/>
  <c r="T293" i="3"/>
  <c r="T292" i="3"/>
  <c r="F306" i="3"/>
  <c r="H306" i="3"/>
  <c r="Q307" i="3"/>
  <c r="F328" i="3"/>
  <c r="H328" i="3"/>
  <c r="R329" i="3" s="1"/>
  <c r="F335" i="3"/>
  <c r="U335" i="3" s="1"/>
  <c r="H335" i="3"/>
  <c r="U336" i="3" s="1"/>
  <c r="F346" i="3"/>
  <c r="F360" i="3"/>
  <c r="H360" i="3"/>
  <c r="Q361" i="3" s="1"/>
  <c r="B400" i="3"/>
  <c r="O400" i="3"/>
  <c r="S316" i="3"/>
  <c r="B324" i="3"/>
  <c r="I368" i="3"/>
  <c r="H368" i="3"/>
  <c r="I310" i="3"/>
  <c r="Q311" i="3" s="1"/>
  <c r="F354" i="3"/>
  <c r="Q357" i="3"/>
  <c r="L356" i="3"/>
  <c r="M356" i="3"/>
  <c r="N356" i="3"/>
  <c r="F376" i="3"/>
  <c r="B382" i="3"/>
  <c r="R378" i="3"/>
  <c r="I384" i="3"/>
  <c r="F364" i="3"/>
  <c r="F370" i="3"/>
  <c r="L372" i="3"/>
  <c r="M372" i="3"/>
  <c r="N372" i="3" s="1"/>
  <c r="H376" i="3"/>
  <c r="Q377" i="3" s="1"/>
  <c r="Q385" i="3"/>
  <c r="B388" i="3"/>
  <c r="O388" i="3"/>
  <c r="F386" i="3"/>
  <c r="B368" i="3"/>
  <c r="O368" i="3"/>
  <c r="F392" i="3"/>
  <c r="F396" i="3"/>
  <c r="I400" i="3"/>
  <c r="Q401" i="3" s="1"/>
  <c r="F402" i="3"/>
  <c r="Y39" i="2"/>
  <c r="Z36" i="2"/>
  <c r="Y34" i="2"/>
  <c r="X37" i="2"/>
  <c r="BF24" i="2"/>
  <c r="AZ46" i="2"/>
  <c r="X48" i="2"/>
  <c r="BE70" i="2"/>
  <c r="Q81" i="2"/>
  <c r="AA9" i="2"/>
  <c r="AZ35" i="2"/>
  <c r="X80" i="2"/>
  <c r="Y77" i="2"/>
  <c r="Z8" i="2"/>
  <c r="X17" i="2"/>
  <c r="Y9" i="2"/>
  <c r="X39" i="2"/>
  <c r="Z33" i="2"/>
  <c r="Y14" i="2"/>
  <c r="BE37" i="2"/>
  <c r="AZ57" i="2"/>
  <c r="Y56" i="2"/>
  <c r="X59" i="2"/>
  <c r="BD10" i="2"/>
  <c r="X28" i="2"/>
  <c r="Z22" i="2"/>
  <c r="BE59" i="2"/>
  <c r="BE103" i="2"/>
  <c r="Z9" i="2"/>
  <c r="AA11" i="2"/>
  <c r="Y17" i="2"/>
  <c r="Y15" i="2"/>
  <c r="Z12" i="2"/>
  <c r="Y28" i="2"/>
  <c r="Z25" i="2"/>
  <c r="AZ24" i="2"/>
  <c r="Y23" i="2"/>
  <c r="X26" i="2"/>
  <c r="BE48" i="2"/>
  <c r="AZ68" i="2"/>
  <c r="Y67" i="2"/>
  <c r="X70" i="2"/>
  <c r="BE81" i="2"/>
  <c r="BF79" i="2"/>
  <c r="Z76" i="2"/>
  <c r="Y94" i="2"/>
  <c r="AU92" i="2"/>
  <c r="Q92" i="2"/>
  <c r="Y89" i="2"/>
  <c r="Z102" i="2"/>
  <c r="AU91" i="2"/>
  <c r="Q91" i="2"/>
  <c r="BE91" i="2"/>
  <c r="BB90" i="2"/>
  <c r="Z99" i="2"/>
  <c r="BF103" i="2"/>
  <c r="AU101" i="2"/>
  <c r="Q101" i="2"/>
  <c r="Z98" i="2"/>
  <c r="BC101" i="2"/>
  <c r="AX104" i="2" s="1"/>
  <c r="X104" i="2"/>
  <c r="X157" i="2"/>
  <c r="Z151" i="2"/>
  <c r="AY152" i="2"/>
  <c r="AO157" i="2"/>
  <c r="BE152" i="2" s="1"/>
  <c r="AW153" i="2"/>
  <c r="X170" i="2"/>
  <c r="BE166" i="2"/>
  <c r="X167" i="2"/>
  <c r="Y164" i="2"/>
  <c r="AA267" i="2"/>
  <c r="Y273" i="2"/>
  <c r="Y321" i="2"/>
  <c r="X324" i="2"/>
  <c r="Z346" i="2"/>
  <c r="Y349" i="2"/>
  <c r="BE415" i="2"/>
  <c r="BF414" i="2"/>
  <c r="Z413" i="2"/>
  <c r="AU414" i="2"/>
  <c r="Q414" i="2"/>
  <c r="Y416" i="2"/>
  <c r="Y418" i="2"/>
  <c r="Z415" i="2"/>
  <c r="X492" i="2"/>
  <c r="Y489" i="2"/>
  <c r="Y517" i="2"/>
  <c r="Z514" i="2"/>
  <c r="BA11" i="2"/>
  <c r="AZ12" i="2" s="1"/>
  <c r="Z16" i="2"/>
  <c r="Y18" i="2"/>
  <c r="Z24" i="2"/>
  <c r="BA24" i="2"/>
  <c r="AX26" i="2" s="1"/>
  <c r="BA25" i="2"/>
  <c r="AZ26" i="2" s="1"/>
  <c r="AW26" i="2"/>
  <c r="Z35" i="2"/>
  <c r="BA35" i="2"/>
  <c r="AX37" i="2" s="1"/>
  <c r="BA36" i="2"/>
  <c r="BG36" i="2" s="1"/>
  <c r="AW48" i="2"/>
  <c r="Z91" i="2"/>
  <c r="AU24" i="2"/>
  <c r="Q24" i="2" s="1"/>
  <c r="AU25" i="2"/>
  <c r="Q25" i="2" s="1"/>
  <c r="AO26" i="2"/>
  <c r="BF26" i="2"/>
  <c r="X27" i="2"/>
  <c r="Y29" i="2"/>
  <c r="Z32" i="2"/>
  <c r="AO37" i="2"/>
  <c r="BF36" i="2" s="1"/>
  <c r="BF33" i="2" s="1"/>
  <c r="BF37" i="2"/>
  <c r="X38" i="2"/>
  <c r="Y40" i="2"/>
  <c r="Z43" i="2"/>
  <c r="AQ57" i="2"/>
  <c r="AQ58" i="2"/>
  <c r="AO59" i="2"/>
  <c r="BF58" i="2" s="1"/>
  <c r="X60" i="2"/>
  <c r="Y62" i="2"/>
  <c r="Z65" i="2"/>
  <c r="X83" i="2"/>
  <c r="X82" i="2"/>
  <c r="BF81" i="2"/>
  <c r="AU79" i="2"/>
  <c r="Q79" i="2"/>
  <c r="BE79" i="2"/>
  <c r="X93" i="2"/>
  <c r="BF92" i="2"/>
  <c r="Z87" i="2"/>
  <c r="BE90" i="2"/>
  <c r="Y93" i="2"/>
  <c r="AA99" i="2"/>
  <c r="Y105" i="2"/>
  <c r="AU105" i="2"/>
  <c r="Q105" i="2"/>
  <c r="AO106" i="2"/>
  <c r="AW102" i="2"/>
  <c r="Y109" i="2"/>
  <c r="D118" i="2"/>
  <c r="H120" i="2"/>
  <c r="X156" i="2"/>
  <c r="Z150" i="2"/>
  <c r="X155" i="2"/>
  <c r="AU152" i="2"/>
  <c r="Q152" i="2" s="1"/>
  <c r="Z149" i="2"/>
  <c r="BE155" i="2"/>
  <c r="Y150" i="2"/>
  <c r="X153" i="2"/>
  <c r="Y170" i="2"/>
  <c r="AU167" i="2"/>
  <c r="Q167" i="2" s="1"/>
  <c r="X168" i="2"/>
  <c r="Y165" i="2"/>
  <c r="AY179" i="2"/>
  <c r="BB178" i="2"/>
  <c r="BA178" i="2"/>
  <c r="AZ179" i="2"/>
  <c r="BH179" i="2" s="1"/>
  <c r="AB180" i="2" s="1"/>
  <c r="X193" i="2"/>
  <c r="Z187" i="2"/>
  <c r="BF189" i="2"/>
  <c r="BG189" i="2"/>
  <c r="BE201" i="2"/>
  <c r="AR201" i="2"/>
  <c r="BF199" i="2" s="1"/>
  <c r="BF202" i="2" s="1"/>
  <c r="AY199" i="2"/>
  <c r="Z208" i="2"/>
  <c r="X214" i="2"/>
  <c r="Y215" i="2"/>
  <c r="Z212" i="2"/>
  <c r="Y207" i="2"/>
  <c r="X210" i="2"/>
  <c r="AU212" i="2"/>
  <c r="Q212" i="2"/>
  <c r="Z222" i="2"/>
  <c r="Y225" i="2"/>
  <c r="Y231" i="2"/>
  <c r="AY234" i="2"/>
  <c r="BB233" i="2" s="1"/>
  <c r="Y262" i="2"/>
  <c r="AU270" i="2"/>
  <c r="Q270" i="2"/>
  <c r="X265" i="2"/>
  <c r="AQ302" i="2"/>
  <c r="AU302" i="2" s="1"/>
  <c r="Q302" i="2" s="1"/>
  <c r="AY303" i="2"/>
  <c r="BB302" i="2"/>
  <c r="Z301" i="2"/>
  <c r="Y304" i="2"/>
  <c r="AQ334" i="2"/>
  <c r="AW336" i="2"/>
  <c r="BE334" i="2"/>
  <c r="AW335" i="2"/>
  <c r="AP336" i="2"/>
  <c r="Y331" i="2"/>
  <c r="BH382" i="2"/>
  <c r="AP490" i="2"/>
  <c r="AW492" i="2"/>
  <c r="BA490" i="2"/>
  <c r="AX492" i="2" s="1"/>
  <c r="BH492" i="2" s="1"/>
  <c r="AB493" i="2" s="1"/>
  <c r="Q537" i="2"/>
  <c r="AX582" i="2"/>
  <c r="AR616" i="2"/>
  <c r="AW615" i="2"/>
  <c r="AY614" i="2"/>
  <c r="BC10" i="2"/>
  <c r="AX13" i="2" s="1"/>
  <c r="BH13" i="2" s="1"/>
  <c r="AW12" i="2"/>
  <c r="BC12" i="2"/>
  <c r="BB13" i="2" s="1"/>
  <c r="AY13" i="2"/>
  <c r="BD11" i="2" s="1"/>
  <c r="AU80" i="2"/>
  <c r="Q80" i="2"/>
  <c r="BE80" i="2"/>
  <c r="X107" i="2"/>
  <c r="AU103" i="2"/>
  <c r="Q103" i="2" s="1"/>
  <c r="AW104" i="2"/>
  <c r="X178" i="2"/>
  <c r="Y175" i="2"/>
  <c r="X182" i="2"/>
  <c r="BE190" i="2"/>
  <c r="BF188" i="2"/>
  <c r="Y193" i="2"/>
  <c r="Z190" i="2"/>
  <c r="X190" i="2"/>
  <c r="Y187" i="2"/>
  <c r="Z200" i="2"/>
  <c r="Y203" i="2"/>
  <c r="BE223" i="2"/>
  <c r="AW37" i="2"/>
  <c r="AW59" i="2"/>
  <c r="BA79" i="2"/>
  <c r="AX81" i="2"/>
  <c r="Z80" i="2"/>
  <c r="AW80" i="2"/>
  <c r="X81" i="2"/>
  <c r="AY81" i="2"/>
  <c r="BB80" i="2" s="1"/>
  <c r="BA90" i="2"/>
  <c r="AX92" i="2" s="1"/>
  <c r="AA98" i="2"/>
  <c r="AA100" i="2"/>
  <c r="BF101" i="2"/>
  <c r="Y104" i="2"/>
  <c r="AA106" i="2"/>
  <c r="Q113" i="2"/>
  <c r="H114" i="2"/>
  <c r="X115" i="2" s="1"/>
  <c r="H116" i="2"/>
  <c r="Y8" i="2"/>
  <c r="AP10" i="2"/>
  <c r="BE10" i="2"/>
  <c r="AP12" i="2"/>
  <c r="AA7" i="2"/>
  <c r="AY12" i="2"/>
  <c r="BB11" i="2"/>
  <c r="X13" i="2"/>
  <c r="BA13" i="2"/>
  <c r="BD12" i="2" s="1"/>
  <c r="X15" i="2"/>
  <c r="Z21" i="2"/>
  <c r="AU35" i="2"/>
  <c r="Q35" i="2" s="1"/>
  <c r="AU36" i="2"/>
  <c r="Q36" i="2" s="1"/>
  <c r="AQ46" i="2"/>
  <c r="BE46" i="2" s="1"/>
  <c r="BE44" i="2" s="1"/>
  <c r="AQ47" i="2"/>
  <c r="AO48" i="2"/>
  <c r="X49" i="2"/>
  <c r="Y51" i="2"/>
  <c r="Z54" i="2"/>
  <c r="AQ68" i="2"/>
  <c r="BE68" i="2" s="1"/>
  <c r="AU68" i="2"/>
  <c r="Q68" i="2" s="1"/>
  <c r="AQ69" i="2"/>
  <c r="AU69" i="2" s="1"/>
  <c r="Q69" i="2" s="1"/>
  <c r="AO70" i="2"/>
  <c r="BF69" i="2"/>
  <c r="X71" i="2"/>
  <c r="Y73" i="2"/>
  <c r="AU10" i="2"/>
  <c r="Q10" i="2" s="1"/>
  <c r="AW11" i="2"/>
  <c r="AU12" i="2"/>
  <c r="Q12" i="2"/>
  <c r="AY24" i="2"/>
  <c r="BE25" i="2"/>
  <c r="AY35" i="2"/>
  <c r="BE36" i="2"/>
  <c r="AY46" i="2"/>
  <c r="BE47" i="2"/>
  <c r="Y49" i="2"/>
  <c r="AY57" i="2"/>
  <c r="Y60" i="2"/>
  <c r="AY68" i="2"/>
  <c r="Y71" i="2"/>
  <c r="Y78" i="2"/>
  <c r="X79" i="2"/>
  <c r="AY79" i="2"/>
  <c r="Y84" i="2"/>
  <c r="X90" i="2"/>
  <c r="AY90" i="2"/>
  <c r="Y95" i="2"/>
  <c r="Z100" i="2"/>
  <c r="BC102" i="2"/>
  <c r="AZ104" i="2" s="1"/>
  <c r="AQ102" i="2"/>
  <c r="AX102" i="2"/>
  <c r="BE102" i="2"/>
  <c r="AY103" i="2"/>
  <c r="BB102" i="2"/>
  <c r="AU104" i="2"/>
  <c r="Q104" i="2"/>
  <c r="BA104" i="2"/>
  <c r="BD103" i="2"/>
  <c r="AA105" i="2"/>
  <c r="Z107" i="2"/>
  <c r="O121" i="2"/>
  <c r="T123" i="2"/>
  <c r="T124" i="2"/>
  <c r="T133" i="2"/>
  <c r="T134" i="2"/>
  <c r="BF152" i="2"/>
  <c r="BE154" i="2"/>
  <c r="X159" i="2"/>
  <c r="AA150" i="2"/>
  <c r="AA149" i="2"/>
  <c r="X158" i="2"/>
  <c r="AU154" i="2"/>
  <c r="Q154" i="2" s="1"/>
  <c r="AY154" i="2"/>
  <c r="BB153" i="2" s="1"/>
  <c r="AO155" i="2"/>
  <c r="Y157" i="2"/>
  <c r="Z159" i="2"/>
  <c r="AA156" i="2"/>
  <c r="AA155" i="2"/>
  <c r="AU156" i="2"/>
  <c r="Q156" i="2"/>
  <c r="Z167" i="2"/>
  <c r="BF167" i="2"/>
  <c r="Y169" i="2"/>
  <c r="AP168" i="2"/>
  <c r="Y163" i="2" s="1"/>
  <c r="AU168" i="2"/>
  <c r="Q168" i="2" s="1"/>
  <c r="AW167" i="2"/>
  <c r="AY166" i="2"/>
  <c r="X181" i="2"/>
  <c r="BF178" i="2"/>
  <c r="AP179" i="2"/>
  <c r="BF177" i="2" s="1"/>
  <c r="AW178" i="2"/>
  <c r="AY177" i="2"/>
  <c r="X179" i="2"/>
  <c r="Y176" i="2"/>
  <c r="AW179" i="2"/>
  <c r="X189" i="2"/>
  <c r="Y186" i="2"/>
  <c r="BH190" i="2"/>
  <c r="AW200" i="2"/>
  <c r="BF211" i="2"/>
  <c r="X226" i="2"/>
  <c r="Z220" i="2"/>
  <c r="Q242" i="2"/>
  <c r="O246" i="2"/>
  <c r="O250" i="2"/>
  <c r="O248" i="2"/>
  <c r="Z263" i="2"/>
  <c r="X269" i="2"/>
  <c r="Y277" i="2"/>
  <c r="X280" i="2"/>
  <c r="BB301" i="2"/>
  <c r="BG303" i="2"/>
  <c r="Z347" i="2"/>
  <c r="X392" i="2"/>
  <c r="Y389" i="2"/>
  <c r="BB402" i="2"/>
  <c r="AO425" i="2"/>
  <c r="BA425" i="2"/>
  <c r="AZ426" i="2"/>
  <c r="AY426" i="2"/>
  <c r="BB425" i="2"/>
  <c r="Y429" i="2"/>
  <c r="Z426" i="2"/>
  <c r="AZ446" i="2"/>
  <c r="AR457" i="2"/>
  <c r="Z455" i="2" s="1"/>
  <c r="F547" i="2"/>
  <c r="H547" i="2"/>
  <c r="F116" i="2"/>
  <c r="B120" i="2" s="1"/>
  <c r="Y151" i="2"/>
  <c r="X154" i="2"/>
  <c r="Y160" i="2"/>
  <c r="AR223" i="2"/>
  <c r="X222" i="2"/>
  <c r="AY221" i="2"/>
  <c r="Z230" i="2"/>
  <c r="X236" i="2"/>
  <c r="Y237" i="2"/>
  <c r="Z234" i="2"/>
  <c r="Y229" i="2"/>
  <c r="X232" i="2"/>
  <c r="AU234" i="2"/>
  <c r="Q234" i="2" s="1"/>
  <c r="Q244" i="2"/>
  <c r="AP459" i="2"/>
  <c r="AW458" i="2"/>
  <c r="AY457" i="2"/>
  <c r="AO513" i="2"/>
  <c r="BA513" i="2"/>
  <c r="AZ514" i="2"/>
  <c r="AY514" i="2"/>
  <c r="BB513" i="2"/>
  <c r="BA68" i="2"/>
  <c r="AX70" i="2"/>
  <c r="AW91" i="2"/>
  <c r="X92" i="2"/>
  <c r="AY92" i="2"/>
  <c r="BB91" i="2"/>
  <c r="AW103" i="2"/>
  <c r="Y106" i="2"/>
  <c r="X105" i="2"/>
  <c r="X102" i="2"/>
  <c r="H118" i="2"/>
  <c r="F120" i="2"/>
  <c r="B128" i="2" s="1"/>
  <c r="T127" i="2"/>
  <c r="T128" i="2"/>
  <c r="X160" i="2"/>
  <c r="AA151" i="2"/>
  <c r="Z160" i="2"/>
  <c r="AA157" i="2"/>
  <c r="Z164" i="2"/>
  <c r="Z163" i="2"/>
  <c r="AW168" i="2"/>
  <c r="AU178" i="2"/>
  <c r="Q178" i="2" s="1"/>
  <c r="Y180" i="2"/>
  <c r="Y182" i="2"/>
  <c r="Z179" i="2"/>
  <c r="X192" i="2"/>
  <c r="BG188" i="2"/>
  <c r="X188" i="2"/>
  <c r="AU190" i="2"/>
  <c r="Q190" i="2"/>
  <c r="X204" i="2"/>
  <c r="Z198" i="2"/>
  <c r="AU201" i="2"/>
  <c r="Q201" i="2" s="1"/>
  <c r="AW222" i="2"/>
  <c r="BF233" i="2"/>
  <c r="Y269" i="2"/>
  <c r="Z266" i="2"/>
  <c r="AQ290" i="2"/>
  <c r="BE290" i="2"/>
  <c r="AW292" i="2"/>
  <c r="AW291" i="2"/>
  <c r="AP292" i="2"/>
  <c r="Y287" i="2"/>
  <c r="Z321" i="2"/>
  <c r="BE323" i="2"/>
  <c r="AQ349" i="2"/>
  <c r="AU349" i="2" s="1"/>
  <c r="Q349" i="2" s="1"/>
  <c r="BC347" i="2"/>
  <c r="BB348" i="2"/>
  <c r="AA348" i="2"/>
  <c r="Z351" i="2"/>
  <c r="Q359" i="2"/>
  <c r="G362" i="2"/>
  <c r="E360" i="2" s="1"/>
  <c r="H362" i="2"/>
  <c r="F362" i="2"/>
  <c r="D360" i="2"/>
  <c r="Y494" i="2"/>
  <c r="AU491" i="2"/>
  <c r="Q491" i="2" s="1"/>
  <c r="BE491" i="2"/>
  <c r="BE503" i="2"/>
  <c r="BF502" i="2"/>
  <c r="Z501" i="2"/>
  <c r="AU502" i="2"/>
  <c r="Q502" i="2"/>
  <c r="Y504" i="2"/>
  <c r="Y506" i="2"/>
  <c r="Z503" i="2"/>
  <c r="Y596" i="2"/>
  <c r="Z593" i="2"/>
  <c r="X593" i="2"/>
  <c r="Y590" i="2"/>
  <c r="AY201" i="2"/>
  <c r="BB200" i="2" s="1"/>
  <c r="BJ200" i="2" s="1"/>
  <c r="BE212" i="2"/>
  <c r="X215" i="2"/>
  <c r="AY223" i="2"/>
  <c r="BB222" i="2" s="1"/>
  <c r="BE234" i="2"/>
  <c r="X237" i="2"/>
  <c r="BE266" i="2"/>
  <c r="BA279" i="2"/>
  <c r="AX281" i="2" s="1"/>
  <c r="AQ280" i="2"/>
  <c r="AU280" i="2" s="1"/>
  <c r="Q280" i="2" s="1"/>
  <c r="AY281" i="2"/>
  <c r="BB280" i="2"/>
  <c r="Y278" i="2"/>
  <c r="AW281" i="2"/>
  <c r="X295" i="2"/>
  <c r="BA291" i="2"/>
  <c r="AZ292" i="2" s="1"/>
  <c r="Y299" i="2"/>
  <c r="X316" i="2"/>
  <c r="BF313" i="2"/>
  <c r="AW313" i="2"/>
  <c r="AP314" i="2"/>
  <c r="Y309" i="2"/>
  <c r="BA323" i="2"/>
  <c r="AX325" i="2"/>
  <c r="AQ324" i="2"/>
  <c r="AY325" i="2"/>
  <c r="BB324" i="2" s="1"/>
  <c r="AA323" i="2" s="1"/>
  <c r="Y322" i="2"/>
  <c r="AW325" i="2"/>
  <c r="X339" i="2"/>
  <c r="BA335" i="2"/>
  <c r="AZ336" i="2"/>
  <c r="BA345" i="2"/>
  <c r="AX347" i="2"/>
  <c r="AU348" i="2"/>
  <c r="Q348" i="2"/>
  <c r="AW348" i="2"/>
  <c r="AA350" i="2"/>
  <c r="Q357" i="2"/>
  <c r="O361" i="2"/>
  <c r="G370" i="2"/>
  <c r="E368" i="2"/>
  <c r="H370" i="2"/>
  <c r="Z393" i="2"/>
  <c r="Y396" i="2"/>
  <c r="BA403" i="2"/>
  <c r="AZ404" i="2" s="1"/>
  <c r="BF435" i="2"/>
  <c r="AU447" i="2"/>
  <c r="Q447" i="2" s="1"/>
  <c r="BF523" i="2"/>
  <c r="Z520" i="2"/>
  <c r="X526" i="2"/>
  <c r="AU523" i="2"/>
  <c r="Q523" i="2"/>
  <c r="O538" i="2"/>
  <c r="BE603" i="2"/>
  <c r="X605" i="2"/>
  <c r="Y602" i="2"/>
  <c r="Z695" i="2"/>
  <c r="Y698" i="2"/>
  <c r="G124" i="2"/>
  <c r="E120" i="2"/>
  <c r="G128" i="2"/>
  <c r="G130" i="2"/>
  <c r="C132" i="2" s="1"/>
  <c r="G132" i="2"/>
  <c r="C136" i="2" s="1"/>
  <c r="G136" i="2"/>
  <c r="E128" i="2" s="1"/>
  <c r="T138" i="2"/>
  <c r="G140" i="2"/>
  <c r="E136" i="2"/>
  <c r="T142" i="2"/>
  <c r="BC152" i="2"/>
  <c r="AX155" i="2" s="1"/>
  <c r="AO153" i="2"/>
  <c r="AW154" i="2"/>
  <c r="BC154" i="2"/>
  <c r="BB155" i="2" s="1"/>
  <c r="AZ188" i="2"/>
  <c r="AW201" i="2"/>
  <c r="BA199" i="2"/>
  <c r="AX201" i="2"/>
  <c r="Z199" i="2"/>
  <c r="AU200" i="2"/>
  <c r="Q200" i="2" s="1"/>
  <c r="BE200" i="2"/>
  <c r="Y196" i="2"/>
  <c r="Z207" i="2"/>
  <c r="AU210" i="2"/>
  <c r="Q210" i="2"/>
  <c r="BE210" i="2"/>
  <c r="BA211" i="2"/>
  <c r="AZ212" i="2" s="1"/>
  <c r="AW223" i="2"/>
  <c r="BA221" i="2"/>
  <c r="AX223" i="2"/>
  <c r="Z221" i="2"/>
  <c r="AU222" i="2"/>
  <c r="Q222" i="2" s="1"/>
  <c r="Y218" i="2"/>
  <c r="Z229" i="2"/>
  <c r="AU232" i="2"/>
  <c r="Q232" i="2" s="1"/>
  <c r="BE232" i="2"/>
  <c r="BA233" i="2"/>
  <c r="AZ234" i="2"/>
  <c r="BF265" i="2"/>
  <c r="AX266" i="2"/>
  <c r="BF266" i="2"/>
  <c r="Z265" i="2"/>
  <c r="AU268" i="2"/>
  <c r="Q268" i="2" s="1"/>
  <c r="Y268" i="2"/>
  <c r="BA268" i="2"/>
  <c r="BD267" i="2"/>
  <c r="BC267" i="2"/>
  <c r="BB268" i="2"/>
  <c r="Z273" i="2"/>
  <c r="AA270" i="2"/>
  <c r="Y264" i="2"/>
  <c r="X267" i="2"/>
  <c r="X283" i="2"/>
  <c r="BF281" i="2"/>
  <c r="BF280" i="2"/>
  <c r="AW280" i="2"/>
  <c r="AP281" i="2"/>
  <c r="AU281" i="2" s="1"/>
  <c r="Q281" i="2" s="1"/>
  <c r="BA290" i="2"/>
  <c r="AX292" i="2" s="1"/>
  <c r="AQ291" i="2"/>
  <c r="BF292" i="2" s="1"/>
  <c r="BF288" i="2" s="1"/>
  <c r="AY292" i="2"/>
  <c r="BB291" i="2"/>
  <c r="AU292" i="2"/>
  <c r="Q292" i="2"/>
  <c r="Y289" i="2"/>
  <c r="X306" i="2"/>
  <c r="BA302" i="2"/>
  <c r="AZ303" i="2"/>
  <c r="BJ303" i="2" s="1"/>
  <c r="Y310" i="2"/>
  <c r="X327" i="2"/>
  <c r="BF325" i="2"/>
  <c r="BF324" i="2"/>
  <c r="AW324" i="2"/>
  <c r="AP325" i="2"/>
  <c r="AU325" i="2" s="1"/>
  <c r="Q325" i="2" s="1"/>
  <c r="BA334" i="2"/>
  <c r="AX336" i="2" s="1"/>
  <c r="BJ336" i="2" s="1"/>
  <c r="AQ335" i="2"/>
  <c r="BF336" i="2" s="1"/>
  <c r="AY336" i="2"/>
  <c r="BB335" i="2"/>
  <c r="AU336" i="2"/>
  <c r="Q336" i="2"/>
  <c r="Y333" i="2"/>
  <c r="AQ345" i="2"/>
  <c r="AW347" i="2"/>
  <c r="Z342" i="2"/>
  <c r="X348" i="2"/>
  <c r="AO350" i="2"/>
  <c r="AW346" i="2"/>
  <c r="AY345" i="2"/>
  <c r="X347" i="2"/>
  <c r="G366" i="2"/>
  <c r="C368" i="2" s="1"/>
  <c r="H366" i="2"/>
  <c r="BB380" i="2"/>
  <c r="Z382" i="2"/>
  <c r="Y385" i="2"/>
  <c r="AW381" i="2"/>
  <c r="AY380" i="2"/>
  <c r="AO382" i="2"/>
  <c r="Y379" i="2"/>
  <c r="X382" i="2"/>
  <c r="AQ391" i="2"/>
  <c r="BA391" i="2"/>
  <c r="AX393" i="2" s="1"/>
  <c r="AW393" i="2"/>
  <c r="X394" i="2"/>
  <c r="Z388" i="2"/>
  <c r="AR436" i="2"/>
  <c r="BE437" i="2" s="1"/>
  <c r="BF458" i="2"/>
  <c r="Z457" i="2"/>
  <c r="Y460" i="2"/>
  <c r="Y462" i="2"/>
  <c r="Z459" i="2"/>
  <c r="AY459" i="2"/>
  <c r="BB458" i="2" s="1"/>
  <c r="AA457" i="2" s="1"/>
  <c r="AP470" i="2"/>
  <c r="Y465" i="2" s="1"/>
  <c r="AW469" i="2"/>
  <c r="Y483" i="2"/>
  <c r="BB479" i="2"/>
  <c r="AR524" i="2"/>
  <c r="Y527" i="2" s="1"/>
  <c r="Z524" i="2"/>
  <c r="Y629" i="2"/>
  <c r="Z626" i="2"/>
  <c r="AU166" i="2"/>
  <c r="Q166" i="2"/>
  <c r="BF168" i="2"/>
  <c r="AW190" i="2"/>
  <c r="AO199" i="2"/>
  <c r="BA200" i="2"/>
  <c r="AZ201" i="2" s="1"/>
  <c r="BH201" i="2" s="1"/>
  <c r="X203" i="2"/>
  <c r="Z209" i="2"/>
  <c r="AW212" i="2"/>
  <c r="BA210" i="2"/>
  <c r="AX212" i="2"/>
  <c r="AZ210" i="2"/>
  <c r="AO211" i="2"/>
  <c r="BF212" i="2" s="1"/>
  <c r="BF208" i="2" s="1"/>
  <c r="AO221" i="2"/>
  <c r="BA222" i="2"/>
  <c r="AZ223" i="2"/>
  <c r="X225" i="2"/>
  <c r="Z231" i="2"/>
  <c r="AW234" i="2"/>
  <c r="BA232" i="2"/>
  <c r="AX234" i="2" s="1"/>
  <c r="AZ232" i="2"/>
  <c r="AO233" i="2"/>
  <c r="BF234" i="2" s="1"/>
  <c r="BF235" i="2" s="1"/>
  <c r="Z264" i="2"/>
  <c r="AY268" i="2"/>
  <c r="BD266" i="2"/>
  <c r="BC266" i="2"/>
  <c r="AZ268" i="2"/>
  <c r="AW266" i="2"/>
  <c r="X271" i="2"/>
  <c r="AA262" i="2"/>
  <c r="AU267" i="2"/>
  <c r="Q267" i="2" s="1"/>
  <c r="AA264" i="2"/>
  <c r="AY267" i="2"/>
  <c r="BB266" i="2"/>
  <c r="BE268" i="2"/>
  <c r="Z272" i="2"/>
  <c r="AA269" i="2"/>
  <c r="AO269" i="2"/>
  <c r="BE267" i="2" s="1"/>
  <c r="X273" i="2"/>
  <c r="X284" i="2"/>
  <c r="BA280" i="2"/>
  <c r="AZ281" i="2"/>
  <c r="Y293" i="2"/>
  <c r="AU301" i="2"/>
  <c r="Q301" i="2" s="1"/>
  <c r="Z298" i="2"/>
  <c r="BF302" i="2"/>
  <c r="AW302" i="2"/>
  <c r="AP303" i="2"/>
  <c r="Y298" i="2"/>
  <c r="BA312" i="2"/>
  <c r="AX314" i="2"/>
  <c r="AQ313" i="2"/>
  <c r="AY314" i="2"/>
  <c r="BB313" i="2" s="1"/>
  <c r="BH313" i="2" s="1"/>
  <c r="AU314" i="2"/>
  <c r="Q314" i="2" s="1"/>
  <c r="Y311" i="2"/>
  <c r="AW314" i="2"/>
  <c r="X328" i="2"/>
  <c r="BA324" i="2"/>
  <c r="AZ325" i="2"/>
  <c r="Y337" i="2"/>
  <c r="BA346" i="2"/>
  <c r="AZ347" i="2"/>
  <c r="X352" i="2"/>
  <c r="X351" i="2"/>
  <c r="AU347" i="2"/>
  <c r="Q347" i="2"/>
  <c r="AA342" i="2"/>
  <c r="X353" i="2"/>
  <c r="AA344" i="2"/>
  <c r="G358" i="2"/>
  <c r="C360" i="2" s="1"/>
  <c r="H358" i="2"/>
  <c r="F366" i="2"/>
  <c r="B368" i="2"/>
  <c r="Y384" i="2"/>
  <c r="Z381" i="2"/>
  <c r="X381" i="2"/>
  <c r="Y378" i="2"/>
  <c r="X385" i="2"/>
  <c r="X428" i="2"/>
  <c r="Z422" i="2"/>
  <c r="AU424" i="2"/>
  <c r="Q424" i="2"/>
  <c r="BE424" i="2"/>
  <c r="X450" i="2"/>
  <c r="Z444" i="2"/>
  <c r="AU458" i="2"/>
  <c r="Q458" i="2" s="1"/>
  <c r="AY468" i="2"/>
  <c r="Y505" i="2"/>
  <c r="X516" i="2"/>
  <c r="Z510" i="2"/>
  <c r="AU512" i="2"/>
  <c r="Q512" i="2" s="1"/>
  <c r="BE512" i="2"/>
  <c r="F541" i="2"/>
  <c r="B543" i="2"/>
  <c r="H541" i="2"/>
  <c r="AR571" i="2"/>
  <c r="BE572" i="2" s="1"/>
  <c r="BE568" i="2" s="1"/>
  <c r="BA571" i="2"/>
  <c r="AZ572" i="2"/>
  <c r="Z570" i="2"/>
  <c r="AR582" i="2"/>
  <c r="BA582" i="2"/>
  <c r="AZ583" i="2"/>
  <c r="Z581" i="2"/>
  <c r="Y618" i="2"/>
  <c r="Z615" i="2"/>
  <c r="BE615" i="2"/>
  <c r="F642" i="2"/>
  <c r="H642" i="2"/>
  <c r="G642" i="2"/>
  <c r="AU380" i="2"/>
  <c r="Q380" i="2" s="1"/>
  <c r="BF380" i="2"/>
  <c r="Y394" i="2"/>
  <c r="BE392" i="2"/>
  <c r="AU392" i="2"/>
  <c r="Q392" i="2"/>
  <c r="AW392" i="2"/>
  <c r="AY391" i="2"/>
  <c r="AO393" i="2"/>
  <c r="Y390" i="2"/>
  <c r="X393" i="2"/>
  <c r="BA402" i="2"/>
  <c r="AX404" i="2" s="1"/>
  <c r="BE404" i="2"/>
  <c r="AP415" i="2"/>
  <c r="AW414" i="2"/>
  <c r="AY415" i="2"/>
  <c r="BB414" i="2"/>
  <c r="AP426" i="2"/>
  <c r="Y421" i="2" s="1"/>
  <c r="AW425" i="2"/>
  <c r="BF446" i="2"/>
  <c r="BA446" i="2"/>
  <c r="AX448" i="2" s="1"/>
  <c r="BI448" i="2" s="1"/>
  <c r="Y450" i="2"/>
  <c r="Y461" i="2"/>
  <c r="Y456" i="2"/>
  <c r="X472" i="2"/>
  <c r="Z466" i="2"/>
  <c r="Y471" i="2"/>
  <c r="AU469" i="2"/>
  <c r="Q469" i="2" s="1"/>
  <c r="Z468" i="2"/>
  <c r="Y473" i="2"/>
  <c r="Z470" i="2"/>
  <c r="BF479" i="2"/>
  <c r="BE481" i="2"/>
  <c r="AZ490" i="2"/>
  <c r="AP503" i="2"/>
  <c r="BF501" i="2" s="1"/>
  <c r="BF499" i="2" s="1"/>
  <c r="AW502" i="2"/>
  <c r="AY503" i="2"/>
  <c r="BB502" i="2" s="1"/>
  <c r="BI502" i="2" s="1"/>
  <c r="AX513" i="2"/>
  <c r="AP514" i="2"/>
  <c r="Y509" i="2"/>
  <c r="AW513" i="2"/>
  <c r="BF524" i="2"/>
  <c r="L533" i="2"/>
  <c r="AW572" i="2"/>
  <c r="BA570" i="2"/>
  <c r="AX572" i="2"/>
  <c r="AR570" i="2"/>
  <c r="Z568" i="2"/>
  <c r="BF570" i="2"/>
  <c r="AY572" i="2"/>
  <c r="BB571" i="2" s="1"/>
  <c r="AW583" i="2"/>
  <c r="BA581" i="2"/>
  <c r="BG581" i="2" s="1"/>
  <c r="AX583" i="2"/>
  <c r="AR581" i="2"/>
  <c r="Z579" i="2"/>
  <c r="AY583" i="2"/>
  <c r="BB582" i="2"/>
  <c r="AX593" i="2"/>
  <c r="Z602" i="2"/>
  <c r="X608" i="2"/>
  <c r="BD658" i="2"/>
  <c r="BE707" i="2"/>
  <c r="Z702" i="2"/>
  <c r="X710" i="2"/>
  <c r="Z704" i="2"/>
  <c r="Y761" i="2"/>
  <c r="AA755" i="2"/>
  <c r="AW769" i="2"/>
  <c r="BA767" i="2"/>
  <c r="AX769" i="2"/>
  <c r="AO767" i="2"/>
  <c r="X772" i="2"/>
  <c r="Z766" i="2"/>
  <c r="BC265" i="2"/>
  <c r="AX268" i="2" s="1"/>
  <c r="X279" i="2"/>
  <c r="AP279" i="2"/>
  <c r="AU279" i="2" s="1"/>
  <c r="Q279" i="2" s="1"/>
  <c r="AY279" i="2"/>
  <c r="Y284" i="2"/>
  <c r="X290" i="2"/>
  <c r="AP290" i="2"/>
  <c r="Z287" i="2" s="1"/>
  <c r="AY290" i="2"/>
  <c r="Y295" i="2"/>
  <c r="X301" i="2"/>
  <c r="AP301" i="2"/>
  <c r="X304" i="2" s="1"/>
  <c r="AY301" i="2"/>
  <c r="Y306" i="2"/>
  <c r="X312" i="2"/>
  <c r="AP312" i="2"/>
  <c r="Z309" i="2" s="1"/>
  <c r="AY312" i="2"/>
  <c r="Y317" i="2"/>
  <c r="X323" i="2"/>
  <c r="AP323" i="2"/>
  <c r="X326" i="2" s="1"/>
  <c r="AY323" i="2"/>
  <c r="Y328" i="2"/>
  <c r="X334" i="2"/>
  <c r="AP334" i="2"/>
  <c r="Z331" i="2" s="1"/>
  <c r="AY334" i="2"/>
  <c r="Y339" i="2"/>
  <c r="Z344" i="2"/>
  <c r="BC346" i="2"/>
  <c r="AZ348" i="2"/>
  <c r="AQ346" i="2"/>
  <c r="AY347" i="2"/>
  <c r="BB346" i="2" s="1"/>
  <c r="BA348" i="2"/>
  <c r="BD347" i="2" s="1"/>
  <c r="BH347" i="2" s="1"/>
  <c r="Z353" i="2"/>
  <c r="F364" i="2"/>
  <c r="AY382" i="2"/>
  <c r="BG382" i="2" s="1"/>
  <c r="BG378" i="2" s="1"/>
  <c r="Z391" i="2"/>
  <c r="Z392" i="2"/>
  <c r="BA392" i="2"/>
  <c r="AZ393" i="2" s="1"/>
  <c r="Y406" i="2"/>
  <c r="Y405" i="2"/>
  <c r="BE403" i="2"/>
  <c r="AU403" i="2"/>
  <c r="Q403" i="2"/>
  <c r="AW403" i="2"/>
  <c r="AY402" i="2"/>
  <c r="AO404" i="2"/>
  <c r="Y401" i="2"/>
  <c r="X404" i="2"/>
  <c r="AO413" i="2"/>
  <c r="AW415" i="2"/>
  <c r="Z412" i="2"/>
  <c r="AY413" i="2"/>
  <c r="X414" i="2"/>
  <c r="Y411" i="2"/>
  <c r="BF424" i="2"/>
  <c r="BE426" i="2"/>
  <c r="Z421" i="2"/>
  <c r="X427" i="2"/>
  <c r="Z437" i="2"/>
  <c r="AX436" i="2"/>
  <c r="BG435" i="2"/>
  <c r="Z446" i="2"/>
  <c r="X448" i="2"/>
  <c r="AQ448" i="2"/>
  <c r="AY446" i="2"/>
  <c r="AU448" i="2"/>
  <c r="Q448" i="2"/>
  <c r="X446" i="2"/>
  <c r="Y443" i="2"/>
  <c r="AW448" i="2"/>
  <c r="BF470" i="2"/>
  <c r="BF469" i="2"/>
  <c r="BA469" i="2"/>
  <c r="AZ470" i="2" s="1"/>
  <c r="AA471" i="2" s="1"/>
  <c r="Y467" i="2"/>
  <c r="X470" i="2"/>
  <c r="Y472" i="2"/>
  <c r="Z477" i="2"/>
  <c r="AO480" i="2"/>
  <c r="AY481" i="2"/>
  <c r="BG481" i="2" s="1"/>
  <c r="BG477" i="2" s="1"/>
  <c r="BB480" i="2"/>
  <c r="AW480" i="2"/>
  <c r="X481" i="2"/>
  <c r="X493" i="2"/>
  <c r="AU490" i="2"/>
  <c r="Q490" i="2" s="1"/>
  <c r="Z489" i="2"/>
  <c r="BF492" i="2"/>
  <c r="Y493" i="2"/>
  <c r="X495" i="2"/>
  <c r="AO501" i="2"/>
  <c r="AW503" i="2"/>
  <c r="Z500" i="2"/>
  <c r="AY501" i="2"/>
  <c r="X502" i="2"/>
  <c r="Y499" i="2"/>
  <c r="AU503" i="2"/>
  <c r="Q503" i="2" s="1"/>
  <c r="BF512" i="2"/>
  <c r="BE514" i="2"/>
  <c r="Z509" i="2"/>
  <c r="X515" i="2"/>
  <c r="Z525" i="2"/>
  <c r="AX524" i="2"/>
  <c r="H533" i="2"/>
  <c r="H539" i="2"/>
  <c r="AO572" i="2"/>
  <c r="AW571" i="2"/>
  <c r="X572" i="2"/>
  <c r="Y569" i="2"/>
  <c r="AO583" i="2"/>
  <c r="AW582" i="2"/>
  <c r="X583" i="2"/>
  <c r="Y580" i="2"/>
  <c r="BA592" i="2"/>
  <c r="AX594" i="2"/>
  <c r="AP592" i="2"/>
  <c r="BA593" i="2"/>
  <c r="AZ594" i="2" s="1"/>
  <c r="AP593" i="2"/>
  <c r="AZ592" i="2"/>
  <c r="Y607" i="2"/>
  <c r="X629" i="2"/>
  <c r="Z623" i="2"/>
  <c r="BE625" i="2"/>
  <c r="Q635" i="2"/>
  <c r="AW780" i="2"/>
  <c r="BA778" i="2"/>
  <c r="AX780" i="2" s="1"/>
  <c r="AO778" i="2"/>
  <c r="X783" i="2"/>
  <c r="Z777" i="2"/>
  <c r="BA265" i="2"/>
  <c r="AU266" i="2"/>
  <c r="Q266" i="2" s="1"/>
  <c r="AA265" i="2"/>
  <c r="AW268" i="2"/>
  <c r="X281" i="2"/>
  <c r="X292" i="2"/>
  <c r="X303" i="2"/>
  <c r="X314" i="2"/>
  <c r="X325" i="2"/>
  <c r="X336" i="2"/>
  <c r="BF345" i="2"/>
  <c r="Y348" i="2"/>
  <c r="Y350" i="2"/>
  <c r="X346" i="2"/>
  <c r="F360" i="2"/>
  <c r="B364" i="2" s="1"/>
  <c r="F368" i="2"/>
  <c r="D364" i="2" s="1"/>
  <c r="BE380" i="2"/>
  <c r="X383" i="2"/>
  <c r="AY404" i="2"/>
  <c r="BB403" i="2"/>
  <c r="Z404" i="2"/>
  <c r="X417" i="2"/>
  <c r="BF426" i="2"/>
  <c r="BF425" i="2"/>
  <c r="Y423" i="2"/>
  <c r="X426" i="2"/>
  <c r="Z433" i="2"/>
  <c r="AO436" i="2"/>
  <c r="AY437" i="2"/>
  <c r="BB436" i="2"/>
  <c r="X437" i="2"/>
  <c r="X449" i="2"/>
  <c r="BE446" i="2"/>
  <c r="AU446" i="2"/>
  <c r="Q446" i="2"/>
  <c r="Z445" i="2"/>
  <c r="BF447" i="2"/>
  <c r="BE447" i="2"/>
  <c r="BF448" i="2"/>
  <c r="Y449" i="2"/>
  <c r="X451" i="2"/>
  <c r="AO457" i="2"/>
  <c r="AW459" i="2"/>
  <c r="BJ459" i="2" s="1"/>
  <c r="AC460" i="2" s="1"/>
  <c r="Z456" i="2"/>
  <c r="X458" i="2"/>
  <c r="Y455" i="2"/>
  <c r="X457" i="2"/>
  <c r="BF468" i="2"/>
  <c r="BE470" i="2"/>
  <c r="Z465" i="2"/>
  <c r="BE468" i="2"/>
  <c r="AY470" i="2"/>
  <c r="BB469" i="2" s="1"/>
  <c r="X471" i="2"/>
  <c r="AX480" i="2"/>
  <c r="AQ492" i="2"/>
  <c r="BE490" i="2" s="1"/>
  <c r="AY490" i="2"/>
  <c r="X490" i="2"/>
  <c r="Y487" i="2"/>
  <c r="X505" i="2"/>
  <c r="BF514" i="2"/>
  <c r="BF513" i="2"/>
  <c r="Y511" i="2"/>
  <c r="X514" i="2"/>
  <c r="Z521" i="2"/>
  <c r="AO524" i="2"/>
  <c r="AY525" i="2"/>
  <c r="BB524" i="2" s="1"/>
  <c r="AZ523" i="2"/>
  <c r="X525" i="2"/>
  <c r="V561" i="2"/>
  <c r="Y575" i="2"/>
  <c r="Z572" i="2"/>
  <c r="Y586" i="2"/>
  <c r="Z583" i="2"/>
  <c r="BB592" i="2"/>
  <c r="BG594" i="2"/>
  <c r="AY605" i="2"/>
  <c r="BB604" i="2" s="1"/>
  <c r="BH604" i="2" s="1"/>
  <c r="BA604" i="2"/>
  <c r="AZ605" i="2" s="1"/>
  <c r="AP604" i="2"/>
  <c r="AP605" i="2"/>
  <c r="AU605" i="2" s="1"/>
  <c r="Q605" i="2" s="1"/>
  <c r="BE604" i="2"/>
  <c r="AY603" i="2"/>
  <c r="AW604" i="2"/>
  <c r="AA660" i="2"/>
  <c r="Y666" i="2"/>
  <c r="Z681" i="2"/>
  <c r="X687" i="2"/>
  <c r="Y682" i="2"/>
  <c r="X685" i="2"/>
  <c r="BA695" i="2"/>
  <c r="AZ696" i="2"/>
  <c r="AO695" i="2"/>
  <c r="AY696" i="2"/>
  <c r="BB695" i="2" s="1"/>
  <c r="Y699" i="2"/>
  <c r="Z696" i="2"/>
  <c r="Z765" i="2"/>
  <c r="X771" i="2"/>
  <c r="Z423" i="2"/>
  <c r="BA424" i="2"/>
  <c r="X425" i="2"/>
  <c r="Y422" i="2"/>
  <c r="AU426" i="2"/>
  <c r="Q426" i="2" s="1"/>
  <c r="X424" i="2"/>
  <c r="X429" i="2"/>
  <c r="BA447" i="2"/>
  <c r="AZ448" i="2" s="1"/>
  <c r="Z467" i="2"/>
  <c r="BA468" i="2"/>
  <c r="AX470" i="2"/>
  <c r="X469" i="2"/>
  <c r="Y466" i="2"/>
  <c r="X473" i="2"/>
  <c r="BA491" i="2"/>
  <c r="Z511" i="2"/>
  <c r="BA512" i="2"/>
  <c r="X513" i="2"/>
  <c r="Y510" i="2"/>
  <c r="AU514" i="2"/>
  <c r="Q514" i="2" s="1"/>
  <c r="X512" i="2"/>
  <c r="X517" i="2"/>
  <c r="O541" i="2"/>
  <c r="BA603" i="2"/>
  <c r="AX605" i="2"/>
  <c r="AW605" i="2"/>
  <c r="BF614" i="2"/>
  <c r="BA614" i="2"/>
  <c r="AX616" i="2"/>
  <c r="AW616" i="2"/>
  <c r="Z624" i="2"/>
  <c r="X630" i="2"/>
  <c r="Z670" i="2"/>
  <c r="X676" i="2"/>
  <c r="Y675" i="2"/>
  <c r="BE673" i="2"/>
  <c r="AU673" i="2"/>
  <c r="Q673" i="2" s="1"/>
  <c r="Z672" i="2"/>
  <c r="X672" i="2"/>
  <c r="Y669" i="2"/>
  <c r="Y671" i="2"/>
  <c r="X674" i="2"/>
  <c r="Y687" i="2"/>
  <c r="Z684" i="2"/>
  <c r="H740" i="2"/>
  <c r="F740" i="2"/>
  <c r="D736" i="2" s="1"/>
  <c r="G740" i="2"/>
  <c r="E736" i="2" s="1"/>
  <c r="BA414" i="2"/>
  <c r="AZ415" i="2" s="1"/>
  <c r="BH415" i="2" s="1"/>
  <c r="AW426" i="2"/>
  <c r="Z434" i="2"/>
  <c r="BA435" i="2"/>
  <c r="AX437" i="2"/>
  <c r="X436" i="2"/>
  <c r="Y433" i="2"/>
  <c r="X440" i="2"/>
  <c r="AY448" i="2"/>
  <c r="BB447" i="2"/>
  <c r="BA458" i="2"/>
  <c r="AZ459" i="2"/>
  <c r="BH459" i="2" s="1"/>
  <c r="AW470" i="2"/>
  <c r="Z478" i="2"/>
  <c r="BA479" i="2"/>
  <c r="AX481" i="2" s="1"/>
  <c r="X480" i="2"/>
  <c r="Y477" i="2"/>
  <c r="X484" i="2"/>
  <c r="AY492" i="2"/>
  <c r="BB491" i="2" s="1"/>
  <c r="BA502" i="2"/>
  <c r="AZ503" i="2" s="1"/>
  <c r="AW514" i="2"/>
  <c r="Z522" i="2"/>
  <c r="BA523" i="2"/>
  <c r="BG523" i="2" s="1"/>
  <c r="AB520" i="2" s="1"/>
  <c r="X524" i="2"/>
  <c r="Y521" i="2"/>
  <c r="AU525" i="2"/>
  <c r="Q525" i="2" s="1"/>
  <c r="X523" i="2"/>
  <c r="X528" i="2"/>
  <c r="O542" i="2"/>
  <c r="F557" i="2"/>
  <c r="B559" i="2"/>
  <c r="H557" i="2"/>
  <c r="Y573" i="2"/>
  <c r="Y584" i="2"/>
  <c r="Y597" i="2"/>
  <c r="AU594" i="2"/>
  <c r="Q594" i="2"/>
  <c r="X592" i="2"/>
  <c r="X594" i="2"/>
  <c r="X607" i="2"/>
  <c r="X606" i="2"/>
  <c r="X604" i="2"/>
  <c r="Y601" i="2"/>
  <c r="BA615" i="2"/>
  <c r="AZ616" i="2"/>
  <c r="AP615" i="2"/>
  <c r="AY616" i="2"/>
  <c r="BB615" i="2" s="1"/>
  <c r="AA614" i="2" s="1"/>
  <c r="AW627" i="2"/>
  <c r="BA625" i="2"/>
  <c r="AP625" i="2"/>
  <c r="BE660" i="2"/>
  <c r="Z660" i="2"/>
  <c r="AW674" i="2"/>
  <c r="BA672" i="2"/>
  <c r="AX674" i="2" s="1"/>
  <c r="AO672" i="2"/>
  <c r="X677" i="2"/>
  <c r="Z671" i="2"/>
  <c r="AY685" i="2"/>
  <c r="BB684" i="2"/>
  <c r="BA684" i="2"/>
  <c r="AZ685" i="2"/>
  <c r="AO684" i="2"/>
  <c r="Z685" i="2"/>
  <c r="Y688" i="2"/>
  <c r="Z714" i="2"/>
  <c r="AW791" i="2"/>
  <c r="BA789" i="2"/>
  <c r="AX791" i="2"/>
  <c r="AO789" i="2"/>
  <c r="X794" i="2"/>
  <c r="Z788" i="2"/>
  <c r="BF626" i="2"/>
  <c r="AZ625" i="2"/>
  <c r="F644" i="2"/>
  <c r="B646" i="2"/>
  <c r="H644" i="2"/>
  <c r="BA659" i="2"/>
  <c r="AZ660" i="2" s="1"/>
  <c r="X665" i="2"/>
  <c r="X664" i="2"/>
  <c r="AU660" i="2"/>
  <c r="Q660" i="2"/>
  <c r="AA655" i="2"/>
  <c r="X666" i="2"/>
  <c r="AA657" i="2"/>
  <c r="Y677" i="2"/>
  <c r="AW685" i="2"/>
  <c r="BA683" i="2"/>
  <c r="AX685" i="2" s="1"/>
  <c r="AW696" i="2"/>
  <c r="BA694" i="2"/>
  <c r="AX696" i="2"/>
  <c r="X698" i="2"/>
  <c r="Z692" i="2"/>
  <c r="AW719" i="2"/>
  <c r="BC716" i="2"/>
  <c r="AX719" i="2" s="1"/>
  <c r="X724" i="2"/>
  <c r="AA715" i="2"/>
  <c r="Z716" i="2"/>
  <c r="AU719" i="2"/>
  <c r="Q719" i="2"/>
  <c r="Q733" i="2"/>
  <c r="Z751" i="2"/>
  <c r="BE753" i="2"/>
  <c r="BF755" i="2"/>
  <c r="X755" i="2"/>
  <c r="BD855" i="2"/>
  <c r="AP859" i="2"/>
  <c r="BA858" i="2"/>
  <c r="BD857" i="2"/>
  <c r="BC857" i="2"/>
  <c r="BB858" i="2"/>
  <c r="Z863" i="2"/>
  <c r="AA860" i="2"/>
  <c r="BE882" i="2"/>
  <c r="Z877" i="2"/>
  <c r="X885" i="2"/>
  <c r="Z879" i="2"/>
  <c r="AU616" i="2"/>
  <c r="Q616" i="2"/>
  <c r="X614" i="2"/>
  <c r="X616" i="2"/>
  <c r="X625" i="2"/>
  <c r="X626" i="2"/>
  <c r="Y623" i="2"/>
  <c r="F640" i="2"/>
  <c r="D638" i="2"/>
  <c r="H640" i="2"/>
  <c r="AQ658" i="2"/>
  <c r="AU658" i="2" s="1"/>
  <c r="Q658" i="2" s="1"/>
  <c r="AW660" i="2"/>
  <c r="Z655" i="2"/>
  <c r="X661" i="2"/>
  <c r="AO663" i="2"/>
  <c r="AW659" i="2"/>
  <c r="AY658" i="2"/>
  <c r="AY674" i="2"/>
  <c r="BB673" i="2" s="1"/>
  <c r="BA673" i="2"/>
  <c r="AZ674" i="2" s="1"/>
  <c r="BJ674" i="2" s="1"/>
  <c r="Y676" i="2"/>
  <c r="Z673" i="2"/>
  <c r="AU674" i="2"/>
  <c r="Q674" i="2" s="1"/>
  <c r="AO683" i="2"/>
  <c r="Z693" i="2"/>
  <c r="AO694" i="2"/>
  <c r="Y691" i="2"/>
  <c r="AU696" i="2"/>
  <c r="Q696" i="2" s="1"/>
  <c r="X694" i="2"/>
  <c r="Z706" i="2"/>
  <c r="Y709" i="2"/>
  <c r="AO718" i="2"/>
  <c r="AR721" i="2"/>
  <c r="BF716" i="2" s="1"/>
  <c r="AW717" i="2"/>
  <c r="X716" i="2"/>
  <c r="V732" i="2"/>
  <c r="E730" i="2"/>
  <c r="H736" i="2"/>
  <c r="F736" i="2"/>
  <c r="G736" i="2"/>
  <c r="Q741" i="2"/>
  <c r="T741" i="2"/>
  <c r="T742" i="2"/>
  <c r="X761" i="2"/>
  <c r="AA752" i="2"/>
  <c r="Z798" i="2"/>
  <c r="X804" i="2"/>
  <c r="L561" i="2"/>
  <c r="X574" i="2"/>
  <c r="X573" i="2"/>
  <c r="BF572" i="2"/>
  <c r="AU570" i="2"/>
  <c r="Q570" i="2"/>
  <c r="Z567" i="2"/>
  <c r="BE570" i="2"/>
  <c r="X584" i="2"/>
  <c r="BF583" i="2"/>
  <c r="AU581" i="2"/>
  <c r="Q581" i="2"/>
  <c r="Z578" i="2"/>
  <c r="BE581" i="2"/>
  <c r="X596" i="2"/>
  <c r="X618" i="2"/>
  <c r="X617" i="2"/>
  <c r="Y622" i="2"/>
  <c r="AU627" i="2"/>
  <c r="Q627" i="2" s="1"/>
  <c r="H636" i="2"/>
  <c r="F638" i="2"/>
  <c r="B642" i="2" s="1"/>
  <c r="H638" i="2"/>
  <c r="F646" i="2"/>
  <c r="D642" i="2"/>
  <c r="H646" i="2"/>
  <c r="H648" i="2"/>
  <c r="AY661" i="2"/>
  <c r="BD659" i="2" s="1"/>
  <c r="Z659" i="2"/>
  <c r="AA661" i="2"/>
  <c r="Z664" i="2"/>
  <c r="BF694" i="2"/>
  <c r="Z703" i="2"/>
  <c r="X709" i="2"/>
  <c r="Z707" i="2"/>
  <c r="AR707" i="2"/>
  <c r="BF705" i="2" s="1"/>
  <c r="AW706" i="2"/>
  <c r="AY705" i="2"/>
  <c r="Y723" i="2"/>
  <c r="AA717" i="2"/>
  <c r="AU717" i="2"/>
  <c r="Q717" i="2" s="1"/>
  <c r="AA716" i="2"/>
  <c r="Y722" i="2"/>
  <c r="BE717" i="2"/>
  <c r="Y719" i="2"/>
  <c r="Z717" i="2"/>
  <c r="AY719" i="2"/>
  <c r="BD717" i="2"/>
  <c r="H732" i="2"/>
  <c r="F732" i="2"/>
  <c r="B736" i="2" s="1"/>
  <c r="G732" i="2"/>
  <c r="C736" i="2" s="1"/>
  <c r="AA751" i="2"/>
  <c r="Z761" i="2"/>
  <c r="Z768" i="2"/>
  <c r="Y771" i="2"/>
  <c r="Z779" i="2"/>
  <c r="Y782" i="2"/>
  <c r="Z790" i="2"/>
  <c r="Y793" i="2"/>
  <c r="AW802" i="2"/>
  <c r="BA800" i="2"/>
  <c r="AX802" i="2" s="1"/>
  <c r="AO800" i="2"/>
  <c r="X805" i="2"/>
  <c r="Z799" i="2"/>
  <c r="Y804" i="2"/>
  <c r="Z801" i="2"/>
  <c r="Y819" i="2"/>
  <c r="AU824" i="2"/>
  <c r="Q824" i="2" s="1"/>
  <c r="X822" i="2"/>
  <c r="AR882" i="2"/>
  <c r="AW881" i="2"/>
  <c r="AY880" i="2"/>
  <c r="BE957" i="2"/>
  <c r="BF955" i="2"/>
  <c r="Y797" i="2"/>
  <c r="AU802" i="2"/>
  <c r="Q802" i="2"/>
  <c r="X800" i="2"/>
  <c r="BE871" i="2"/>
  <c r="AX870" i="2"/>
  <c r="Z878" i="2"/>
  <c r="X884" i="2"/>
  <c r="F1000" i="2"/>
  <c r="H1000" i="2"/>
  <c r="Z600" i="2"/>
  <c r="AU603" i="2"/>
  <c r="Q603" i="2"/>
  <c r="BF605" i="2"/>
  <c r="Z611" i="2"/>
  <c r="AU614" i="2"/>
  <c r="Q614" i="2"/>
  <c r="BF616" i="2"/>
  <c r="O639" i="2"/>
  <c r="O641" i="2" s="1"/>
  <c r="Z657" i="2"/>
  <c r="BC659" i="2"/>
  <c r="AZ661" i="2"/>
  <c r="BJ661" i="2" s="1"/>
  <c r="AQ659" i="2"/>
  <c r="AY660" i="2"/>
  <c r="BB659" i="2"/>
  <c r="BA661" i="2"/>
  <c r="BD660" i="2"/>
  <c r="Z666" i="2"/>
  <c r="AW673" i="2"/>
  <c r="AY672" i="2"/>
  <c r="AW684" i="2"/>
  <c r="AY683" i="2"/>
  <c r="X708" i="2"/>
  <c r="BA716" i="2"/>
  <c r="AX718" i="2"/>
  <c r="AW718" i="2"/>
  <c r="X721" i="2"/>
  <c r="Z715" i="2"/>
  <c r="Z724" i="2"/>
  <c r="Q729" i="2"/>
  <c r="O735" i="2"/>
  <c r="O737" i="2" s="1"/>
  <c r="H738" i="2"/>
  <c r="F738" i="2"/>
  <c r="B740" i="2" s="1"/>
  <c r="G738" i="2"/>
  <c r="C740" i="2" s="1"/>
  <c r="BE756" i="2"/>
  <c r="X759" i="2"/>
  <c r="Z760" i="2"/>
  <c r="AA757" i="2"/>
  <c r="Z767" i="2"/>
  <c r="Y770" i="2"/>
  <c r="BE768" i="2"/>
  <c r="AU768" i="2"/>
  <c r="Q768" i="2" s="1"/>
  <c r="Z778" i="2"/>
  <c r="Y781" i="2"/>
  <c r="BE779" i="2"/>
  <c r="BE776" i="2" s="1"/>
  <c r="AU779" i="2"/>
  <c r="Q779" i="2"/>
  <c r="Z789" i="2"/>
  <c r="Y792" i="2"/>
  <c r="BE790" i="2"/>
  <c r="AU790" i="2"/>
  <c r="Q790" i="2" s="1"/>
  <c r="BF800" i="2"/>
  <c r="Z800" i="2"/>
  <c r="BE801" i="2"/>
  <c r="Y803" i="2"/>
  <c r="AU801" i="2"/>
  <c r="Q801" i="2" s="1"/>
  <c r="Z812" i="2"/>
  <c r="Y815" i="2"/>
  <c r="Z822" i="2"/>
  <c r="Y825" i="2"/>
  <c r="BE823" i="2"/>
  <c r="AU823" i="2"/>
  <c r="Q823" i="2"/>
  <c r="Y872" i="2"/>
  <c r="BF870" i="2"/>
  <c r="Y874" i="2"/>
  <c r="Z871" i="2"/>
  <c r="AY871" i="2"/>
  <c r="BB870" i="2"/>
  <c r="BH870" i="2" s="1"/>
  <c r="AR893" i="2"/>
  <c r="AW892" i="2"/>
  <c r="AY891" i="2"/>
  <c r="X891" i="2"/>
  <c r="AU893" i="2"/>
  <c r="Q893" i="2"/>
  <c r="BB924" i="2"/>
  <c r="X628" i="2"/>
  <c r="Y630" i="2"/>
  <c r="Z627" i="2"/>
  <c r="B648" i="2"/>
  <c r="V647" i="2"/>
  <c r="BF658" i="2"/>
  <c r="Y661" i="2"/>
  <c r="Y663" i="2"/>
  <c r="X659" i="2"/>
  <c r="BE674" i="2"/>
  <c r="BF672" i="2"/>
  <c r="BE685" i="2"/>
  <c r="AO685" i="2"/>
  <c r="Y693" i="2"/>
  <c r="X696" i="2"/>
  <c r="Y702" i="2"/>
  <c r="X705" i="2"/>
  <c r="X720" i="2"/>
  <c r="AO716" i="2"/>
  <c r="Z718" i="2"/>
  <c r="Y721" i="2"/>
  <c r="Z723" i="2"/>
  <c r="AA720" i="2"/>
  <c r="Y714" i="2"/>
  <c r="X717" i="2"/>
  <c r="H730" i="2"/>
  <c r="H734" i="2"/>
  <c r="F734" i="2"/>
  <c r="D732" i="2" s="1"/>
  <c r="G734" i="2"/>
  <c r="E732" i="2" s="1"/>
  <c r="O739" i="2"/>
  <c r="Q739" i="2" s="1"/>
  <c r="H742" i="2"/>
  <c r="BB753" i="2"/>
  <c r="BG755" i="2"/>
  <c r="AU756" i="2"/>
  <c r="Q756" i="2" s="1"/>
  <c r="Z753" i="2"/>
  <c r="Y756" i="2"/>
  <c r="Z755" i="2"/>
  <c r="Y758" i="2"/>
  <c r="AU758" i="2"/>
  <c r="Q758" i="2" s="1"/>
  <c r="Y750" i="2"/>
  <c r="BA768" i="2"/>
  <c r="AZ769" i="2"/>
  <c r="AY769" i="2"/>
  <c r="BB768" i="2"/>
  <c r="BJ768" i="2" s="1"/>
  <c r="Y764" i="2"/>
  <c r="X767" i="2"/>
  <c r="AU769" i="2"/>
  <c r="Q769" i="2"/>
  <c r="Y766" i="2"/>
  <c r="BA779" i="2"/>
  <c r="AZ780" i="2" s="1"/>
  <c r="BI780" i="2" s="1"/>
  <c r="AY780" i="2"/>
  <c r="Y775" i="2"/>
  <c r="X778" i="2"/>
  <c r="AU780" i="2"/>
  <c r="Q780" i="2" s="1"/>
  <c r="Y777" i="2"/>
  <c r="BA790" i="2"/>
  <c r="AZ791" i="2"/>
  <c r="BJ791" i="2" s="1"/>
  <c r="AY791" i="2"/>
  <c r="BB790" i="2"/>
  <c r="BH790" i="2" s="1"/>
  <c r="Y786" i="2"/>
  <c r="X789" i="2"/>
  <c r="AU791" i="2"/>
  <c r="Q791" i="2"/>
  <c r="Y788" i="2"/>
  <c r="BA801" i="2"/>
  <c r="AZ802" i="2" s="1"/>
  <c r="X801" i="2"/>
  <c r="AY802" i="2"/>
  <c r="BB801" i="2"/>
  <c r="BH801" i="2" s="1"/>
  <c r="Z813" i="2"/>
  <c r="Y816" i="2"/>
  <c r="BF824" i="2"/>
  <c r="Z870" i="2"/>
  <c r="Y873" i="2"/>
  <c r="BF903" i="2"/>
  <c r="Z903" i="2"/>
  <c r="Y906" i="2"/>
  <c r="AQ926" i="2"/>
  <c r="AW925" i="2"/>
  <c r="BI925" i="2" s="1"/>
  <c r="AY924" i="2"/>
  <c r="AU926" i="2"/>
  <c r="Q926" i="2" s="1"/>
  <c r="X924" i="2"/>
  <c r="Y921" i="2"/>
  <c r="BE696" i="2"/>
  <c r="AU705" i="2"/>
  <c r="Q705" i="2"/>
  <c r="BE705" i="2"/>
  <c r="BA706" i="2"/>
  <c r="BF717" i="2"/>
  <c r="BA719" i="2"/>
  <c r="BD718" i="2"/>
  <c r="Y713" i="2"/>
  <c r="Z752" i="2"/>
  <c r="BC753" i="2"/>
  <c r="AX756" i="2"/>
  <c r="BH756" i="2" s="1"/>
  <c r="AO754" i="2"/>
  <c r="BA754" i="2"/>
  <c r="AZ755" i="2" s="1"/>
  <c r="X754" i="2"/>
  <c r="BE769" i="2"/>
  <c r="BE780" i="2"/>
  <c r="BE791" i="2"/>
  <c r="X802" i="2"/>
  <c r="Y799" i="2"/>
  <c r="AW813" i="2"/>
  <c r="BA811" i="2"/>
  <c r="AX813" i="2" s="1"/>
  <c r="BF822" i="2"/>
  <c r="BF820" i="2" s="1"/>
  <c r="Z823" i="2"/>
  <c r="Y826" i="2"/>
  <c r="X826" i="2"/>
  <c r="Z854" i="2"/>
  <c r="Y862" i="2"/>
  <c r="AA856" i="2"/>
  <c r="AY855" i="2"/>
  <c r="AW856" i="2"/>
  <c r="Y894" i="2"/>
  <c r="BF892" i="2"/>
  <c r="Y896" i="2"/>
  <c r="AY694" i="2"/>
  <c r="AW695" i="2"/>
  <c r="AW707" i="2"/>
  <c r="BA705" i="2"/>
  <c r="AO706" i="2"/>
  <c r="AU706" i="2" s="1"/>
  <c r="Q706" i="2" s="1"/>
  <c r="AY716" i="2"/>
  <c r="BG716" i="2" s="1"/>
  <c r="AA718" i="2"/>
  <c r="BA717" i="2"/>
  <c r="AY718" i="2"/>
  <c r="BE719" i="2"/>
  <c r="AO720" i="2"/>
  <c r="BF753" i="2"/>
  <c r="Y760" i="2"/>
  <c r="AA754" i="2"/>
  <c r="AX754" i="2"/>
  <c r="Y757" i="2"/>
  <c r="AY756" i="2"/>
  <c r="AW768" i="2"/>
  <c r="AY767" i="2"/>
  <c r="AW779" i="2"/>
  <c r="AY778" i="2"/>
  <c r="AW790" i="2"/>
  <c r="AY789" i="2"/>
  <c r="Z809" i="2"/>
  <c r="X815" i="2"/>
  <c r="BE811" i="2"/>
  <c r="BF813" i="2"/>
  <c r="Z808" i="2"/>
  <c r="X827" i="2"/>
  <c r="Z821" i="2"/>
  <c r="BA823" i="2"/>
  <c r="AZ824" i="2"/>
  <c r="AY824" i="2"/>
  <c r="BB823" i="2"/>
  <c r="AW823" i="2"/>
  <c r="AY822" i="2"/>
  <c r="Y821" i="2"/>
  <c r="X824" i="2"/>
  <c r="X823" i="2"/>
  <c r="Y820" i="2"/>
  <c r="Y827" i="2"/>
  <c r="AO855" i="2"/>
  <c r="AW857" i="2"/>
  <c r="Y863" i="2"/>
  <c r="AA857" i="2"/>
  <c r="AO857" i="2"/>
  <c r="BC855" i="2"/>
  <c r="AX858" i="2"/>
  <c r="X863" i="2"/>
  <c r="AA854" i="2"/>
  <c r="AA853" i="2"/>
  <c r="X862" i="2"/>
  <c r="AP858" i="2"/>
  <c r="BE857" i="2" s="1"/>
  <c r="Y858" i="2"/>
  <c r="X856" i="2"/>
  <c r="Y853" i="2"/>
  <c r="AP860" i="2"/>
  <c r="AR871" i="2"/>
  <c r="AW870" i="2"/>
  <c r="X869" i="2"/>
  <c r="AU871" i="2"/>
  <c r="Q871" i="2" s="1"/>
  <c r="Z881" i="2"/>
  <c r="Y884" i="2"/>
  <c r="AU882" i="2"/>
  <c r="Q882" i="2" s="1"/>
  <c r="BE893" i="2"/>
  <c r="Z892" i="2"/>
  <c r="Y895" i="2"/>
  <c r="AY893" i="2"/>
  <c r="BB892" i="2"/>
  <c r="BH892" i="2" s="1"/>
  <c r="X906" i="2"/>
  <c r="Z900" i="2"/>
  <c r="Z750" i="2"/>
  <c r="AU753" i="2"/>
  <c r="Q753" i="2" s="1"/>
  <c r="AW754" i="2"/>
  <c r="AU755" i="2"/>
  <c r="Q755" i="2"/>
  <c r="AY800" i="2"/>
  <c r="AW801" i="2"/>
  <c r="AZ800" i="2" s="1"/>
  <c r="BA812" i="2"/>
  <c r="AZ813" i="2"/>
  <c r="AY813" i="2"/>
  <c r="BB812" i="2"/>
  <c r="AW812" i="2"/>
  <c r="AY811" i="2"/>
  <c r="BG811" i="2" s="1"/>
  <c r="AW824" i="2"/>
  <c r="BA822" i="2"/>
  <c r="AX824" i="2" s="1"/>
  <c r="Q832" i="2"/>
  <c r="O838" i="2"/>
  <c r="X859" i="2"/>
  <c r="Z857" i="2"/>
  <c r="Y860" i="2"/>
  <c r="Z862" i="2"/>
  <c r="Z867" i="2"/>
  <c r="X873" i="2"/>
  <c r="X883" i="2"/>
  <c r="Z889" i="2"/>
  <c r="X895" i="2"/>
  <c r="Y907" i="2"/>
  <c r="Z904" i="2"/>
  <c r="BF924" i="2"/>
  <c r="Z921" i="2"/>
  <c r="X927" i="2"/>
  <c r="Q934" i="2"/>
  <c r="O938" i="2"/>
  <c r="AZ966" i="2"/>
  <c r="BG967" i="2"/>
  <c r="Z975" i="2"/>
  <c r="BE979" i="2"/>
  <c r="BE802" i="2"/>
  <c r="BE813" i="2"/>
  <c r="BF811" i="2"/>
  <c r="Z811" i="2"/>
  <c r="Y814" i="2"/>
  <c r="BE812" i="2"/>
  <c r="AU812" i="2"/>
  <c r="Q812" i="2"/>
  <c r="BE822" i="2"/>
  <c r="AU822" i="2"/>
  <c r="Q822" i="2" s="1"/>
  <c r="X825" i="2"/>
  <c r="T834" i="2"/>
  <c r="T835" i="2"/>
  <c r="V835" i="2" s="1"/>
  <c r="BE858" i="2"/>
  <c r="BF856" i="2"/>
  <c r="AY858" i="2"/>
  <c r="BD856" i="2"/>
  <c r="Y854" i="2"/>
  <c r="X874" i="2"/>
  <c r="Z868" i="2"/>
  <c r="Y877" i="2"/>
  <c r="X880" i="2"/>
  <c r="X896" i="2"/>
  <c r="Z890" i="2"/>
  <c r="X907" i="2"/>
  <c r="Z901" i="2"/>
  <c r="AW915" i="2"/>
  <c r="AP913" i="2"/>
  <c r="AR914" i="2"/>
  <c r="BA914" i="2"/>
  <c r="AZ915" i="2" s="1"/>
  <c r="AQ915" i="2"/>
  <c r="AW914" i="2"/>
  <c r="AY913" i="2"/>
  <c r="AX914" i="2" s="1"/>
  <c r="X913" i="2"/>
  <c r="Y910" i="2"/>
  <c r="F946" i="2"/>
  <c r="D944" i="2"/>
  <c r="H946" i="2"/>
  <c r="F843" i="2"/>
  <c r="D839" i="2" s="1"/>
  <c r="F845" i="2"/>
  <c r="D843" i="2" s="1"/>
  <c r="Y859" i="2"/>
  <c r="AU858" i="2"/>
  <c r="Q858" i="2"/>
  <c r="Z855" i="2"/>
  <c r="AW871" i="2"/>
  <c r="AA872" i="2" s="1"/>
  <c r="BA869" i="2"/>
  <c r="BG869" i="2" s="1"/>
  <c r="AX871" i="2"/>
  <c r="Z869" i="2"/>
  <c r="AU870" i="2"/>
  <c r="Q870" i="2" s="1"/>
  <c r="BE870" i="2"/>
  <c r="Y866" i="2"/>
  <c r="AU880" i="2"/>
  <c r="Q880" i="2" s="1"/>
  <c r="BE880" i="2"/>
  <c r="BE883" i="2" s="1"/>
  <c r="BA881" i="2"/>
  <c r="AZ882" i="2"/>
  <c r="AW893" i="2"/>
  <c r="BA891" i="2"/>
  <c r="AX893" i="2" s="1"/>
  <c r="BH893" i="2" s="1"/>
  <c r="AB894" i="2" s="1"/>
  <c r="Z891" i="2"/>
  <c r="AU892" i="2"/>
  <c r="Q892" i="2"/>
  <c r="Y888" i="2"/>
  <c r="AW904" i="2"/>
  <c r="BA902" i="2"/>
  <c r="AX904" i="2"/>
  <c r="AO902" i="2"/>
  <c r="AW903" i="2"/>
  <c r="AY902" i="2"/>
  <c r="Q998" i="2"/>
  <c r="O1002" i="2"/>
  <c r="AO856" i="2"/>
  <c r="Z861" i="2"/>
  <c r="AO869" i="2"/>
  <c r="BA870" i="2"/>
  <c r="AZ871" i="2" s="1"/>
  <c r="AW882" i="2"/>
  <c r="BG882" i="2" s="1"/>
  <c r="BA880" i="2"/>
  <c r="AX882" i="2"/>
  <c r="BJ882" i="2" s="1"/>
  <c r="BL882" i="2" s="1"/>
  <c r="AO881" i="2"/>
  <c r="AO891" i="2"/>
  <c r="BA892" i="2"/>
  <c r="AZ893" i="2"/>
  <c r="BE904" i="2"/>
  <c r="AY904" i="2"/>
  <c r="BB903" i="2" s="1"/>
  <c r="BI903" i="2" s="1"/>
  <c r="BA903" i="2"/>
  <c r="AZ904" i="2" s="1"/>
  <c r="AO903" i="2"/>
  <c r="AU903" i="2" s="1"/>
  <c r="Q903" i="2" s="1"/>
  <c r="AO904" i="2"/>
  <c r="Z911" i="2"/>
  <c r="X917" i="2"/>
  <c r="BE913" i="2"/>
  <c r="AY926" i="2"/>
  <c r="BB925" i="2"/>
  <c r="AP925" i="2"/>
  <c r="Z926" i="2"/>
  <c r="Y929" i="2"/>
  <c r="F936" i="2"/>
  <c r="B940" i="2" s="1"/>
  <c r="AW968" i="2"/>
  <c r="AP966" i="2"/>
  <c r="AQ979" i="2"/>
  <c r="AY977" i="2"/>
  <c r="BG977" i="2" s="1"/>
  <c r="AW978" i="2"/>
  <c r="AU979" i="2"/>
  <c r="Q979" i="2" s="1"/>
  <c r="X977" i="2"/>
  <c r="Y974" i="2"/>
  <c r="BG979" i="2"/>
  <c r="BB977" i="2"/>
  <c r="Y928" i="2"/>
  <c r="BE925" i="2"/>
  <c r="Y958" i="2"/>
  <c r="BE956" i="2"/>
  <c r="AU956" i="2"/>
  <c r="Q956" i="2" s="1"/>
  <c r="Z955" i="2"/>
  <c r="Y960" i="2"/>
  <c r="Z957" i="2"/>
  <c r="AO914" i="2"/>
  <c r="AY915" i="2"/>
  <c r="BB914" i="2" s="1"/>
  <c r="Z915" i="2"/>
  <c r="BE924" i="2"/>
  <c r="AU924" i="2"/>
  <c r="Q924" i="2" s="1"/>
  <c r="Z923" i="2"/>
  <c r="BF926" i="2"/>
  <c r="F938" i="2"/>
  <c r="D936" i="2" s="1"/>
  <c r="Y959" i="2"/>
  <c r="Z968" i="2"/>
  <c r="Z979" i="2"/>
  <c r="AR988" i="2"/>
  <c r="Z986" i="2"/>
  <c r="BF989" i="2"/>
  <c r="Y991" i="2"/>
  <c r="AP990" i="2"/>
  <c r="AW989" i="2"/>
  <c r="AY988" i="2"/>
  <c r="AY990" i="2"/>
  <c r="X916" i="2"/>
  <c r="Z912" i="2"/>
  <c r="BA913" i="2"/>
  <c r="AX915" i="2" s="1"/>
  <c r="BH915" i="2" s="1"/>
  <c r="BA924" i="2"/>
  <c r="AX926" i="2" s="1"/>
  <c r="Y993" i="2"/>
  <c r="Z990" i="2"/>
  <c r="X998" i="2"/>
  <c r="AY955" i="2"/>
  <c r="Y964" i="2"/>
  <c r="X966" i="2"/>
  <c r="Y971" i="2"/>
  <c r="Z976" i="2"/>
  <c r="Y980" i="2"/>
  <c r="X982" i="2"/>
  <c r="AO988" i="2"/>
  <c r="AW990" i="2"/>
  <c r="Z987" i="2"/>
  <c r="X989" i="2"/>
  <c r="Y986" i="2"/>
  <c r="AU990" i="2"/>
  <c r="Q990" i="2"/>
  <c r="X988" i="2"/>
  <c r="Q999" i="2"/>
  <c r="H1002" i="2"/>
  <c r="X1003" i="2"/>
  <c r="F1002" i="2"/>
  <c r="BA925" i="2"/>
  <c r="AZ926" i="2" s="1"/>
  <c r="O939" i="2"/>
  <c r="O942" i="2" s="1"/>
  <c r="AW957" i="2"/>
  <c r="AO955" i="2"/>
  <c r="X958" i="2" s="1"/>
  <c r="X960" i="2"/>
  <c r="Z954" i="2"/>
  <c r="BA955" i="2"/>
  <c r="AX957" i="2"/>
  <c r="BF956" i="2"/>
  <c r="X956" i="2"/>
  <c r="Y953" i="2"/>
  <c r="AU957" i="2"/>
  <c r="Q957" i="2" s="1"/>
  <c r="X955" i="2"/>
  <c r="X969" i="2"/>
  <c r="X971" i="2"/>
  <c r="AO967" i="2"/>
  <c r="AY968" i="2"/>
  <c r="BB967" i="2" s="1"/>
  <c r="BF977" i="2"/>
  <c r="BA977" i="2"/>
  <c r="AX979" i="2"/>
  <c r="BJ979" i="2" s="1"/>
  <c r="Y981" i="2"/>
  <c r="BF988" i="2"/>
  <c r="Y992" i="2"/>
  <c r="Y987" i="2"/>
  <c r="Z965" i="2"/>
  <c r="AY966" i="2"/>
  <c r="BG966" i="2" s="1"/>
  <c r="BA978" i="2"/>
  <c r="AZ979" i="2"/>
  <c r="BA966" i="2"/>
  <c r="AX968" i="2"/>
  <c r="BJ968" i="2" s="1"/>
  <c r="BF967" i="2"/>
  <c r="X967" i="2"/>
  <c r="AU968" i="2"/>
  <c r="Q968" i="2"/>
  <c r="AY979" i="2"/>
  <c r="BB978" i="2"/>
  <c r="BA989" i="2"/>
  <c r="AZ990" i="2"/>
  <c r="BH990" i="2" s="1"/>
  <c r="R386" i="3"/>
  <c r="D382" i="3"/>
  <c r="B350" i="3"/>
  <c r="R346" i="3"/>
  <c r="Q306" i="3"/>
  <c r="D304" i="3"/>
  <c r="R288" i="3"/>
  <c r="D284" i="3"/>
  <c r="S350" i="3"/>
  <c r="B358" i="3"/>
  <c r="D264" i="3"/>
  <c r="R268" i="3"/>
  <c r="R252" i="3"/>
  <c r="D248" i="3"/>
  <c r="D194" i="3"/>
  <c r="Q196" i="3"/>
  <c r="B150" i="3"/>
  <c r="R146" i="3"/>
  <c r="D314" i="3"/>
  <c r="O315" i="3"/>
  <c r="Q302" i="3"/>
  <c r="B304" i="3"/>
  <c r="O283" i="3"/>
  <c r="D282" i="3"/>
  <c r="T256" i="3"/>
  <c r="D240" i="3"/>
  <c r="D105" i="3"/>
  <c r="T121" i="3"/>
  <c r="R85" i="3"/>
  <c r="D81" i="3"/>
  <c r="B97" i="3"/>
  <c r="R93" i="3"/>
  <c r="D66" i="3"/>
  <c r="U105" i="3"/>
  <c r="T55" i="3"/>
  <c r="D39" i="3"/>
  <c r="B55" i="3"/>
  <c r="S47" i="3"/>
  <c r="R370" i="3"/>
  <c r="D366" i="3"/>
  <c r="Q364" i="3"/>
  <c r="D362" i="3"/>
  <c r="R328" i="3"/>
  <c r="B332" i="3"/>
  <c r="B300" i="3"/>
  <c r="R296" i="3"/>
  <c r="B335" i="3"/>
  <c r="U308" i="3"/>
  <c r="B174" i="3"/>
  <c r="T158" i="3"/>
  <c r="Q322" i="3"/>
  <c r="D320" i="3"/>
  <c r="B260" i="3"/>
  <c r="Q258" i="3"/>
  <c r="B252" i="3"/>
  <c r="Q250" i="3"/>
  <c r="B182" i="3"/>
  <c r="R178" i="3"/>
  <c r="B190" i="3"/>
  <c r="S182" i="3"/>
  <c r="Q156" i="3"/>
  <c r="D154" i="3"/>
  <c r="O103" i="3"/>
  <c r="B103" i="3"/>
  <c r="B109" i="3"/>
  <c r="Q107" i="3"/>
  <c r="D63" i="3"/>
  <c r="R67" i="3"/>
  <c r="Q21" i="3"/>
  <c r="D19" i="3"/>
  <c r="R402" i="3"/>
  <c r="D398" i="3"/>
  <c r="Q396" i="3"/>
  <c r="D394" i="3"/>
  <c r="O372" i="3"/>
  <c r="B372" i="3"/>
  <c r="Q376" i="3"/>
  <c r="B378" i="3"/>
  <c r="R354" i="3"/>
  <c r="D350" i="3"/>
  <c r="Q369" i="3"/>
  <c r="Q360" i="3"/>
  <c r="B362" i="3"/>
  <c r="S300" i="3"/>
  <c r="D292" i="3"/>
  <c r="B316" i="3"/>
  <c r="R312" i="3"/>
  <c r="B220" i="3"/>
  <c r="Q218" i="3"/>
  <c r="O278" i="3"/>
  <c r="B278" i="3"/>
  <c r="D202" i="3"/>
  <c r="Q204" i="3"/>
  <c r="R212" i="3"/>
  <c r="B216" i="3"/>
  <c r="D198" i="3"/>
  <c r="R202" i="3"/>
  <c r="D174" i="3"/>
  <c r="T190" i="3"/>
  <c r="Q164" i="3"/>
  <c r="D162" i="3"/>
  <c r="U39" i="3"/>
  <c r="B66" i="3"/>
  <c r="Q17" i="3"/>
  <c r="B19" i="3"/>
  <c r="D23" i="3"/>
  <c r="S31" i="3"/>
  <c r="B81" i="3"/>
  <c r="R77" i="3"/>
  <c r="B63" i="3"/>
  <c r="R59" i="3"/>
  <c r="R51" i="3"/>
  <c r="D47" i="3"/>
  <c r="B31" i="3"/>
  <c r="R27" i="3"/>
  <c r="Q392" i="3"/>
  <c r="B394" i="3"/>
  <c r="O356" i="3"/>
  <c r="B356" i="3"/>
  <c r="D378" i="3"/>
  <c r="Q380" i="3"/>
  <c r="B244" i="3"/>
  <c r="Q242" i="3"/>
  <c r="R186" i="3"/>
  <c r="D182" i="3"/>
  <c r="Q136" i="3"/>
  <c r="Q172" i="3"/>
  <c r="D170" i="3"/>
  <c r="O144" i="3"/>
  <c r="B144" i="3"/>
  <c r="F144" i="3"/>
  <c r="B146" i="3" s="1"/>
  <c r="O311" i="3"/>
  <c r="D310" i="3"/>
  <c r="U240" i="3"/>
  <c r="D201" i="3"/>
  <c r="B166" i="3"/>
  <c r="R162" i="3"/>
  <c r="R244" i="3"/>
  <c r="B248" i="3"/>
  <c r="Q123" i="3"/>
  <c r="B125" i="3"/>
  <c r="D11" i="3"/>
  <c r="Q13" i="3"/>
  <c r="N14" i="3"/>
  <c r="D13" i="3" s="1"/>
  <c r="B11" i="3"/>
  <c r="Q9" i="3"/>
  <c r="D55" i="3"/>
  <c r="S63" i="3"/>
  <c r="R35" i="3"/>
  <c r="D31" i="3"/>
  <c r="O26" i="3"/>
  <c r="D25" i="3"/>
  <c r="Q69" i="3"/>
  <c r="D67" i="3"/>
  <c r="B47" i="3"/>
  <c r="R43" i="3"/>
  <c r="Q250" i="2"/>
  <c r="AB592" i="2"/>
  <c r="BJ915" i="2"/>
  <c r="AX989" i="2"/>
  <c r="BG988" i="2"/>
  <c r="BF925" i="2"/>
  <c r="BF927" i="2"/>
  <c r="Y927" i="2"/>
  <c r="Z924" i="2"/>
  <c r="AU925" i="2"/>
  <c r="Q925" i="2"/>
  <c r="Z902" i="2"/>
  <c r="BI882" i="2"/>
  <c r="Q1002" i="2"/>
  <c r="BG871" i="2"/>
  <c r="E833" i="2"/>
  <c r="D1000" i="2"/>
  <c r="X1002" i="2"/>
  <c r="BG801" i="2"/>
  <c r="BG754" i="2"/>
  <c r="AA869" i="2"/>
  <c r="BG789" i="2"/>
  <c r="AX790" i="2"/>
  <c r="BG767" i="2"/>
  <c r="AX768" i="2"/>
  <c r="AX717" i="2"/>
  <c r="AZ694" i="2"/>
  <c r="BH813" i="2"/>
  <c r="BG891" i="2"/>
  <c r="AX892" i="2"/>
  <c r="BG683" i="2"/>
  <c r="AX684" i="2"/>
  <c r="Y665" i="2"/>
  <c r="AA659" i="2"/>
  <c r="X803" i="2"/>
  <c r="BE800" i="2"/>
  <c r="BE798" i="2" s="1"/>
  <c r="BF802" i="2"/>
  <c r="AU800" i="2"/>
  <c r="Q800" i="2" s="1"/>
  <c r="Z797" i="2"/>
  <c r="AZ705" i="2"/>
  <c r="V742" i="2"/>
  <c r="C742" i="2"/>
  <c r="X722" i="2"/>
  <c r="BF719" i="2"/>
  <c r="AU718" i="2"/>
  <c r="Q718" i="2"/>
  <c r="AA713" i="2"/>
  <c r="BG659" i="2"/>
  <c r="AZ658" i="2"/>
  <c r="BG719" i="2"/>
  <c r="BD716" i="2"/>
  <c r="BI696" i="2"/>
  <c r="BG696" i="2"/>
  <c r="AB697" i="2" s="1"/>
  <c r="BB694" i="2"/>
  <c r="AA691" i="2" s="1"/>
  <c r="Y686" i="2"/>
  <c r="BE684" i="2"/>
  <c r="BE681" i="2" s="1"/>
  <c r="Z683" i="2"/>
  <c r="AU684" i="2"/>
  <c r="Q684" i="2" s="1"/>
  <c r="BG627" i="2"/>
  <c r="BB625" i="2"/>
  <c r="Q542" i="2"/>
  <c r="BG268" i="2"/>
  <c r="BI268" i="2"/>
  <c r="BD265" i="2"/>
  <c r="BB778" i="2"/>
  <c r="BJ778" i="2" s="1"/>
  <c r="BF515" i="2"/>
  <c r="BF510" i="2"/>
  <c r="BE501" i="2"/>
  <c r="AU501" i="2"/>
  <c r="Q501" i="2" s="1"/>
  <c r="BF503" i="2"/>
  <c r="X504" i="2"/>
  <c r="Z498" i="2"/>
  <c r="BF491" i="2"/>
  <c r="Y482" i="2"/>
  <c r="BE480" i="2"/>
  <c r="AU480" i="2"/>
  <c r="Q480" i="2" s="1"/>
  <c r="Z479" i="2"/>
  <c r="BH436" i="2"/>
  <c r="BG415" i="2"/>
  <c r="AB416" i="2"/>
  <c r="BB413" i="2"/>
  <c r="BI415" i="2"/>
  <c r="AU404" i="2"/>
  <c r="Q404" i="2"/>
  <c r="X402" i="2"/>
  <c r="Y399" i="2"/>
  <c r="BF444" i="2"/>
  <c r="BF449" i="2"/>
  <c r="AZ424" i="2"/>
  <c r="BH424" i="2" s="1"/>
  <c r="BG425" i="2"/>
  <c r="Y410" i="2"/>
  <c r="BE414" i="2"/>
  <c r="Z313" i="2"/>
  <c r="Y316" i="2"/>
  <c r="BE313" i="2"/>
  <c r="AZ265" i="2"/>
  <c r="AA235" i="2"/>
  <c r="BG234" i="2"/>
  <c r="BB232" i="2"/>
  <c r="BE221" i="2"/>
  <c r="BE219" i="2" s="1"/>
  <c r="AU221" i="2"/>
  <c r="Q221" i="2"/>
  <c r="Z218" i="2"/>
  <c r="X224" i="2"/>
  <c r="BF223" i="2"/>
  <c r="AA213" i="2"/>
  <c r="BG212" i="2"/>
  <c r="BB210" i="2"/>
  <c r="BH210" i="2" s="1"/>
  <c r="BE199" i="2"/>
  <c r="BE202" i="2" s="1"/>
  <c r="AU199" i="2"/>
  <c r="Q199" i="2"/>
  <c r="Z196" i="2"/>
  <c r="X202" i="2"/>
  <c r="BF201" i="2"/>
  <c r="X395" i="2"/>
  <c r="Z389" i="2"/>
  <c r="AX381" i="2"/>
  <c r="BG380" i="2"/>
  <c r="AX346" i="2"/>
  <c r="Z343" i="2"/>
  <c r="X349" i="2"/>
  <c r="BG324" i="2"/>
  <c r="AZ323" i="2"/>
  <c r="BJ292" i="2"/>
  <c r="BH266" i="2"/>
  <c r="AU153" i="2"/>
  <c r="Q153" i="2" s="1"/>
  <c r="AA152" i="2"/>
  <c r="Y158" i="2"/>
  <c r="BF155" i="2"/>
  <c r="BE153" i="2"/>
  <c r="BJ325" i="2"/>
  <c r="BH325" i="2"/>
  <c r="BB279" i="2"/>
  <c r="BG281" i="2"/>
  <c r="O545" i="2"/>
  <c r="Q248" i="2"/>
  <c r="B134" i="2"/>
  <c r="V133" i="2"/>
  <c r="E122" i="2"/>
  <c r="V124" i="2"/>
  <c r="Z47" i="2"/>
  <c r="Y50" i="2"/>
  <c r="AZ614" i="2"/>
  <c r="BG615" i="2"/>
  <c r="BG612" i="2" s="1"/>
  <c r="BG335" i="2"/>
  <c r="AZ334" i="2"/>
  <c r="BH334" i="2" s="1"/>
  <c r="X166" i="2"/>
  <c r="BE156" i="2"/>
  <c r="Z58" i="2"/>
  <c r="Y61" i="2"/>
  <c r="Y21" i="2"/>
  <c r="AU26" i="2"/>
  <c r="Q26" i="2" s="1"/>
  <c r="X24" i="2"/>
  <c r="BB46" i="2"/>
  <c r="BB24" i="2"/>
  <c r="Y149" i="2"/>
  <c r="X152" i="2"/>
  <c r="AU157" i="2"/>
  <c r="Q157" i="2"/>
  <c r="BF38" i="2"/>
  <c r="BE24" i="2"/>
  <c r="BE27" i="2" s="1"/>
  <c r="BF25" i="2"/>
  <c r="O1003" i="2"/>
  <c r="Y969" i="2"/>
  <c r="BE967" i="2"/>
  <c r="AU967" i="2"/>
  <c r="Q967" i="2"/>
  <c r="Z966" i="2"/>
  <c r="BF968" i="2"/>
  <c r="BF969" i="2" s="1"/>
  <c r="AU955" i="2"/>
  <c r="Q955" i="2" s="1"/>
  <c r="BG990" i="2"/>
  <c r="BB988" i="2"/>
  <c r="BJ990" i="2"/>
  <c r="BE989" i="2"/>
  <c r="Y985" i="2"/>
  <c r="BF966" i="2"/>
  <c r="BE968" i="2"/>
  <c r="AU966" i="2"/>
  <c r="Q966" i="2" s="1"/>
  <c r="Z963" i="2"/>
  <c r="Z880" i="2"/>
  <c r="BE881" i="2"/>
  <c r="AU881" i="2"/>
  <c r="Q881" i="2"/>
  <c r="Y883" i="2"/>
  <c r="BE869" i="2"/>
  <c r="BE872" i="2" s="1"/>
  <c r="AU869" i="2"/>
  <c r="Q869" i="2"/>
  <c r="Z866" i="2"/>
  <c r="X872" i="2"/>
  <c r="BF871" i="2"/>
  <c r="AZ902" i="2"/>
  <c r="Y911" i="2"/>
  <c r="Q838" i="2"/>
  <c r="BJ824" i="2"/>
  <c r="X855" i="2"/>
  <c r="Y852" i="2"/>
  <c r="BB855" i="2"/>
  <c r="BG857" i="2"/>
  <c r="BG823" i="2"/>
  <c r="AZ822" i="2"/>
  <c r="BH822" i="2" s="1"/>
  <c r="BG778" i="2"/>
  <c r="BI778" i="2"/>
  <c r="AX779" i="2"/>
  <c r="BD754" i="2"/>
  <c r="BH754" i="2" s="1"/>
  <c r="BG855" i="2"/>
  <c r="X892" i="2"/>
  <c r="BF891" i="2"/>
  <c r="AX673" i="2"/>
  <c r="BG672" i="2"/>
  <c r="Q641" i="2"/>
  <c r="BF882" i="2"/>
  <c r="BG881" i="2"/>
  <c r="AZ880" i="2"/>
  <c r="AA803" i="2"/>
  <c r="BG802" i="2"/>
  <c r="BB800" i="2"/>
  <c r="BF661" i="2"/>
  <c r="AZ716" i="2"/>
  <c r="BH716" i="2" s="1"/>
  <c r="BB658" i="2"/>
  <c r="BG660" i="2"/>
  <c r="AA858" i="2"/>
  <c r="AU859" i="2"/>
  <c r="Q859" i="2"/>
  <c r="BG685" i="2"/>
  <c r="BB683" i="2"/>
  <c r="BH791" i="2"/>
  <c r="AC792" i="2"/>
  <c r="BF625" i="2"/>
  <c r="BE627" i="2"/>
  <c r="BF615" i="2"/>
  <c r="BF612" i="2" s="1"/>
  <c r="Y617" i="2"/>
  <c r="Z614" i="2"/>
  <c r="BE616" i="2"/>
  <c r="Q541" i="2"/>
  <c r="AZ492" i="2"/>
  <c r="BG491" i="2"/>
  <c r="BF604" i="2"/>
  <c r="BF601" i="2" s="1"/>
  <c r="Z603" i="2"/>
  <c r="Y606" i="2"/>
  <c r="BJ523" i="2"/>
  <c r="BH523" i="2"/>
  <c r="AA520" i="2"/>
  <c r="BI523" i="2"/>
  <c r="AU492" i="2"/>
  <c r="Q492" i="2" s="1"/>
  <c r="BF471" i="2"/>
  <c r="BF466" i="2"/>
  <c r="BE457" i="2"/>
  <c r="AU457" i="2"/>
  <c r="Q457" i="2"/>
  <c r="BF459" i="2"/>
  <c r="X460" i="2"/>
  <c r="Z454" i="2"/>
  <c r="BE449" i="2"/>
  <c r="BE444" i="2"/>
  <c r="BE778" i="2"/>
  <c r="X781" i="2"/>
  <c r="AU778" i="2"/>
  <c r="Q778" i="2"/>
  <c r="Z775" i="2"/>
  <c r="BF780" i="2"/>
  <c r="BG593" i="2"/>
  <c r="BJ592" i="2"/>
  <c r="BH592" i="2"/>
  <c r="BI592" i="2"/>
  <c r="BH594" i="2"/>
  <c r="BH595" i="2" s="1"/>
  <c r="X581" i="2"/>
  <c r="Y578" i="2"/>
  <c r="AU583" i="2"/>
  <c r="Q583" i="2" s="1"/>
  <c r="X570" i="2"/>
  <c r="Y567" i="2"/>
  <c r="AU572" i="2"/>
  <c r="Q572" i="2" s="1"/>
  <c r="AZ479" i="2"/>
  <c r="BI480" i="2"/>
  <c r="BG480" i="2"/>
  <c r="BG448" i="2"/>
  <c r="BB446" i="2"/>
  <c r="BI446" i="2"/>
  <c r="AX447" i="2"/>
  <c r="BG446" i="2"/>
  <c r="BG444" i="2" s="1"/>
  <c r="AA443" i="2"/>
  <c r="X413" i="2"/>
  <c r="AX414" i="2"/>
  <c r="AA413" i="2"/>
  <c r="BG413" i="2"/>
  <c r="AB410" i="2" s="1"/>
  <c r="AZ402" i="2"/>
  <c r="BG403" i="2"/>
  <c r="AA346" i="2"/>
  <c r="Y352" i="2"/>
  <c r="AU346" i="2"/>
  <c r="Q346" i="2" s="1"/>
  <c r="AA331" i="2"/>
  <c r="BG334" i="2"/>
  <c r="AX335" i="2"/>
  <c r="BJ335" i="2" s="1"/>
  <c r="BG323" i="2"/>
  <c r="BG326" i="2" s="1"/>
  <c r="AX324" i="2"/>
  <c r="AX313" i="2"/>
  <c r="BG312" i="2"/>
  <c r="AX302" i="2"/>
  <c r="BG301" i="2"/>
  <c r="BG290" i="2"/>
  <c r="AX291" i="2"/>
  <c r="BG279" i="2"/>
  <c r="BG282" i="2" s="1"/>
  <c r="AX280" i="2"/>
  <c r="BH769" i="2"/>
  <c r="BB581" i="2"/>
  <c r="BI583" i="2"/>
  <c r="AC584" i="2" s="1"/>
  <c r="BG583" i="2"/>
  <c r="AB584" i="2"/>
  <c r="BJ572" i="2"/>
  <c r="BH572" i="2"/>
  <c r="BL572" i="2" s="1"/>
  <c r="AZ512" i="2"/>
  <c r="AC512" i="2"/>
  <c r="BG513" i="2"/>
  <c r="AB512" i="2"/>
  <c r="BI513" i="2"/>
  <c r="Y498" i="2"/>
  <c r="BE502" i="2"/>
  <c r="BH490" i="2"/>
  <c r="BH404" i="2"/>
  <c r="BG391" i="2"/>
  <c r="AX392" i="2"/>
  <c r="Y585" i="2"/>
  <c r="Z582" i="2"/>
  <c r="Y574" i="2"/>
  <c r="Z571" i="2"/>
  <c r="AU313" i="2"/>
  <c r="Q313" i="2" s="1"/>
  <c r="Z271" i="2"/>
  <c r="AU269" i="2"/>
  <c r="Q269" i="2"/>
  <c r="AA268" i="2"/>
  <c r="BH232" i="2"/>
  <c r="BE605" i="2"/>
  <c r="BE606" i="2"/>
  <c r="BF403" i="2"/>
  <c r="AU391" i="2"/>
  <c r="Q391" i="2" s="1"/>
  <c r="BB391" i="2"/>
  <c r="X345" i="2"/>
  <c r="Y342" i="2"/>
  <c r="AU350" i="2"/>
  <c r="Q350" i="2"/>
  <c r="BF347" i="2"/>
  <c r="BI280" i="2"/>
  <c r="BL280" i="2" s="1"/>
  <c r="BG280" i="2"/>
  <c r="AZ279" i="2"/>
  <c r="BI279" i="2" s="1"/>
  <c r="BJ223" i="2"/>
  <c r="BH223" i="2"/>
  <c r="AA202" i="2"/>
  <c r="BG201" i="2"/>
  <c r="BB199" i="2"/>
  <c r="BI199" i="2" s="1"/>
  <c r="C142" i="2"/>
  <c r="V142" i="2"/>
  <c r="BB323" i="2"/>
  <c r="BI325" i="2"/>
  <c r="AC326" i="2" s="1"/>
  <c r="BG325" i="2"/>
  <c r="AB326" i="2"/>
  <c r="AZ312" i="2"/>
  <c r="BF314" i="2"/>
  <c r="BJ281" i="2"/>
  <c r="BI291" i="2"/>
  <c r="BG291" i="2"/>
  <c r="AZ290" i="2"/>
  <c r="V127" i="2"/>
  <c r="D126" i="2"/>
  <c r="BB101" i="2"/>
  <c r="BH101" i="2" s="1"/>
  <c r="AX458" i="2"/>
  <c r="BG457" i="2"/>
  <c r="BG447" i="2"/>
  <c r="BJ446" i="2"/>
  <c r="BH446" i="2"/>
  <c r="AB443" i="2"/>
  <c r="AU223" i="2"/>
  <c r="Q223" i="2"/>
  <c r="BB177" i="2"/>
  <c r="BG179" i="2"/>
  <c r="BI179" i="2"/>
  <c r="AC180" i="2" s="1"/>
  <c r="AZ177" i="2"/>
  <c r="BG178" i="2"/>
  <c r="AX167" i="2"/>
  <c r="BG166" i="2"/>
  <c r="Y155" i="2"/>
  <c r="AU155" i="2"/>
  <c r="Q155" i="2" s="1"/>
  <c r="Z152" i="2"/>
  <c r="Q121" i="2"/>
  <c r="BJ102" i="2"/>
  <c r="BH102" i="2"/>
  <c r="AX91" i="2"/>
  <c r="BG90" i="2"/>
  <c r="BG79" i="2"/>
  <c r="AX80" i="2"/>
  <c r="AX58" i="2"/>
  <c r="BH58" i="2" s="1"/>
  <c r="Y43" i="2"/>
  <c r="X46" i="2"/>
  <c r="AU48" i="2"/>
  <c r="Q48" i="2" s="1"/>
  <c r="Z44" i="2"/>
  <c r="X50" i="2"/>
  <c r="BG59" i="2"/>
  <c r="BB57" i="2"/>
  <c r="BG492" i="2"/>
  <c r="BB490" i="2"/>
  <c r="BE345" i="2"/>
  <c r="BB334" i="2"/>
  <c r="BI334" i="2"/>
  <c r="BG336" i="2"/>
  <c r="Z302" i="2"/>
  <c r="Y305" i="2"/>
  <c r="BF213" i="2"/>
  <c r="BG199" i="2"/>
  <c r="AX200" i="2"/>
  <c r="AU106" i="2"/>
  <c r="Q106" i="2"/>
  <c r="X101" i="2"/>
  <c r="Y98" i="2"/>
  <c r="BE101" i="2"/>
  <c r="Y54" i="2"/>
  <c r="AU59" i="2"/>
  <c r="Q59" i="2"/>
  <c r="X57" i="2"/>
  <c r="Z55" i="2"/>
  <c r="X61" i="2"/>
  <c r="BF82" i="2"/>
  <c r="BF77" i="2"/>
  <c r="BJ24" i="2"/>
  <c r="BI13" i="2"/>
  <c r="BH46" i="2"/>
  <c r="BG957" i="2"/>
  <c r="BB955" i="2"/>
  <c r="BE988" i="2"/>
  <c r="BE986" i="2" s="1"/>
  <c r="X991" i="2"/>
  <c r="BG955" i="2"/>
  <c r="BE990" i="2"/>
  <c r="BJ926" i="2"/>
  <c r="Z913" i="2"/>
  <c r="Y916" i="2"/>
  <c r="BE914" i="2"/>
  <c r="AZ977" i="2"/>
  <c r="BG978" i="2"/>
  <c r="BI968" i="2"/>
  <c r="BG968" i="2"/>
  <c r="BB966" i="2"/>
  <c r="BH966" i="2" s="1"/>
  <c r="BF915" i="2"/>
  <c r="Y899" i="2"/>
  <c r="X902" i="2"/>
  <c r="AU904" i="2"/>
  <c r="Q904" i="2" s="1"/>
  <c r="BH882" i="2"/>
  <c r="AU860" i="2"/>
  <c r="Q860" i="2" s="1"/>
  <c r="X992" i="2"/>
  <c r="BE902" i="2"/>
  <c r="X905" i="2"/>
  <c r="AU902" i="2"/>
  <c r="Q902" i="2"/>
  <c r="Z899" i="2"/>
  <c r="BE892" i="2"/>
  <c r="BI893" i="2"/>
  <c r="BG893" i="2"/>
  <c r="BB891" i="2"/>
  <c r="Q938" i="2"/>
  <c r="Y889" i="2"/>
  <c r="BG824" i="2"/>
  <c r="BB822" i="2"/>
  <c r="X861" i="2"/>
  <c r="X858" i="2"/>
  <c r="Z852" i="2"/>
  <c r="AZ778" i="2"/>
  <c r="BG753" i="2"/>
  <c r="AU720" i="2"/>
  <c r="Q720" i="2" s="1"/>
  <c r="AA719" i="2"/>
  <c r="Z722" i="2"/>
  <c r="BG707" i="2"/>
  <c r="BB705" i="2"/>
  <c r="BF825" i="2"/>
  <c r="BE718" i="2"/>
  <c r="AX925" i="2"/>
  <c r="BH925" i="2" s="1"/>
  <c r="BG924" i="2"/>
  <c r="X719" i="2"/>
  <c r="BE716" i="2"/>
  <c r="BE720" i="2" s="1"/>
  <c r="Z713" i="2"/>
  <c r="BF718" i="2"/>
  <c r="BF720" i="2"/>
  <c r="AU716" i="2"/>
  <c r="Q716" i="2"/>
  <c r="BG926" i="2"/>
  <c r="Q735" i="2"/>
  <c r="AZ672" i="2"/>
  <c r="BG673" i="2"/>
  <c r="BG670" i="2" s="1"/>
  <c r="BE659" i="2"/>
  <c r="Q639" i="2"/>
  <c r="Y878" i="2"/>
  <c r="X881" i="2"/>
  <c r="AX706" i="2"/>
  <c r="BI705" i="2"/>
  <c r="AU604" i="2"/>
  <c r="Q604" i="2"/>
  <c r="X585" i="2"/>
  <c r="BE694" i="2"/>
  <c r="X697" i="2"/>
  <c r="BF696" i="2"/>
  <c r="BF697" i="2" s="1"/>
  <c r="AU694" i="2"/>
  <c r="Q694" i="2" s="1"/>
  <c r="Z691" i="2"/>
  <c r="AX659" i="2"/>
  <c r="BH659" i="2" s="1"/>
  <c r="Z656" i="2"/>
  <c r="X662" i="2"/>
  <c r="BE658" i="2"/>
  <c r="BF880" i="2"/>
  <c r="BJ696" i="2"/>
  <c r="AC697" i="2"/>
  <c r="BH696" i="2"/>
  <c r="BH661" i="2"/>
  <c r="AC664" i="2" s="1"/>
  <c r="BI791" i="2"/>
  <c r="BL791" i="2" s="1"/>
  <c r="BG791" i="2"/>
  <c r="AB792" i="2"/>
  <c r="BB789" i="2"/>
  <c r="BG674" i="2"/>
  <c r="BI674" i="2"/>
  <c r="BB672" i="2"/>
  <c r="AX627" i="2"/>
  <c r="AU582" i="2"/>
  <c r="Q582" i="2"/>
  <c r="BB468" i="2"/>
  <c r="BG470" i="2"/>
  <c r="BG471" i="2" s="1"/>
  <c r="BH437" i="2"/>
  <c r="BJ437" i="2"/>
  <c r="BE695" i="2"/>
  <c r="Z694" i="2"/>
  <c r="Y697" i="2"/>
  <c r="AU695" i="2"/>
  <c r="Q695" i="2"/>
  <c r="AZ603" i="2"/>
  <c r="BG604" i="2"/>
  <c r="BG606" i="2" s="1"/>
  <c r="BE583" i="2"/>
  <c r="AX491" i="2"/>
  <c r="AA490" i="2" s="1"/>
  <c r="BG490" i="2"/>
  <c r="BG488" i="2" s="1"/>
  <c r="BJ480" i="2"/>
  <c r="BH480" i="2"/>
  <c r="AB479" i="2"/>
  <c r="BE459" i="2"/>
  <c r="AA460" i="2" s="1"/>
  <c r="Y438" i="2"/>
  <c r="Z435" i="2"/>
  <c r="BF268" i="2"/>
  <c r="AB271" i="2"/>
  <c r="AX267" i="2"/>
  <c r="BG265" i="2"/>
  <c r="BF593" i="2"/>
  <c r="AA523" i="2"/>
  <c r="BG503" i="2"/>
  <c r="BG504" i="2" s="1"/>
  <c r="BB501" i="2"/>
  <c r="AB498" i="2" s="1"/>
  <c r="X447" i="2"/>
  <c r="Y444" i="2"/>
  <c r="AU415" i="2"/>
  <c r="Q415" i="2" s="1"/>
  <c r="BE336" i="2"/>
  <c r="BF334" i="2"/>
  <c r="BE325" i="2"/>
  <c r="AA326" i="2"/>
  <c r="BF323" i="2"/>
  <c r="BE314" i="2"/>
  <c r="BF312" i="2"/>
  <c r="BE303" i="2"/>
  <c r="AA304" i="2" s="1"/>
  <c r="BF301" i="2"/>
  <c r="BF299" i="2" s="1"/>
  <c r="BE292" i="2"/>
  <c r="BF290" i="2"/>
  <c r="BE281" i="2"/>
  <c r="BF279" i="2"/>
  <c r="BF277" i="2" s="1"/>
  <c r="BG769" i="2"/>
  <c r="BB767" i="2"/>
  <c r="BG661" i="2"/>
  <c r="BG592" i="2"/>
  <c r="BF581" i="2"/>
  <c r="BB570" i="2"/>
  <c r="BH570" i="2" s="1"/>
  <c r="BI572" i="2"/>
  <c r="AC573" i="2" s="1"/>
  <c r="AA573" i="2"/>
  <c r="BG572" i="2"/>
  <c r="AB573" i="2"/>
  <c r="BJ513" i="2"/>
  <c r="BH513" i="2"/>
  <c r="BE469" i="2"/>
  <c r="BH448" i="2"/>
  <c r="BH444" i="2" s="1"/>
  <c r="AZ413" i="2"/>
  <c r="BG414" i="2"/>
  <c r="AB413" i="2" s="1"/>
  <c r="BG392" i="2"/>
  <c r="AZ391" i="2"/>
  <c r="AU615" i="2"/>
  <c r="Q615" i="2" s="1"/>
  <c r="BF582" i="2"/>
  <c r="AA581" i="2" s="1"/>
  <c r="BF571" i="2"/>
  <c r="BF573" i="2" s="1"/>
  <c r="BF568" i="2"/>
  <c r="AX469" i="2"/>
  <c r="AA468" i="2"/>
  <c r="BG468" i="2"/>
  <c r="BE335" i="2"/>
  <c r="BE332" i="2" s="1"/>
  <c r="BB312" i="2"/>
  <c r="BG314" i="2"/>
  <c r="AZ301" i="2"/>
  <c r="BG302" i="2"/>
  <c r="BF303" i="2"/>
  <c r="BG267" i="2"/>
  <c r="BJ212" i="2"/>
  <c r="BH212" i="2"/>
  <c r="AB213" i="2" s="1"/>
  <c r="BF603" i="2"/>
  <c r="BF393" i="2"/>
  <c r="Y377" i="2"/>
  <c r="AU382" i="2"/>
  <c r="Q382" i="2" s="1"/>
  <c r="X380" i="2"/>
  <c r="BI382" i="2"/>
  <c r="BB345" i="2"/>
  <c r="BI347" i="2"/>
  <c r="AD348" i="2" s="1"/>
  <c r="BG347" i="2"/>
  <c r="AC348" i="2"/>
  <c r="AU323" i="2"/>
  <c r="Q323" i="2"/>
  <c r="Z291" i="2"/>
  <c r="Y294" i="2"/>
  <c r="X282" i="2"/>
  <c r="BE222" i="2"/>
  <c r="BI223" i="2"/>
  <c r="AA224" i="2"/>
  <c r="BG223" i="2"/>
  <c r="AB224" i="2" s="1"/>
  <c r="BB221" i="2"/>
  <c r="BG154" i="2"/>
  <c r="BB152" i="2"/>
  <c r="Q538" i="2"/>
  <c r="BJ503" i="2"/>
  <c r="BF381" i="2"/>
  <c r="Q361" i="2"/>
  <c r="BJ347" i="2"/>
  <c r="Z324" i="2"/>
  <c r="Y327" i="2"/>
  <c r="BE324" i="2"/>
  <c r="BE321" i="2" s="1"/>
  <c r="X315" i="2"/>
  <c r="O252" i="2"/>
  <c r="O254" i="2" s="1"/>
  <c r="BH303" i="2"/>
  <c r="AB304" i="2"/>
  <c r="X293" i="2"/>
  <c r="BG222" i="2"/>
  <c r="BG219" i="2" s="1"/>
  <c r="AZ221" i="2"/>
  <c r="BJ179" i="2"/>
  <c r="O125" i="2"/>
  <c r="AZ457" i="2"/>
  <c r="BG458" i="2"/>
  <c r="Y427" i="2"/>
  <c r="BE425" i="2"/>
  <c r="AU425" i="2"/>
  <c r="Q425" i="2" s="1"/>
  <c r="Z424" i="2"/>
  <c r="BI303" i="2"/>
  <c r="Y219" i="2"/>
  <c r="BG200" i="2"/>
  <c r="AZ199" i="2"/>
  <c r="AA199" i="2"/>
  <c r="X177" i="2"/>
  <c r="Y174" i="2"/>
  <c r="AZ166" i="2"/>
  <c r="C134" i="2"/>
  <c r="V134" i="2"/>
  <c r="Y108" i="2"/>
  <c r="AA102" i="2"/>
  <c r="BG68" i="2"/>
  <c r="AX69" i="2"/>
  <c r="AX36" i="2"/>
  <c r="BG35" i="2"/>
  <c r="BG11" i="2"/>
  <c r="AZ10" i="2"/>
  <c r="Z69" i="2"/>
  <c r="Y72" i="2"/>
  <c r="AU47" i="2"/>
  <c r="Q47" i="2"/>
  <c r="AZ79" i="2"/>
  <c r="BB35" i="2"/>
  <c r="BD101" i="2"/>
  <c r="BG104" i="2"/>
  <c r="BB10" i="2"/>
  <c r="BI12" i="2"/>
  <c r="BG12" i="2"/>
  <c r="AX615" i="2"/>
  <c r="BG614" i="2"/>
  <c r="BH582" i="2"/>
  <c r="BJ582" i="2"/>
  <c r="BF490" i="2"/>
  <c r="BE492" i="2"/>
  <c r="Z487" i="2"/>
  <c r="AU334" i="2"/>
  <c r="Q334" i="2"/>
  <c r="X338" i="2"/>
  <c r="Z332" i="2"/>
  <c r="BE167" i="2"/>
  <c r="BF154" i="2"/>
  <c r="AU58" i="2"/>
  <c r="Q58" i="2" s="1"/>
  <c r="AU37" i="2"/>
  <c r="Q37" i="2" s="1"/>
  <c r="X35" i="2"/>
  <c r="Y32" i="2"/>
  <c r="BF413" i="2"/>
  <c r="BF416" i="2" s="1"/>
  <c r="BF348" i="2"/>
  <c r="BG153" i="2"/>
  <c r="AZ152" i="2"/>
  <c r="BG92" i="2"/>
  <c r="BG25" i="2"/>
  <c r="BF104" i="2"/>
  <c r="BH57" i="2"/>
  <c r="BF47" i="2"/>
  <c r="BF22" i="2"/>
  <c r="BF27" i="2"/>
  <c r="AA617" i="2"/>
  <c r="BB614" i="2"/>
  <c r="BJ614" i="2" s="1"/>
  <c r="BG616" i="2"/>
  <c r="BI616" i="2"/>
  <c r="AC617" i="2" s="1"/>
  <c r="BB603" i="2"/>
  <c r="BG605" i="2"/>
  <c r="AX514" i="2"/>
  <c r="BG512" i="2"/>
  <c r="BJ470" i="2"/>
  <c r="AX426" i="2"/>
  <c r="AX604" i="2"/>
  <c r="BI603" i="2"/>
  <c r="BL603" i="2" s="1"/>
  <c r="BG603" i="2"/>
  <c r="AA600" i="2"/>
  <c r="Y526" i="2"/>
  <c r="BE524" i="2"/>
  <c r="AU524" i="2"/>
  <c r="Q524" i="2" s="1"/>
  <c r="Z523" i="2"/>
  <c r="BF525" i="2"/>
  <c r="BF526" i="2" s="1"/>
  <c r="BF521" i="2"/>
  <c r="X491" i="2"/>
  <c r="Y488" i="2"/>
  <c r="Z352" i="2"/>
  <c r="AA349" i="2"/>
  <c r="BE347" i="2"/>
  <c r="AB348" i="2"/>
  <c r="BB290" i="2"/>
  <c r="AA293" i="2"/>
  <c r="BG292" i="2"/>
  <c r="BB166" i="2"/>
  <c r="Y454" i="2"/>
  <c r="BE458" i="2"/>
  <c r="BF914" i="2"/>
  <c r="X978" i="2"/>
  <c r="BE891" i="2"/>
  <c r="BE889" i="2" s="1"/>
  <c r="X894" i="2"/>
  <c r="BE856" i="2"/>
  <c r="AU856" i="2"/>
  <c r="Q856" i="2" s="1"/>
  <c r="Y861" i="2"/>
  <c r="AA855" i="2"/>
  <c r="BG902" i="2"/>
  <c r="AX903" i="2"/>
  <c r="BE878" i="2"/>
  <c r="AZ913" i="2"/>
  <c r="BG914" i="2"/>
  <c r="BF913" i="2"/>
  <c r="BF916" i="2" s="1"/>
  <c r="Z910" i="2"/>
  <c r="AU913" i="2"/>
  <c r="Q913" i="2" s="1"/>
  <c r="D833" i="2"/>
  <c r="V834" i="2"/>
  <c r="BE926" i="2"/>
  <c r="BE927" i="2" s="1"/>
  <c r="BG812" i="2"/>
  <c r="AZ811" i="2"/>
  <c r="BH811" i="2" s="1"/>
  <c r="BG800" i="2"/>
  <c r="BG803" i="2" s="1"/>
  <c r="AX801" i="2"/>
  <c r="AA819" i="2"/>
  <c r="BE814" i="2"/>
  <c r="BG790" i="2"/>
  <c r="BG792" i="2" s="1"/>
  <c r="AA789" i="2"/>
  <c r="BG768" i="2"/>
  <c r="BG770" i="2" s="1"/>
  <c r="AZ767" i="2"/>
  <c r="Z705" i="2"/>
  <c r="Y708" i="2"/>
  <c r="BG694" i="2"/>
  <c r="AX695" i="2"/>
  <c r="AZ855" i="2"/>
  <c r="BJ855" i="2" s="1"/>
  <c r="BF855" i="2"/>
  <c r="O840" i="2"/>
  <c r="BI813" i="2"/>
  <c r="BG813" i="2"/>
  <c r="AA814" i="2"/>
  <c r="BB811" i="2"/>
  <c r="BE754" i="2"/>
  <c r="Y759" i="2"/>
  <c r="AA753" i="2"/>
  <c r="AU754" i="2"/>
  <c r="Q754" i="2"/>
  <c r="X925" i="2"/>
  <c r="Y922" i="2"/>
  <c r="Y680" i="2"/>
  <c r="AU685" i="2"/>
  <c r="Q685" i="2"/>
  <c r="X683" i="2"/>
  <c r="BF684" i="2"/>
  <c r="AZ891" i="2"/>
  <c r="BH891" i="2" s="1"/>
  <c r="BH889" i="2" s="1"/>
  <c r="BG718" i="2"/>
  <c r="BB716" i="2"/>
  <c r="BI684" i="2"/>
  <c r="BG684" i="2"/>
  <c r="AA683" i="2"/>
  <c r="AZ683" i="2"/>
  <c r="Z622" i="2"/>
  <c r="BG880" i="2"/>
  <c r="BG878" i="2" s="1"/>
  <c r="AX881" i="2"/>
  <c r="BJ802" i="2"/>
  <c r="BH802" i="2"/>
  <c r="Q737" i="2"/>
  <c r="Y703" i="2"/>
  <c r="X706" i="2"/>
  <c r="AU659" i="2"/>
  <c r="Q659" i="2"/>
  <c r="B742" i="2"/>
  <c r="V741" i="2"/>
  <c r="AU707" i="2"/>
  <c r="Q707" i="2"/>
  <c r="BE683" i="2"/>
  <c r="X686" i="2"/>
  <c r="AU683" i="2"/>
  <c r="Q683" i="2"/>
  <c r="Z680" i="2"/>
  <c r="BF685" i="2"/>
  <c r="AU663" i="2"/>
  <c r="Q663" i="2" s="1"/>
  <c r="Y655" i="2"/>
  <c r="X658" i="2"/>
  <c r="BG858" i="2"/>
  <c r="BH625" i="2"/>
  <c r="BE789" i="2"/>
  <c r="BE787" i="2" s="1"/>
  <c r="X792" i="2"/>
  <c r="AU789" i="2"/>
  <c r="Q789" i="2" s="1"/>
  <c r="Z786" i="2"/>
  <c r="BF791" i="2"/>
  <c r="BE672" i="2"/>
  <c r="BE670" i="2" s="1"/>
  <c r="X675" i="2"/>
  <c r="AU672" i="2"/>
  <c r="Q672" i="2" s="1"/>
  <c r="Z669" i="2"/>
  <c r="BF674" i="2"/>
  <c r="AU571" i="2"/>
  <c r="Q571" i="2"/>
  <c r="AA515" i="2"/>
  <c r="BB512" i="2"/>
  <c r="BI514" i="2"/>
  <c r="BG514" i="2"/>
  <c r="BL514" i="2" s="1"/>
  <c r="BJ481" i="2"/>
  <c r="AA427" i="2"/>
  <c r="BB424" i="2"/>
  <c r="BI426" i="2"/>
  <c r="BG426" i="2"/>
  <c r="BF659" i="2"/>
  <c r="BH616" i="2"/>
  <c r="AB617" i="2" s="1"/>
  <c r="BJ616" i="2"/>
  <c r="BJ605" i="2"/>
  <c r="AU470" i="2"/>
  <c r="Q470" i="2" s="1"/>
  <c r="AB595" i="2"/>
  <c r="BG479" i="2"/>
  <c r="AU459" i="2"/>
  <c r="Q459" i="2" s="1"/>
  <c r="BG459" i="2"/>
  <c r="AB460" i="2" s="1"/>
  <c r="BB457" i="2"/>
  <c r="BI459" i="2"/>
  <c r="BG437" i="2"/>
  <c r="AU625" i="2"/>
  <c r="Q625" i="2"/>
  <c r="BF592" i="2"/>
  <c r="BE594" i="2"/>
  <c r="BG582" i="2"/>
  <c r="BI582" i="2"/>
  <c r="AC581" i="2" s="1"/>
  <c r="AZ581" i="2"/>
  <c r="AB581" i="2"/>
  <c r="BG571" i="2"/>
  <c r="AZ570" i="2"/>
  <c r="X501" i="2"/>
  <c r="AX502" i="2"/>
  <c r="BG501" i="2"/>
  <c r="X461" i="2"/>
  <c r="BF427" i="2"/>
  <c r="BF422" i="2"/>
  <c r="BE413" i="2"/>
  <c r="AU413" i="2"/>
  <c r="Q413" i="2" s="1"/>
  <c r="BF415" i="2"/>
  <c r="AA416" i="2" s="1"/>
  <c r="X416" i="2"/>
  <c r="Z410" i="2"/>
  <c r="AX403" i="2"/>
  <c r="BG402" i="2"/>
  <c r="BG405" i="2" s="1"/>
  <c r="BE346" i="2"/>
  <c r="BJ268" i="2"/>
  <c r="BH268" i="2"/>
  <c r="BE767" i="2"/>
  <c r="BE765" i="2" s="1"/>
  <c r="X770" i="2"/>
  <c r="AU767" i="2"/>
  <c r="Q767" i="2" s="1"/>
  <c r="Z764" i="2"/>
  <c r="BF769" i="2"/>
  <c r="BI661" i="2"/>
  <c r="BJ593" i="2"/>
  <c r="BH593" i="2"/>
  <c r="BI593" i="2"/>
  <c r="AC592" i="2" s="1"/>
  <c r="BJ583" i="2"/>
  <c r="BH583" i="2"/>
  <c r="AZ501" i="2"/>
  <c r="BG502" i="2"/>
  <c r="BF457" i="2"/>
  <c r="BI437" i="2"/>
  <c r="AU393" i="2"/>
  <c r="Q393" i="2"/>
  <c r="X391" i="2"/>
  <c r="BF392" i="2"/>
  <c r="Y388" i="2"/>
  <c r="Z232" i="2"/>
  <c r="BE233" i="2"/>
  <c r="BE235" i="2" s="1"/>
  <c r="AU233" i="2"/>
  <c r="Q233" i="2" s="1"/>
  <c r="Y235" i="2"/>
  <c r="Z210" i="2"/>
  <c r="BE211" i="2"/>
  <c r="BE213" i="2" s="1"/>
  <c r="AU211" i="2"/>
  <c r="Q211" i="2"/>
  <c r="Y213" i="2"/>
  <c r="BB188" i="2"/>
  <c r="BJ188" i="2" s="1"/>
  <c r="AZ468" i="2"/>
  <c r="BG469" i="2"/>
  <c r="BE391" i="2"/>
  <c r="BG381" i="2"/>
  <c r="AZ380" i="2"/>
  <c r="BG346" i="2"/>
  <c r="AZ345" i="2"/>
  <c r="AU345" i="2"/>
  <c r="Q345" i="2"/>
  <c r="Z335" i="2"/>
  <c r="Y338" i="2"/>
  <c r="BE208" i="2"/>
  <c r="BH155" i="2"/>
  <c r="C138" i="2"/>
  <c r="V138" i="2"/>
  <c r="X603" i="2"/>
  <c r="BE525" i="2"/>
  <c r="BE521" i="2" s="1"/>
  <c r="BD345" i="2"/>
  <c r="AU324" i="2"/>
  <c r="Q324" i="2" s="1"/>
  <c r="AU312" i="2"/>
  <c r="Q312" i="2" s="1"/>
  <c r="Z280" i="2"/>
  <c r="Y283" i="2"/>
  <c r="BE280" i="2"/>
  <c r="BG233" i="2"/>
  <c r="BG211" i="2"/>
  <c r="O363" i="2"/>
  <c r="AU290" i="2"/>
  <c r="Q290" i="2" s="1"/>
  <c r="X294" i="2"/>
  <c r="Z288" i="2"/>
  <c r="BF166" i="2"/>
  <c r="E126" i="2"/>
  <c r="V128" i="2"/>
  <c r="AZ90" i="2"/>
  <c r="Y515" i="2"/>
  <c r="BE513" i="2"/>
  <c r="AU513" i="2"/>
  <c r="Q513" i="2" s="1"/>
  <c r="Z512" i="2"/>
  <c r="AU303" i="2"/>
  <c r="Q303" i="2"/>
  <c r="BG221" i="2"/>
  <c r="AX222" i="2"/>
  <c r="BI404" i="2"/>
  <c r="BG404" i="2"/>
  <c r="AB405" i="2"/>
  <c r="BF346" i="2"/>
  <c r="BF349" i="2"/>
  <c r="Q246" i="2"/>
  <c r="AX178" i="2"/>
  <c r="BI177" i="2"/>
  <c r="BG177" i="2"/>
  <c r="BG180" i="2" s="1"/>
  <c r="V123" i="2"/>
  <c r="D122" i="2"/>
  <c r="BE58" i="2"/>
  <c r="AX47" i="2"/>
  <c r="BI24" i="2"/>
  <c r="BG24" i="2"/>
  <c r="AX25" i="2"/>
  <c r="Z7" i="2"/>
  <c r="Y65" i="2"/>
  <c r="AU70" i="2"/>
  <c r="Q70" i="2"/>
  <c r="X68" i="2"/>
  <c r="Z66" i="2"/>
  <c r="X72" i="2"/>
  <c r="BF48" i="2"/>
  <c r="AU46" i="2"/>
  <c r="Q46" i="2" s="1"/>
  <c r="BF221" i="2"/>
  <c r="X615" i="2"/>
  <c r="Y612" i="2"/>
  <c r="BJ382" i="2"/>
  <c r="X337" i="2"/>
  <c r="BE302" i="2"/>
  <c r="BG102" i="2"/>
  <c r="AC101" i="2"/>
  <c r="BI102" i="2"/>
  <c r="AZ101" i="2"/>
  <c r="BE77" i="2"/>
  <c r="BE82" i="2"/>
  <c r="BF59" i="2"/>
  <c r="BF60" i="2" s="1"/>
  <c r="AU57" i="2"/>
  <c r="Q57" i="2" s="1"/>
  <c r="AX153" i="2"/>
  <c r="BG152" i="2"/>
  <c r="BE57" i="2"/>
  <c r="BG13" i="2"/>
  <c r="BE35" i="2"/>
  <c r="BE13" i="2"/>
  <c r="O14" i="3"/>
  <c r="Q144" i="3"/>
  <c r="AB465" i="2"/>
  <c r="BL446" i="2"/>
  <c r="AC388" i="2"/>
  <c r="Q363" i="2"/>
  <c r="O365" i="2"/>
  <c r="O367" i="2"/>
  <c r="O369" i="2" s="1"/>
  <c r="Q369" i="2" s="1"/>
  <c r="BH903" i="2"/>
  <c r="BG510" i="2"/>
  <c r="BJ199" i="2"/>
  <c r="BJ457" i="2"/>
  <c r="AA287" i="2"/>
  <c r="BG321" i="2"/>
  <c r="BE22" i="2"/>
  <c r="BH614" i="2"/>
  <c r="BH612" i="2" s="1"/>
  <c r="BE55" i="2"/>
  <c r="BE60" i="2"/>
  <c r="BE304" i="2"/>
  <c r="BE326" i="2"/>
  <c r="BJ380" i="2"/>
  <c r="BH380" i="2"/>
  <c r="BI188" i="2"/>
  <c r="AC185" i="2"/>
  <c r="O842" i="2"/>
  <c r="BE526" i="2"/>
  <c r="BG617" i="2"/>
  <c r="BJ221" i="2"/>
  <c r="BE601" i="2"/>
  <c r="BH301" i="2"/>
  <c r="BJ301" i="2"/>
  <c r="AC298" i="2" s="1"/>
  <c r="BE427" i="2"/>
  <c r="BI468" i="2"/>
  <c r="BI414" i="2"/>
  <c r="BG590" i="2"/>
  <c r="BG595" i="2"/>
  <c r="BE697" i="2"/>
  <c r="BH672" i="2"/>
  <c r="BG584" i="2"/>
  <c r="BI391" i="2"/>
  <c r="AA512" i="2"/>
  <c r="BH280" i="2"/>
  <c r="AB279" i="2"/>
  <c r="BJ280" i="2"/>
  <c r="BG293" i="2"/>
  <c r="BG288" i="2"/>
  <c r="AA298" i="2"/>
  <c r="BH324" i="2"/>
  <c r="AA320" i="2"/>
  <c r="BG337" i="2"/>
  <c r="BG332" i="2"/>
  <c r="AC443" i="2"/>
  <c r="BE460" i="2"/>
  <c r="BF692" i="2"/>
  <c r="AA669" i="2"/>
  <c r="Q1003" i="2"/>
  <c r="BH35" i="2"/>
  <c r="BI324" i="2"/>
  <c r="BI380" i="2"/>
  <c r="BL268" i="2"/>
  <c r="BE803" i="2"/>
  <c r="AB789" i="2"/>
  <c r="BG787" i="2"/>
  <c r="AB800" i="2"/>
  <c r="BF922" i="2"/>
  <c r="BE493" i="2"/>
  <c r="BJ811" i="2"/>
  <c r="BF488" i="2"/>
  <c r="BF493" i="2"/>
  <c r="BH615" i="2"/>
  <c r="BH469" i="2"/>
  <c r="AB438" i="2"/>
  <c r="AA454" i="2"/>
  <c r="BH458" i="2"/>
  <c r="BL513" i="2"/>
  <c r="BJ291" i="2"/>
  <c r="BH302" i="2"/>
  <c r="AB301" i="2"/>
  <c r="BJ302" i="2"/>
  <c r="BH335" i="2"/>
  <c r="BJ492" i="2"/>
  <c r="BG175" i="2"/>
  <c r="BJ178" i="2"/>
  <c r="BH222" i="2"/>
  <c r="BH90" i="2"/>
  <c r="BE277" i="2"/>
  <c r="BH345" i="2"/>
  <c r="BH501" i="2"/>
  <c r="BE770" i="2"/>
  <c r="BI501" i="2"/>
  <c r="AC427" i="2"/>
  <c r="BF787" i="2"/>
  <c r="BF792" i="2"/>
  <c r="BE792" i="2"/>
  <c r="BJ881" i="2"/>
  <c r="BH881" i="2"/>
  <c r="BH683" i="2"/>
  <c r="BJ683" i="2"/>
  <c r="BE894" i="2"/>
  <c r="BJ604" i="2"/>
  <c r="BI614" i="2"/>
  <c r="Q252" i="2"/>
  <c r="BL223" i="2"/>
  <c r="BI302" i="2"/>
  <c r="BJ413" i="2"/>
  <c r="BH413" i="2"/>
  <c r="BH411" i="2" s="1"/>
  <c r="BF282" i="2"/>
  <c r="BF304" i="2"/>
  <c r="BF326" i="2"/>
  <c r="BF321" i="2"/>
  <c r="BG493" i="2"/>
  <c r="BJ925" i="2"/>
  <c r="AA196" i="2"/>
  <c r="BG202" i="2"/>
  <c r="BG197" i="2"/>
  <c r="BH91" i="2"/>
  <c r="BI178" i="2"/>
  <c r="AC290" i="2"/>
  <c r="BJ312" i="2"/>
  <c r="BJ279" i="2"/>
  <c r="BL583" i="2"/>
  <c r="BG299" i="2"/>
  <c r="BI301" i="2"/>
  <c r="BJ402" i="2"/>
  <c r="BG411" i="2"/>
  <c r="BG449" i="2"/>
  <c r="BE584" i="2"/>
  <c r="BI881" i="2"/>
  <c r="AB669" i="2"/>
  <c r="BI855" i="2"/>
  <c r="BF55" i="2"/>
  <c r="BJ334" i="2"/>
  <c r="AC331" i="2" s="1"/>
  <c r="Q545" i="2"/>
  <c r="O546" i="2"/>
  <c r="Q546" i="2" s="1"/>
  <c r="BE504" i="2"/>
  <c r="BE499" i="2"/>
  <c r="BI683" i="2"/>
  <c r="BJ892" i="2"/>
  <c r="BE922" i="2"/>
  <c r="AC438" i="2"/>
  <c r="BE686" i="2"/>
  <c r="BH10" i="2"/>
  <c r="BJ414" i="2"/>
  <c r="AC413" i="2"/>
  <c r="BH414" i="2"/>
  <c r="BH673" i="2"/>
  <c r="BJ673" i="2"/>
  <c r="Q254" i="2"/>
  <c r="BJ323" i="2"/>
  <c r="BH768" i="2"/>
  <c r="BE38" i="2"/>
  <c r="BE33" i="2"/>
  <c r="BG224" i="2"/>
  <c r="BF164" i="2"/>
  <c r="BF169" i="2"/>
  <c r="BJ468" i="2"/>
  <c r="AC465" i="2" s="1"/>
  <c r="BH468" i="2"/>
  <c r="O256" i="2"/>
  <c r="Q256" i="2" s="1"/>
  <c r="BF455" i="2"/>
  <c r="BF460" i="2"/>
  <c r="BJ403" i="2"/>
  <c r="BE416" i="2"/>
  <c r="BE411" i="2"/>
  <c r="BG499" i="2"/>
  <c r="BH581" i="2"/>
  <c r="BH579" i="2" s="1"/>
  <c r="BJ581" i="2"/>
  <c r="AA578" i="2"/>
  <c r="BI581" i="2"/>
  <c r="AC578" i="2"/>
  <c r="BJ801" i="2"/>
  <c r="BF911" i="2"/>
  <c r="BH426" i="2"/>
  <c r="AB427" i="2"/>
  <c r="BJ426" i="2"/>
  <c r="BL426" i="2"/>
  <c r="BH514" i="2"/>
  <c r="AB515" i="2"/>
  <c r="BJ514" i="2"/>
  <c r="AC515" i="2" s="1"/>
  <c r="BF44" i="2"/>
  <c r="BJ166" i="2"/>
  <c r="AC304" i="2"/>
  <c r="Q125" i="2"/>
  <c r="O129" i="2"/>
  <c r="BH188" i="2"/>
  <c r="AC383" i="2"/>
  <c r="BE422" i="2"/>
  <c r="AA465" i="2"/>
  <c r="BH391" i="2"/>
  <c r="AB388" i="2" s="1"/>
  <c r="BJ391" i="2"/>
  <c r="AA770" i="2"/>
  <c r="BF293" i="2"/>
  <c r="BF315" i="2"/>
  <c r="BF310" i="2"/>
  <c r="BH491" i="2"/>
  <c r="BI491" i="2"/>
  <c r="BJ603" i="2"/>
  <c r="AC600" i="2"/>
  <c r="BH603" i="2"/>
  <c r="AA792" i="2"/>
  <c r="BJ706" i="2"/>
  <c r="BH977" i="2"/>
  <c r="BH200" i="2"/>
  <c r="BE349" i="2"/>
  <c r="BH177" i="2"/>
  <c r="BI457" i="2"/>
  <c r="AC454" i="2" s="1"/>
  <c r="BJ290" i="2"/>
  <c r="BL325" i="2"/>
  <c r="BJ512" i="2"/>
  <c r="BI290" i="2"/>
  <c r="AB331" i="2"/>
  <c r="BI413" i="2"/>
  <c r="BJ447" i="2"/>
  <c r="BH447" i="2"/>
  <c r="AB446" i="2" s="1"/>
  <c r="AA446" i="2"/>
  <c r="BI447" i="2"/>
  <c r="BJ479" i="2"/>
  <c r="AC476" i="2" s="1"/>
  <c r="BI479" i="2"/>
  <c r="BE781" i="2"/>
  <c r="BE867" i="2"/>
  <c r="AC377" i="2"/>
  <c r="AA377" i="2"/>
  <c r="BH265" i="2"/>
  <c r="AC262" i="2" s="1"/>
  <c r="BJ265" i="2"/>
  <c r="BI265" i="2"/>
  <c r="BL696" i="2"/>
  <c r="BH705" i="2"/>
  <c r="BG686" i="2"/>
  <c r="BG681" i="2"/>
  <c r="BJ694" i="2"/>
  <c r="AB589" i="2"/>
  <c r="O549" i="2"/>
  <c r="AD262" i="2"/>
  <c r="BL380" i="2"/>
  <c r="BH894" i="2"/>
  <c r="AC775" i="2"/>
  <c r="AC446" i="2"/>
  <c r="AB600" i="2"/>
  <c r="AB490" i="2"/>
  <c r="BH584" i="2"/>
  <c r="BH449" i="2"/>
  <c r="AC680" i="2"/>
  <c r="BH416" i="2"/>
  <c r="BL302" i="2"/>
  <c r="AC301" i="2"/>
  <c r="AC410" i="2"/>
  <c r="AC279" i="2"/>
  <c r="BL447" i="2"/>
  <c r="Q129" i="2"/>
  <c r="BL581" i="2"/>
  <c r="AB680" i="2"/>
  <c r="BL468" i="2"/>
  <c r="Q842" i="2"/>
  <c r="BH617" i="2"/>
  <c r="BH493" i="2"/>
  <c r="Q367" i="2"/>
  <c r="AB174" i="2"/>
  <c r="AC611" i="2"/>
  <c r="BH299" i="2"/>
  <c r="BH304" i="2"/>
  <c r="AB185" i="2"/>
  <c r="AB377" i="2"/>
  <c r="Q365" i="2"/>
  <c r="AC880" i="2"/>
  <c r="O131" i="2"/>
  <c r="Q549" i="2"/>
  <c r="Q131" i="2"/>
  <c r="O553" i="2"/>
  <c r="O550" i="2"/>
  <c r="Q550" i="2"/>
  <c r="I382" i="3"/>
  <c r="I378" i="3"/>
  <c r="I374" i="3"/>
  <c r="I366" i="3"/>
  <c r="I362" i="3"/>
  <c r="I358" i="3"/>
  <c r="I398" i="3"/>
  <c r="I394" i="3"/>
  <c r="I348" i="3"/>
  <c r="I324" i="3"/>
  <c r="I332" i="3"/>
  <c r="I306" i="3"/>
  <c r="I286" i="3"/>
  <c r="I280" i="3"/>
  <c r="I390" i="3"/>
  <c r="I352" i="3"/>
  <c r="I344" i="3"/>
  <c r="I334" i="3"/>
  <c r="I290" i="3"/>
  <c r="I288" i="3"/>
  <c r="I316" i="3"/>
  <c r="I335" i="3"/>
  <c r="I320" i="3"/>
  <c r="I262" i="3"/>
  <c r="I230" i="3"/>
  <c r="I296" i="3"/>
  <c r="I246" i="3"/>
  <c r="I201" i="3"/>
  <c r="I125" i="3"/>
  <c r="I109" i="3"/>
  <c r="I242" i="3"/>
  <c r="I214" i="3"/>
  <c r="I188" i="3"/>
  <c r="I168" i="3"/>
  <c r="I156" i="3"/>
  <c r="I328" i="3"/>
  <c r="I133" i="3"/>
  <c r="I117" i="3"/>
  <c r="I256" i="3"/>
  <c r="I95" i="3"/>
  <c r="I87" i="3"/>
  <c r="I79" i="3"/>
  <c r="I99" i="3"/>
  <c r="I53" i="3"/>
  <c r="I37" i="3"/>
  <c r="I83" i="3"/>
  <c r="I65" i="3"/>
  <c r="I45" i="3"/>
  <c r="I29" i="3"/>
  <c r="I91" i="3"/>
  <c r="I66" i="3"/>
  <c r="I49" i="3"/>
  <c r="I33" i="3"/>
  <c r="I23" i="3"/>
  <c r="I19" i="3"/>
  <c r="I15" i="3"/>
  <c r="I11" i="3"/>
  <c r="I105" i="3"/>
  <c r="I75" i="3"/>
  <c r="I61" i="3"/>
  <c r="I57" i="3"/>
  <c r="I27" i="3"/>
  <c r="I51" i="3"/>
  <c r="I59" i="3"/>
  <c r="I77" i="3"/>
  <c r="I107" i="3"/>
  <c r="I121" i="3"/>
  <c r="I31" i="3"/>
  <c r="I39" i="3"/>
  <c r="I115" i="3"/>
  <c r="I212" i="3"/>
  <c r="I89" i="3"/>
  <c r="I236" i="3"/>
  <c r="I123" i="3"/>
  <c r="I204" i="3"/>
  <c r="I220" i="3"/>
  <c r="I150" i="3"/>
  <c r="I198" i="3"/>
  <c r="I224" i="3"/>
  <c r="I350" i="3"/>
  <c r="I360" i="3"/>
  <c r="I354" i="3"/>
  <c r="I67" i="3"/>
  <c r="I129" i="3"/>
  <c r="I182" i="3"/>
  <c r="I196" i="3"/>
  <c r="I97" i="3"/>
  <c r="I152" i="3"/>
  <c r="I226" i="3"/>
  <c r="I240" i="3"/>
  <c r="I127" i="3"/>
  <c r="I178" i="3"/>
  <c r="I302" i="3"/>
  <c r="I322" i="3"/>
  <c r="I184" i="3"/>
  <c r="I154" i="3"/>
  <c r="I252" i="3"/>
  <c r="I268" i="3"/>
  <c r="I194" i="3"/>
  <c r="I232" i="3"/>
  <c r="I264" i="3"/>
  <c r="I292" i="3"/>
  <c r="I338" i="3"/>
  <c r="I47" i="3"/>
  <c r="I55" i="3"/>
  <c r="I164" i="3"/>
  <c r="I17" i="3"/>
  <c r="I93" i="3"/>
  <c r="I85" i="3"/>
  <c r="I119" i="3"/>
  <c r="I131" i="3"/>
  <c r="I202" i="3"/>
  <c r="I218" i="3"/>
  <c r="I101" i="3"/>
  <c r="I111" i="3"/>
  <c r="I158" i="3"/>
  <c r="I146" i="3"/>
  <c r="I172" i="3"/>
  <c r="I170" i="3"/>
  <c r="I260" i="3"/>
  <c r="I308" i="3"/>
  <c r="I304" i="3"/>
  <c r="I346" i="3"/>
  <c r="I318" i="3"/>
  <c r="I376" i="3"/>
  <c r="I336" i="3"/>
  <c r="I386" i="3"/>
  <c r="I396" i="3"/>
  <c r="I402" i="3"/>
  <c r="I43" i="3"/>
  <c r="I69" i="3"/>
  <c r="I21" i="3"/>
  <c r="I35" i="3"/>
  <c r="I63" i="3"/>
  <c r="I113" i="3"/>
  <c r="I244" i="3"/>
  <c r="I81" i="3"/>
  <c r="I162" i="3"/>
  <c r="I190" i="3"/>
  <c r="I210" i="3"/>
  <c r="I200" i="3"/>
  <c r="I250" i="3"/>
  <c r="I166" i="3"/>
  <c r="I174" i="3"/>
  <c r="I258" i="3"/>
  <c r="I186" i="3"/>
  <c r="I228" i="3"/>
  <c r="I312" i="3"/>
  <c r="I216" i="3"/>
  <c r="I248" i="3"/>
  <c r="I300" i="3"/>
  <c r="I380" i="3"/>
  <c r="I284" i="3"/>
  <c r="I364" i="3"/>
  <c r="I370" i="3"/>
  <c r="I392" i="3"/>
  <c r="L944" i="2"/>
  <c r="L734" i="2"/>
  <c r="L559" i="2"/>
  <c r="L646" i="2"/>
  <c r="L638" i="2"/>
  <c r="L732" i="2"/>
  <c r="L555" i="2"/>
  <c r="L640" i="2"/>
  <c r="L557" i="2"/>
  <c r="L551" i="2"/>
  <c r="L364" i="2"/>
  <c r="L553" i="2"/>
  <c r="L539" i="2"/>
  <c r="L370" i="2"/>
  <c r="L358" i="2"/>
  <c r="L136" i="2"/>
  <c r="L132" i="2"/>
  <c r="L547" i="2"/>
  <c r="L243" i="2"/>
  <c r="L362" i="2"/>
  <c r="L541" i="2"/>
  <c r="L360" i="2"/>
  <c r="L537" i="2"/>
  <c r="L837" i="2"/>
  <c r="L124" i="2"/>
  <c r="L130" i="2"/>
  <c r="L249" i="2"/>
  <c r="L535" i="2"/>
  <c r="L120" i="2"/>
  <c r="L128" i="2"/>
  <c r="L247" i="2"/>
  <c r="L642" i="2"/>
  <c r="L368" i="2"/>
  <c r="L740" i="2"/>
  <c r="L545" i="2"/>
  <c r="L940" i="2"/>
  <c r="L738" i="2"/>
  <c r="L835" i="2"/>
  <c r="L839" i="2"/>
  <c r="L843" i="2"/>
  <c r="L255" i="2"/>
  <c r="L253" i="2"/>
  <c r="L549" i="2"/>
  <c r="L736" i="2"/>
  <c r="L845" i="2"/>
  <c r="L1002" i="2"/>
  <c r="L942" i="2"/>
  <c r="L366" i="2"/>
  <c r="L116" i="2"/>
  <c r="L140" i="2"/>
  <c r="L251" i="2"/>
  <c r="L245" i="2"/>
  <c r="L543" i="2"/>
  <c r="L644" i="2"/>
  <c r="L841" i="2"/>
  <c r="L1000" i="2"/>
  <c r="L998" i="2"/>
  <c r="L946" i="2"/>
  <c r="L936" i="2"/>
  <c r="L938" i="2"/>
  <c r="X883" i="1"/>
  <c r="P883" i="1"/>
  <c r="M882" i="1"/>
  <c r="A882" i="1"/>
  <c r="AA881" i="1"/>
  <c r="P881" i="1"/>
  <c r="O881" i="1"/>
  <c r="T881" i="1" s="1"/>
  <c r="B882" i="1" s="1"/>
  <c r="AA880" i="1"/>
  <c r="M880" i="1"/>
  <c r="A880" i="1"/>
  <c r="AA879" i="1"/>
  <c r="X879" i="1"/>
  <c r="P879" i="1"/>
  <c r="X878" i="1"/>
  <c r="M878" i="1"/>
  <c r="F878" i="1"/>
  <c r="B880" i="1" s="1"/>
  <c r="A878" i="1"/>
  <c r="AD877" i="1"/>
  <c r="X877" i="1"/>
  <c r="P877" i="1"/>
  <c r="AD876" i="1"/>
  <c r="M876" i="1"/>
  <c r="A876" i="1"/>
  <c r="F876" i="1" s="1"/>
  <c r="AD875" i="1"/>
  <c r="X875" i="1"/>
  <c r="P875" i="1"/>
  <c r="X874" i="1"/>
  <c r="M874" i="1"/>
  <c r="A874" i="1"/>
  <c r="AA873" i="1"/>
  <c r="X873" i="1"/>
  <c r="P873" i="1"/>
  <c r="AA872" i="1"/>
  <c r="M872" i="1"/>
  <c r="A872" i="1"/>
  <c r="AA871" i="1"/>
  <c r="X871" i="1"/>
  <c r="P871" i="1"/>
  <c r="O871" i="1" s="1"/>
  <c r="T871" i="1" s="1"/>
  <c r="M870" i="1"/>
  <c r="A870" i="1"/>
  <c r="P869" i="1"/>
  <c r="O869" i="1"/>
  <c r="Q869" i="1" s="1"/>
  <c r="U864" i="1"/>
  <c r="U863" i="1"/>
  <c r="O863" i="1"/>
  <c r="U862" i="1"/>
  <c r="AR861" i="1"/>
  <c r="AN861" i="1"/>
  <c r="AT861" i="1" s="1"/>
  <c r="AM861" i="1"/>
  <c r="AS861" i="1" s="1"/>
  <c r="AL861" i="1"/>
  <c r="AK861" i="1"/>
  <c r="AQ861" i="1" s="1"/>
  <c r="AJ861" i="1"/>
  <c r="AP861" i="1" s="1"/>
  <c r="AI861" i="1"/>
  <c r="AO861" i="1" s="1"/>
  <c r="Y856" i="1" s="1"/>
  <c r="U861" i="1"/>
  <c r="M861" i="1"/>
  <c r="I861" i="1"/>
  <c r="E861" i="1"/>
  <c r="D861" i="1"/>
  <c r="C861" i="1"/>
  <c r="B861" i="1"/>
  <c r="A861" i="1"/>
  <c r="AT860" i="1"/>
  <c r="AN860" i="1"/>
  <c r="AM860" i="1"/>
  <c r="AS860" i="1" s="1"/>
  <c r="Z861" i="1" s="1"/>
  <c r="AL860" i="1"/>
  <c r="AR860" i="1"/>
  <c r="AK860" i="1"/>
  <c r="AQ860" i="1" s="1"/>
  <c r="Z860" i="1" s="1"/>
  <c r="AJ860" i="1"/>
  <c r="BA860" i="1" s="1"/>
  <c r="AZ861" i="1" s="1"/>
  <c r="AI860" i="1"/>
  <c r="U860" i="1"/>
  <c r="O860" i="1"/>
  <c r="M860" i="1"/>
  <c r="E860" i="1"/>
  <c r="D860" i="1"/>
  <c r="C860" i="1"/>
  <c r="B860" i="1"/>
  <c r="A860" i="1"/>
  <c r="AQ859" i="1"/>
  <c r="Z857" i="1" s="1"/>
  <c r="AN859" i="1"/>
  <c r="AT859" i="1" s="1"/>
  <c r="AM859" i="1"/>
  <c r="AS859" i="1"/>
  <c r="AL859" i="1"/>
  <c r="AR859" i="1"/>
  <c r="AK859" i="1"/>
  <c r="AJ859" i="1"/>
  <c r="AP859" i="1" s="1"/>
  <c r="AI859" i="1"/>
  <c r="U859" i="1"/>
  <c r="M859" i="1"/>
  <c r="I859" i="1"/>
  <c r="E859" i="1"/>
  <c r="D859" i="1"/>
  <c r="C859" i="1"/>
  <c r="B859" i="1"/>
  <c r="A859" i="1"/>
  <c r="U858" i="1"/>
  <c r="U857" i="1"/>
  <c r="O857" i="1"/>
  <c r="I857" i="1"/>
  <c r="U856" i="1"/>
  <c r="Q855" i="1"/>
  <c r="U853" i="1"/>
  <c r="U852" i="1"/>
  <c r="O852" i="1"/>
  <c r="U851" i="1"/>
  <c r="AR850" i="1"/>
  <c r="AN850" i="1"/>
  <c r="AT850" i="1" s="1"/>
  <c r="AM850" i="1"/>
  <c r="AS850" i="1" s="1"/>
  <c r="AL850" i="1"/>
  <c r="AK850" i="1"/>
  <c r="AQ850" i="1" s="1"/>
  <c r="Y846" i="1" s="1"/>
  <c r="AJ850" i="1"/>
  <c r="AP850" i="1" s="1"/>
  <c r="AI850" i="1"/>
  <c r="U850" i="1"/>
  <c r="M850" i="1"/>
  <c r="I850" i="1"/>
  <c r="E850" i="1"/>
  <c r="D850" i="1"/>
  <c r="C850" i="1"/>
  <c r="B850" i="1"/>
  <c r="A850" i="1"/>
  <c r="AS849" i="1"/>
  <c r="AP849" i="1"/>
  <c r="AN849" i="1"/>
  <c r="AT849" i="1" s="1"/>
  <c r="AM849" i="1"/>
  <c r="AL849" i="1"/>
  <c r="AR849" i="1" s="1"/>
  <c r="AK849" i="1"/>
  <c r="AQ849" i="1" s="1"/>
  <c r="AJ849" i="1"/>
  <c r="AI849" i="1"/>
  <c r="AO849" i="1" s="1"/>
  <c r="U849" i="1"/>
  <c r="O849" i="1"/>
  <c r="M849" i="1"/>
  <c r="E849" i="1"/>
  <c r="D849" i="1"/>
  <c r="C849" i="1"/>
  <c r="B849" i="1"/>
  <c r="A849" i="1"/>
  <c r="AN848" i="1"/>
  <c r="AT848" i="1" s="1"/>
  <c r="X853" i="1" s="1"/>
  <c r="AM848" i="1"/>
  <c r="AS848" i="1" s="1"/>
  <c r="AL848" i="1"/>
  <c r="AR848" i="1" s="1"/>
  <c r="AK848" i="1"/>
  <c r="AQ848" i="1" s="1"/>
  <c r="AJ848" i="1"/>
  <c r="AP848" i="1" s="1"/>
  <c r="AI848" i="1"/>
  <c r="AO848" i="1" s="1"/>
  <c r="U848" i="1"/>
  <c r="M848" i="1"/>
  <c r="I848" i="1"/>
  <c r="E848" i="1"/>
  <c r="D848" i="1"/>
  <c r="C848" i="1"/>
  <c r="B848" i="1"/>
  <c r="A848" i="1"/>
  <c r="U847" i="1"/>
  <c r="U846" i="1"/>
  <c r="O846" i="1"/>
  <c r="I846" i="1"/>
  <c r="U845" i="1"/>
  <c r="Q844" i="1"/>
  <c r="U842" i="1"/>
  <c r="U841" i="1"/>
  <c r="O841" i="1"/>
  <c r="U840" i="1"/>
  <c r="AO839" i="1"/>
  <c r="AN839" i="1"/>
  <c r="AT839" i="1"/>
  <c r="AM839" i="1"/>
  <c r="AS839" i="1" s="1"/>
  <c r="Y836" i="1" s="1"/>
  <c r="AL839" i="1"/>
  <c r="AK839" i="1"/>
  <c r="AQ839" i="1"/>
  <c r="AJ839" i="1"/>
  <c r="AP839" i="1"/>
  <c r="AI839" i="1"/>
  <c r="U839" i="1"/>
  <c r="M839" i="1"/>
  <c r="I839" i="1"/>
  <c r="E839" i="1"/>
  <c r="D839" i="1"/>
  <c r="C839" i="1"/>
  <c r="B839" i="1"/>
  <c r="A839" i="1"/>
  <c r="AN838" i="1"/>
  <c r="AT838" i="1" s="1"/>
  <c r="AM838" i="1"/>
  <c r="AS838" i="1"/>
  <c r="AL838" i="1"/>
  <c r="AR838" i="1"/>
  <c r="AK838" i="1"/>
  <c r="AQ838" i="1"/>
  <c r="Z838" i="1" s="1"/>
  <c r="AJ838" i="1"/>
  <c r="AP838" i="1" s="1"/>
  <c r="AI838" i="1"/>
  <c r="AO838" i="1" s="1"/>
  <c r="U838" i="1"/>
  <c r="O838" i="1"/>
  <c r="M838" i="1"/>
  <c r="E838" i="1"/>
  <c r="D838" i="1"/>
  <c r="C838" i="1"/>
  <c r="B838" i="1"/>
  <c r="A838" i="1"/>
  <c r="AS837" i="1"/>
  <c r="AN837" i="1"/>
  <c r="AT837" i="1"/>
  <c r="AM837" i="1"/>
  <c r="AL837" i="1"/>
  <c r="AR837" i="1" s="1"/>
  <c r="AK837" i="1"/>
  <c r="AQ837" i="1"/>
  <c r="AJ837" i="1"/>
  <c r="AI837" i="1"/>
  <c r="AO837" i="1" s="1"/>
  <c r="U837" i="1"/>
  <c r="M837" i="1"/>
  <c r="I837" i="1"/>
  <c r="E837" i="1"/>
  <c r="D837" i="1"/>
  <c r="C837" i="1"/>
  <c r="B837" i="1"/>
  <c r="A837" i="1"/>
  <c r="Z836" i="1"/>
  <c r="U836" i="1"/>
  <c r="U835" i="1"/>
  <c r="O835" i="1"/>
  <c r="I835" i="1"/>
  <c r="U834" i="1"/>
  <c r="Q833" i="1"/>
  <c r="U831" i="1"/>
  <c r="U830" i="1"/>
  <c r="O830" i="1"/>
  <c r="U829" i="1"/>
  <c r="AP828" i="1"/>
  <c r="AN828" i="1"/>
  <c r="AT828" i="1"/>
  <c r="AM828" i="1"/>
  <c r="AS828" i="1" s="1"/>
  <c r="Y825" i="1" s="1"/>
  <c r="AL828" i="1"/>
  <c r="AR828" i="1" s="1"/>
  <c r="AK828" i="1"/>
  <c r="AQ828" i="1" s="1"/>
  <c r="AJ828" i="1"/>
  <c r="AW827" i="1"/>
  <c r="AI828" i="1"/>
  <c r="AO828" i="1"/>
  <c r="X826" i="1" s="1"/>
  <c r="U828" i="1"/>
  <c r="M828" i="1"/>
  <c r="I828" i="1"/>
  <c r="E828" i="1"/>
  <c r="D828" i="1"/>
  <c r="C828" i="1"/>
  <c r="B828" i="1"/>
  <c r="A828" i="1"/>
  <c r="AN827" i="1"/>
  <c r="AT827" i="1" s="1"/>
  <c r="AM827" i="1"/>
  <c r="AS827" i="1" s="1"/>
  <c r="Z828" i="1" s="1"/>
  <c r="AL827" i="1"/>
  <c r="AR827" i="1" s="1"/>
  <c r="Y830" i="1" s="1"/>
  <c r="AK827" i="1"/>
  <c r="AQ827" i="1"/>
  <c r="AJ827" i="1"/>
  <c r="AI827" i="1"/>
  <c r="AO827" i="1" s="1"/>
  <c r="U827" i="1"/>
  <c r="O827" i="1"/>
  <c r="M827" i="1"/>
  <c r="E827" i="1"/>
  <c r="D827" i="1"/>
  <c r="C827" i="1"/>
  <c r="B827" i="1"/>
  <c r="A827" i="1"/>
  <c r="AY826" i="1"/>
  <c r="AR826" i="1"/>
  <c r="AN826" i="1"/>
  <c r="AT826" i="1" s="1"/>
  <c r="AM826" i="1"/>
  <c r="AS826" i="1" s="1"/>
  <c r="AL826" i="1"/>
  <c r="AK826" i="1"/>
  <c r="AQ826" i="1" s="1"/>
  <c r="AJ826" i="1"/>
  <c r="AP826" i="1" s="1"/>
  <c r="AI826" i="1"/>
  <c r="AO826" i="1" s="1"/>
  <c r="U826" i="1"/>
  <c r="M826" i="1"/>
  <c r="I826" i="1"/>
  <c r="E826" i="1"/>
  <c r="D826" i="1"/>
  <c r="C826" i="1"/>
  <c r="B826" i="1"/>
  <c r="A826" i="1"/>
  <c r="U825" i="1"/>
  <c r="U824" i="1"/>
  <c r="O824" i="1"/>
  <c r="I824" i="1"/>
  <c r="U823" i="1"/>
  <c r="Q822" i="1"/>
  <c r="U820" i="1"/>
  <c r="U819" i="1"/>
  <c r="O819" i="1"/>
  <c r="U818" i="1"/>
  <c r="AP817" i="1"/>
  <c r="AN817" i="1"/>
  <c r="AT817" i="1" s="1"/>
  <c r="AM817" i="1"/>
  <c r="AS817" i="1"/>
  <c r="AL817" i="1"/>
  <c r="AR817" i="1" s="1"/>
  <c r="AK817" i="1"/>
  <c r="AQ817" i="1" s="1"/>
  <c r="AJ817" i="1"/>
  <c r="AI817" i="1"/>
  <c r="AO817" i="1" s="1"/>
  <c r="U817" i="1"/>
  <c r="M817" i="1"/>
  <c r="I817" i="1"/>
  <c r="E817" i="1"/>
  <c r="D817" i="1"/>
  <c r="C817" i="1"/>
  <c r="B817" i="1"/>
  <c r="A817" i="1"/>
  <c r="AN816" i="1"/>
  <c r="AT816" i="1"/>
  <c r="AM816" i="1"/>
  <c r="AS816" i="1" s="1"/>
  <c r="Y820" i="1" s="1"/>
  <c r="AL816" i="1"/>
  <c r="AR816" i="1" s="1"/>
  <c r="AK816" i="1"/>
  <c r="AQ816" i="1"/>
  <c r="AJ816" i="1"/>
  <c r="AI816" i="1"/>
  <c r="AO816" i="1" s="1"/>
  <c r="BE816" i="1" s="1"/>
  <c r="U816" i="1"/>
  <c r="O816" i="1"/>
  <c r="M816" i="1"/>
  <c r="E816" i="1"/>
  <c r="D816" i="1"/>
  <c r="C816" i="1"/>
  <c r="B816" i="1"/>
  <c r="A816" i="1"/>
  <c r="AR815" i="1"/>
  <c r="AN815" i="1"/>
  <c r="AT815" i="1" s="1"/>
  <c r="AM815" i="1"/>
  <c r="AS815" i="1" s="1"/>
  <c r="AL815" i="1"/>
  <c r="AK815" i="1"/>
  <c r="AQ815" i="1" s="1"/>
  <c r="AJ815" i="1"/>
  <c r="AI815" i="1"/>
  <c r="AO815" i="1" s="1"/>
  <c r="U815" i="1"/>
  <c r="M815" i="1"/>
  <c r="I815" i="1"/>
  <c r="E815" i="1"/>
  <c r="D815" i="1"/>
  <c r="C815" i="1"/>
  <c r="B815" i="1"/>
  <c r="A815" i="1"/>
  <c r="U814" i="1"/>
  <c r="U813" i="1"/>
  <c r="O813" i="1"/>
  <c r="I813" i="1"/>
  <c r="U812" i="1"/>
  <c r="Q811" i="1"/>
  <c r="U809" i="1"/>
  <c r="U808" i="1"/>
  <c r="O808" i="1"/>
  <c r="U807" i="1"/>
  <c r="AO806" i="1"/>
  <c r="AN806" i="1"/>
  <c r="AT806" i="1" s="1"/>
  <c r="X803" i="1" s="1"/>
  <c r="AM806" i="1"/>
  <c r="AS806" i="1"/>
  <c r="AL806" i="1"/>
  <c r="AR806" i="1"/>
  <c r="AK806" i="1"/>
  <c r="AJ806" i="1"/>
  <c r="AP806" i="1" s="1"/>
  <c r="AI806" i="1"/>
  <c r="U806" i="1"/>
  <c r="M806" i="1"/>
  <c r="E806" i="1"/>
  <c r="D806" i="1"/>
  <c r="C806" i="1"/>
  <c r="B806" i="1"/>
  <c r="A806" i="1"/>
  <c r="AN805" i="1"/>
  <c r="AT805" i="1" s="1"/>
  <c r="AM805" i="1"/>
  <c r="AS805" i="1" s="1"/>
  <c r="AL805" i="1"/>
  <c r="AK805" i="1"/>
  <c r="AQ805" i="1"/>
  <c r="AJ805" i="1"/>
  <c r="AP805" i="1"/>
  <c r="AI805" i="1"/>
  <c r="U805" i="1"/>
  <c r="O805" i="1"/>
  <c r="M805" i="1"/>
  <c r="I805" i="1"/>
  <c r="E805" i="1"/>
  <c r="D805" i="1"/>
  <c r="C805" i="1"/>
  <c r="B805" i="1"/>
  <c r="A805" i="1"/>
  <c r="AR804" i="1"/>
  <c r="AN804" i="1"/>
  <c r="AT804" i="1" s="1"/>
  <c r="AM804" i="1"/>
  <c r="AS804" i="1" s="1"/>
  <c r="AL804" i="1"/>
  <c r="AK804" i="1"/>
  <c r="AQ804" i="1" s="1"/>
  <c r="AJ804" i="1"/>
  <c r="AY803" i="1" s="1"/>
  <c r="BB802" i="1" s="1"/>
  <c r="AI804" i="1"/>
  <c r="AO804" i="1" s="1"/>
  <c r="U804" i="1"/>
  <c r="M804" i="1"/>
  <c r="E804" i="1"/>
  <c r="D804" i="1"/>
  <c r="C804" i="1"/>
  <c r="B804" i="1"/>
  <c r="A804" i="1"/>
  <c r="AT803" i="1"/>
  <c r="AP803" i="1"/>
  <c r="AN803" i="1"/>
  <c r="AM803" i="1"/>
  <c r="AS803" i="1" s="1"/>
  <c r="AL803" i="1"/>
  <c r="AR803" i="1" s="1"/>
  <c r="AK803" i="1"/>
  <c r="AQ803" i="1" s="1"/>
  <c r="AJ803" i="1"/>
  <c r="AI803" i="1"/>
  <c r="U803" i="1"/>
  <c r="M803" i="1"/>
  <c r="I803" i="1"/>
  <c r="E803" i="1"/>
  <c r="D803" i="1"/>
  <c r="C803" i="1"/>
  <c r="B803" i="1"/>
  <c r="A803" i="1"/>
  <c r="AQ802" i="1"/>
  <c r="AN802" i="1"/>
  <c r="AT802" i="1"/>
  <c r="AM802" i="1"/>
  <c r="AS802" i="1" s="1"/>
  <c r="AL802" i="1"/>
  <c r="AR802" i="1" s="1"/>
  <c r="AK802" i="1"/>
  <c r="AJ802" i="1"/>
  <c r="AI802" i="1"/>
  <c r="U802" i="1"/>
  <c r="O802" i="1"/>
  <c r="M802" i="1"/>
  <c r="E802" i="1"/>
  <c r="D802" i="1"/>
  <c r="C802" i="1"/>
  <c r="B802" i="1"/>
  <c r="A802" i="1"/>
  <c r="AT801" i="1"/>
  <c r="AP801" i="1"/>
  <c r="AN801" i="1"/>
  <c r="AM801" i="1"/>
  <c r="AS801" i="1" s="1"/>
  <c r="X806" i="1"/>
  <c r="AL801" i="1"/>
  <c r="AK801" i="1"/>
  <c r="AQ801" i="1" s="1"/>
  <c r="AJ801" i="1"/>
  <c r="AI801" i="1"/>
  <c r="U801" i="1"/>
  <c r="M801" i="1"/>
  <c r="I801" i="1"/>
  <c r="E801" i="1"/>
  <c r="D801" i="1"/>
  <c r="C801" i="1"/>
  <c r="B801" i="1"/>
  <c r="A801" i="1"/>
  <c r="U800" i="1"/>
  <c r="U799" i="1"/>
  <c r="O799" i="1"/>
  <c r="I799" i="1"/>
  <c r="U798" i="1"/>
  <c r="Q797" i="1"/>
  <c r="T795" i="1"/>
  <c r="X792" i="1"/>
  <c r="P792" i="1"/>
  <c r="M791" i="1"/>
  <c r="A791" i="1"/>
  <c r="AA790" i="1"/>
  <c r="P790" i="1"/>
  <c r="O790" i="1" s="1"/>
  <c r="T790" i="1" s="1"/>
  <c r="B791" i="1" s="1"/>
  <c r="AA789" i="1"/>
  <c r="M789" i="1"/>
  <c r="A789" i="1"/>
  <c r="F789" i="1" s="1"/>
  <c r="D785" i="1" s="1"/>
  <c r="AA788" i="1"/>
  <c r="X788" i="1"/>
  <c r="P788" i="1"/>
  <c r="X787" i="1"/>
  <c r="M787" i="1"/>
  <c r="F787" i="1"/>
  <c r="B789" i="1" s="1"/>
  <c r="A787" i="1"/>
  <c r="AD786" i="1"/>
  <c r="X786" i="1"/>
  <c r="P786" i="1"/>
  <c r="AD785" i="1"/>
  <c r="M785" i="1"/>
  <c r="F785" i="1"/>
  <c r="A785" i="1"/>
  <c r="AD784" i="1"/>
  <c r="X784" i="1"/>
  <c r="P784" i="1"/>
  <c r="O784" i="1"/>
  <c r="T784" i="1" s="1"/>
  <c r="D783" i="1" s="1"/>
  <c r="M783" i="1"/>
  <c r="A783" i="1"/>
  <c r="AA782" i="1"/>
  <c r="P782" i="1"/>
  <c r="AA781" i="1"/>
  <c r="M781" i="1"/>
  <c r="A781" i="1"/>
  <c r="AA780" i="1"/>
  <c r="X780" i="1"/>
  <c r="P780" i="1"/>
  <c r="O780" i="1"/>
  <c r="T780" i="1" s="1"/>
  <c r="V780" i="1" s="1"/>
  <c r="M779" i="1"/>
  <c r="A779" i="1"/>
  <c r="P778" i="1"/>
  <c r="O778" i="1"/>
  <c r="U773" i="1"/>
  <c r="U772" i="1"/>
  <c r="O772" i="1"/>
  <c r="U771" i="1"/>
  <c r="AR770" i="1"/>
  <c r="AN770" i="1"/>
  <c r="AT770" i="1" s="1"/>
  <c r="AM770" i="1"/>
  <c r="AS770" i="1" s="1"/>
  <c r="AL770" i="1"/>
  <c r="AK770" i="1"/>
  <c r="AQ770" i="1" s="1"/>
  <c r="AJ770" i="1"/>
  <c r="AP770" i="1" s="1"/>
  <c r="AI770" i="1"/>
  <c r="AO770" i="1" s="1"/>
  <c r="U770" i="1"/>
  <c r="M770" i="1"/>
  <c r="I770" i="1"/>
  <c r="E770" i="1"/>
  <c r="D770" i="1"/>
  <c r="C770" i="1"/>
  <c r="B770" i="1"/>
  <c r="A770" i="1"/>
  <c r="AQ769" i="1"/>
  <c r="AN769" i="1"/>
  <c r="AT769" i="1" s="1"/>
  <c r="Y773" i="1" s="1"/>
  <c r="AM769" i="1"/>
  <c r="AS769" i="1"/>
  <c r="Z770" i="1" s="1"/>
  <c r="AL769" i="1"/>
  <c r="AK769" i="1"/>
  <c r="AJ769" i="1"/>
  <c r="AP769" i="1" s="1"/>
  <c r="AI769" i="1"/>
  <c r="U769" i="1"/>
  <c r="O769" i="1"/>
  <c r="M769" i="1"/>
  <c r="E769" i="1"/>
  <c r="D769" i="1"/>
  <c r="C769" i="1"/>
  <c r="B769" i="1"/>
  <c r="A769" i="1"/>
  <c r="AT768" i="1"/>
  <c r="AP768" i="1"/>
  <c r="AN768" i="1"/>
  <c r="AM768" i="1"/>
  <c r="AS768" i="1" s="1"/>
  <c r="Z767" i="1" s="1"/>
  <c r="AL768" i="1"/>
  <c r="AR768" i="1" s="1"/>
  <c r="BF768" i="1" s="1"/>
  <c r="AK768" i="1"/>
  <c r="AQ768" i="1" s="1"/>
  <c r="AJ768" i="1"/>
  <c r="AI768" i="1"/>
  <c r="U768" i="1"/>
  <c r="M768" i="1"/>
  <c r="I768" i="1"/>
  <c r="E768" i="1"/>
  <c r="D768" i="1"/>
  <c r="C768" i="1"/>
  <c r="B768" i="1"/>
  <c r="A768" i="1"/>
  <c r="U767" i="1"/>
  <c r="U766" i="1"/>
  <c r="O766" i="1"/>
  <c r="I766" i="1"/>
  <c r="Y765" i="1"/>
  <c r="U765" i="1"/>
  <c r="Q764" i="1"/>
  <c r="U762" i="1"/>
  <c r="U761" i="1"/>
  <c r="O761" i="1"/>
  <c r="U760" i="1"/>
  <c r="AR759" i="1"/>
  <c r="AN759" i="1"/>
  <c r="AT759" i="1"/>
  <c r="AM759" i="1"/>
  <c r="AS759" i="1"/>
  <c r="AL759" i="1"/>
  <c r="AK759" i="1"/>
  <c r="AQ759" i="1" s="1"/>
  <c r="X758" i="1" s="1"/>
  <c r="AJ759" i="1"/>
  <c r="AP759" i="1" s="1"/>
  <c r="Y754" i="1" s="1"/>
  <c r="AI759" i="1"/>
  <c r="U759" i="1"/>
  <c r="M759" i="1"/>
  <c r="I759" i="1"/>
  <c r="E759" i="1"/>
  <c r="D759" i="1"/>
  <c r="C759" i="1"/>
  <c r="B759" i="1"/>
  <c r="A759" i="1"/>
  <c r="AN758" i="1"/>
  <c r="AT758" i="1" s="1"/>
  <c r="AM758" i="1"/>
  <c r="AS758" i="1" s="1"/>
  <c r="Z759" i="1" s="1"/>
  <c r="AL758" i="1"/>
  <c r="AR758" i="1" s="1"/>
  <c r="AK758" i="1"/>
  <c r="AQ758" i="1" s="1"/>
  <c r="Z758" i="1" s="1"/>
  <c r="AJ758" i="1"/>
  <c r="AP758" i="1" s="1"/>
  <c r="AI758" i="1"/>
  <c r="AO758" i="1" s="1"/>
  <c r="U758" i="1"/>
  <c r="O758" i="1"/>
  <c r="M758" i="1"/>
  <c r="E758" i="1"/>
  <c r="D758" i="1"/>
  <c r="C758" i="1"/>
  <c r="B758" i="1"/>
  <c r="A758" i="1"/>
  <c r="AS757" i="1"/>
  <c r="AN757" i="1"/>
  <c r="AT757" i="1" s="1"/>
  <c r="Z756" i="1" s="1"/>
  <c r="AM757" i="1"/>
  <c r="AL757" i="1"/>
  <c r="AR757" i="1" s="1"/>
  <c r="AK757" i="1"/>
  <c r="AQ757" i="1"/>
  <c r="Z755" i="1" s="1"/>
  <c r="AJ757" i="1"/>
  <c r="AP757" i="1" s="1"/>
  <c r="AI757" i="1"/>
  <c r="AO757" i="1" s="1"/>
  <c r="U757" i="1"/>
  <c r="M757" i="1"/>
  <c r="I757" i="1"/>
  <c r="E757" i="1"/>
  <c r="D757" i="1"/>
  <c r="C757" i="1"/>
  <c r="B757" i="1"/>
  <c r="A757" i="1"/>
  <c r="U756" i="1"/>
  <c r="U755" i="1"/>
  <c r="O755" i="1"/>
  <c r="I755" i="1"/>
  <c r="U754" i="1"/>
  <c r="Q753" i="1"/>
  <c r="U751" i="1"/>
  <c r="U750" i="1"/>
  <c r="O750" i="1"/>
  <c r="U749" i="1"/>
  <c r="AS748" i="1"/>
  <c r="X748" i="1" s="1"/>
  <c r="AQ748" i="1"/>
  <c r="AN748" i="1"/>
  <c r="AT748" i="1"/>
  <c r="AM748" i="1"/>
  <c r="AL748" i="1"/>
  <c r="AR748" i="1" s="1"/>
  <c r="Y744" i="1" s="1"/>
  <c r="AK748" i="1"/>
  <c r="AJ748" i="1"/>
  <c r="AP748" i="1" s="1"/>
  <c r="AI748" i="1"/>
  <c r="AO748" i="1" s="1"/>
  <c r="U748" i="1"/>
  <c r="M748" i="1"/>
  <c r="I748" i="1"/>
  <c r="E748" i="1"/>
  <c r="D748" i="1"/>
  <c r="C748" i="1"/>
  <c r="B748" i="1"/>
  <c r="A748" i="1"/>
  <c r="AQ747" i="1"/>
  <c r="AN747" i="1"/>
  <c r="AT747" i="1" s="1"/>
  <c r="Y751" i="1" s="1"/>
  <c r="AM747" i="1"/>
  <c r="AS747" i="1"/>
  <c r="AL747" i="1"/>
  <c r="AR747" i="1"/>
  <c r="AK747" i="1"/>
  <c r="AJ747" i="1"/>
  <c r="AP747" i="1" s="1"/>
  <c r="BF747" i="1" s="1"/>
  <c r="AI747" i="1"/>
  <c r="U747" i="1"/>
  <c r="O747" i="1"/>
  <c r="M747" i="1"/>
  <c r="E747" i="1"/>
  <c r="D747" i="1"/>
  <c r="C747" i="1"/>
  <c r="B747" i="1"/>
  <c r="A747" i="1"/>
  <c r="AN746" i="1"/>
  <c r="AT746" i="1" s="1"/>
  <c r="Z745" i="1" s="1"/>
  <c r="AM746" i="1"/>
  <c r="AS746" i="1"/>
  <c r="AL746" i="1"/>
  <c r="AR746" i="1"/>
  <c r="AK746" i="1"/>
  <c r="AJ746" i="1"/>
  <c r="AP746" i="1" s="1"/>
  <c r="AI746" i="1"/>
  <c r="AO746" i="1" s="1"/>
  <c r="U746" i="1"/>
  <c r="M746" i="1"/>
  <c r="I746" i="1"/>
  <c r="E746" i="1"/>
  <c r="D746" i="1"/>
  <c r="C746" i="1"/>
  <c r="B746" i="1"/>
  <c r="A746" i="1"/>
  <c r="U745" i="1"/>
  <c r="U744" i="1"/>
  <c r="O744" i="1"/>
  <c r="I744" i="1"/>
  <c r="U743" i="1"/>
  <c r="Q742" i="1"/>
  <c r="U740" i="1"/>
  <c r="U739" i="1"/>
  <c r="O739" i="1"/>
  <c r="U738" i="1"/>
  <c r="AN737" i="1"/>
  <c r="AT737" i="1" s="1"/>
  <c r="AM737" i="1"/>
  <c r="AS737" i="1" s="1"/>
  <c r="X737" i="1" s="1"/>
  <c r="AL737" i="1"/>
  <c r="AR737" i="1" s="1"/>
  <c r="AK737" i="1"/>
  <c r="AQ737" i="1" s="1"/>
  <c r="AJ737" i="1"/>
  <c r="AP737" i="1" s="1"/>
  <c r="AI737" i="1"/>
  <c r="U737" i="1"/>
  <c r="M737" i="1"/>
  <c r="I737" i="1"/>
  <c r="E737" i="1"/>
  <c r="D737" i="1"/>
  <c r="C737" i="1"/>
  <c r="B737" i="1"/>
  <c r="A737" i="1"/>
  <c r="AW736" i="1"/>
  <c r="AN736" i="1"/>
  <c r="AT736" i="1" s="1"/>
  <c r="AM736" i="1"/>
  <c r="AS736" i="1" s="1"/>
  <c r="AL736" i="1"/>
  <c r="AK736" i="1"/>
  <c r="AQ736" i="1" s="1"/>
  <c r="Y739" i="1" s="1"/>
  <c r="AJ736" i="1"/>
  <c r="AP736" i="1" s="1"/>
  <c r="AI736" i="1"/>
  <c r="AO736" i="1" s="1"/>
  <c r="U736" i="1"/>
  <c r="O736" i="1"/>
  <c r="M736" i="1"/>
  <c r="E736" i="1"/>
  <c r="D736" i="1"/>
  <c r="C736" i="1"/>
  <c r="B736" i="1"/>
  <c r="A736" i="1"/>
  <c r="AT735" i="1"/>
  <c r="AN735" i="1"/>
  <c r="AM735" i="1"/>
  <c r="AS735" i="1" s="1"/>
  <c r="AL735" i="1"/>
  <c r="AR735" i="1"/>
  <c r="AK735" i="1"/>
  <c r="AQ735" i="1"/>
  <c r="AJ735" i="1"/>
  <c r="AI735" i="1"/>
  <c r="AO735" i="1" s="1"/>
  <c r="U735" i="1"/>
  <c r="M735" i="1"/>
  <c r="I735" i="1"/>
  <c r="E735" i="1"/>
  <c r="D735" i="1"/>
  <c r="C735" i="1"/>
  <c r="B735" i="1"/>
  <c r="A735" i="1"/>
  <c r="U734" i="1"/>
  <c r="Z733" i="1"/>
  <c r="U733" i="1"/>
  <c r="O733" i="1"/>
  <c r="I733" i="1"/>
  <c r="U732" i="1"/>
  <c r="Q731" i="1"/>
  <c r="U729" i="1"/>
  <c r="U728" i="1"/>
  <c r="O728" i="1"/>
  <c r="U727" i="1"/>
  <c r="AN726" i="1"/>
  <c r="AT726" i="1" s="1"/>
  <c r="AM726" i="1"/>
  <c r="AS726" i="1" s="1"/>
  <c r="AL726" i="1"/>
  <c r="AR726" i="1" s="1"/>
  <c r="AK726" i="1"/>
  <c r="AQ726" i="1" s="1"/>
  <c r="AJ726" i="1"/>
  <c r="AP726" i="1" s="1"/>
  <c r="AI726" i="1"/>
  <c r="U726" i="1"/>
  <c r="M726" i="1"/>
  <c r="I726" i="1"/>
  <c r="E726" i="1"/>
  <c r="D726" i="1"/>
  <c r="C726" i="1"/>
  <c r="B726" i="1"/>
  <c r="A726" i="1"/>
  <c r="AP725" i="1"/>
  <c r="AN725" i="1"/>
  <c r="AT725" i="1"/>
  <c r="AM725" i="1"/>
  <c r="AS725" i="1" s="1"/>
  <c r="Z726" i="1" s="1"/>
  <c r="AL725" i="1"/>
  <c r="AR725" i="1" s="1"/>
  <c r="AK725" i="1"/>
  <c r="AQ725" i="1"/>
  <c r="Z725" i="1" s="1"/>
  <c r="AJ725" i="1"/>
  <c r="AI725" i="1"/>
  <c r="AY726" i="1" s="1"/>
  <c r="BB725" i="1" s="1"/>
  <c r="U725" i="1"/>
  <c r="O725" i="1"/>
  <c r="M725" i="1"/>
  <c r="E725" i="1"/>
  <c r="D725" i="1"/>
  <c r="C725" i="1"/>
  <c r="B725" i="1"/>
  <c r="A725" i="1"/>
  <c r="AN724" i="1"/>
  <c r="AT724" i="1"/>
  <c r="AM724" i="1"/>
  <c r="AS724" i="1" s="1"/>
  <c r="Z723" i="1" s="1"/>
  <c r="AL724" i="1"/>
  <c r="AR724" i="1" s="1"/>
  <c r="AK724" i="1"/>
  <c r="AQ724" i="1"/>
  <c r="Z722" i="1" s="1"/>
  <c r="AJ724" i="1"/>
  <c r="AI724" i="1"/>
  <c r="AO724" i="1" s="1"/>
  <c r="U724" i="1"/>
  <c r="M724" i="1"/>
  <c r="I724" i="1"/>
  <c r="E724" i="1"/>
  <c r="D724" i="1"/>
  <c r="C724" i="1"/>
  <c r="B724" i="1"/>
  <c r="A724" i="1"/>
  <c r="U723" i="1"/>
  <c r="U722" i="1"/>
  <c r="O722" i="1"/>
  <c r="I722" i="1"/>
  <c r="U721" i="1"/>
  <c r="Q720" i="1"/>
  <c r="T718" i="1"/>
  <c r="X715" i="1"/>
  <c r="P715" i="1"/>
  <c r="X714" i="1"/>
  <c r="M714" i="1"/>
  <c r="H714" i="1"/>
  <c r="A714" i="1"/>
  <c r="F714" i="1"/>
  <c r="D712" i="1" s="1"/>
  <c r="AA713" i="1"/>
  <c r="X713" i="1"/>
  <c r="P713" i="1"/>
  <c r="AA712" i="1"/>
  <c r="M712" i="1"/>
  <c r="A712" i="1"/>
  <c r="H712" i="1" s="1"/>
  <c r="AA711" i="1"/>
  <c r="X711" i="1"/>
  <c r="P711" i="1"/>
  <c r="X710" i="1"/>
  <c r="M710" i="1"/>
  <c r="A710" i="1"/>
  <c r="H710" i="1" s="1"/>
  <c r="X709" i="1"/>
  <c r="P709" i="1"/>
  <c r="O709" i="1"/>
  <c r="Q709" i="1" s="1"/>
  <c r="U704" i="1"/>
  <c r="U703" i="1"/>
  <c r="O703" i="1"/>
  <c r="U702" i="1"/>
  <c r="AN701" i="1"/>
  <c r="AT701" i="1" s="1"/>
  <c r="AM701" i="1"/>
  <c r="AS701" i="1" s="1"/>
  <c r="AL701" i="1"/>
  <c r="AR701" i="1"/>
  <c r="AK701" i="1"/>
  <c r="AQ701" i="1" s="1"/>
  <c r="Y697" i="1" s="1"/>
  <c r="AJ701" i="1"/>
  <c r="AP701" i="1" s="1"/>
  <c r="AI701" i="1"/>
  <c r="U701" i="1"/>
  <c r="M701" i="1"/>
  <c r="I701" i="1"/>
  <c r="E701" i="1"/>
  <c r="D701" i="1"/>
  <c r="C701" i="1"/>
  <c r="B701" i="1"/>
  <c r="A701" i="1"/>
  <c r="AR700" i="1"/>
  <c r="AN700" i="1"/>
  <c r="AT700" i="1" s="1"/>
  <c r="AM700" i="1"/>
  <c r="AS700" i="1" s="1"/>
  <c r="AL700" i="1"/>
  <c r="AK700" i="1"/>
  <c r="AQ700" i="1" s="1"/>
  <c r="Y703" i="1" s="1"/>
  <c r="AJ700" i="1"/>
  <c r="AI700" i="1"/>
  <c r="AO700" i="1" s="1"/>
  <c r="U700" i="1"/>
  <c r="O700" i="1"/>
  <c r="M700" i="1"/>
  <c r="E700" i="1"/>
  <c r="D700" i="1"/>
  <c r="C700" i="1"/>
  <c r="B700" i="1"/>
  <c r="A700" i="1"/>
  <c r="AO699" i="1"/>
  <c r="AN699" i="1"/>
  <c r="AT699" i="1"/>
  <c r="AM699" i="1"/>
  <c r="AS699" i="1" s="1"/>
  <c r="AL699" i="1"/>
  <c r="AR699" i="1" s="1"/>
  <c r="AK699" i="1"/>
  <c r="AQ699" i="1" s="1"/>
  <c r="AJ699" i="1"/>
  <c r="AI699" i="1"/>
  <c r="U699" i="1"/>
  <c r="M699" i="1"/>
  <c r="I699" i="1"/>
  <c r="E699" i="1"/>
  <c r="D699" i="1"/>
  <c r="C699" i="1"/>
  <c r="B699" i="1"/>
  <c r="A699" i="1"/>
  <c r="U698" i="1"/>
  <c r="U697" i="1"/>
  <c r="O697" i="1"/>
  <c r="I697" i="1"/>
  <c r="U696" i="1"/>
  <c r="Q695" i="1"/>
  <c r="U693" i="1"/>
  <c r="U692" i="1"/>
  <c r="O692" i="1"/>
  <c r="U691" i="1"/>
  <c r="AT690" i="1"/>
  <c r="AN690" i="1"/>
  <c r="AM690" i="1"/>
  <c r="AS690" i="1" s="1"/>
  <c r="AL690" i="1"/>
  <c r="AR690" i="1"/>
  <c r="AK690" i="1"/>
  <c r="AQ690" i="1" s="1"/>
  <c r="AJ690" i="1"/>
  <c r="AP690" i="1" s="1"/>
  <c r="AI690" i="1"/>
  <c r="AO690" i="1"/>
  <c r="AU690" i="1" s="1"/>
  <c r="Q690" i="1" s="1"/>
  <c r="U690" i="1"/>
  <c r="M690" i="1"/>
  <c r="I690" i="1"/>
  <c r="E690" i="1"/>
  <c r="D690" i="1"/>
  <c r="C690" i="1"/>
  <c r="B690" i="1"/>
  <c r="A690" i="1"/>
  <c r="AR689" i="1"/>
  <c r="AN689" i="1"/>
  <c r="AT689" i="1" s="1"/>
  <c r="AM689" i="1"/>
  <c r="AS689" i="1" s="1"/>
  <c r="AL689" i="1"/>
  <c r="AK689" i="1"/>
  <c r="AJ689" i="1"/>
  <c r="AI689" i="1"/>
  <c r="AO689" i="1" s="1"/>
  <c r="Z688" i="1" s="1"/>
  <c r="U689" i="1"/>
  <c r="O689" i="1"/>
  <c r="M689" i="1"/>
  <c r="E689" i="1"/>
  <c r="D689" i="1"/>
  <c r="C689" i="1"/>
  <c r="B689" i="1"/>
  <c r="A689" i="1"/>
  <c r="AN688" i="1"/>
  <c r="AT688" i="1"/>
  <c r="AM688" i="1"/>
  <c r="AS688" i="1" s="1"/>
  <c r="AL688" i="1"/>
  <c r="AR688" i="1" s="1"/>
  <c r="Z686" i="1" s="1"/>
  <c r="AK688" i="1"/>
  <c r="AQ688" i="1"/>
  <c r="AJ688" i="1"/>
  <c r="AI688" i="1"/>
  <c r="AO688" i="1" s="1"/>
  <c r="U688" i="1"/>
  <c r="M688" i="1"/>
  <c r="I688" i="1"/>
  <c r="E688" i="1"/>
  <c r="D688" i="1"/>
  <c r="C688" i="1"/>
  <c r="B688" i="1"/>
  <c r="A688" i="1"/>
  <c r="U687" i="1"/>
  <c r="U686" i="1"/>
  <c r="O686" i="1"/>
  <c r="I686" i="1"/>
  <c r="U685" i="1"/>
  <c r="Q684" i="1"/>
  <c r="U682" i="1"/>
  <c r="U681" i="1"/>
  <c r="O681" i="1"/>
  <c r="U680" i="1"/>
  <c r="AN679" i="1"/>
  <c r="AT679" i="1" s="1"/>
  <c r="AM679" i="1"/>
  <c r="AS679" i="1"/>
  <c r="X679" i="1" s="1"/>
  <c r="AL679" i="1"/>
  <c r="AR679" i="1" s="1"/>
  <c r="AK679" i="1"/>
  <c r="AQ679" i="1" s="1"/>
  <c r="AJ679" i="1"/>
  <c r="AP679" i="1" s="1"/>
  <c r="AI679" i="1"/>
  <c r="AO679" i="1" s="1"/>
  <c r="U679" i="1"/>
  <c r="M679" i="1"/>
  <c r="I679" i="1"/>
  <c r="E679" i="1"/>
  <c r="D679" i="1"/>
  <c r="C679" i="1"/>
  <c r="B679" i="1"/>
  <c r="A679" i="1"/>
  <c r="AS678" i="1"/>
  <c r="AN678" i="1"/>
  <c r="AT678" i="1"/>
  <c r="AM678" i="1"/>
  <c r="AL678" i="1"/>
  <c r="AR678" i="1" s="1"/>
  <c r="AK678" i="1"/>
  <c r="AQ678" i="1"/>
  <c r="Y681" i="1" s="1"/>
  <c r="AJ678" i="1"/>
  <c r="AI678" i="1"/>
  <c r="AO678" i="1" s="1"/>
  <c r="U678" i="1"/>
  <c r="O678" i="1"/>
  <c r="M678" i="1"/>
  <c r="E678" i="1"/>
  <c r="D678" i="1"/>
  <c r="C678" i="1"/>
  <c r="B678" i="1"/>
  <c r="A678" i="1"/>
  <c r="AR677" i="1"/>
  <c r="AN677" i="1"/>
  <c r="AT677" i="1" s="1"/>
  <c r="AM677" i="1"/>
  <c r="AS677" i="1" s="1"/>
  <c r="AL677" i="1"/>
  <c r="AK677" i="1"/>
  <c r="AQ677" i="1" s="1"/>
  <c r="X681" i="1" s="1"/>
  <c r="AJ677" i="1"/>
  <c r="AI677" i="1"/>
  <c r="AO677" i="1" s="1"/>
  <c r="U677" i="1"/>
  <c r="M677" i="1"/>
  <c r="I677" i="1"/>
  <c r="E677" i="1"/>
  <c r="D677" i="1"/>
  <c r="C677" i="1"/>
  <c r="B677" i="1"/>
  <c r="A677" i="1"/>
  <c r="U676" i="1"/>
  <c r="U675" i="1"/>
  <c r="O675" i="1"/>
  <c r="I675" i="1"/>
  <c r="U674" i="1"/>
  <c r="Q673" i="1"/>
  <c r="U671" i="1"/>
  <c r="U670" i="1"/>
  <c r="O670" i="1"/>
  <c r="U669" i="1"/>
  <c r="AS668" i="1"/>
  <c r="AN668" i="1"/>
  <c r="AT668" i="1" s="1"/>
  <c r="Y662" i="1" s="1"/>
  <c r="AM668" i="1"/>
  <c r="AL668" i="1"/>
  <c r="AK668" i="1"/>
  <c r="AQ668" i="1"/>
  <c r="AJ668" i="1"/>
  <c r="AP668" i="1" s="1"/>
  <c r="AI668" i="1"/>
  <c r="AO668" i="1" s="1"/>
  <c r="X663" i="1" s="1"/>
  <c r="U668" i="1"/>
  <c r="M668" i="1"/>
  <c r="E668" i="1"/>
  <c r="D668" i="1"/>
  <c r="C668" i="1"/>
  <c r="B668" i="1"/>
  <c r="A668" i="1"/>
  <c r="AN667" i="1"/>
  <c r="AT667" i="1"/>
  <c r="AM667" i="1"/>
  <c r="AS667" i="1"/>
  <c r="AA668" i="1" s="1"/>
  <c r="AL667" i="1"/>
  <c r="AR667" i="1" s="1"/>
  <c r="AK667" i="1"/>
  <c r="AQ667" i="1" s="1"/>
  <c r="AJ667" i="1"/>
  <c r="AP667" i="1"/>
  <c r="AI667" i="1"/>
  <c r="U667" i="1"/>
  <c r="O667" i="1"/>
  <c r="M667" i="1"/>
  <c r="I667" i="1"/>
  <c r="E667" i="1"/>
  <c r="D667" i="1"/>
  <c r="C667" i="1"/>
  <c r="B667" i="1"/>
  <c r="A667" i="1"/>
  <c r="AO666" i="1"/>
  <c r="AN666" i="1"/>
  <c r="AT666" i="1" s="1"/>
  <c r="AM666" i="1"/>
  <c r="AS666" i="1" s="1"/>
  <c r="Z665" i="1" s="1"/>
  <c r="AL666" i="1"/>
  <c r="AR666" i="1"/>
  <c r="AK666" i="1"/>
  <c r="AJ666" i="1"/>
  <c r="AP666" i="1" s="1"/>
  <c r="Y666" i="1" s="1"/>
  <c r="AI666" i="1"/>
  <c r="U666" i="1"/>
  <c r="M666" i="1"/>
  <c r="E666" i="1"/>
  <c r="D666" i="1"/>
  <c r="C666" i="1"/>
  <c r="B666" i="1"/>
  <c r="A666" i="1"/>
  <c r="AN665" i="1"/>
  <c r="AT665" i="1"/>
  <c r="AM665" i="1"/>
  <c r="AS665" i="1"/>
  <c r="AL665" i="1"/>
  <c r="AR665" i="1" s="1"/>
  <c r="AK665" i="1"/>
  <c r="AQ665" i="1" s="1"/>
  <c r="X670" i="1" s="1"/>
  <c r="AJ665" i="1"/>
  <c r="AI665" i="1"/>
  <c r="U665" i="1"/>
  <c r="M665" i="1"/>
  <c r="I665" i="1"/>
  <c r="E665" i="1"/>
  <c r="D665" i="1"/>
  <c r="C665" i="1"/>
  <c r="B665" i="1"/>
  <c r="A665" i="1"/>
  <c r="AR664" i="1"/>
  <c r="AN664" i="1"/>
  <c r="AT664" i="1" s="1"/>
  <c r="AM664" i="1"/>
  <c r="AS664" i="1" s="1"/>
  <c r="AL664" i="1"/>
  <c r="AK664" i="1"/>
  <c r="AQ664" i="1" s="1"/>
  <c r="AJ664" i="1"/>
  <c r="AI664" i="1"/>
  <c r="AO664" i="1" s="1"/>
  <c r="U664" i="1"/>
  <c r="O664" i="1"/>
  <c r="M664" i="1"/>
  <c r="E664" i="1"/>
  <c r="D664" i="1"/>
  <c r="C664" i="1"/>
  <c r="B664" i="1"/>
  <c r="A664" i="1"/>
  <c r="AN663" i="1"/>
  <c r="AT663" i="1" s="1"/>
  <c r="AM663" i="1"/>
  <c r="AS663" i="1" s="1"/>
  <c r="AL663" i="1"/>
  <c r="AR663" i="1" s="1"/>
  <c r="AK663" i="1"/>
  <c r="AQ663" i="1" s="1"/>
  <c r="AJ663" i="1"/>
  <c r="AP663" i="1" s="1"/>
  <c r="AI663" i="1"/>
  <c r="U663" i="1"/>
  <c r="M663" i="1"/>
  <c r="I663" i="1"/>
  <c r="E663" i="1"/>
  <c r="D663" i="1"/>
  <c r="C663" i="1"/>
  <c r="B663" i="1"/>
  <c r="A663" i="1"/>
  <c r="U662" i="1"/>
  <c r="U661" i="1"/>
  <c r="O661" i="1"/>
  <c r="I661" i="1"/>
  <c r="U660" i="1"/>
  <c r="Q659" i="1"/>
  <c r="T657" i="1"/>
  <c r="X655" i="1"/>
  <c r="P655" i="1"/>
  <c r="P654" i="1"/>
  <c r="O654" i="1" s="1"/>
  <c r="Q654" i="1" s="1"/>
  <c r="M654" i="1"/>
  <c r="A654" i="1"/>
  <c r="AA653" i="1"/>
  <c r="AA652" i="1"/>
  <c r="M652" i="1"/>
  <c r="A652" i="1"/>
  <c r="X651" i="1"/>
  <c r="P651" i="1"/>
  <c r="X650" i="1"/>
  <c r="P650" i="1"/>
  <c r="M650" i="1"/>
  <c r="A650" i="1"/>
  <c r="AD649" i="1"/>
  <c r="AD648" i="1"/>
  <c r="M648" i="1"/>
  <c r="A648" i="1"/>
  <c r="H648" i="1" s="1"/>
  <c r="X647" i="1"/>
  <c r="P647" i="1"/>
  <c r="P646" i="1"/>
  <c r="O646" i="1"/>
  <c r="M646" i="1"/>
  <c r="H646" i="1"/>
  <c r="A646" i="1"/>
  <c r="L646" i="1"/>
  <c r="AA645" i="1"/>
  <c r="AA644" i="1"/>
  <c r="M644" i="1"/>
  <c r="A644" i="1"/>
  <c r="F644" i="1" s="1"/>
  <c r="B648" i="1" s="1"/>
  <c r="X643" i="1"/>
  <c r="P643" i="1"/>
  <c r="X642" i="1"/>
  <c r="P642" i="1"/>
  <c r="M642" i="1"/>
  <c r="A642" i="1"/>
  <c r="F642" i="1" s="1"/>
  <c r="B644" i="1" s="1"/>
  <c r="AD641" i="1"/>
  <c r="AD640" i="1"/>
  <c r="M640" i="1"/>
  <c r="A640" i="1"/>
  <c r="X639" i="1"/>
  <c r="P639" i="1"/>
  <c r="X638" i="1"/>
  <c r="P638" i="1"/>
  <c r="M638" i="1"/>
  <c r="A638" i="1"/>
  <c r="F638" i="1" s="1"/>
  <c r="D636" i="1" s="1"/>
  <c r="AA637" i="1"/>
  <c r="AA636" i="1"/>
  <c r="M636" i="1"/>
  <c r="A636" i="1"/>
  <c r="X635" i="1"/>
  <c r="P635" i="1"/>
  <c r="O635" i="1" s="1"/>
  <c r="P634" i="1"/>
  <c r="M634" i="1"/>
  <c r="A634" i="1"/>
  <c r="AD633" i="1"/>
  <c r="AD632" i="1"/>
  <c r="M632" i="1"/>
  <c r="A632" i="1"/>
  <c r="X631" i="1"/>
  <c r="P631" i="1"/>
  <c r="X630" i="1"/>
  <c r="P630" i="1"/>
  <c r="M630" i="1"/>
  <c r="A630" i="1"/>
  <c r="AA629" i="1"/>
  <c r="AA628" i="1"/>
  <c r="M628" i="1"/>
  <c r="H628" i="1"/>
  <c r="A628" i="1"/>
  <c r="F628" i="1"/>
  <c r="B632" i="1" s="1"/>
  <c r="X627" i="1"/>
  <c r="P627" i="1"/>
  <c r="O627" i="1"/>
  <c r="T627" i="1" s="1"/>
  <c r="V627" i="1" s="1"/>
  <c r="P626" i="1"/>
  <c r="O626" i="1"/>
  <c r="M626" i="1"/>
  <c r="A626" i="1"/>
  <c r="U621" i="1"/>
  <c r="U620" i="1"/>
  <c r="O620" i="1"/>
  <c r="U619" i="1"/>
  <c r="AT618" i="1"/>
  <c r="AN618" i="1"/>
  <c r="AM618" i="1"/>
  <c r="AS618" i="1" s="1"/>
  <c r="Y615" i="1" s="1"/>
  <c r="AL618" i="1"/>
  <c r="AR618" i="1"/>
  <c r="AK618" i="1"/>
  <c r="AQ618" i="1"/>
  <c r="AJ618" i="1"/>
  <c r="AP618" i="1" s="1"/>
  <c r="AI618" i="1"/>
  <c r="AW617" i="1" s="1"/>
  <c r="AZ616" i="1" s="1"/>
  <c r="U618" i="1"/>
  <c r="M618" i="1"/>
  <c r="I618" i="1"/>
  <c r="E618" i="1"/>
  <c r="D618" i="1"/>
  <c r="C618" i="1"/>
  <c r="B618" i="1"/>
  <c r="A618" i="1"/>
  <c r="AR617" i="1"/>
  <c r="AN617" i="1"/>
  <c r="AT617" i="1" s="1"/>
  <c r="AM617" i="1"/>
  <c r="AS617" i="1"/>
  <c r="Y621" i="1" s="1"/>
  <c r="AL617" i="1"/>
  <c r="AK617" i="1"/>
  <c r="AQ617" i="1" s="1"/>
  <c r="Y620" i="1" s="1"/>
  <c r="AJ617" i="1"/>
  <c r="AP617" i="1"/>
  <c r="AI617" i="1"/>
  <c r="U617" i="1"/>
  <c r="O617" i="1"/>
  <c r="M617" i="1"/>
  <c r="E617" i="1"/>
  <c r="D617" i="1"/>
  <c r="C617" i="1"/>
  <c r="B617" i="1"/>
  <c r="A617" i="1"/>
  <c r="AY616" i="1"/>
  <c r="AN616" i="1"/>
  <c r="AT616" i="1"/>
  <c r="AM616" i="1"/>
  <c r="AS616" i="1"/>
  <c r="AL616" i="1"/>
  <c r="AR616" i="1" s="1"/>
  <c r="BF616" i="1" s="1"/>
  <c r="AK616" i="1"/>
  <c r="AQ616" i="1" s="1"/>
  <c r="AJ616" i="1"/>
  <c r="AP616" i="1"/>
  <c r="AI616" i="1"/>
  <c r="U616" i="1"/>
  <c r="M616" i="1"/>
  <c r="I616" i="1"/>
  <c r="E616" i="1"/>
  <c r="D616" i="1"/>
  <c r="C616" i="1"/>
  <c r="B616" i="1"/>
  <c r="A616" i="1"/>
  <c r="U615" i="1"/>
  <c r="U614" i="1"/>
  <c r="O614" i="1"/>
  <c r="I614" i="1"/>
  <c r="U613" i="1"/>
  <c r="Q612" i="1"/>
  <c r="U610" i="1"/>
  <c r="U609" i="1"/>
  <c r="O609" i="1"/>
  <c r="U608" i="1"/>
  <c r="AP607" i="1"/>
  <c r="AN607" i="1"/>
  <c r="AT607" i="1" s="1"/>
  <c r="AM607" i="1"/>
  <c r="AS607" i="1" s="1"/>
  <c r="AL607" i="1"/>
  <c r="AK607" i="1"/>
  <c r="AQ607" i="1"/>
  <c r="AJ607" i="1"/>
  <c r="AI607" i="1"/>
  <c r="AO607" i="1" s="1"/>
  <c r="U607" i="1"/>
  <c r="M607" i="1"/>
  <c r="I607" i="1"/>
  <c r="E607" i="1"/>
  <c r="D607" i="1"/>
  <c r="C607" i="1"/>
  <c r="B607" i="1"/>
  <c r="A607" i="1"/>
  <c r="AR606" i="1"/>
  <c r="AN606" i="1"/>
  <c r="AT606" i="1" s="1"/>
  <c r="AM606" i="1"/>
  <c r="AS606" i="1"/>
  <c r="Z607" i="1" s="1"/>
  <c r="AL606" i="1"/>
  <c r="AK606" i="1"/>
  <c r="AQ606" i="1" s="1"/>
  <c r="Z606" i="1" s="1"/>
  <c r="AJ606" i="1"/>
  <c r="AP606" i="1"/>
  <c r="BF606" i="1" s="1"/>
  <c r="AI606" i="1"/>
  <c r="U606" i="1"/>
  <c r="O606" i="1"/>
  <c r="M606" i="1"/>
  <c r="E606" i="1"/>
  <c r="D606" i="1"/>
  <c r="C606" i="1"/>
  <c r="B606" i="1"/>
  <c r="A606" i="1"/>
  <c r="AN605" i="1"/>
  <c r="AT605" i="1"/>
  <c r="AM605" i="1"/>
  <c r="AS605" i="1"/>
  <c r="AL605" i="1"/>
  <c r="AR605" i="1" s="1"/>
  <c r="AK605" i="1"/>
  <c r="AQ605" i="1" s="1"/>
  <c r="AJ605" i="1"/>
  <c r="AP605" i="1"/>
  <c r="AI605" i="1"/>
  <c r="U605" i="1"/>
  <c r="M605" i="1"/>
  <c r="I605" i="1"/>
  <c r="E605" i="1"/>
  <c r="D605" i="1"/>
  <c r="C605" i="1"/>
  <c r="B605" i="1"/>
  <c r="A605" i="1"/>
  <c r="U604" i="1"/>
  <c r="U603" i="1"/>
  <c r="O603" i="1"/>
  <c r="I603" i="1"/>
  <c r="U602" i="1"/>
  <c r="Q601" i="1"/>
  <c r="U599" i="1"/>
  <c r="U598" i="1"/>
  <c r="O598" i="1"/>
  <c r="U597" i="1"/>
  <c r="AN596" i="1"/>
  <c r="AT596" i="1" s="1"/>
  <c r="AM596" i="1"/>
  <c r="AS596" i="1" s="1"/>
  <c r="AL596" i="1"/>
  <c r="AR596" i="1"/>
  <c r="AK596" i="1"/>
  <c r="AQ596" i="1" s="1"/>
  <c r="Y592" i="1" s="1"/>
  <c r="AJ596" i="1"/>
  <c r="AP596" i="1" s="1"/>
  <c r="AI596" i="1"/>
  <c r="AO596" i="1" s="1"/>
  <c r="U596" i="1"/>
  <c r="M596" i="1"/>
  <c r="I596" i="1"/>
  <c r="E596" i="1"/>
  <c r="D596" i="1"/>
  <c r="C596" i="1"/>
  <c r="B596" i="1"/>
  <c r="A596" i="1"/>
  <c r="AN595" i="1"/>
  <c r="AT595" i="1" s="1"/>
  <c r="AM595" i="1"/>
  <c r="AS595" i="1" s="1"/>
  <c r="AL595" i="1"/>
  <c r="AR595" i="1" s="1"/>
  <c r="AK595" i="1"/>
  <c r="AQ595" i="1" s="1"/>
  <c r="AJ595" i="1"/>
  <c r="AP595" i="1" s="1"/>
  <c r="BF595" i="1" s="1"/>
  <c r="AI595" i="1"/>
  <c r="U595" i="1"/>
  <c r="O595" i="1"/>
  <c r="M595" i="1"/>
  <c r="E595" i="1"/>
  <c r="D595" i="1"/>
  <c r="C595" i="1"/>
  <c r="B595" i="1"/>
  <c r="A595" i="1"/>
  <c r="AY594" i="1"/>
  <c r="AN594" i="1"/>
  <c r="AT594" i="1"/>
  <c r="AM594" i="1"/>
  <c r="AS594" i="1"/>
  <c r="AL594" i="1"/>
  <c r="AR594" i="1" s="1"/>
  <c r="AK594" i="1"/>
  <c r="AQ594" i="1" s="1"/>
  <c r="AJ594" i="1"/>
  <c r="AP594" i="1"/>
  <c r="AI594" i="1"/>
  <c r="U594" i="1"/>
  <c r="M594" i="1"/>
  <c r="I594" i="1"/>
  <c r="E594" i="1"/>
  <c r="D594" i="1"/>
  <c r="C594" i="1"/>
  <c r="B594" i="1"/>
  <c r="A594" i="1"/>
  <c r="U593" i="1"/>
  <c r="U592" i="1"/>
  <c r="O592" i="1"/>
  <c r="I592" i="1"/>
  <c r="U591" i="1"/>
  <c r="Q590" i="1"/>
  <c r="U588" i="1"/>
  <c r="U587" i="1"/>
  <c r="O587" i="1"/>
  <c r="U586" i="1"/>
  <c r="AO585" i="1"/>
  <c r="AN585" i="1"/>
  <c r="AT585" i="1" s="1"/>
  <c r="AM585" i="1"/>
  <c r="AS585" i="1" s="1"/>
  <c r="AL585" i="1"/>
  <c r="AR585" i="1"/>
  <c r="AK585" i="1"/>
  <c r="AJ585" i="1"/>
  <c r="AP585" i="1" s="1"/>
  <c r="AI585" i="1"/>
  <c r="U585" i="1"/>
  <c r="M585" i="1"/>
  <c r="I585" i="1"/>
  <c r="E585" i="1"/>
  <c r="D585" i="1"/>
  <c r="C585" i="1"/>
  <c r="B585" i="1"/>
  <c r="A585" i="1"/>
  <c r="AN584" i="1"/>
  <c r="AT584" i="1" s="1"/>
  <c r="AM584" i="1"/>
  <c r="AS584" i="1" s="1"/>
  <c r="AL584" i="1"/>
  <c r="AR584" i="1" s="1"/>
  <c r="AK584" i="1"/>
  <c r="AQ584" i="1" s="1"/>
  <c r="AJ584" i="1"/>
  <c r="AP584" i="1" s="1"/>
  <c r="AI584" i="1"/>
  <c r="U584" i="1"/>
  <c r="O584" i="1"/>
  <c r="M584" i="1"/>
  <c r="E584" i="1"/>
  <c r="D584" i="1"/>
  <c r="C584" i="1"/>
  <c r="B584" i="1"/>
  <c r="A584" i="1"/>
  <c r="AN583" i="1"/>
  <c r="AT583" i="1" s="1"/>
  <c r="AM583" i="1"/>
  <c r="AS583" i="1" s="1"/>
  <c r="AL583" i="1"/>
  <c r="AR583" i="1" s="1"/>
  <c r="AK583" i="1"/>
  <c r="AQ583" i="1" s="1"/>
  <c r="AJ583" i="1"/>
  <c r="AP583" i="1" s="1"/>
  <c r="AI583" i="1"/>
  <c r="U583" i="1"/>
  <c r="M583" i="1"/>
  <c r="I583" i="1"/>
  <c r="E583" i="1"/>
  <c r="D583" i="1"/>
  <c r="C583" i="1"/>
  <c r="B583" i="1"/>
  <c r="A583" i="1"/>
  <c r="U582" i="1"/>
  <c r="U581" i="1"/>
  <c r="O581" i="1"/>
  <c r="I581" i="1"/>
  <c r="U580" i="1"/>
  <c r="Q579" i="1"/>
  <c r="U577" i="1"/>
  <c r="U576" i="1"/>
  <c r="O576" i="1"/>
  <c r="U575" i="1"/>
  <c r="AT574" i="1"/>
  <c r="AN574" i="1"/>
  <c r="AM574" i="1"/>
  <c r="AS574" i="1" s="1"/>
  <c r="AL574" i="1"/>
  <c r="AR574" i="1"/>
  <c r="AK574" i="1"/>
  <c r="AQ574" i="1"/>
  <c r="AJ574" i="1"/>
  <c r="AP574" i="1" s="1"/>
  <c r="AI574" i="1"/>
  <c r="AO574" i="1" s="1"/>
  <c r="U574" i="1"/>
  <c r="M574" i="1"/>
  <c r="I574" i="1"/>
  <c r="E574" i="1"/>
  <c r="D574" i="1"/>
  <c r="C574" i="1"/>
  <c r="B574" i="1"/>
  <c r="A574" i="1"/>
  <c r="AW573" i="1"/>
  <c r="AN573" i="1"/>
  <c r="AT573" i="1" s="1"/>
  <c r="AM573" i="1"/>
  <c r="AS573" i="1" s="1"/>
  <c r="AL573" i="1"/>
  <c r="AR573" i="1" s="1"/>
  <c r="AK573" i="1"/>
  <c r="AQ573" i="1" s="1"/>
  <c r="AJ573" i="1"/>
  <c r="AP573" i="1" s="1"/>
  <c r="BF573" i="1" s="1"/>
  <c r="AI573" i="1"/>
  <c r="U573" i="1"/>
  <c r="O573" i="1"/>
  <c r="M573" i="1"/>
  <c r="E573" i="1"/>
  <c r="D573" i="1"/>
  <c r="C573" i="1"/>
  <c r="B573" i="1"/>
  <c r="A573" i="1"/>
  <c r="AY572" i="1"/>
  <c r="AN572" i="1"/>
  <c r="AT572" i="1"/>
  <c r="AM572" i="1"/>
  <c r="AS572" i="1"/>
  <c r="AL572" i="1"/>
  <c r="AR572" i="1" s="1"/>
  <c r="AK572" i="1"/>
  <c r="AQ572" i="1" s="1"/>
  <c r="AJ572" i="1"/>
  <c r="AP572" i="1"/>
  <c r="AI572" i="1"/>
  <c r="U572" i="1"/>
  <c r="M572" i="1"/>
  <c r="I572" i="1"/>
  <c r="E572" i="1"/>
  <c r="D572" i="1"/>
  <c r="C572" i="1"/>
  <c r="B572" i="1"/>
  <c r="A572" i="1"/>
  <c r="U571" i="1"/>
  <c r="U570" i="1"/>
  <c r="O570" i="1"/>
  <c r="I570" i="1"/>
  <c r="U569" i="1"/>
  <c r="Q568" i="1"/>
  <c r="U566" i="1"/>
  <c r="U565" i="1"/>
  <c r="O565" i="1"/>
  <c r="U564" i="1"/>
  <c r="AS563" i="1"/>
  <c r="AN563" i="1"/>
  <c r="AT563" i="1" s="1"/>
  <c r="Y560" i="1" s="1"/>
  <c r="AM563" i="1"/>
  <c r="AL563" i="1"/>
  <c r="AK563" i="1"/>
  <c r="AQ563" i="1"/>
  <c r="AJ563" i="1"/>
  <c r="AP563" i="1" s="1"/>
  <c r="AI563" i="1"/>
  <c r="AO563" i="1" s="1"/>
  <c r="U563" i="1"/>
  <c r="M563" i="1"/>
  <c r="I563" i="1"/>
  <c r="E563" i="1"/>
  <c r="D563" i="1"/>
  <c r="C563" i="1"/>
  <c r="B563" i="1"/>
  <c r="A563" i="1"/>
  <c r="AN562" i="1"/>
  <c r="AT562" i="1"/>
  <c r="AM562" i="1"/>
  <c r="AS562" i="1"/>
  <c r="Y566" i="1" s="1"/>
  <c r="AL562" i="1"/>
  <c r="AR562" i="1" s="1"/>
  <c r="AK562" i="1"/>
  <c r="AQ562" i="1" s="1"/>
  <c r="AJ562" i="1"/>
  <c r="AP562" i="1" s="1"/>
  <c r="AI562" i="1"/>
  <c r="U562" i="1"/>
  <c r="O562" i="1"/>
  <c r="M562" i="1"/>
  <c r="E562" i="1"/>
  <c r="D562" i="1"/>
  <c r="C562" i="1"/>
  <c r="B562" i="1"/>
  <c r="A562" i="1"/>
  <c r="AN561" i="1"/>
  <c r="AT561" i="1"/>
  <c r="AM561" i="1"/>
  <c r="AS561" i="1" s="1"/>
  <c r="AL561" i="1"/>
  <c r="AR561" i="1" s="1"/>
  <c r="AK561" i="1"/>
  <c r="AQ561" i="1" s="1"/>
  <c r="AJ561" i="1"/>
  <c r="AP561" i="1" s="1"/>
  <c r="AI561" i="1"/>
  <c r="U561" i="1"/>
  <c r="M561" i="1"/>
  <c r="I561" i="1"/>
  <c r="E561" i="1"/>
  <c r="D561" i="1"/>
  <c r="C561" i="1"/>
  <c r="B561" i="1"/>
  <c r="A561" i="1"/>
  <c r="U560" i="1"/>
  <c r="U559" i="1"/>
  <c r="O559" i="1"/>
  <c r="I559" i="1"/>
  <c r="U558" i="1"/>
  <c r="Q557" i="1"/>
  <c r="U555" i="1"/>
  <c r="U554" i="1"/>
  <c r="O554" i="1"/>
  <c r="U553" i="1"/>
  <c r="AR552" i="1"/>
  <c r="AN552" i="1"/>
  <c r="AT552" i="1" s="1"/>
  <c r="AM552" i="1"/>
  <c r="AS552" i="1" s="1"/>
  <c r="AL552" i="1"/>
  <c r="AK552" i="1"/>
  <c r="AQ552" i="1" s="1"/>
  <c r="X551" i="1" s="1"/>
  <c r="AJ552" i="1"/>
  <c r="AP552" i="1" s="1"/>
  <c r="AI552" i="1"/>
  <c r="AO552" i="1" s="1"/>
  <c r="U552" i="1"/>
  <c r="M552" i="1"/>
  <c r="I552" i="1"/>
  <c r="E552" i="1"/>
  <c r="D552" i="1"/>
  <c r="C552" i="1"/>
  <c r="B552" i="1"/>
  <c r="A552" i="1"/>
  <c r="AQ551" i="1"/>
  <c r="AN551" i="1"/>
  <c r="AT551" i="1" s="1"/>
  <c r="AM551" i="1"/>
  <c r="AS551" i="1" s="1"/>
  <c r="Z552" i="1" s="1"/>
  <c r="AL551" i="1"/>
  <c r="AR551" i="1"/>
  <c r="AK551" i="1"/>
  <c r="AJ551" i="1"/>
  <c r="AP551" i="1" s="1"/>
  <c r="BF551" i="1" s="1"/>
  <c r="AI551" i="1"/>
  <c r="BA551" i="1" s="1"/>
  <c r="AZ552" i="1" s="1"/>
  <c r="Z551" i="1"/>
  <c r="U551" i="1"/>
  <c r="O551" i="1"/>
  <c r="M551" i="1"/>
  <c r="E551" i="1"/>
  <c r="D551" i="1"/>
  <c r="C551" i="1"/>
  <c r="B551" i="1"/>
  <c r="A551" i="1"/>
  <c r="AQ550" i="1"/>
  <c r="X554" i="1" s="1"/>
  <c r="AN550" i="1"/>
  <c r="AT550" i="1" s="1"/>
  <c r="Z549" i="1" s="1"/>
  <c r="AM550" i="1"/>
  <c r="AS550" i="1"/>
  <c r="AL550" i="1"/>
  <c r="AR550" i="1"/>
  <c r="AK550" i="1"/>
  <c r="AJ550" i="1"/>
  <c r="AP550" i="1" s="1"/>
  <c r="BE552" i="1" s="1"/>
  <c r="AI550" i="1"/>
  <c r="U550" i="1"/>
  <c r="M550" i="1"/>
  <c r="I550" i="1"/>
  <c r="E550" i="1"/>
  <c r="D550" i="1"/>
  <c r="C550" i="1"/>
  <c r="B550" i="1"/>
  <c r="A550" i="1"/>
  <c r="U549" i="1"/>
  <c r="U548" i="1"/>
  <c r="O548" i="1"/>
  <c r="I548" i="1"/>
  <c r="U547" i="1"/>
  <c r="Q546" i="1"/>
  <c r="U544" i="1"/>
  <c r="U543" i="1"/>
  <c r="O543" i="1"/>
  <c r="U542" i="1"/>
  <c r="AN541" i="1"/>
  <c r="AT541" i="1"/>
  <c r="AM541" i="1"/>
  <c r="AS541" i="1" s="1"/>
  <c r="X541" i="1" s="1"/>
  <c r="AL541" i="1"/>
  <c r="AR541" i="1" s="1"/>
  <c r="AK541" i="1"/>
  <c r="AQ541" i="1" s="1"/>
  <c r="Y537" i="1" s="1"/>
  <c r="AJ541" i="1"/>
  <c r="AP541" i="1" s="1"/>
  <c r="AI541" i="1"/>
  <c r="AO541" i="1" s="1"/>
  <c r="Y536" i="1" s="1"/>
  <c r="U541" i="1"/>
  <c r="M541" i="1"/>
  <c r="I541" i="1"/>
  <c r="E541" i="1"/>
  <c r="D541" i="1"/>
  <c r="C541" i="1"/>
  <c r="B541" i="1"/>
  <c r="A541" i="1"/>
  <c r="AN540" i="1"/>
  <c r="AT540" i="1" s="1"/>
  <c r="AM540" i="1"/>
  <c r="AS540" i="1"/>
  <c r="Z541" i="1" s="1"/>
  <c r="AL540" i="1"/>
  <c r="AR540" i="1" s="1"/>
  <c r="AK540" i="1"/>
  <c r="AQ540" i="1" s="1"/>
  <c r="AJ540" i="1"/>
  <c r="AP540" i="1" s="1"/>
  <c r="BF540" i="1" s="1"/>
  <c r="AI540" i="1"/>
  <c r="U540" i="1"/>
  <c r="O540" i="1"/>
  <c r="M540" i="1"/>
  <c r="E540" i="1"/>
  <c r="D540" i="1"/>
  <c r="C540" i="1"/>
  <c r="B540" i="1"/>
  <c r="A540" i="1"/>
  <c r="AT539" i="1"/>
  <c r="AP539" i="1"/>
  <c r="AN539" i="1"/>
  <c r="AM539" i="1"/>
  <c r="AS539" i="1" s="1"/>
  <c r="AL539" i="1"/>
  <c r="AK539" i="1"/>
  <c r="AQ539" i="1" s="1"/>
  <c r="AJ539" i="1"/>
  <c r="AI539" i="1"/>
  <c r="AO539" i="1" s="1"/>
  <c r="U539" i="1"/>
  <c r="M539" i="1"/>
  <c r="I539" i="1"/>
  <c r="E539" i="1"/>
  <c r="D539" i="1"/>
  <c r="C539" i="1"/>
  <c r="B539" i="1"/>
  <c r="A539" i="1"/>
  <c r="U538" i="1"/>
  <c r="U537" i="1"/>
  <c r="O537" i="1"/>
  <c r="I537" i="1"/>
  <c r="U536" i="1"/>
  <c r="Q535" i="1"/>
  <c r="U533" i="1"/>
  <c r="U532" i="1"/>
  <c r="O532" i="1"/>
  <c r="U531" i="1"/>
  <c r="AO530" i="1"/>
  <c r="AN530" i="1"/>
  <c r="AT530" i="1"/>
  <c r="AM530" i="1"/>
  <c r="AS530" i="1" s="1"/>
  <c r="AL530" i="1"/>
  <c r="AR530" i="1" s="1"/>
  <c r="AK530" i="1"/>
  <c r="AQ530" i="1"/>
  <c r="AJ530" i="1"/>
  <c r="AP530" i="1"/>
  <c r="AI530" i="1"/>
  <c r="AW529" i="1"/>
  <c r="U530" i="1"/>
  <c r="M530" i="1"/>
  <c r="I530" i="1"/>
  <c r="E530" i="1"/>
  <c r="D530" i="1"/>
  <c r="C530" i="1"/>
  <c r="B530" i="1"/>
  <c r="A530" i="1"/>
  <c r="AP529" i="1"/>
  <c r="AN529" i="1"/>
  <c r="AT529" i="1" s="1"/>
  <c r="AM529" i="1"/>
  <c r="AS529" i="1"/>
  <c r="Z530" i="1" s="1"/>
  <c r="AL529" i="1"/>
  <c r="AR529" i="1" s="1"/>
  <c r="AK529" i="1"/>
  <c r="AQ529" i="1" s="1"/>
  <c r="Z529" i="1" s="1"/>
  <c r="AJ529" i="1"/>
  <c r="AI529" i="1"/>
  <c r="BA529" i="1" s="1"/>
  <c r="U529" i="1"/>
  <c r="O529" i="1"/>
  <c r="M529" i="1"/>
  <c r="E529" i="1"/>
  <c r="D529" i="1"/>
  <c r="C529" i="1"/>
  <c r="B529" i="1"/>
  <c r="A529" i="1"/>
  <c r="AT528" i="1"/>
  <c r="AP528" i="1"/>
  <c r="AN528" i="1"/>
  <c r="AM528" i="1"/>
  <c r="AS528" i="1" s="1"/>
  <c r="X533" i="1" s="1"/>
  <c r="AL528" i="1"/>
  <c r="AR528" i="1" s="1"/>
  <c r="AK528" i="1"/>
  <c r="AQ528" i="1" s="1"/>
  <c r="AJ528" i="1"/>
  <c r="AI528" i="1"/>
  <c r="U528" i="1"/>
  <c r="M528" i="1"/>
  <c r="I528" i="1"/>
  <c r="E528" i="1"/>
  <c r="D528" i="1"/>
  <c r="C528" i="1"/>
  <c r="B528" i="1"/>
  <c r="A528" i="1"/>
  <c r="U527" i="1"/>
  <c r="U526" i="1"/>
  <c r="O526" i="1"/>
  <c r="I526" i="1"/>
  <c r="Y525" i="1"/>
  <c r="U525" i="1"/>
  <c r="Q524" i="1"/>
  <c r="U522" i="1"/>
  <c r="U521" i="1"/>
  <c r="O521" i="1"/>
  <c r="U520" i="1"/>
  <c r="AN519" i="1"/>
  <c r="AT519" i="1"/>
  <c r="AM519" i="1"/>
  <c r="AS519" i="1" s="1"/>
  <c r="AL519" i="1"/>
  <c r="AR519" i="1" s="1"/>
  <c r="AK519" i="1"/>
  <c r="AQ519" i="1" s="1"/>
  <c r="Y515" i="1" s="1"/>
  <c r="AJ519" i="1"/>
  <c r="AP519" i="1" s="1"/>
  <c r="AI519" i="1"/>
  <c r="AO519" i="1" s="1"/>
  <c r="Y514" i="1" s="1"/>
  <c r="U519" i="1"/>
  <c r="M519" i="1"/>
  <c r="I519" i="1"/>
  <c r="E519" i="1"/>
  <c r="D519" i="1"/>
  <c r="C519" i="1"/>
  <c r="B519" i="1"/>
  <c r="A519" i="1"/>
  <c r="AN518" i="1"/>
  <c r="AT518" i="1" s="1"/>
  <c r="Y522" i="1" s="1"/>
  <c r="AM518" i="1"/>
  <c r="AS518" i="1"/>
  <c r="Z519" i="1" s="1"/>
  <c r="AL518" i="1"/>
  <c r="AR518" i="1" s="1"/>
  <c r="AK518" i="1"/>
  <c r="AQ518" i="1" s="1"/>
  <c r="AJ518" i="1"/>
  <c r="AP518" i="1" s="1"/>
  <c r="BF518" i="1" s="1"/>
  <c r="AI518" i="1"/>
  <c r="U518" i="1"/>
  <c r="O518" i="1"/>
  <c r="M518" i="1"/>
  <c r="E518" i="1"/>
  <c r="D518" i="1"/>
  <c r="C518" i="1"/>
  <c r="B518" i="1"/>
  <c r="A518" i="1"/>
  <c r="AT517" i="1"/>
  <c r="AP517" i="1"/>
  <c r="AN517" i="1"/>
  <c r="AM517" i="1"/>
  <c r="AS517" i="1" s="1"/>
  <c r="AL517" i="1"/>
  <c r="AK517" i="1"/>
  <c r="AQ517" i="1" s="1"/>
  <c r="AJ517" i="1"/>
  <c r="AI517" i="1"/>
  <c r="AO517" i="1" s="1"/>
  <c r="U517" i="1"/>
  <c r="M517" i="1"/>
  <c r="I517" i="1"/>
  <c r="E517" i="1"/>
  <c r="D517" i="1"/>
  <c r="C517" i="1"/>
  <c r="B517" i="1"/>
  <c r="A517" i="1"/>
  <c r="U516" i="1"/>
  <c r="U515" i="1"/>
  <c r="O515" i="1"/>
  <c r="I515" i="1"/>
  <c r="U514" i="1"/>
  <c r="Q513" i="1"/>
  <c r="U511" i="1"/>
  <c r="U510" i="1"/>
  <c r="O510" i="1"/>
  <c r="U509" i="1"/>
  <c r="AR508" i="1"/>
  <c r="AN508" i="1"/>
  <c r="AT508" i="1" s="1"/>
  <c r="AM508" i="1"/>
  <c r="AS508" i="1" s="1"/>
  <c r="AL508" i="1"/>
  <c r="AK508" i="1"/>
  <c r="AQ508" i="1" s="1"/>
  <c r="X507" i="1" s="1"/>
  <c r="AJ508" i="1"/>
  <c r="AY506" i="1" s="1"/>
  <c r="AX507" i="1" s="1"/>
  <c r="AI508" i="1"/>
  <c r="AO508" i="1" s="1"/>
  <c r="U508" i="1"/>
  <c r="M508" i="1"/>
  <c r="I508" i="1"/>
  <c r="E508" i="1"/>
  <c r="D508" i="1"/>
  <c r="C508" i="1"/>
  <c r="B508" i="1"/>
  <c r="A508" i="1"/>
  <c r="AQ507" i="1"/>
  <c r="AN507" i="1"/>
  <c r="AT507" i="1" s="1"/>
  <c r="AM507" i="1"/>
  <c r="AS507" i="1" s="1"/>
  <c r="AL507" i="1"/>
  <c r="AR507" i="1"/>
  <c r="AK507" i="1"/>
  <c r="AJ507" i="1"/>
  <c r="AP507" i="1" s="1"/>
  <c r="AI507" i="1"/>
  <c r="BA507" i="1" s="1"/>
  <c r="AZ508" i="1" s="1"/>
  <c r="Z507" i="1"/>
  <c r="U507" i="1"/>
  <c r="O507" i="1"/>
  <c r="M507" i="1"/>
  <c r="E507" i="1"/>
  <c r="D507" i="1"/>
  <c r="C507" i="1"/>
  <c r="B507" i="1"/>
  <c r="A507" i="1"/>
  <c r="AR506" i="1"/>
  <c r="AN506" i="1"/>
  <c r="AT506" i="1" s="1"/>
  <c r="AM506" i="1"/>
  <c r="AS506" i="1"/>
  <c r="AL506" i="1"/>
  <c r="AK506" i="1"/>
  <c r="AQ506" i="1" s="1"/>
  <c r="AJ506" i="1"/>
  <c r="AP506" i="1"/>
  <c r="AI506" i="1"/>
  <c r="U506" i="1"/>
  <c r="M506" i="1"/>
  <c r="I506" i="1"/>
  <c r="E506" i="1"/>
  <c r="D506" i="1"/>
  <c r="C506" i="1"/>
  <c r="B506" i="1"/>
  <c r="A506" i="1"/>
  <c r="U505" i="1"/>
  <c r="U504" i="1"/>
  <c r="O504" i="1"/>
  <c r="I504" i="1"/>
  <c r="U503" i="1"/>
  <c r="Q502" i="1"/>
  <c r="U500" i="1"/>
  <c r="U499" i="1"/>
  <c r="O499" i="1"/>
  <c r="U498" i="1"/>
  <c r="AT497" i="1"/>
  <c r="AN497" i="1"/>
  <c r="AM497" i="1"/>
  <c r="AS497" i="1" s="1"/>
  <c r="AL497" i="1"/>
  <c r="AK497" i="1"/>
  <c r="AQ497" i="1" s="1"/>
  <c r="X496" i="1" s="1"/>
  <c r="AJ497" i="1"/>
  <c r="AP497" i="1" s="1"/>
  <c r="AI497" i="1"/>
  <c r="AO497" i="1" s="1"/>
  <c r="U497" i="1"/>
  <c r="M497" i="1"/>
  <c r="I497" i="1"/>
  <c r="E497" i="1"/>
  <c r="D497" i="1"/>
  <c r="C497" i="1"/>
  <c r="B497" i="1"/>
  <c r="A497" i="1"/>
  <c r="AN496" i="1"/>
  <c r="AT496" i="1"/>
  <c r="AM496" i="1"/>
  <c r="AS496" i="1"/>
  <c r="Y500" i="1" s="1"/>
  <c r="AL496" i="1"/>
  <c r="AR496" i="1" s="1"/>
  <c r="AK496" i="1"/>
  <c r="AQ496" i="1" s="1"/>
  <c r="AJ496" i="1"/>
  <c r="AP496" i="1" s="1"/>
  <c r="AI496" i="1"/>
  <c r="U496" i="1"/>
  <c r="O496" i="1"/>
  <c r="M496" i="1"/>
  <c r="E496" i="1"/>
  <c r="D496" i="1"/>
  <c r="C496" i="1"/>
  <c r="B496" i="1"/>
  <c r="A496" i="1"/>
  <c r="AN495" i="1"/>
  <c r="AT495" i="1"/>
  <c r="AM495" i="1"/>
  <c r="AS495" i="1"/>
  <c r="AL495" i="1"/>
  <c r="AR495" i="1" s="1"/>
  <c r="BF495" i="1" s="1"/>
  <c r="AK495" i="1"/>
  <c r="AQ495" i="1" s="1"/>
  <c r="AJ495" i="1"/>
  <c r="AP495" i="1"/>
  <c r="AI495" i="1"/>
  <c r="AW497" i="1" s="1"/>
  <c r="AO495" i="1"/>
  <c r="BE495" i="1" s="1"/>
  <c r="U495" i="1"/>
  <c r="M495" i="1"/>
  <c r="I495" i="1"/>
  <c r="E495" i="1"/>
  <c r="D495" i="1"/>
  <c r="C495" i="1"/>
  <c r="B495" i="1"/>
  <c r="A495" i="1"/>
  <c r="U494" i="1"/>
  <c r="U493" i="1"/>
  <c r="O493" i="1"/>
  <c r="I493" i="1"/>
  <c r="U492" i="1"/>
  <c r="Q491" i="1"/>
  <c r="T489" i="1"/>
  <c r="X487" i="1"/>
  <c r="P487" i="1"/>
  <c r="P486" i="1"/>
  <c r="O486" i="1" s="1"/>
  <c r="M486" i="1"/>
  <c r="A486" i="1"/>
  <c r="AA485" i="1"/>
  <c r="AA484" i="1"/>
  <c r="M484" i="1"/>
  <c r="A484" i="1"/>
  <c r="H484" i="1" s="1"/>
  <c r="X483" i="1"/>
  <c r="P483" i="1"/>
  <c r="P482" i="1"/>
  <c r="O482" i="1"/>
  <c r="M482" i="1"/>
  <c r="L482" i="1"/>
  <c r="A482" i="1"/>
  <c r="H482" i="1"/>
  <c r="AD481" i="1"/>
  <c r="AD480" i="1"/>
  <c r="M480" i="1"/>
  <c r="H480" i="1"/>
  <c r="A480" i="1"/>
  <c r="X479" i="1"/>
  <c r="P479" i="1"/>
  <c r="P478" i="1"/>
  <c r="O478" i="1"/>
  <c r="Q478" i="1" s="1"/>
  <c r="M478" i="1"/>
  <c r="A478" i="1"/>
  <c r="L478" i="1" s="1"/>
  <c r="AA477" i="1"/>
  <c r="AA476" i="1"/>
  <c r="M476" i="1"/>
  <c r="A476" i="1"/>
  <c r="F476" i="1" s="1"/>
  <c r="B480" i="1" s="1"/>
  <c r="X475" i="1"/>
  <c r="P475" i="1"/>
  <c r="X474" i="1"/>
  <c r="P474" i="1"/>
  <c r="M474" i="1"/>
  <c r="A474" i="1"/>
  <c r="F474" i="1" s="1"/>
  <c r="B476" i="1" s="1"/>
  <c r="H474" i="1"/>
  <c r="AD473" i="1"/>
  <c r="AD472" i="1"/>
  <c r="M472" i="1"/>
  <c r="H472" i="1"/>
  <c r="A472" i="1"/>
  <c r="X471" i="1"/>
  <c r="P471" i="1"/>
  <c r="O471" i="1" s="1"/>
  <c r="P470" i="1"/>
  <c r="M470" i="1"/>
  <c r="A470" i="1"/>
  <c r="H470" i="1" s="1"/>
  <c r="AA469" i="1"/>
  <c r="AA468" i="1"/>
  <c r="M468" i="1"/>
  <c r="A468" i="1"/>
  <c r="X467" i="1"/>
  <c r="P467" i="1"/>
  <c r="O467" i="1"/>
  <c r="P466" i="1"/>
  <c r="M466" i="1"/>
  <c r="A466" i="1"/>
  <c r="L466" i="1" s="1"/>
  <c r="AD465" i="1"/>
  <c r="AD464" i="1"/>
  <c r="M464" i="1"/>
  <c r="A464" i="1"/>
  <c r="H464" i="1" s="1"/>
  <c r="X463" i="1"/>
  <c r="P463" i="1"/>
  <c r="O463" i="1"/>
  <c r="T463" i="1" s="1"/>
  <c r="P462" i="1"/>
  <c r="M462" i="1"/>
  <c r="A462" i="1"/>
  <c r="L462" i="1" s="1"/>
  <c r="H462" i="1"/>
  <c r="AA461" i="1"/>
  <c r="AA460" i="1"/>
  <c r="M460" i="1"/>
  <c r="A460" i="1"/>
  <c r="F460" i="1" s="1"/>
  <c r="B464" i="1" s="1"/>
  <c r="X459" i="1"/>
  <c r="P459" i="1"/>
  <c r="O459" i="1" s="1"/>
  <c r="P458" i="1"/>
  <c r="O458" i="1" s="1"/>
  <c r="Q458" i="1" s="1"/>
  <c r="M458" i="1"/>
  <c r="A458" i="1"/>
  <c r="L458" i="1" s="1"/>
  <c r="U453" i="1"/>
  <c r="U452" i="1"/>
  <c r="O452" i="1"/>
  <c r="U451" i="1"/>
  <c r="AR450" i="1"/>
  <c r="AN450" i="1"/>
  <c r="AT450" i="1" s="1"/>
  <c r="AM450" i="1"/>
  <c r="AS450" i="1" s="1"/>
  <c r="Y447" i="1" s="1"/>
  <c r="AL450" i="1"/>
  <c r="AK450" i="1"/>
  <c r="AQ450" i="1" s="1"/>
  <c r="Y446" i="1" s="1"/>
  <c r="AJ450" i="1"/>
  <c r="AP450" i="1" s="1"/>
  <c r="AI450" i="1"/>
  <c r="AO450" i="1" s="1"/>
  <c r="U450" i="1"/>
  <c r="M450" i="1"/>
  <c r="I450" i="1"/>
  <c r="E450" i="1"/>
  <c r="D450" i="1"/>
  <c r="C450" i="1"/>
  <c r="B450" i="1"/>
  <c r="A450" i="1"/>
  <c r="AT449" i="1"/>
  <c r="AN449" i="1"/>
  <c r="AM449" i="1"/>
  <c r="AS449" i="1" s="1"/>
  <c r="AL449" i="1"/>
  <c r="AR449" i="1"/>
  <c r="AK449" i="1"/>
  <c r="AQ449" i="1" s="1"/>
  <c r="AJ449" i="1"/>
  <c r="BA449" i="1" s="1"/>
  <c r="AZ450" i="1" s="1"/>
  <c r="AI449" i="1"/>
  <c r="U449" i="1"/>
  <c r="O449" i="1"/>
  <c r="M449" i="1"/>
  <c r="E449" i="1"/>
  <c r="D449" i="1"/>
  <c r="C449" i="1"/>
  <c r="B449" i="1"/>
  <c r="A449" i="1"/>
  <c r="AQ448" i="1"/>
  <c r="X452" i="1" s="1"/>
  <c r="AN448" i="1"/>
  <c r="AT448" i="1" s="1"/>
  <c r="Z447" i="1" s="1"/>
  <c r="AM448" i="1"/>
  <c r="AS448" i="1"/>
  <c r="AL448" i="1"/>
  <c r="AR448" i="1"/>
  <c r="AK448" i="1"/>
  <c r="AJ448" i="1"/>
  <c r="AP448" i="1" s="1"/>
  <c r="AI448" i="1"/>
  <c r="U448" i="1"/>
  <c r="M448" i="1"/>
  <c r="I448" i="1"/>
  <c r="E448" i="1"/>
  <c r="D448" i="1"/>
  <c r="C448" i="1"/>
  <c r="B448" i="1"/>
  <c r="A448" i="1"/>
  <c r="U447" i="1"/>
  <c r="U446" i="1"/>
  <c r="O446" i="1"/>
  <c r="I446" i="1"/>
  <c r="U445" i="1"/>
  <c r="Q444" i="1"/>
  <c r="U442" i="1"/>
  <c r="U441" i="1"/>
  <c r="O441" i="1"/>
  <c r="U440" i="1"/>
  <c r="AN439" i="1"/>
  <c r="AT439" i="1"/>
  <c r="AM439" i="1"/>
  <c r="AS439" i="1" s="1"/>
  <c r="AL439" i="1"/>
  <c r="AR439" i="1" s="1"/>
  <c r="AK439" i="1"/>
  <c r="AQ439" i="1" s="1"/>
  <c r="X438" i="1" s="1"/>
  <c r="AJ439" i="1"/>
  <c r="AP439" i="1" s="1"/>
  <c r="AI439" i="1"/>
  <c r="AO439" i="1" s="1"/>
  <c r="U439" i="1"/>
  <c r="M439" i="1"/>
  <c r="I439" i="1"/>
  <c r="E439" i="1"/>
  <c r="D439" i="1"/>
  <c r="C439" i="1"/>
  <c r="B439" i="1"/>
  <c r="A439" i="1"/>
  <c r="AN438" i="1"/>
  <c r="AT438" i="1" s="1"/>
  <c r="Y442" i="1" s="1"/>
  <c r="AM438" i="1"/>
  <c r="AS438" i="1"/>
  <c r="Z439" i="1" s="1"/>
  <c r="AL438" i="1"/>
  <c r="AR438" i="1" s="1"/>
  <c r="AK438" i="1"/>
  <c r="AQ438" i="1" s="1"/>
  <c r="AJ438" i="1"/>
  <c r="AP438" i="1" s="1"/>
  <c r="BF438" i="1" s="1"/>
  <c r="AI438" i="1"/>
  <c r="U438" i="1"/>
  <c r="O438" i="1"/>
  <c r="M438" i="1"/>
  <c r="E438" i="1"/>
  <c r="D438" i="1"/>
  <c r="C438" i="1"/>
  <c r="B438" i="1"/>
  <c r="A438" i="1"/>
  <c r="AN437" i="1"/>
  <c r="AT437" i="1" s="1"/>
  <c r="AM437" i="1"/>
  <c r="AS437" i="1"/>
  <c r="Z436" i="1" s="1"/>
  <c r="AL437" i="1"/>
  <c r="AR437" i="1" s="1"/>
  <c r="AK437" i="1"/>
  <c r="AQ437" i="1" s="1"/>
  <c r="AJ437" i="1"/>
  <c r="AP437" i="1" s="1"/>
  <c r="AI437" i="1"/>
  <c r="AW439" i="1" s="1"/>
  <c r="U437" i="1"/>
  <c r="M437" i="1"/>
  <c r="I437" i="1"/>
  <c r="E437" i="1"/>
  <c r="D437" i="1"/>
  <c r="C437" i="1"/>
  <c r="B437" i="1"/>
  <c r="A437" i="1"/>
  <c r="U436" i="1"/>
  <c r="U435" i="1"/>
  <c r="O435" i="1"/>
  <c r="I435" i="1"/>
  <c r="U434" i="1"/>
  <c r="Q433" i="1"/>
  <c r="U431" i="1"/>
  <c r="U430" i="1"/>
  <c r="O430" i="1"/>
  <c r="U429" i="1"/>
  <c r="AR428" i="1"/>
  <c r="AN428" i="1"/>
  <c r="AT428" i="1" s="1"/>
  <c r="AM428" i="1"/>
  <c r="AS428" i="1" s="1"/>
  <c r="AL428" i="1"/>
  <c r="AK428" i="1"/>
  <c r="AQ428" i="1" s="1"/>
  <c r="Y424" i="1" s="1"/>
  <c r="AJ428" i="1"/>
  <c r="AI428" i="1"/>
  <c r="AO428" i="1" s="1"/>
  <c r="U428" i="1"/>
  <c r="M428" i="1"/>
  <c r="I428" i="1"/>
  <c r="E428" i="1"/>
  <c r="D428" i="1"/>
  <c r="C428" i="1"/>
  <c r="B428" i="1"/>
  <c r="A428" i="1"/>
  <c r="AT427" i="1"/>
  <c r="AN427" i="1"/>
  <c r="AM427" i="1"/>
  <c r="AS427" i="1" s="1"/>
  <c r="AL427" i="1"/>
  <c r="AR427" i="1"/>
  <c r="AK427" i="1"/>
  <c r="AQ427" i="1" s="1"/>
  <c r="Z427" i="1" s="1"/>
  <c r="AJ427" i="1"/>
  <c r="BA427" i="1" s="1"/>
  <c r="AZ428" i="1" s="1"/>
  <c r="AI427" i="1"/>
  <c r="U427" i="1"/>
  <c r="O427" i="1"/>
  <c r="M427" i="1"/>
  <c r="E427" i="1"/>
  <c r="D427" i="1"/>
  <c r="C427" i="1"/>
  <c r="B427" i="1"/>
  <c r="A427" i="1"/>
  <c r="AQ426" i="1"/>
  <c r="X430" i="1" s="1"/>
  <c r="AN426" i="1"/>
  <c r="AT426" i="1" s="1"/>
  <c r="X431" i="1" s="1"/>
  <c r="AM426" i="1"/>
  <c r="AS426" i="1"/>
  <c r="AL426" i="1"/>
  <c r="AR426" i="1"/>
  <c r="AK426" i="1"/>
  <c r="AJ426" i="1"/>
  <c r="AP426" i="1" s="1"/>
  <c r="AI426" i="1"/>
  <c r="U426" i="1"/>
  <c r="M426" i="1"/>
  <c r="I426" i="1"/>
  <c r="E426" i="1"/>
  <c r="D426" i="1"/>
  <c r="C426" i="1"/>
  <c r="B426" i="1"/>
  <c r="A426" i="1"/>
  <c r="U425" i="1"/>
  <c r="U424" i="1"/>
  <c r="O424" i="1"/>
  <c r="I424" i="1"/>
  <c r="U423" i="1"/>
  <c r="Q422" i="1"/>
  <c r="U420" i="1"/>
  <c r="U419" i="1"/>
  <c r="O419" i="1"/>
  <c r="U418" i="1"/>
  <c r="AN417" i="1"/>
  <c r="AT417" i="1" s="1"/>
  <c r="AM417" i="1"/>
  <c r="AS417" i="1" s="1"/>
  <c r="AL417" i="1"/>
  <c r="AR417" i="1" s="1"/>
  <c r="AK417" i="1"/>
  <c r="AQ417" i="1"/>
  <c r="AJ417" i="1"/>
  <c r="AI417" i="1"/>
  <c r="AO417" i="1" s="1"/>
  <c r="U417" i="1"/>
  <c r="M417" i="1"/>
  <c r="I417" i="1"/>
  <c r="E417" i="1"/>
  <c r="D417" i="1"/>
  <c r="C417" i="1"/>
  <c r="B417" i="1"/>
  <c r="A417" i="1"/>
  <c r="AN416" i="1"/>
  <c r="AT416" i="1" s="1"/>
  <c r="Y420" i="1" s="1"/>
  <c r="AM416" i="1"/>
  <c r="AS416" i="1"/>
  <c r="Z417" i="1" s="1"/>
  <c r="AL416" i="1"/>
  <c r="AR416" i="1" s="1"/>
  <c r="AK416" i="1"/>
  <c r="AQ416" i="1" s="1"/>
  <c r="Z416" i="1" s="1"/>
  <c r="AJ416" i="1"/>
  <c r="AP416" i="1" s="1"/>
  <c r="AI416" i="1"/>
  <c r="U416" i="1"/>
  <c r="O416" i="1"/>
  <c r="M416" i="1"/>
  <c r="E416" i="1"/>
  <c r="D416" i="1"/>
  <c r="C416" i="1"/>
  <c r="B416" i="1"/>
  <c r="A416" i="1"/>
  <c r="AN415" i="1"/>
  <c r="AT415" i="1" s="1"/>
  <c r="AM415" i="1"/>
  <c r="AS415" i="1"/>
  <c r="X420" i="1" s="1"/>
  <c r="AL415" i="1"/>
  <c r="AR415" i="1" s="1"/>
  <c r="AK415" i="1"/>
  <c r="AQ415" i="1" s="1"/>
  <c r="AJ415" i="1"/>
  <c r="AP415" i="1" s="1"/>
  <c r="BE417" i="1" s="1"/>
  <c r="AI415" i="1"/>
  <c r="BA415" i="1" s="1"/>
  <c r="AX417" i="1" s="1"/>
  <c r="BH417" i="1" s="1"/>
  <c r="U415" i="1"/>
  <c r="M415" i="1"/>
  <c r="I415" i="1"/>
  <c r="E415" i="1"/>
  <c r="D415" i="1"/>
  <c r="C415" i="1"/>
  <c r="B415" i="1"/>
  <c r="A415" i="1"/>
  <c r="U414" i="1"/>
  <c r="U413" i="1"/>
  <c r="O413" i="1"/>
  <c r="I413" i="1"/>
  <c r="U412" i="1"/>
  <c r="Q411" i="1"/>
  <c r="U409" i="1"/>
  <c r="U408" i="1"/>
  <c r="O408" i="1"/>
  <c r="U407" i="1"/>
  <c r="AR406" i="1"/>
  <c r="AN406" i="1"/>
  <c r="AT406" i="1" s="1"/>
  <c r="AM406" i="1"/>
  <c r="AS406" i="1" s="1"/>
  <c r="AL406" i="1"/>
  <c r="AK406" i="1"/>
  <c r="AQ406" i="1" s="1"/>
  <c r="Y402" i="1" s="1"/>
  <c r="AJ406" i="1"/>
  <c r="AI406" i="1"/>
  <c r="AO406" i="1" s="1"/>
  <c r="U406" i="1"/>
  <c r="M406" i="1"/>
  <c r="I406" i="1"/>
  <c r="E406" i="1"/>
  <c r="D406" i="1"/>
  <c r="C406" i="1"/>
  <c r="B406" i="1"/>
  <c r="A406" i="1"/>
  <c r="AT405" i="1"/>
  <c r="AN405" i="1"/>
  <c r="AM405" i="1"/>
  <c r="AS405" i="1" s="1"/>
  <c r="Z406" i="1" s="1"/>
  <c r="AL405" i="1"/>
  <c r="AR405" i="1"/>
  <c r="AK405" i="1"/>
  <c r="AQ405" i="1" s="1"/>
  <c r="Z405" i="1" s="1"/>
  <c r="AJ405" i="1"/>
  <c r="BA405" i="1" s="1"/>
  <c r="AZ406" i="1" s="1"/>
  <c r="AI405" i="1"/>
  <c r="U405" i="1"/>
  <c r="O405" i="1"/>
  <c r="M405" i="1"/>
  <c r="E405" i="1"/>
  <c r="D405" i="1"/>
  <c r="C405" i="1"/>
  <c r="B405" i="1"/>
  <c r="A405" i="1"/>
  <c r="AQ404" i="1"/>
  <c r="X408" i="1" s="1"/>
  <c r="AN404" i="1"/>
  <c r="AT404" i="1" s="1"/>
  <c r="X409" i="1" s="1"/>
  <c r="AM404" i="1"/>
  <c r="AS404" i="1"/>
  <c r="AL404" i="1"/>
  <c r="AR404" i="1"/>
  <c r="AK404" i="1"/>
  <c r="AJ404" i="1"/>
  <c r="AP404" i="1" s="1"/>
  <c r="AI404" i="1"/>
  <c r="U404" i="1"/>
  <c r="M404" i="1"/>
  <c r="I404" i="1"/>
  <c r="E404" i="1"/>
  <c r="D404" i="1"/>
  <c r="C404" i="1"/>
  <c r="B404" i="1"/>
  <c r="A404" i="1"/>
  <c r="U403" i="1"/>
  <c r="U402" i="1"/>
  <c r="O402" i="1"/>
  <c r="I402" i="1"/>
  <c r="U401" i="1"/>
  <c r="Q400" i="1"/>
  <c r="U398" i="1"/>
  <c r="U397" i="1"/>
  <c r="O397" i="1"/>
  <c r="U396" i="1"/>
  <c r="AN395" i="1"/>
  <c r="AT395" i="1" s="1"/>
  <c r="AM395" i="1"/>
  <c r="AS395" i="1" s="1"/>
  <c r="AL395" i="1"/>
  <c r="AR395" i="1" s="1"/>
  <c r="AK395" i="1"/>
  <c r="AQ395" i="1"/>
  <c r="AJ395" i="1"/>
  <c r="AI395" i="1"/>
  <c r="AO395" i="1" s="1"/>
  <c r="AU395" i="1" s="1"/>
  <c r="U395" i="1"/>
  <c r="M395" i="1"/>
  <c r="I395" i="1"/>
  <c r="E395" i="1"/>
  <c r="D395" i="1"/>
  <c r="C395" i="1"/>
  <c r="B395" i="1"/>
  <c r="A395" i="1"/>
  <c r="AN394" i="1"/>
  <c r="AT394" i="1" s="1"/>
  <c r="Y398" i="1" s="1"/>
  <c r="AM394" i="1"/>
  <c r="AS394" i="1"/>
  <c r="Z395" i="1" s="1"/>
  <c r="AL394" i="1"/>
  <c r="AR394" i="1" s="1"/>
  <c r="AK394" i="1"/>
  <c r="AQ394" i="1" s="1"/>
  <c r="AJ394" i="1"/>
  <c r="AP394" i="1" s="1"/>
  <c r="BF394" i="1" s="1"/>
  <c r="AI394" i="1"/>
  <c r="U394" i="1"/>
  <c r="O394" i="1"/>
  <c r="M394" i="1"/>
  <c r="E394" i="1"/>
  <c r="D394" i="1"/>
  <c r="C394" i="1"/>
  <c r="B394" i="1"/>
  <c r="A394" i="1"/>
  <c r="AN393" i="1"/>
  <c r="AT393" i="1" s="1"/>
  <c r="AM393" i="1"/>
  <c r="AS393" i="1"/>
  <c r="X398" i="1" s="1"/>
  <c r="AL393" i="1"/>
  <c r="AR393" i="1" s="1"/>
  <c r="AK393" i="1"/>
  <c r="AQ393" i="1" s="1"/>
  <c r="AJ393" i="1"/>
  <c r="AP393" i="1" s="1"/>
  <c r="AI393" i="1"/>
  <c r="BA393" i="1" s="1"/>
  <c r="AX395" i="1" s="1"/>
  <c r="U393" i="1"/>
  <c r="M393" i="1"/>
  <c r="I393" i="1"/>
  <c r="E393" i="1"/>
  <c r="D393" i="1"/>
  <c r="C393" i="1"/>
  <c r="B393" i="1"/>
  <c r="A393" i="1"/>
  <c r="U392" i="1"/>
  <c r="U391" i="1"/>
  <c r="O391" i="1"/>
  <c r="I391" i="1"/>
  <c r="U390" i="1"/>
  <c r="Q389" i="1"/>
  <c r="U387" i="1"/>
  <c r="U386" i="1"/>
  <c r="O386" i="1"/>
  <c r="U385" i="1"/>
  <c r="AR384" i="1"/>
  <c r="AN384" i="1"/>
  <c r="AT384" i="1" s="1"/>
  <c r="AM384" i="1"/>
  <c r="AS384" i="1" s="1"/>
  <c r="AL384" i="1"/>
  <c r="AK384" i="1"/>
  <c r="AQ384" i="1" s="1"/>
  <c r="X383" i="1" s="1"/>
  <c r="AJ384" i="1"/>
  <c r="AI384" i="1"/>
  <c r="AO384" i="1" s="1"/>
  <c r="U384" i="1"/>
  <c r="M384" i="1"/>
  <c r="I384" i="1"/>
  <c r="E384" i="1"/>
  <c r="D384" i="1"/>
  <c r="C384" i="1"/>
  <c r="B384" i="1"/>
  <c r="A384" i="1"/>
  <c r="AT383" i="1"/>
  <c r="AN383" i="1"/>
  <c r="AM383" i="1"/>
  <c r="AS383" i="1" s="1"/>
  <c r="AL383" i="1"/>
  <c r="AR383" i="1"/>
  <c r="AK383" i="1"/>
  <c r="AQ383" i="1" s="1"/>
  <c r="AJ383" i="1"/>
  <c r="BA383" i="1" s="1"/>
  <c r="AZ384" i="1" s="1"/>
  <c r="AI383" i="1"/>
  <c r="U383" i="1"/>
  <c r="O383" i="1"/>
  <c r="M383" i="1"/>
  <c r="E383" i="1"/>
  <c r="D383" i="1"/>
  <c r="C383" i="1"/>
  <c r="B383" i="1"/>
  <c r="A383" i="1"/>
  <c r="AQ382" i="1"/>
  <c r="X386" i="1" s="1"/>
  <c r="AN382" i="1"/>
  <c r="AT382" i="1" s="1"/>
  <c r="Z381" i="1" s="1"/>
  <c r="AM382" i="1"/>
  <c r="AS382" i="1"/>
  <c r="AL382" i="1"/>
  <c r="AR382" i="1"/>
  <c r="AK382" i="1"/>
  <c r="AJ382" i="1"/>
  <c r="AP382" i="1" s="1"/>
  <c r="AI382" i="1"/>
  <c r="U382" i="1"/>
  <c r="M382" i="1"/>
  <c r="I382" i="1"/>
  <c r="E382" i="1"/>
  <c r="D382" i="1"/>
  <c r="C382" i="1"/>
  <c r="B382" i="1"/>
  <c r="A382" i="1"/>
  <c r="U381" i="1"/>
  <c r="U380" i="1"/>
  <c r="O380" i="1"/>
  <c r="I380" i="1"/>
  <c r="U379" i="1"/>
  <c r="Q378" i="1"/>
  <c r="U376" i="1"/>
  <c r="U375" i="1"/>
  <c r="O375" i="1"/>
  <c r="U374" i="1"/>
  <c r="AN373" i="1"/>
  <c r="AT373" i="1" s="1"/>
  <c r="AM373" i="1"/>
  <c r="AS373" i="1" s="1"/>
  <c r="AL373" i="1"/>
  <c r="AR373" i="1" s="1"/>
  <c r="Y369" i="1" s="1"/>
  <c r="AK373" i="1"/>
  <c r="AQ373" i="1"/>
  <c r="AJ373" i="1"/>
  <c r="AI373" i="1"/>
  <c r="AO373" i="1" s="1"/>
  <c r="U373" i="1"/>
  <c r="M373" i="1"/>
  <c r="I373" i="1"/>
  <c r="E373" i="1"/>
  <c r="D373" i="1"/>
  <c r="C373" i="1"/>
  <c r="B373" i="1"/>
  <c r="A373" i="1"/>
  <c r="AN372" i="1"/>
  <c r="AT372" i="1" s="1"/>
  <c r="Y376" i="1" s="1"/>
  <c r="AM372" i="1"/>
  <c r="AS372" i="1"/>
  <c r="Z373" i="1" s="1"/>
  <c r="AL372" i="1"/>
  <c r="AR372" i="1" s="1"/>
  <c r="AK372" i="1"/>
  <c r="AQ372" i="1" s="1"/>
  <c r="Z372" i="1" s="1"/>
  <c r="AJ372" i="1"/>
  <c r="AP372" i="1" s="1"/>
  <c r="AI372" i="1"/>
  <c r="U372" i="1"/>
  <c r="O372" i="1"/>
  <c r="M372" i="1"/>
  <c r="E372" i="1"/>
  <c r="D372" i="1"/>
  <c r="C372" i="1"/>
  <c r="B372" i="1"/>
  <c r="A372" i="1"/>
  <c r="AN371" i="1"/>
  <c r="AT371" i="1" s="1"/>
  <c r="AM371" i="1"/>
  <c r="AS371" i="1"/>
  <c r="X376" i="1" s="1"/>
  <c r="AL371" i="1"/>
  <c r="AR371" i="1" s="1"/>
  <c r="AK371" i="1"/>
  <c r="AQ371" i="1" s="1"/>
  <c r="AJ371" i="1"/>
  <c r="AP371" i="1" s="1"/>
  <c r="BE373" i="1" s="1"/>
  <c r="AI371" i="1"/>
  <c r="BA371" i="1" s="1"/>
  <c r="AX373" i="1" s="1"/>
  <c r="U371" i="1"/>
  <c r="M371" i="1"/>
  <c r="I371" i="1"/>
  <c r="E371" i="1"/>
  <c r="D371" i="1"/>
  <c r="C371" i="1"/>
  <c r="B371" i="1"/>
  <c r="A371" i="1"/>
  <c r="U370" i="1"/>
  <c r="U369" i="1"/>
  <c r="O369" i="1"/>
  <c r="I369" i="1"/>
  <c r="U368" i="1"/>
  <c r="Q367" i="1"/>
  <c r="U365" i="1"/>
  <c r="U364" i="1"/>
  <c r="O364" i="1"/>
  <c r="U363" i="1"/>
  <c r="AR362" i="1"/>
  <c r="AN362" i="1"/>
  <c r="AT362" i="1" s="1"/>
  <c r="AM362" i="1"/>
  <c r="AS362" i="1" s="1"/>
  <c r="AL362" i="1"/>
  <c r="AK362" i="1"/>
  <c r="AQ362" i="1" s="1"/>
  <c r="X361" i="1" s="1"/>
  <c r="AJ362" i="1"/>
  <c r="AI362" i="1"/>
  <c r="AO362" i="1" s="1"/>
  <c r="U362" i="1"/>
  <c r="M362" i="1"/>
  <c r="I362" i="1"/>
  <c r="E362" i="1"/>
  <c r="D362" i="1"/>
  <c r="C362" i="1"/>
  <c r="B362" i="1"/>
  <c r="A362" i="1"/>
  <c r="AT361" i="1"/>
  <c r="AN361" i="1"/>
  <c r="AM361" i="1"/>
  <c r="AS361" i="1" s="1"/>
  <c r="Z362" i="1" s="1"/>
  <c r="AL361" i="1"/>
  <c r="AR361" i="1"/>
  <c r="AK361" i="1"/>
  <c r="AQ361" i="1" s="1"/>
  <c r="Z361" i="1" s="1"/>
  <c r="AJ361" i="1"/>
  <c r="BA361" i="1" s="1"/>
  <c r="AZ362" i="1" s="1"/>
  <c r="AI361" i="1"/>
  <c r="U361" i="1"/>
  <c r="O361" i="1"/>
  <c r="M361" i="1"/>
  <c r="E361" i="1"/>
  <c r="D361" i="1"/>
  <c r="C361" i="1"/>
  <c r="B361" i="1"/>
  <c r="A361" i="1"/>
  <c r="AN360" i="1"/>
  <c r="AT360" i="1" s="1"/>
  <c r="AM360" i="1"/>
  <c r="AS360" i="1" s="1"/>
  <c r="AL360" i="1"/>
  <c r="AR360" i="1" s="1"/>
  <c r="AK360" i="1"/>
  <c r="AQ360" i="1" s="1"/>
  <c r="AJ360" i="1"/>
  <c r="AP360" i="1" s="1"/>
  <c r="AI360" i="1"/>
  <c r="U360" i="1"/>
  <c r="M360" i="1"/>
  <c r="I360" i="1"/>
  <c r="E360" i="1"/>
  <c r="D360" i="1"/>
  <c r="C360" i="1"/>
  <c r="B360" i="1"/>
  <c r="A360" i="1"/>
  <c r="U359" i="1"/>
  <c r="U358" i="1"/>
  <c r="O358" i="1"/>
  <c r="I358" i="1"/>
  <c r="U357" i="1"/>
  <c r="Q356" i="1"/>
  <c r="T354" i="1"/>
  <c r="X351" i="1"/>
  <c r="P351" i="1"/>
  <c r="M350" i="1"/>
  <c r="A350" i="1"/>
  <c r="AA349" i="1"/>
  <c r="P349" i="1"/>
  <c r="O349" i="1" s="1"/>
  <c r="AA348" i="1"/>
  <c r="M348" i="1"/>
  <c r="A348" i="1"/>
  <c r="F348" i="1" s="1"/>
  <c r="D344" i="1" s="1"/>
  <c r="AA347" i="1"/>
  <c r="X347" i="1"/>
  <c r="P347" i="1"/>
  <c r="X346" i="1"/>
  <c r="M346" i="1"/>
  <c r="F346" i="1"/>
  <c r="B348" i="1" s="1"/>
  <c r="A346" i="1"/>
  <c r="G346" i="1"/>
  <c r="C348" i="1" s="1"/>
  <c r="AD345" i="1"/>
  <c r="X345" i="1"/>
  <c r="P345" i="1"/>
  <c r="AD344" i="1"/>
  <c r="M344" i="1"/>
  <c r="A344" i="1"/>
  <c r="F344" i="1" s="1"/>
  <c r="G344" i="1"/>
  <c r="AD343" i="1"/>
  <c r="X343" i="1"/>
  <c r="P343" i="1"/>
  <c r="X342" i="1"/>
  <c r="M342" i="1"/>
  <c r="A342" i="1"/>
  <c r="G342" i="1" s="1"/>
  <c r="E340" i="1" s="1"/>
  <c r="AA341" i="1"/>
  <c r="X341" i="1"/>
  <c r="P341" i="1"/>
  <c r="AA340" i="1"/>
  <c r="M340" i="1"/>
  <c r="A340" i="1"/>
  <c r="F340" i="1" s="1"/>
  <c r="B344" i="1" s="1"/>
  <c r="AA339" i="1"/>
  <c r="X339" i="1"/>
  <c r="P339" i="1"/>
  <c r="O339" i="1" s="1"/>
  <c r="M338" i="1"/>
  <c r="A338" i="1"/>
  <c r="P337" i="1"/>
  <c r="O337" i="1" s="1"/>
  <c r="U332" i="1"/>
  <c r="U331" i="1"/>
  <c r="O331" i="1"/>
  <c r="U330" i="1"/>
  <c r="AS329" i="1"/>
  <c r="Y323" i="1" s="1"/>
  <c r="AO329" i="1"/>
  <c r="AN329" i="1"/>
  <c r="AT329" i="1"/>
  <c r="AM329" i="1"/>
  <c r="AL329" i="1"/>
  <c r="AR329" i="1" s="1"/>
  <c r="X325" i="1" s="1"/>
  <c r="AK329" i="1"/>
  <c r="AQ329" i="1"/>
  <c r="Y322" i="1" s="1"/>
  <c r="AJ329" i="1"/>
  <c r="AI329" i="1"/>
  <c r="U329" i="1"/>
  <c r="M329" i="1"/>
  <c r="E329" i="1"/>
  <c r="D329" i="1"/>
  <c r="C329" i="1"/>
  <c r="B329" i="1"/>
  <c r="A329" i="1"/>
  <c r="AP328" i="1"/>
  <c r="AN328" i="1"/>
  <c r="AT328" i="1" s="1"/>
  <c r="AM328" i="1"/>
  <c r="AS328" i="1" s="1"/>
  <c r="AL328" i="1"/>
  <c r="AR328" i="1" s="1"/>
  <c r="AK328" i="1"/>
  <c r="AQ328" i="1" s="1"/>
  <c r="AJ328" i="1"/>
  <c r="AI328" i="1"/>
  <c r="AO328" i="1" s="1"/>
  <c r="U328" i="1"/>
  <c r="O328" i="1"/>
  <c r="M328" i="1"/>
  <c r="I328" i="1"/>
  <c r="E328" i="1"/>
  <c r="D328" i="1"/>
  <c r="C328" i="1"/>
  <c r="B328" i="1"/>
  <c r="A328" i="1"/>
  <c r="AQ327" i="1"/>
  <c r="AN327" i="1"/>
  <c r="AT327" i="1" s="1"/>
  <c r="Y329" i="1" s="1"/>
  <c r="AM327" i="1"/>
  <c r="AS327" i="1" s="1"/>
  <c r="AL327" i="1"/>
  <c r="AR327" i="1" s="1"/>
  <c r="AK327" i="1"/>
  <c r="AJ327" i="1"/>
  <c r="AP327" i="1" s="1"/>
  <c r="AI327" i="1"/>
  <c r="BA325" i="1" s="1"/>
  <c r="AZ326" i="1" s="1"/>
  <c r="U327" i="1"/>
  <c r="M327" i="1"/>
  <c r="E327" i="1"/>
  <c r="D327" i="1"/>
  <c r="C327" i="1"/>
  <c r="B327" i="1"/>
  <c r="A327" i="1"/>
  <c r="AT326" i="1"/>
  <c r="AP326" i="1"/>
  <c r="AN326" i="1"/>
  <c r="AM326" i="1"/>
  <c r="AS326" i="1" s="1"/>
  <c r="AL326" i="1"/>
  <c r="AR326" i="1" s="1"/>
  <c r="AK326" i="1"/>
  <c r="AQ326" i="1" s="1"/>
  <c r="AJ326" i="1"/>
  <c r="AI326" i="1"/>
  <c r="U326" i="1"/>
  <c r="M326" i="1"/>
  <c r="I326" i="1"/>
  <c r="E326" i="1"/>
  <c r="D326" i="1"/>
  <c r="C326" i="1"/>
  <c r="B326" i="1"/>
  <c r="A326" i="1"/>
  <c r="AQ325" i="1"/>
  <c r="AN325" i="1"/>
  <c r="AT325" i="1"/>
  <c r="AM325" i="1"/>
  <c r="AS325" i="1" s="1"/>
  <c r="Y332" i="1" s="1"/>
  <c r="AL325" i="1"/>
  <c r="AR325" i="1" s="1"/>
  <c r="AK325" i="1"/>
  <c r="AJ325" i="1"/>
  <c r="AI325" i="1"/>
  <c r="BC325" i="1" s="1"/>
  <c r="AZ327" i="1" s="1"/>
  <c r="U325" i="1"/>
  <c r="O325" i="1"/>
  <c r="M325" i="1"/>
  <c r="E325" i="1"/>
  <c r="D325" i="1"/>
  <c r="C325" i="1"/>
  <c r="B325" i="1"/>
  <c r="A325" i="1"/>
  <c r="AN324" i="1"/>
  <c r="AT324" i="1" s="1"/>
  <c r="X329" i="1" s="1"/>
  <c r="AM324" i="1"/>
  <c r="AS324" i="1"/>
  <c r="Z323" i="1" s="1"/>
  <c r="AL324" i="1"/>
  <c r="AR324" i="1" s="1"/>
  <c r="AK324" i="1"/>
  <c r="AQ324" i="1" s="1"/>
  <c r="AJ324" i="1"/>
  <c r="AP324" i="1" s="1"/>
  <c r="AI324" i="1"/>
  <c r="AO324" i="1" s="1"/>
  <c r="U324" i="1"/>
  <c r="M324" i="1"/>
  <c r="I324" i="1"/>
  <c r="E324" i="1"/>
  <c r="D324" i="1"/>
  <c r="C324" i="1"/>
  <c r="B324" i="1"/>
  <c r="A324" i="1"/>
  <c r="U323" i="1"/>
  <c r="U322" i="1"/>
  <c r="O322" i="1"/>
  <c r="I322" i="1"/>
  <c r="U321" i="1"/>
  <c r="Q320" i="1"/>
  <c r="U318" i="1"/>
  <c r="U317" i="1"/>
  <c r="O317" i="1"/>
  <c r="U316" i="1"/>
  <c r="AN315" i="1"/>
  <c r="AT315" i="1" s="1"/>
  <c r="AM315" i="1"/>
  <c r="AS315" i="1" s="1"/>
  <c r="AL315" i="1"/>
  <c r="AR315" i="1" s="1"/>
  <c r="AK315" i="1"/>
  <c r="AQ315" i="1" s="1"/>
  <c r="AJ315" i="1"/>
  <c r="AP315" i="1" s="1"/>
  <c r="AI315" i="1"/>
  <c r="U315" i="1"/>
  <c r="M315" i="1"/>
  <c r="I315" i="1"/>
  <c r="E315" i="1"/>
  <c r="D315" i="1"/>
  <c r="C315" i="1"/>
  <c r="B315" i="1"/>
  <c r="A315" i="1"/>
  <c r="AN314" i="1"/>
  <c r="AT314" i="1" s="1"/>
  <c r="AM314" i="1"/>
  <c r="AS314" i="1" s="1"/>
  <c r="AL314" i="1"/>
  <c r="AR314" i="1"/>
  <c r="AK314" i="1"/>
  <c r="AQ314" i="1"/>
  <c r="AJ314" i="1"/>
  <c r="AP314" i="1" s="1"/>
  <c r="AI314" i="1"/>
  <c r="AO314" i="1" s="1"/>
  <c r="U314" i="1"/>
  <c r="O314" i="1"/>
  <c r="M314" i="1"/>
  <c r="E314" i="1"/>
  <c r="D314" i="1"/>
  <c r="C314" i="1"/>
  <c r="B314" i="1"/>
  <c r="A314" i="1"/>
  <c r="AT313" i="1"/>
  <c r="AN313" i="1"/>
  <c r="AM313" i="1"/>
  <c r="AS313" i="1" s="1"/>
  <c r="AL313" i="1"/>
  <c r="AR313" i="1"/>
  <c r="AK313" i="1"/>
  <c r="AQ313" i="1"/>
  <c r="AJ313" i="1"/>
  <c r="AP313" i="1" s="1"/>
  <c r="AI313" i="1"/>
  <c r="AO313" i="1" s="1"/>
  <c r="U313" i="1"/>
  <c r="M313" i="1"/>
  <c r="I313" i="1"/>
  <c r="E313" i="1"/>
  <c r="D313" i="1"/>
  <c r="C313" i="1"/>
  <c r="B313" i="1"/>
  <c r="A313" i="1"/>
  <c r="U312" i="1"/>
  <c r="U311" i="1"/>
  <c r="O311" i="1"/>
  <c r="I311" i="1"/>
  <c r="U310" i="1"/>
  <c r="Q309" i="1"/>
  <c r="U307" i="1"/>
  <c r="U306" i="1"/>
  <c r="O306" i="1"/>
  <c r="U305" i="1"/>
  <c r="AR304" i="1"/>
  <c r="AN304" i="1"/>
  <c r="AT304" i="1" s="1"/>
  <c r="AM304" i="1"/>
  <c r="AS304" i="1" s="1"/>
  <c r="AL304" i="1"/>
  <c r="AK304" i="1"/>
  <c r="AQ304" i="1" s="1"/>
  <c r="AJ304" i="1"/>
  <c r="AP304" i="1" s="1"/>
  <c r="AI304" i="1"/>
  <c r="AO304" i="1" s="1"/>
  <c r="U304" i="1"/>
  <c r="M304" i="1"/>
  <c r="I304" i="1"/>
  <c r="E304" i="1"/>
  <c r="D304" i="1"/>
  <c r="C304" i="1"/>
  <c r="B304" i="1"/>
  <c r="A304" i="1"/>
  <c r="AP303" i="1"/>
  <c r="BF303" i="1" s="1"/>
  <c r="AN303" i="1"/>
  <c r="AT303" i="1" s="1"/>
  <c r="AM303" i="1"/>
  <c r="AS303" i="1" s="1"/>
  <c r="AL303" i="1"/>
  <c r="AR303" i="1"/>
  <c r="AK303" i="1"/>
  <c r="AQ303" i="1"/>
  <c r="Z303" i="1" s="1"/>
  <c r="AJ303" i="1"/>
  <c r="AI303" i="1"/>
  <c r="AO303" i="1" s="1"/>
  <c r="U303" i="1"/>
  <c r="O303" i="1"/>
  <c r="M303" i="1"/>
  <c r="E303" i="1"/>
  <c r="D303" i="1"/>
  <c r="C303" i="1"/>
  <c r="B303" i="1"/>
  <c r="A303" i="1"/>
  <c r="AO302" i="1"/>
  <c r="AN302" i="1"/>
  <c r="AT302" i="1" s="1"/>
  <c r="AM302" i="1"/>
  <c r="AS302" i="1" s="1"/>
  <c r="AL302" i="1"/>
  <c r="AR302" i="1" s="1"/>
  <c r="AK302" i="1"/>
  <c r="AQ302" i="1" s="1"/>
  <c r="AJ302" i="1"/>
  <c r="AP302" i="1" s="1"/>
  <c r="AI302" i="1"/>
  <c r="BA302" i="1"/>
  <c r="AX304" i="1" s="1"/>
  <c r="U302" i="1"/>
  <c r="M302" i="1"/>
  <c r="I302" i="1"/>
  <c r="E302" i="1"/>
  <c r="D302" i="1"/>
  <c r="C302" i="1"/>
  <c r="B302" i="1"/>
  <c r="A302" i="1"/>
  <c r="U301" i="1"/>
  <c r="U300" i="1"/>
  <c r="O300" i="1"/>
  <c r="I300" i="1"/>
  <c r="U299" i="1"/>
  <c r="Q298" i="1"/>
  <c r="U296" i="1"/>
  <c r="U295" i="1"/>
  <c r="O295" i="1"/>
  <c r="U294" i="1"/>
  <c r="AN293" i="1"/>
  <c r="AT293" i="1"/>
  <c r="AM293" i="1"/>
  <c r="AS293" i="1"/>
  <c r="Y290" i="1" s="1"/>
  <c r="AL293" i="1"/>
  <c r="AR293" i="1" s="1"/>
  <c r="AK293" i="1"/>
  <c r="AQ293" i="1"/>
  <c r="AJ293" i="1"/>
  <c r="AP293" i="1"/>
  <c r="AI293" i="1"/>
  <c r="AO293" i="1" s="1"/>
  <c r="U293" i="1"/>
  <c r="M293" i="1"/>
  <c r="I293" i="1"/>
  <c r="E293" i="1"/>
  <c r="D293" i="1"/>
  <c r="C293" i="1"/>
  <c r="B293" i="1"/>
  <c r="A293" i="1"/>
  <c r="AT292" i="1"/>
  <c r="AN292" i="1"/>
  <c r="AM292" i="1"/>
  <c r="AS292" i="1" s="1"/>
  <c r="AL292" i="1"/>
  <c r="AR292" i="1" s="1"/>
  <c r="AK292" i="1"/>
  <c r="AQ292" i="1" s="1"/>
  <c r="AJ292" i="1"/>
  <c r="AP292" i="1" s="1"/>
  <c r="BF292" i="1" s="1"/>
  <c r="AI292" i="1"/>
  <c r="U292" i="1"/>
  <c r="O292" i="1"/>
  <c r="M292" i="1"/>
  <c r="E292" i="1"/>
  <c r="D292" i="1"/>
  <c r="C292" i="1"/>
  <c r="B292" i="1"/>
  <c r="A292" i="1"/>
  <c r="AN291" i="1"/>
  <c r="AT291" i="1" s="1"/>
  <c r="AM291" i="1"/>
  <c r="AS291" i="1" s="1"/>
  <c r="AL291" i="1"/>
  <c r="AR291" i="1"/>
  <c r="AK291" i="1"/>
  <c r="AQ291" i="1" s="1"/>
  <c r="AJ291" i="1"/>
  <c r="AP291" i="1" s="1"/>
  <c r="AI291" i="1"/>
  <c r="AW293" i="1" s="1"/>
  <c r="BB291" i="1" s="1"/>
  <c r="U291" i="1"/>
  <c r="M291" i="1"/>
  <c r="I291" i="1"/>
  <c r="E291" i="1"/>
  <c r="D291" i="1"/>
  <c r="C291" i="1"/>
  <c r="B291" i="1"/>
  <c r="A291" i="1"/>
  <c r="U290" i="1"/>
  <c r="U289" i="1"/>
  <c r="O289" i="1"/>
  <c r="I289" i="1"/>
  <c r="U288" i="1"/>
  <c r="Q287" i="1"/>
  <c r="U285" i="1"/>
  <c r="U284" i="1"/>
  <c r="O284" i="1"/>
  <c r="U283" i="1"/>
  <c r="AR282" i="1"/>
  <c r="AN282" i="1"/>
  <c r="AT282" i="1" s="1"/>
  <c r="AM282" i="1"/>
  <c r="AS282" i="1" s="1"/>
  <c r="AL282" i="1"/>
  <c r="AK282" i="1"/>
  <c r="AQ282" i="1" s="1"/>
  <c r="X281" i="1" s="1"/>
  <c r="AJ282" i="1"/>
  <c r="AP282" i="1"/>
  <c r="AI282" i="1"/>
  <c r="U282" i="1"/>
  <c r="M282" i="1"/>
  <c r="I282" i="1"/>
  <c r="E282" i="1"/>
  <c r="D282" i="1"/>
  <c r="C282" i="1"/>
  <c r="B282" i="1"/>
  <c r="A282" i="1"/>
  <c r="AQ281" i="1"/>
  <c r="AN281" i="1"/>
  <c r="AT281" i="1" s="1"/>
  <c r="AM281" i="1"/>
  <c r="AS281" i="1"/>
  <c r="AL281" i="1"/>
  <c r="AR281" i="1"/>
  <c r="AK281" i="1"/>
  <c r="AJ281" i="1"/>
  <c r="AP281" i="1" s="1"/>
  <c r="BF281" i="1" s="1"/>
  <c r="AI281" i="1"/>
  <c r="BA281" i="1" s="1"/>
  <c r="AZ282" i="1" s="1"/>
  <c r="U281" i="1"/>
  <c r="O281" i="1"/>
  <c r="M281" i="1"/>
  <c r="E281" i="1"/>
  <c r="D281" i="1"/>
  <c r="C281" i="1"/>
  <c r="B281" i="1"/>
  <c r="A281" i="1"/>
  <c r="AN280" i="1"/>
  <c r="AT280" i="1" s="1"/>
  <c r="AM280" i="1"/>
  <c r="AS280" i="1"/>
  <c r="AL280" i="1"/>
  <c r="AR280" i="1"/>
  <c r="AK280" i="1"/>
  <c r="AQ280" i="1" s="1"/>
  <c r="AJ280" i="1"/>
  <c r="BA280" i="1" s="1"/>
  <c r="AX282" i="1" s="1"/>
  <c r="AI280" i="1"/>
  <c r="AO280" i="1"/>
  <c r="U280" i="1"/>
  <c r="M280" i="1"/>
  <c r="I280" i="1"/>
  <c r="E280" i="1"/>
  <c r="D280" i="1"/>
  <c r="C280" i="1"/>
  <c r="B280" i="1"/>
  <c r="A280" i="1"/>
  <c r="U279" i="1"/>
  <c r="U278" i="1"/>
  <c r="O278" i="1"/>
  <c r="I278" i="1"/>
  <c r="U277" i="1"/>
  <c r="Q276" i="1"/>
  <c r="U274" i="1"/>
  <c r="U273" i="1"/>
  <c r="O273" i="1"/>
  <c r="U272" i="1"/>
  <c r="AN271" i="1"/>
  <c r="AT271" i="1" s="1"/>
  <c r="Y265" i="1" s="1"/>
  <c r="AM271" i="1"/>
  <c r="AS271" i="1"/>
  <c r="X268" i="1" s="1"/>
  <c r="AL271" i="1"/>
  <c r="AR271" i="1" s="1"/>
  <c r="AK271" i="1"/>
  <c r="AQ271" i="1" s="1"/>
  <c r="AJ271" i="1"/>
  <c r="AP271" i="1" s="1"/>
  <c r="AI271" i="1"/>
  <c r="U271" i="1"/>
  <c r="M271" i="1"/>
  <c r="E271" i="1"/>
  <c r="D271" i="1"/>
  <c r="C271" i="1"/>
  <c r="B271" i="1"/>
  <c r="A271" i="1"/>
  <c r="AO270" i="1"/>
  <c r="AN270" i="1"/>
  <c r="AT270" i="1" s="1"/>
  <c r="AM270" i="1"/>
  <c r="AS270" i="1" s="1"/>
  <c r="AL270" i="1"/>
  <c r="AR270" i="1"/>
  <c r="AK270" i="1"/>
  <c r="AJ270" i="1"/>
  <c r="AP270" i="1" s="1"/>
  <c r="AI270" i="1"/>
  <c r="U270" i="1"/>
  <c r="O270" i="1"/>
  <c r="M270" i="1"/>
  <c r="I270" i="1"/>
  <c r="E270" i="1"/>
  <c r="D270" i="1"/>
  <c r="C270" i="1"/>
  <c r="B270" i="1"/>
  <c r="A270" i="1"/>
  <c r="AN269" i="1"/>
  <c r="AT269" i="1"/>
  <c r="AM269" i="1"/>
  <c r="AS269" i="1" s="1"/>
  <c r="AL269" i="1"/>
  <c r="AR269" i="1" s="1"/>
  <c r="AK269" i="1"/>
  <c r="AQ269" i="1" s="1"/>
  <c r="AJ269" i="1"/>
  <c r="AI269" i="1"/>
  <c r="BA267" i="1" s="1"/>
  <c r="AZ268" i="1" s="1"/>
  <c r="U269" i="1"/>
  <c r="M269" i="1"/>
  <c r="E269" i="1"/>
  <c r="D269" i="1"/>
  <c r="C269" i="1"/>
  <c r="B269" i="1"/>
  <c r="A269" i="1"/>
  <c r="AO268" i="1"/>
  <c r="AN268" i="1"/>
  <c r="AT268" i="1"/>
  <c r="AM268" i="1"/>
  <c r="AS268" i="1" s="1"/>
  <c r="AL268" i="1"/>
  <c r="AR268" i="1" s="1"/>
  <c r="AK268" i="1"/>
  <c r="AQ268" i="1"/>
  <c r="AA264" i="1" s="1"/>
  <c r="AJ268" i="1"/>
  <c r="AI268" i="1"/>
  <c r="U268" i="1"/>
  <c r="M268" i="1"/>
  <c r="I268" i="1"/>
  <c r="E268" i="1"/>
  <c r="D268" i="1"/>
  <c r="C268" i="1"/>
  <c r="B268" i="1"/>
  <c r="A268" i="1"/>
  <c r="AN267" i="1"/>
  <c r="AT267" i="1" s="1"/>
  <c r="AM267" i="1"/>
  <c r="AS267" i="1"/>
  <c r="Y274" i="1" s="1"/>
  <c r="AL267" i="1"/>
  <c r="AR267" i="1" s="1"/>
  <c r="AK267" i="1"/>
  <c r="AQ267" i="1" s="1"/>
  <c r="AJ267" i="1"/>
  <c r="AP267" i="1" s="1"/>
  <c r="AI267" i="1"/>
  <c r="U267" i="1"/>
  <c r="O267" i="1"/>
  <c r="M267" i="1"/>
  <c r="E267" i="1"/>
  <c r="D267" i="1"/>
  <c r="C267" i="1"/>
  <c r="B267" i="1"/>
  <c r="A267" i="1"/>
  <c r="AS266" i="1"/>
  <c r="AN266" i="1"/>
  <c r="AT266" i="1"/>
  <c r="AM266" i="1"/>
  <c r="AL266" i="1"/>
  <c r="AR266" i="1" s="1"/>
  <c r="AK266" i="1"/>
  <c r="AQ266" i="1"/>
  <c r="AJ266" i="1"/>
  <c r="AI266" i="1"/>
  <c r="AO266" i="1" s="1"/>
  <c r="U266" i="1"/>
  <c r="M266" i="1"/>
  <c r="I266" i="1"/>
  <c r="E266" i="1"/>
  <c r="D266" i="1"/>
  <c r="C266" i="1"/>
  <c r="B266" i="1"/>
  <c r="A266" i="1"/>
  <c r="U265" i="1"/>
  <c r="U264" i="1"/>
  <c r="O264" i="1"/>
  <c r="I264" i="1"/>
  <c r="U263" i="1"/>
  <c r="Q262" i="1"/>
  <c r="T260" i="1"/>
  <c r="Q257" i="1"/>
  <c r="M256" i="1"/>
  <c r="A256" i="1"/>
  <c r="Q255" i="1"/>
  <c r="U250" i="1"/>
  <c r="U249" i="1"/>
  <c r="O249" i="1"/>
  <c r="U248" i="1"/>
  <c r="AO247" i="1"/>
  <c r="AN247" i="1"/>
  <c r="AT247" i="1" s="1"/>
  <c r="AM247" i="1"/>
  <c r="AS247" i="1" s="1"/>
  <c r="AL247" i="1"/>
  <c r="AR247" i="1"/>
  <c r="AK247" i="1"/>
  <c r="AJ247" i="1"/>
  <c r="AP247" i="1" s="1"/>
  <c r="AI247" i="1"/>
  <c r="U247" i="1"/>
  <c r="M247" i="1"/>
  <c r="E247" i="1"/>
  <c r="D247" i="1"/>
  <c r="C247" i="1"/>
  <c r="B247" i="1"/>
  <c r="A247" i="1"/>
  <c r="AN246" i="1"/>
  <c r="AT246" i="1" s="1"/>
  <c r="AM246" i="1"/>
  <c r="AS246" i="1" s="1"/>
  <c r="Z250" i="1" s="1"/>
  <c r="AL246" i="1"/>
  <c r="AR246" i="1" s="1"/>
  <c r="AK246" i="1"/>
  <c r="AQ246" i="1" s="1"/>
  <c r="AJ246" i="1"/>
  <c r="AP246" i="1" s="1"/>
  <c r="AI246" i="1"/>
  <c r="U246" i="1"/>
  <c r="O246" i="1"/>
  <c r="M246" i="1"/>
  <c r="I246" i="1"/>
  <c r="E246" i="1"/>
  <c r="D246" i="1"/>
  <c r="C246" i="1"/>
  <c r="B246" i="1"/>
  <c r="A246" i="1"/>
  <c r="AP245" i="1"/>
  <c r="AN245" i="1"/>
  <c r="AT245" i="1" s="1"/>
  <c r="AM245" i="1"/>
  <c r="AS245" i="1" s="1"/>
  <c r="AL245" i="1"/>
  <c r="AR245" i="1" s="1"/>
  <c r="AK245" i="1"/>
  <c r="AJ245" i="1"/>
  <c r="AI245" i="1"/>
  <c r="AO245" i="1" s="1"/>
  <c r="Z242" i="1" s="1"/>
  <c r="U245" i="1"/>
  <c r="M245" i="1"/>
  <c r="E245" i="1"/>
  <c r="D245" i="1"/>
  <c r="C245" i="1"/>
  <c r="B245" i="1"/>
  <c r="A245" i="1"/>
  <c r="AN244" i="1"/>
  <c r="AT244" i="1" s="1"/>
  <c r="AM244" i="1"/>
  <c r="AS244" i="1" s="1"/>
  <c r="AL244" i="1"/>
  <c r="AR244" i="1" s="1"/>
  <c r="AK244" i="1"/>
  <c r="AQ244" i="1" s="1"/>
  <c r="AJ244" i="1"/>
  <c r="AP244" i="1"/>
  <c r="AI244" i="1"/>
  <c r="U244" i="1"/>
  <c r="M244" i="1"/>
  <c r="I244" i="1"/>
  <c r="E244" i="1"/>
  <c r="D244" i="1"/>
  <c r="C244" i="1"/>
  <c r="B244" i="1"/>
  <c r="A244" i="1"/>
  <c r="AR243" i="1"/>
  <c r="AN243" i="1"/>
  <c r="AT243" i="1" s="1"/>
  <c r="BF243" i="1" s="1"/>
  <c r="AM243" i="1"/>
  <c r="AS243" i="1" s="1"/>
  <c r="AL243" i="1"/>
  <c r="AK243" i="1"/>
  <c r="AQ243" i="1" s="1"/>
  <c r="AJ243" i="1"/>
  <c r="AP243" i="1"/>
  <c r="AI243" i="1"/>
  <c r="AO243" i="1"/>
  <c r="Y248" i="1" s="1"/>
  <c r="U243" i="1"/>
  <c r="O243" i="1"/>
  <c r="M243" i="1"/>
  <c r="E243" i="1"/>
  <c r="D243" i="1"/>
  <c r="C243" i="1"/>
  <c r="B243" i="1"/>
  <c r="A243" i="1"/>
  <c r="AN242" i="1"/>
  <c r="AT242" i="1" s="1"/>
  <c r="Z241" i="1" s="1"/>
  <c r="AM242" i="1"/>
  <c r="AS242" i="1"/>
  <c r="X247" i="1" s="1"/>
  <c r="AL242" i="1"/>
  <c r="AR242" i="1" s="1"/>
  <c r="AK242" i="1"/>
  <c r="AQ242" i="1" s="1"/>
  <c r="AJ242" i="1"/>
  <c r="AP242" i="1" s="1"/>
  <c r="AI242" i="1"/>
  <c r="BA242" i="1" s="1"/>
  <c r="AX244" i="1" s="1"/>
  <c r="U242" i="1"/>
  <c r="M242" i="1"/>
  <c r="I242" i="1"/>
  <c r="E242" i="1"/>
  <c r="D242" i="1"/>
  <c r="C242" i="1"/>
  <c r="B242" i="1"/>
  <c r="A242" i="1"/>
  <c r="U241" i="1"/>
  <c r="U240" i="1"/>
  <c r="O240" i="1"/>
  <c r="I240" i="1"/>
  <c r="U239" i="1"/>
  <c r="Q238" i="1"/>
  <c r="U236" i="1"/>
  <c r="U235" i="1"/>
  <c r="O235" i="1"/>
  <c r="U234" i="1"/>
  <c r="AQ233" i="1"/>
  <c r="AN233" i="1"/>
  <c r="AT233" i="1" s="1"/>
  <c r="AM233" i="1"/>
  <c r="AS233" i="1" s="1"/>
  <c r="AL233" i="1"/>
  <c r="AR233" i="1" s="1"/>
  <c r="AK233" i="1"/>
  <c r="AJ233" i="1"/>
  <c r="AP233" i="1" s="1"/>
  <c r="AI233" i="1"/>
  <c r="U233" i="1"/>
  <c r="M233" i="1"/>
  <c r="E233" i="1"/>
  <c r="D233" i="1"/>
  <c r="C233" i="1"/>
  <c r="B233" i="1"/>
  <c r="A233" i="1"/>
  <c r="AN232" i="1"/>
  <c r="AT232" i="1" s="1"/>
  <c r="AM232" i="1"/>
  <c r="AS232" i="1" s="1"/>
  <c r="AL232" i="1"/>
  <c r="AR232" i="1" s="1"/>
  <c r="AK232" i="1"/>
  <c r="AJ232" i="1"/>
  <c r="AP232" i="1" s="1"/>
  <c r="AI232" i="1"/>
  <c r="AO232" i="1" s="1"/>
  <c r="U232" i="1"/>
  <c r="O232" i="1"/>
  <c r="M232" i="1"/>
  <c r="I232" i="1"/>
  <c r="E232" i="1"/>
  <c r="D232" i="1"/>
  <c r="C232" i="1"/>
  <c r="B232" i="1"/>
  <c r="A232" i="1"/>
  <c r="AQ231" i="1"/>
  <c r="Y232" i="1" s="1"/>
  <c r="AN231" i="1"/>
  <c r="AT231" i="1"/>
  <c r="AM231" i="1"/>
  <c r="AS231" i="1"/>
  <c r="Y233" i="1" s="1"/>
  <c r="AL231" i="1"/>
  <c r="AR231" i="1" s="1"/>
  <c r="Z229" i="1" s="1"/>
  <c r="AK231" i="1"/>
  <c r="AJ231" i="1"/>
  <c r="AP231" i="1" s="1"/>
  <c r="AI231" i="1"/>
  <c r="AO231" i="1" s="1"/>
  <c r="U231" i="1"/>
  <c r="M231" i="1"/>
  <c r="E231" i="1"/>
  <c r="D231" i="1"/>
  <c r="C231" i="1"/>
  <c r="B231" i="1"/>
  <c r="A231" i="1"/>
  <c r="AY230" i="1"/>
  <c r="BB229" i="1" s="1"/>
  <c r="AP230" i="1"/>
  <c r="AN230" i="1"/>
  <c r="AT230" i="1" s="1"/>
  <c r="AM230" i="1"/>
  <c r="AS230" i="1" s="1"/>
  <c r="AL230" i="1"/>
  <c r="AR230" i="1" s="1"/>
  <c r="AK230" i="1"/>
  <c r="AJ230" i="1"/>
  <c r="AI230" i="1"/>
  <c r="AO230" i="1" s="1"/>
  <c r="X234" i="1" s="1"/>
  <c r="U230" i="1"/>
  <c r="M230" i="1"/>
  <c r="I230" i="1"/>
  <c r="E230" i="1"/>
  <c r="D230" i="1"/>
  <c r="C230" i="1"/>
  <c r="B230" i="1"/>
  <c r="A230" i="1"/>
  <c r="BA229" i="1"/>
  <c r="AZ230" i="1" s="1"/>
  <c r="AT229" i="1"/>
  <c r="AN229" i="1"/>
  <c r="AM229" i="1"/>
  <c r="AS229" i="1" s="1"/>
  <c r="AL229" i="1"/>
  <c r="AR229" i="1" s="1"/>
  <c r="AK229" i="1"/>
  <c r="AQ229" i="1" s="1"/>
  <c r="AJ229" i="1"/>
  <c r="AP229" i="1" s="1"/>
  <c r="AI229" i="1"/>
  <c r="U229" i="1"/>
  <c r="O229" i="1"/>
  <c r="M229" i="1"/>
  <c r="E229" i="1"/>
  <c r="D229" i="1"/>
  <c r="C229" i="1"/>
  <c r="B229" i="1"/>
  <c r="A229" i="1"/>
  <c r="AT228" i="1"/>
  <c r="AO228" i="1"/>
  <c r="AN228" i="1"/>
  <c r="AM228" i="1"/>
  <c r="AS228" i="1" s="1"/>
  <c r="AL228" i="1"/>
  <c r="AR228" i="1"/>
  <c r="AK228" i="1"/>
  <c r="AQ228" i="1"/>
  <c r="AJ228" i="1"/>
  <c r="AP228" i="1" s="1"/>
  <c r="Z225" i="1" s="1"/>
  <c r="AW230" i="1"/>
  <c r="AI228" i="1"/>
  <c r="U228" i="1"/>
  <c r="M228" i="1"/>
  <c r="I228" i="1"/>
  <c r="E228" i="1"/>
  <c r="D228" i="1"/>
  <c r="C228" i="1"/>
  <c r="B228" i="1"/>
  <c r="A228" i="1"/>
  <c r="U227" i="1"/>
  <c r="U226" i="1"/>
  <c r="O226" i="1"/>
  <c r="I226" i="1"/>
  <c r="U225" i="1"/>
  <c r="Q224" i="1"/>
  <c r="T222" i="1"/>
  <c r="X219" i="1"/>
  <c r="P219" i="1"/>
  <c r="X218" i="1"/>
  <c r="M218" i="1"/>
  <c r="A218" i="1"/>
  <c r="H218" i="1" s="1"/>
  <c r="AA217" i="1"/>
  <c r="X217" i="1"/>
  <c r="P217" i="1"/>
  <c r="AA216" i="1"/>
  <c r="M216" i="1"/>
  <c r="H216" i="1"/>
  <c r="A216" i="1"/>
  <c r="AA215" i="1"/>
  <c r="X215" i="1"/>
  <c r="P215" i="1"/>
  <c r="O215" i="1" s="1"/>
  <c r="M214" i="1"/>
  <c r="A214" i="1"/>
  <c r="H214" i="1" s="1"/>
  <c r="P213" i="1"/>
  <c r="O213" i="1" s="1"/>
  <c r="U209" i="1"/>
  <c r="U208" i="1"/>
  <c r="O208" i="1"/>
  <c r="U207" i="1"/>
  <c r="AQ206" i="1"/>
  <c r="Y202" i="1" s="1"/>
  <c r="AN206" i="1"/>
  <c r="AT206" i="1" s="1"/>
  <c r="AM206" i="1"/>
  <c r="AS206" i="1" s="1"/>
  <c r="AL206" i="1"/>
  <c r="AR206" i="1" s="1"/>
  <c r="X205" i="1" s="1"/>
  <c r="AK206" i="1"/>
  <c r="AJ206" i="1"/>
  <c r="AP206" i="1" s="1"/>
  <c r="AI206" i="1"/>
  <c r="U206" i="1"/>
  <c r="M206" i="1"/>
  <c r="I206" i="1"/>
  <c r="E206" i="1"/>
  <c r="D206" i="1"/>
  <c r="C206" i="1"/>
  <c r="B206" i="1"/>
  <c r="A206" i="1"/>
  <c r="AN205" i="1"/>
  <c r="AT205" i="1" s="1"/>
  <c r="AM205" i="1"/>
  <c r="AS205" i="1" s="1"/>
  <c r="AL205" i="1"/>
  <c r="AR205" i="1"/>
  <c r="AK205" i="1"/>
  <c r="AQ205" i="1"/>
  <c r="Z205" i="1" s="1"/>
  <c r="AJ205" i="1"/>
  <c r="AP205" i="1" s="1"/>
  <c r="AI205" i="1"/>
  <c r="AO205" i="1" s="1"/>
  <c r="U205" i="1"/>
  <c r="O205" i="1"/>
  <c r="M205" i="1"/>
  <c r="E205" i="1"/>
  <c r="D205" i="1"/>
  <c r="C205" i="1"/>
  <c r="B205" i="1"/>
  <c r="A205" i="1"/>
  <c r="AT204" i="1"/>
  <c r="AO204" i="1"/>
  <c r="AN204" i="1"/>
  <c r="AM204" i="1"/>
  <c r="AS204" i="1" s="1"/>
  <c r="AL204" i="1"/>
  <c r="AR204" i="1"/>
  <c r="AK204" i="1"/>
  <c r="AQ204" i="1"/>
  <c r="X208" i="1" s="1"/>
  <c r="AJ204" i="1"/>
  <c r="AP204" i="1" s="1"/>
  <c r="AI204" i="1"/>
  <c r="U204" i="1"/>
  <c r="M204" i="1"/>
  <c r="I204" i="1"/>
  <c r="E204" i="1"/>
  <c r="D204" i="1"/>
  <c r="C204" i="1"/>
  <c r="B204" i="1"/>
  <c r="A204" i="1"/>
  <c r="U203" i="1"/>
  <c r="U202" i="1"/>
  <c r="O202" i="1"/>
  <c r="I202" i="1"/>
  <c r="U201" i="1"/>
  <c r="Q200" i="1"/>
  <c r="U198" i="1"/>
  <c r="U197" i="1"/>
  <c r="O197" i="1"/>
  <c r="U196" i="1"/>
  <c r="AQ195" i="1"/>
  <c r="AN195" i="1"/>
  <c r="AT195" i="1" s="1"/>
  <c r="AM195" i="1"/>
  <c r="AS195" i="1" s="1"/>
  <c r="AL195" i="1"/>
  <c r="AR195" i="1" s="1"/>
  <c r="AK195" i="1"/>
  <c r="AJ195" i="1"/>
  <c r="AP195" i="1" s="1"/>
  <c r="AI195" i="1"/>
  <c r="U195" i="1"/>
  <c r="M195" i="1"/>
  <c r="I195" i="1"/>
  <c r="E195" i="1"/>
  <c r="D195" i="1"/>
  <c r="C195" i="1"/>
  <c r="B195" i="1"/>
  <c r="A195" i="1"/>
  <c r="AO194" i="1"/>
  <c r="AN194" i="1"/>
  <c r="AT194" i="1" s="1"/>
  <c r="AM194" i="1"/>
  <c r="AS194" i="1" s="1"/>
  <c r="AL194" i="1"/>
  <c r="AR194" i="1"/>
  <c r="AK194" i="1"/>
  <c r="AQ194" i="1"/>
  <c r="Y197" i="1" s="1"/>
  <c r="AJ194" i="1"/>
  <c r="AP194" i="1" s="1"/>
  <c r="AI194" i="1"/>
  <c r="U194" i="1"/>
  <c r="O194" i="1"/>
  <c r="M194" i="1"/>
  <c r="E194" i="1"/>
  <c r="D194" i="1"/>
  <c r="C194" i="1"/>
  <c r="B194" i="1"/>
  <c r="A194" i="1"/>
  <c r="AN193" i="1"/>
  <c r="AT193" i="1" s="1"/>
  <c r="AM193" i="1"/>
  <c r="AS193" i="1" s="1"/>
  <c r="BF195" i="1" s="1"/>
  <c r="AL193" i="1"/>
  <c r="AR193" i="1" s="1"/>
  <c r="AK193" i="1"/>
  <c r="AQ193" i="1"/>
  <c r="Z191" i="1" s="1"/>
  <c r="AJ193" i="1"/>
  <c r="AP193" i="1" s="1"/>
  <c r="AI193" i="1"/>
  <c r="AO193" i="1" s="1"/>
  <c r="U193" i="1"/>
  <c r="M193" i="1"/>
  <c r="I193" i="1"/>
  <c r="E193" i="1"/>
  <c r="D193" i="1"/>
  <c r="C193" i="1"/>
  <c r="B193" i="1"/>
  <c r="A193" i="1"/>
  <c r="U192" i="1"/>
  <c r="U191" i="1"/>
  <c r="O191" i="1"/>
  <c r="I191" i="1"/>
  <c r="U190" i="1"/>
  <c r="Q189" i="1"/>
  <c r="U187" i="1"/>
  <c r="U186" i="1"/>
  <c r="O186" i="1"/>
  <c r="U185" i="1"/>
  <c r="AN184" i="1"/>
  <c r="AT184" i="1" s="1"/>
  <c r="AM184" i="1"/>
  <c r="AS184" i="1" s="1"/>
  <c r="AL184" i="1"/>
  <c r="AR184" i="1" s="1"/>
  <c r="AK184" i="1"/>
  <c r="AQ184" i="1" s="1"/>
  <c r="AJ184" i="1"/>
  <c r="AP184" i="1" s="1"/>
  <c r="AI184" i="1"/>
  <c r="U184" i="1"/>
  <c r="M184" i="1"/>
  <c r="I184" i="1"/>
  <c r="E184" i="1"/>
  <c r="D184" i="1"/>
  <c r="C184" i="1"/>
  <c r="B184" i="1"/>
  <c r="A184" i="1"/>
  <c r="AN183" i="1"/>
  <c r="AT183" i="1" s="1"/>
  <c r="AM183" i="1"/>
  <c r="AS183" i="1" s="1"/>
  <c r="AL183" i="1"/>
  <c r="AR183" i="1" s="1"/>
  <c r="AK183" i="1"/>
  <c r="AQ183" i="1" s="1"/>
  <c r="AJ183" i="1"/>
  <c r="AP183" i="1" s="1"/>
  <c r="BF183" i="1" s="1"/>
  <c r="BL183" i="1" s="1"/>
  <c r="AI183" i="1"/>
  <c r="AO183" i="1" s="1"/>
  <c r="U183" i="1"/>
  <c r="O183" i="1"/>
  <c r="M183" i="1"/>
  <c r="E183" i="1"/>
  <c r="D183" i="1"/>
  <c r="C183" i="1"/>
  <c r="B183" i="1"/>
  <c r="A183" i="1"/>
  <c r="AO182" i="1"/>
  <c r="AN182" i="1"/>
  <c r="AT182" i="1" s="1"/>
  <c r="AM182" i="1"/>
  <c r="AS182" i="1" s="1"/>
  <c r="AL182" i="1"/>
  <c r="AR182" i="1"/>
  <c r="AK182" i="1"/>
  <c r="AQ182" i="1" s="1"/>
  <c r="AJ182" i="1"/>
  <c r="AP182" i="1" s="1"/>
  <c r="AI182" i="1"/>
  <c r="AW184" i="1" s="1"/>
  <c r="U182" i="1"/>
  <c r="M182" i="1"/>
  <c r="I182" i="1"/>
  <c r="E182" i="1"/>
  <c r="D182" i="1"/>
  <c r="C182" i="1"/>
  <c r="B182" i="1"/>
  <c r="A182" i="1"/>
  <c r="U181" i="1"/>
  <c r="U180" i="1"/>
  <c r="O180" i="1"/>
  <c r="I180" i="1"/>
  <c r="U179" i="1"/>
  <c r="Q178" i="1"/>
  <c r="T176" i="1"/>
  <c r="X174" i="1"/>
  <c r="P174" i="1"/>
  <c r="P173" i="1"/>
  <c r="O173" i="1"/>
  <c r="T173" i="1" s="1"/>
  <c r="B173" i="1" s="1"/>
  <c r="M173" i="1"/>
  <c r="L173" i="1"/>
  <c r="A173" i="1"/>
  <c r="H173" i="1"/>
  <c r="AA172" i="1"/>
  <c r="AA171" i="1"/>
  <c r="M171" i="1"/>
  <c r="F171" i="1"/>
  <c r="D167" i="1" s="1"/>
  <c r="A171" i="1"/>
  <c r="X170" i="1"/>
  <c r="P170" i="1"/>
  <c r="X169" i="1"/>
  <c r="P169" i="1"/>
  <c r="M169" i="1"/>
  <c r="A169" i="1"/>
  <c r="F169" i="1" s="1"/>
  <c r="B171" i="1" s="1"/>
  <c r="H169" i="1"/>
  <c r="AD168" i="1"/>
  <c r="AD167" i="1"/>
  <c r="M167" i="1"/>
  <c r="A167" i="1"/>
  <c r="F167" i="1" s="1"/>
  <c r="X166" i="1"/>
  <c r="P166" i="1"/>
  <c r="X165" i="1"/>
  <c r="P165" i="1"/>
  <c r="M165" i="1"/>
  <c r="F165" i="1"/>
  <c r="A165" i="1"/>
  <c r="H165" i="1"/>
  <c r="AA164" i="1"/>
  <c r="AA163" i="1"/>
  <c r="M163" i="1"/>
  <c r="F163" i="1"/>
  <c r="B167" i="1" s="1"/>
  <c r="D163" i="1"/>
  <c r="A163" i="1"/>
  <c r="X162" i="1"/>
  <c r="P162" i="1"/>
  <c r="O162" i="1"/>
  <c r="P161" i="1"/>
  <c r="O161" i="1" s="1"/>
  <c r="M161" i="1"/>
  <c r="A161" i="1"/>
  <c r="L161" i="1" s="1"/>
  <c r="U156" i="1"/>
  <c r="U155" i="1"/>
  <c r="O155" i="1"/>
  <c r="U154" i="1"/>
  <c r="AQ153" i="1"/>
  <c r="AN153" i="1"/>
  <c r="AT153" i="1" s="1"/>
  <c r="AM153" i="1"/>
  <c r="AS153" i="1" s="1"/>
  <c r="AL153" i="1"/>
  <c r="AR153" i="1" s="1"/>
  <c r="X152" i="1" s="1"/>
  <c r="AK153" i="1"/>
  <c r="AJ153" i="1"/>
  <c r="AP153" i="1" s="1"/>
  <c r="AI153" i="1"/>
  <c r="U153" i="1"/>
  <c r="M153" i="1"/>
  <c r="I153" i="1"/>
  <c r="E153" i="1"/>
  <c r="D153" i="1"/>
  <c r="C153" i="1"/>
  <c r="B153" i="1"/>
  <c r="A153" i="1"/>
  <c r="AN152" i="1"/>
  <c r="AT152" i="1" s="1"/>
  <c r="Y156" i="1" s="1"/>
  <c r="AM152" i="1"/>
  <c r="AS152" i="1" s="1"/>
  <c r="AL152" i="1"/>
  <c r="AR152" i="1"/>
  <c r="AK152" i="1"/>
  <c r="AQ152" i="1"/>
  <c r="Z152" i="1" s="1"/>
  <c r="AJ152" i="1"/>
  <c r="AP152" i="1" s="1"/>
  <c r="AI152" i="1"/>
  <c r="AY153" i="1" s="1"/>
  <c r="BB152" i="1" s="1"/>
  <c r="U152" i="1"/>
  <c r="O152" i="1"/>
  <c r="M152" i="1"/>
  <c r="E152" i="1"/>
  <c r="D152" i="1"/>
  <c r="C152" i="1"/>
  <c r="B152" i="1"/>
  <c r="A152" i="1"/>
  <c r="AT151" i="1"/>
  <c r="AO151" i="1"/>
  <c r="AN151" i="1"/>
  <c r="AM151" i="1"/>
  <c r="AS151" i="1" s="1"/>
  <c r="AL151" i="1"/>
  <c r="AR151" i="1"/>
  <c r="AK151" i="1"/>
  <c r="AQ151" i="1"/>
  <c r="X155" i="1" s="1"/>
  <c r="AJ151" i="1"/>
  <c r="AP151" i="1" s="1"/>
  <c r="AU151" i="1" s="1"/>
  <c r="Q151" i="1" s="1"/>
  <c r="AI151" i="1"/>
  <c r="U151" i="1"/>
  <c r="M151" i="1"/>
  <c r="I151" i="1"/>
  <c r="E151" i="1"/>
  <c r="D151" i="1"/>
  <c r="C151" i="1"/>
  <c r="B151" i="1"/>
  <c r="A151" i="1"/>
  <c r="U150" i="1"/>
  <c r="U149" i="1"/>
  <c r="O149" i="1"/>
  <c r="I149" i="1"/>
  <c r="U148" i="1"/>
  <c r="Q147" i="1"/>
  <c r="U145" i="1"/>
  <c r="U144" i="1"/>
  <c r="O144" i="1"/>
  <c r="U143" i="1"/>
  <c r="AQ142" i="1"/>
  <c r="X141" i="1" s="1"/>
  <c r="AN142" i="1"/>
  <c r="AT142" i="1" s="1"/>
  <c r="AM142" i="1"/>
  <c r="AS142" i="1" s="1"/>
  <c r="X142" i="1" s="1"/>
  <c r="AL142" i="1"/>
  <c r="AR142" i="1" s="1"/>
  <c r="AK142" i="1"/>
  <c r="AJ142" i="1"/>
  <c r="AP142" i="1" s="1"/>
  <c r="Y137" i="1" s="1"/>
  <c r="AI142" i="1"/>
  <c r="U142" i="1"/>
  <c r="M142" i="1"/>
  <c r="I142" i="1"/>
  <c r="E142" i="1"/>
  <c r="D142" i="1"/>
  <c r="C142" i="1"/>
  <c r="B142" i="1"/>
  <c r="A142" i="1"/>
  <c r="AO141" i="1"/>
  <c r="AN141" i="1"/>
  <c r="AT141" i="1" s="1"/>
  <c r="Y145" i="1" s="1"/>
  <c r="AM141" i="1"/>
  <c r="AS141" i="1" s="1"/>
  <c r="AL141" i="1"/>
  <c r="AR141" i="1"/>
  <c r="AK141" i="1"/>
  <c r="AQ141" i="1"/>
  <c r="Y144" i="1" s="1"/>
  <c r="AJ141" i="1"/>
  <c r="AP141" i="1" s="1"/>
  <c r="AI141" i="1"/>
  <c r="U141" i="1"/>
  <c r="O141" i="1"/>
  <c r="M141" i="1"/>
  <c r="E141" i="1"/>
  <c r="D141" i="1"/>
  <c r="C141" i="1"/>
  <c r="B141" i="1"/>
  <c r="A141" i="1"/>
  <c r="AN140" i="1"/>
  <c r="AT140" i="1" s="1"/>
  <c r="AM140" i="1"/>
  <c r="AS140" i="1" s="1"/>
  <c r="AL140" i="1"/>
  <c r="AR140" i="1" s="1"/>
  <c r="X144" i="1" s="1"/>
  <c r="AK140" i="1"/>
  <c r="AQ140" i="1"/>
  <c r="Z138" i="1" s="1"/>
  <c r="AJ140" i="1"/>
  <c r="AP140" i="1" s="1"/>
  <c r="AI140" i="1"/>
  <c r="AO140" i="1" s="1"/>
  <c r="BF142" i="1" s="1"/>
  <c r="U140" i="1"/>
  <c r="M140" i="1"/>
  <c r="I140" i="1"/>
  <c r="E140" i="1"/>
  <c r="D140" i="1"/>
  <c r="C140" i="1"/>
  <c r="B140" i="1"/>
  <c r="A140" i="1"/>
  <c r="U139" i="1"/>
  <c r="U138" i="1"/>
  <c r="O138" i="1"/>
  <c r="I138" i="1"/>
  <c r="U137" i="1"/>
  <c r="Q136" i="1"/>
  <c r="U134" i="1"/>
  <c r="U133" i="1"/>
  <c r="O133" i="1"/>
  <c r="U132" i="1"/>
  <c r="AN131" i="1"/>
  <c r="AT131" i="1" s="1"/>
  <c r="AM131" i="1"/>
  <c r="AS131" i="1" s="1"/>
  <c r="Y128" i="1" s="1"/>
  <c r="AL131" i="1"/>
  <c r="AR131" i="1" s="1"/>
  <c r="AK131" i="1"/>
  <c r="AQ131" i="1" s="1"/>
  <c r="AJ131" i="1"/>
  <c r="AP131" i="1" s="1"/>
  <c r="AI131" i="1"/>
  <c r="U131" i="1"/>
  <c r="M131" i="1"/>
  <c r="I131" i="1"/>
  <c r="E131" i="1"/>
  <c r="D131" i="1"/>
  <c r="C131" i="1"/>
  <c r="B131" i="1"/>
  <c r="A131" i="1"/>
  <c r="AS130" i="1"/>
  <c r="AN130" i="1"/>
  <c r="AT130" i="1" s="1"/>
  <c r="AM130" i="1"/>
  <c r="AL130" i="1"/>
  <c r="AR130" i="1" s="1"/>
  <c r="AK130" i="1"/>
  <c r="AQ130" i="1" s="1"/>
  <c r="AJ130" i="1"/>
  <c r="AP130" i="1" s="1"/>
  <c r="AI130" i="1"/>
  <c r="AO130" i="1" s="1"/>
  <c r="U130" i="1"/>
  <c r="O130" i="1"/>
  <c r="M130" i="1"/>
  <c r="E130" i="1"/>
  <c r="D130" i="1"/>
  <c r="C130" i="1"/>
  <c r="B130" i="1"/>
  <c r="A130" i="1"/>
  <c r="AO129" i="1"/>
  <c r="AN129" i="1"/>
  <c r="AT129" i="1" s="1"/>
  <c r="AM129" i="1"/>
  <c r="AS129" i="1" s="1"/>
  <c r="AL129" i="1"/>
  <c r="AR129" i="1"/>
  <c r="AK129" i="1"/>
  <c r="AQ129" i="1" s="1"/>
  <c r="AJ129" i="1"/>
  <c r="AP129" i="1" s="1"/>
  <c r="AI129" i="1"/>
  <c r="AW131" i="1" s="1"/>
  <c r="U129" i="1"/>
  <c r="M129" i="1"/>
  <c r="I129" i="1"/>
  <c r="E129" i="1"/>
  <c r="D129" i="1"/>
  <c r="C129" i="1"/>
  <c r="B129" i="1"/>
  <c r="A129" i="1"/>
  <c r="U128" i="1"/>
  <c r="U127" i="1"/>
  <c r="O127" i="1"/>
  <c r="I127" i="1"/>
  <c r="U126" i="1"/>
  <c r="Q125" i="1"/>
  <c r="U123" i="1"/>
  <c r="U122" i="1"/>
  <c r="O122" i="1"/>
  <c r="U121" i="1"/>
  <c r="AR120" i="1"/>
  <c r="AN120" i="1"/>
  <c r="AT120" i="1"/>
  <c r="AM120" i="1"/>
  <c r="AS120" i="1"/>
  <c r="AL120" i="1"/>
  <c r="AK120" i="1"/>
  <c r="AQ120" i="1" s="1"/>
  <c r="AJ120" i="1"/>
  <c r="AP120" i="1"/>
  <c r="AI120" i="1"/>
  <c r="U120" i="1"/>
  <c r="M120" i="1"/>
  <c r="I120" i="1"/>
  <c r="E120" i="1"/>
  <c r="D120" i="1"/>
  <c r="C120" i="1"/>
  <c r="B120" i="1"/>
  <c r="A120" i="1"/>
  <c r="AN119" i="1"/>
  <c r="AT119" i="1" s="1"/>
  <c r="AM119" i="1"/>
  <c r="AS119" i="1" s="1"/>
  <c r="AL119" i="1"/>
  <c r="AR119" i="1" s="1"/>
  <c r="AK119" i="1"/>
  <c r="AQ119" i="1" s="1"/>
  <c r="AJ119" i="1"/>
  <c r="AP119" i="1" s="1"/>
  <c r="BF119" i="1" s="1"/>
  <c r="AI119" i="1"/>
  <c r="AO119" i="1" s="1"/>
  <c r="U119" i="1"/>
  <c r="O119" i="1"/>
  <c r="M119" i="1"/>
  <c r="E119" i="1"/>
  <c r="D119" i="1"/>
  <c r="C119" i="1"/>
  <c r="B119" i="1"/>
  <c r="A119" i="1"/>
  <c r="AN118" i="1"/>
  <c r="AT118" i="1" s="1"/>
  <c r="AM118" i="1"/>
  <c r="AS118" i="1" s="1"/>
  <c r="AL118" i="1"/>
  <c r="AR118" i="1" s="1"/>
  <c r="AK118" i="1"/>
  <c r="AQ118" i="1" s="1"/>
  <c r="AJ118" i="1"/>
  <c r="AP118" i="1" s="1"/>
  <c r="AI118" i="1"/>
  <c r="AW120" i="1" s="1"/>
  <c r="U118" i="1"/>
  <c r="M118" i="1"/>
  <c r="I118" i="1"/>
  <c r="E118" i="1"/>
  <c r="D118" i="1"/>
  <c r="C118" i="1"/>
  <c r="B118" i="1"/>
  <c r="A118" i="1"/>
  <c r="U117" i="1"/>
  <c r="U116" i="1"/>
  <c r="O116" i="1"/>
  <c r="I116" i="1"/>
  <c r="U115" i="1"/>
  <c r="Q114" i="1"/>
  <c r="U112" i="1"/>
  <c r="U111" i="1"/>
  <c r="O111" i="1"/>
  <c r="U110" i="1"/>
  <c r="AR109" i="1"/>
  <c r="AN109" i="1"/>
  <c r="AT109" i="1"/>
  <c r="AM109" i="1"/>
  <c r="AS109" i="1"/>
  <c r="AL109" i="1"/>
  <c r="AK109" i="1"/>
  <c r="AQ109" i="1" s="1"/>
  <c r="AJ109" i="1"/>
  <c r="AP109" i="1"/>
  <c r="AI109" i="1"/>
  <c r="AO109" i="1"/>
  <c r="Y104" i="1" s="1"/>
  <c r="U109" i="1"/>
  <c r="M109" i="1"/>
  <c r="I109" i="1"/>
  <c r="E109" i="1"/>
  <c r="D109" i="1"/>
  <c r="C109" i="1"/>
  <c r="B109" i="1"/>
  <c r="A109" i="1"/>
  <c r="AW108" i="1"/>
  <c r="AQ108" i="1"/>
  <c r="Z108" i="1" s="1"/>
  <c r="AN108" i="1"/>
  <c r="AT108" i="1" s="1"/>
  <c r="AM108" i="1"/>
  <c r="AS108" i="1" s="1"/>
  <c r="AL108" i="1"/>
  <c r="AR108" i="1" s="1"/>
  <c r="Y111" i="1" s="1"/>
  <c r="AK108" i="1"/>
  <c r="AJ108" i="1"/>
  <c r="AP108" i="1" s="1"/>
  <c r="AI108" i="1"/>
  <c r="BA108" i="1"/>
  <c r="AZ109" i="1" s="1"/>
  <c r="U108" i="1"/>
  <c r="O108" i="1"/>
  <c r="M108" i="1"/>
  <c r="E108" i="1"/>
  <c r="D108" i="1"/>
  <c r="C108" i="1"/>
  <c r="B108" i="1"/>
  <c r="A108" i="1"/>
  <c r="AR107" i="1"/>
  <c r="AN107" i="1"/>
  <c r="AT107" i="1"/>
  <c r="AM107" i="1"/>
  <c r="AS107" i="1"/>
  <c r="AL107" i="1"/>
  <c r="AK107" i="1"/>
  <c r="AQ107" i="1" s="1"/>
  <c r="X111" i="1" s="1"/>
  <c r="AJ107" i="1"/>
  <c r="AP107" i="1"/>
  <c r="AI107" i="1"/>
  <c r="AW109" i="1"/>
  <c r="U107" i="1"/>
  <c r="M107" i="1"/>
  <c r="I107" i="1"/>
  <c r="E107" i="1"/>
  <c r="D107" i="1"/>
  <c r="C107" i="1"/>
  <c r="B107" i="1"/>
  <c r="A107" i="1"/>
  <c r="U106" i="1"/>
  <c r="U105" i="1"/>
  <c r="O105" i="1"/>
  <c r="I105" i="1"/>
  <c r="U104" i="1"/>
  <c r="Q103" i="1"/>
  <c r="U101" i="1"/>
  <c r="U100" i="1"/>
  <c r="O100" i="1"/>
  <c r="U99" i="1"/>
  <c r="AP98" i="1"/>
  <c r="AN98" i="1"/>
  <c r="AT98" i="1" s="1"/>
  <c r="AM98" i="1"/>
  <c r="AS98" i="1" s="1"/>
  <c r="AL98" i="1"/>
  <c r="AR98" i="1"/>
  <c r="AK98" i="1"/>
  <c r="AJ98" i="1"/>
  <c r="AI98" i="1"/>
  <c r="AO98" i="1" s="1"/>
  <c r="U98" i="1"/>
  <c r="M98" i="1"/>
  <c r="I98" i="1"/>
  <c r="E98" i="1"/>
  <c r="D98" i="1"/>
  <c r="C98" i="1"/>
  <c r="B98" i="1"/>
  <c r="A98" i="1"/>
  <c r="AR97" i="1"/>
  <c r="AN97" i="1"/>
  <c r="AT97" i="1"/>
  <c r="AM97" i="1"/>
  <c r="AS97" i="1"/>
  <c r="AL97" i="1"/>
  <c r="AK97" i="1"/>
  <c r="AQ97" i="1" s="1"/>
  <c r="Z97" i="1" s="1"/>
  <c r="AJ97" i="1"/>
  <c r="AP97" i="1"/>
  <c r="AI97" i="1"/>
  <c r="BA97" i="1"/>
  <c r="AZ98" i="1" s="1"/>
  <c r="U97" i="1"/>
  <c r="O97" i="1"/>
  <c r="M97" i="1"/>
  <c r="E97" i="1"/>
  <c r="D97" i="1"/>
  <c r="C97" i="1"/>
  <c r="B97" i="1"/>
  <c r="A97" i="1"/>
  <c r="AR96" i="1"/>
  <c r="AN96" i="1"/>
  <c r="AT96" i="1"/>
  <c r="AM96" i="1"/>
  <c r="AS96" i="1"/>
  <c r="X101" i="1" s="1"/>
  <c r="AL96" i="1"/>
  <c r="AK96" i="1"/>
  <c r="AQ96" i="1" s="1"/>
  <c r="AJ96" i="1"/>
  <c r="AP96" i="1"/>
  <c r="BF96" i="1" s="1"/>
  <c r="AI96" i="1"/>
  <c r="AW98" i="1"/>
  <c r="U96" i="1"/>
  <c r="M96" i="1"/>
  <c r="I96" i="1"/>
  <c r="E96" i="1"/>
  <c r="D96" i="1"/>
  <c r="C96" i="1"/>
  <c r="B96" i="1"/>
  <c r="A96" i="1"/>
  <c r="U95" i="1"/>
  <c r="U94" i="1"/>
  <c r="O94" i="1"/>
  <c r="I94" i="1"/>
  <c r="U93" i="1"/>
  <c r="Q92" i="1"/>
  <c r="T90" i="1"/>
  <c r="X88" i="1"/>
  <c r="P88" i="1"/>
  <c r="P87" i="1"/>
  <c r="O87" i="1" s="1"/>
  <c r="M87" i="1"/>
  <c r="A87" i="1"/>
  <c r="H87" i="1" s="1"/>
  <c r="AA86" i="1"/>
  <c r="AA85" i="1"/>
  <c r="M85" i="1"/>
  <c r="A85" i="1"/>
  <c r="F85" i="1"/>
  <c r="D81" i="1" s="1"/>
  <c r="X84" i="1"/>
  <c r="P84" i="1"/>
  <c r="X83" i="1"/>
  <c r="P83" i="1"/>
  <c r="M83" i="1"/>
  <c r="A83" i="1"/>
  <c r="F83" i="1" s="1"/>
  <c r="B85" i="1" s="1"/>
  <c r="H83" i="1"/>
  <c r="AD82" i="1"/>
  <c r="AD81" i="1"/>
  <c r="M81" i="1"/>
  <c r="A81" i="1"/>
  <c r="F81" i="1" s="1"/>
  <c r="X80" i="1"/>
  <c r="P80" i="1"/>
  <c r="X79" i="1"/>
  <c r="P79" i="1"/>
  <c r="M79" i="1"/>
  <c r="A79" i="1"/>
  <c r="F79" i="1" s="1"/>
  <c r="D77" i="1" s="1"/>
  <c r="AA78" i="1"/>
  <c r="AA77" i="1"/>
  <c r="M77" i="1"/>
  <c r="A77" i="1"/>
  <c r="F77" i="1"/>
  <c r="B81" i="1" s="1"/>
  <c r="X76" i="1"/>
  <c r="P76" i="1"/>
  <c r="O76" i="1"/>
  <c r="T76" i="1" s="1"/>
  <c r="P75" i="1"/>
  <c r="O75" i="1"/>
  <c r="M75" i="1"/>
  <c r="A75" i="1"/>
  <c r="L75" i="1" s="1"/>
  <c r="U70" i="1"/>
  <c r="U69" i="1"/>
  <c r="O69" i="1"/>
  <c r="U68" i="1"/>
  <c r="AO67" i="1"/>
  <c r="AN67" i="1"/>
  <c r="AT67" i="1" s="1"/>
  <c r="AM67" i="1"/>
  <c r="AS67" i="1" s="1"/>
  <c r="AL67" i="1"/>
  <c r="AR67" i="1" s="1"/>
  <c r="AK67" i="1"/>
  <c r="AQ67" i="1" s="1"/>
  <c r="AJ67" i="1"/>
  <c r="AP67" i="1" s="1"/>
  <c r="AI67" i="1"/>
  <c r="AW66" i="1" s="1"/>
  <c r="U67" i="1"/>
  <c r="M67" i="1"/>
  <c r="I67" i="1"/>
  <c r="E67" i="1"/>
  <c r="D67" i="1"/>
  <c r="C67" i="1"/>
  <c r="B67" i="1"/>
  <c r="A67" i="1"/>
  <c r="AQ66" i="1"/>
  <c r="Z66" i="1" s="1"/>
  <c r="AN66" i="1"/>
  <c r="AT66" i="1" s="1"/>
  <c r="AM66" i="1"/>
  <c r="AS66" i="1" s="1"/>
  <c r="AL66" i="1"/>
  <c r="AR66" i="1" s="1"/>
  <c r="Y69" i="1" s="1"/>
  <c r="AK66" i="1"/>
  <c r="AJ66" i="1"/>
  <c r="AP66" i="1" s="1"/>
  <c r="AI66" i="1"/>
  <c r="BA66" i="1" s="1"/>
  <c r="AZ67" i="1" s="1"/>
  <c r="U66" i="1"/>
  <c r="O66" i="1"/>
  <c r="M66" i="1"/>
  <c r="E66" i="1"/>
  <c r="D66" i="1"/>
  <c r="C66" i="1"/>
  <c r="B66" i="1"/>
  <c r="A66" i="1"/>
  <c r="AQ65" i="1"/>
  <c r="AN65" i="1"/>
  <c r="AT65" i="1" s="1"/>
  <c r="AM65" i="1"/>
  <c r="AS65" i="1" s="1"/>
  <c r="AL65" i="1"/>
  <c r="AR65" i="1" s="1"/>
  <c r="X69" i="1" s="1"/>
  <c r="AK65" i="1"/>
  <c r="AJ65" i="1"/>
  <c r="AP65" i="1" s="1"/>
  <c r="AI65" i="1"/>
  <c r="AW67" i="1" s="1"/>
  <c r="U65" i="1"/>
  <c r="M65" i="1"/>
  <c r="I65" i="1"/>
  <c r="E65" i="1"/>
  <c r="D65" i="1"/>
  <c r="C65" i="1"/>
  <c r="B65" i="1"/>
  <c r="A65" i="1"/>
  <c r="U64" i="1"/>
  <c r="U63" i="1"/>
  <c r="O63" i="1"/>
  <c r="I63" i="1"/>
  <c r="U62" i="1"/>
  <c r="Q61" i="1"/>
  <c r="U59" i="1"/>
  <c r="U58" i="1"/>
  <c r="O58" i="1"/>
  <c r="U57" i="1"/>
  <c r="AO56" i="1"/>
  <c r="Y51" i="1" s="1"/>
  <c r="AN56" i="1"/>
  <c r="AT56" i="1" s="1"/>
  <c r="AM56" i="1"/>
  <c r="AS56" i="1" s="1"/>
  <c r="AL56" i="1"/>
  <c r="AR56" i="1" s="1"/>
  <c r="AK56" i="1"/>
  <c r="AQ56" i="1" s="1"/>
  <c r="AJ56" i="1"/>
  <c r="AP56" i="1" s="1"/>
  <c r="X54" i="1" s="1"/>
  <c r="AI56" i="1"/>
  <c r="AY54" i="1" s="1"/>
  <c r="AX55" i="1" s="1"/>
  <c r="U56" i="1"/>
  <c r="M56" i="1"/>
  <c r="I56" i="1"/>
  <c r="E56" i="1"/>
  <c r="D56" i="1"/>
  <c r="C56" i="1"/>
  <c r="B56" i="1"/>
  <c r="A56" i="1"/>
  <c r="AQ55" i="1"/>
  <c r="AN55" i="1"/>
  <c r="AT55" i="1" s="1"/>
  <c r="AM55" i="1"/>
  <c r="AS55" i="1" s="1"/>
  <c r="AL55" i="1"/>
  <c r="AR55" i="1" s="1"/>
  <c r="AK55" i="1"/>
  <c r="AJ55" i="1"/>
  <c r="AP55" i="1" s="1"/>
  <c r="AI55" i="1"/>
  <c r="BA55" i="1" s="1"/>
  <c r="AZ56" i="1" s="1"/>
  <c r="U55" i="1"/>
  <c r="O55" i="1"/>
  <c r="M55" i="1"/>
  <c r="E55" i="1"/>
  <c r="D55" i="1"/>
  <c r="C55" i="1"/>
  <c r="B55" i="1"/>
  <c r="A55" i="1"/>
  <c r="AQ54" i="1"/>
  <c r="Z52" i="1" s="1"/>
  <c r="AN54" i="1"/>
  <c r="AT54" i="1" s="1"/>
  <c r="AM54" i="1"/>
  <c r="AS54" i="1" s="1"/>
  <c r="AL54" i="1"/>
  <c r="AR54" i="1" s="1"/>
  <c r="AK54" i="1"/>
  <c r="AJ54" i="1"/>
  <c r="AP54" i="1" s="1"/>
  <c r="AI54" i="1"/>
  <c r="AW56" i="1" s="1"/>
  <c r="U54" i="1"/>
  <c r="M54" i="1"/>
  <c r="I54" i="1"/>
  <c r="E54" i="1"/>
  <c r="D54" i="1"/>
  <c r="C54" i="1"/>
  <c r="B54" i="1"/>
  <c r="A54" i="1"/>
  <c r="U53" i="1"/>
  <c r="U52" i="1"/>
  <c r="O52" i="1"/>
  <c r="I52" i="1"/>
  <c r="U51" i="1"/>
  <c r="Q50" i="1"/>
  <c r="U48" i="1"/>
  <c r="U47" i="1"/>
  <c r="O47" i="1"/>
  <c r="U46" i="1"/>
  <c r="AO45" i="1"/>
  <c r="AN45" i="1"/>
  <c r="AT45" i="1" s="1"/>
  <c r="AM45" i="1"/>
  <c r="AS45" i="1" s="1"/>
  <c r="AL45" i="1"/>
  <c r="AR45" i="1" s="1"/>
  <c r="AK45" i="1"/>
  <c r="AQ45" i="1" s="1"/>
  <c r="AJ45" i="1"/>
  <c r="AP45" i="1" s="1"/>
  <c r="AI45" i="1"/>
  <c r="AY43" i="1" s="1"/>
  <c r="AX44" i="1" s="1"/>
  <c r="U45" i="1"/>
  <c r="M45" i="1"/>
  <c r="I45" i="1"/>
  <c r="E45" i="1"/>
  <c r="D45" i="1"/>
  <c r="C45" i="1"/>
  <c r="B45" i="1"/>
  <c r="A45" i="1"/>
  <c r="AQ44" i="1"/>
  <c r="Z44" i="1" s="1"/>
  <c r="AN44" i="1"/>
  <c r="AT44" i="1" s="1"/>
  <c r="AM44" i="1"/>
  <c r="AS44" i="1" s="1"/>
  <c r="AL44" i="1"/>
  <c r="AR44" i="1" s="1"/>
  <c r="AK44" i="1"/>
  <c r="AJ44" i="1"/>
  <c r="AP44" i="1" s="1"/>
  <c r="AI44" i="1"/>
  <c r="BA44" i="1" s="1"/>
  <c r="AZ45" i="1" s="1"/>
  <c r="U44" i="1"/>
  <c r="O44" i="1"/>
  <c r="M44" i="1"/>
  <c r="E44" i="1"/>
  <c r="D44" i="1"/>
  <c r="C44" i="1"/>
  <c r="B44" i="1"/>
  <c r="A44" i="1"/>
  <c r="AQ43" i="1"/>
  <c r="AN43" i="1"/>
  <c r="AT43" i="1" s="1"/>
  <c r="AM43" i="1"/>
  <c r="AS43" i="1" s="1"/>
  <c r="AL43" i="1"/>
  <c r="AR43" i="1" s="1"/>
  <c r="X47" i="1" s="1"/>
  <c r="AK43" i="1"/>
  <c r="AJ43" i="1"/>
  <c r="AP43" i="1" s="1"/>
  <c r="AI43" i="1"/>
  <c r="AW45" i="1" s="1"/>
  <c r="BB43" i="1" s="1"/>
  <c r="U43" i="1"/>
  <c r="M43" i="1"/>
  <c r="I43" i="1"/>
  <c r="E43" i="1"/>
  <c r="D43" i="1"/>
  <c r="C43" i="1"/>
  <c r="B43" i="1"/>
  <c r="A43" i="1"/>
  <c r="U42" i="1"/>
  <c r="U41" i="1"/>
  <c r="O41" i="1"/>
  <c r="I41" i="1"/>
  <c r="U40" i="1"/>
  <c r="Q39" i="1"/>
  <c r="U37" i="1"/>
  <c r="U36" i="1"/>
  <c r="O36" i="1"/>
  <c r="U35" i="1"/>
  <c r="AO34" i="1"/>
  <c r="Y29" i="1" s="1"/>
  <c r="AN34" i="1"/>
  <c r="AT34" i="1" s="1"/>
  <c r="AM34" i="1"/>
  <c r="AS34" i="1" s="1"/>
  <c r="AL34" i="1"/>
  <c r="AR34" i="1" s="1"/>
  <c r="AK34" i="1"/>
  <c r="AJ34" i="1"/>
  <c r="AP34" i="1" s="1"/>
  <c r="AI34" i="1"/>
  <c r="AW33" i="1" s="1"/>
  <c r="U34" i="1"/>
  <c r="M34" i="1"/>
  <c r="I34" i="1"/>
  <c r="E34" i="1"/>
  <c r="D34" i="1"/>
  <c r="C34" i="1"/>
  <c r="B34" i="1"/>
  <c r="A34" i="1"/>
  <c r="AQ33" i="1"/>
  <c r="AN33" i="1"/>
  <c r="AT33" i="1" s="1"/>
  <c r="AM33" i="1"/>
  <c r="AS33" i="1" s="1"/>
  <c r="AL33" i="1"/>
  <c r="AR33" i="1" s="1"/>
  <c r="AK33" i="1"/>
  <c r="AJ33" i="1"/>
  <c r="AP33" i="1" s="1"/>
  <c r="BF33" i="1" s="1"/>
  <c r="AI33" i="1"/>
  <c r="BA33" i="1" s="1"/>
  <c r="AZ34" i="1" s="1"/>
  <c r="U33" i="1"/>
  <c r="O33" i="1"/>
  <c r="M33" i="1"/>
  <c r="E33" i="1"/>
  <c r="D33" i="1"/>
  <c r="C33" i="1"/>
  <c r="B33" i="1"/>
  <c r="A33" i="1"/>
  <c r="AQ32" i="1"/>
  <c r="Z30" i="1" s="1"/>
  <c r="AN32" i="1"/>
  <c r="AT32" i="1" s="1"/>
  <c r="AM32" i="1"/>
  <c r="AS32" i="1" s="1"/>
  <c r="AL32" i="1"/>
  <c r="AR32" i="1" s="1"/>
  <c r="AK32" i="1"/>
  <c r="AJ32" i="1"/>
  <c r="AP32" i="1" s="1"/>
  <c r="AI32" i="1"/>
  <c r="AW34" i="1" s="1"/>
  <c r="U32" i="1"/>
  <c r="M32" i="1"/>
  <c r="I32" i="1"/>
  <c r="E32" i="1"/>
  <c r="D32" i="1"/>
  <c r="C32" i="1"/>
  <c r="B32" i="1"/>
  <c r="A32" i="1"/>
  <c r="U31" i="1"/>
  <c r="U30" i="1"/>
  <c r="O30" i="1"/>
  <c r="I30" i="1"/>
  <c r="U29" i="1"/>
  <c r="Q28" i="1"/>
  <c r="U26" i="1"/>
  <c r="U25" i="1"/>
  <c r="O25" i="1"/>
  <c r="U24" i="1"/>
  <c r="AO23" i="1"/>
  <c r="AN23" i="1"/>
  <c r="AT23" i="1" s="1"/>
  <c r="AM23" i="1"/>
  <c r="AS23" i="1" s="1"/>
  <c r="AL23" i="1"/>
  <c r="AR23" i="1" s="1"/>
  <c r="AK23" i="1"/>
  <c r="AQ23" i="1" s="1"/>
  <c r="AJ23" i="1"/>
  <c r="AP23" i="1" s="1"/>
  <c r="X21" i="1" s="1"/>
  <c r="AI23" i="1"/>
  <c r="U23" i="1"/>
  <c r="M23" i="1"/>
  <c r="I23" i="1"/>
  <c r="E23" i="1"/>
  <c r="D23" i="1"/>
  <c r="C23" i="1"/>
  <c r="B23" i="1"/>
  <c r="A23" i="1"/>
  <c r="AQ22" i="1"/>
  <c r="Z22" i="1" s="1"/>
  <c r="AN22" i="1"/>
  <c r="AT22" i="1" s="1"/>
  <c r="AM22" i="1"/>
  <c r="AS22" i="1" s="1"/>
  <c r="AL22" i="1"/>
  <c r="AR22" i="1" s="1"/>
  <c r="Y25" i="1" s="1"/>
  <c r="AK22" i="1"/>
  <c r="AJ22" i="1"/>
  <c r="AP22" i="1" s="1"/>
  <c r="BF22" i="1" s="1"/>
  <c r="AI22" i="1"/>
  <c r="BA22" i="1" s="1"/>
  <c r="AZ23" i="1" s="1"/>
  <c r="U22" i="1"/>
  <c r="O22" i="1"/>
  <c r="M22" i="1"/>
  <c r="E22" i="1"/>
  <c r="D22" i="1"/>
  <c r="C22" i="1"/>
  <c r="B22" i="1"/>
  <c r="A22" i="1"/>
  <c r="AQ21" i="1"/>
  <c r="AN21" i="1"/>
  <c r="AT21" i="1" s="1"/>
  <c r="AM21" i="1"/>
  <c r="AS21" i="1" s="1"/>
  <c r="AL21" i="1"/>
  <c r="AR21" i="1" s="1"/>
  <c r="X25" i="1" s="1"/>
  <c r="AK21" i="1"/>
  <c r="AJ21" i="1"/>
  <c r="AP21" i="1" s="1"/>
  <c r="AI21" i="1"/>
  <c r="AW23" i="1" s="1"/>
  <c r="BB21" i="1" s="1"/>
  <c r="U21" i="1"/>
  <c r="M21" i="1"/>
  <c r="I21" i="1"/>
  <c r="E21" i="1"/>
  <c r="D21" i="1"/>
  <c r="C21" i="1"/>
  <c r="B21" i="1"/>
  <c r="A21" i="1"/>
  <c r="U20" i="1"/>
  <c r="U19" i="1"/>
  <c r="O19" i="1"/>
  <c r="I19" i="1"/>
  <c r="U18" i="1"/>
  <c r="Q17" i="1"/>
  <c r="U15" i="1"/>
  <c r="U14" i="1"/>
  <c r="O14" i="1"/>
  <c r="U13" i="1"/>
  <c r="AO12" i="1"/>
  <c r="Y7" i="1" s="1"/>
  <c r="AN12" i="1"/>
  <c r="AT12" i="1" s="1"/>
  <c r="AM12" i="1"/>
  <c r="AS12" i="1" s="1"/>
  <c r="AL12" i="1"/>
  <c r="AR12" i="1" s="1"/>
  <c r="AK12" i="1"/>
  <c r="AQ12" i="1" s="1"/>
  <c r="AJ12" i="1"/>
  <c r="AP12" i="1" s="1"/>
  <c r="AI12" i="1"/>
  <c r="AW11" i="1" s="1"/>
  <c r="U12" i="1"/>
  <c r="M12" i="1"/>
  <c r="I12" i="1"/>
  <c r="E12" i="1"/>
  <c r="D12" i="1"/>
  <c r="C12" i="1"/>
  <c r="B12" i="1"/>
  <c r="A12" i="1"/>
  <c r="AQ11" i="1"/>
  <c r="AN11" i="1"/>
  <c r="AT11" i="1" s="1"/>
  <c r="AM11" i="1"/>
  <c r="AS11" i="1" s="1"/>
  <c r="AL11" i="1"/>
  <c r="AR11" i="1" s="1"/>
  <c r="AK11" i="1"/>
  <c r="AJ11" i="1"/>
  <c r="AP11" i="1" s="1"/>
  <c r="BF11" i="1" s="1"/>
  <c r="AI11" i="1"/>
  <c r="BA11" i="1" s="1"/>
  <c r="AZ12" i="1" s="1"/>
  <c r="U11" i="1"/>
  <c r="O11" i="1"/>
  <c r="M11" i="1"/>
  <c r="E11" i="1"/>
  <c r="D11" i="1"/>
  <c r="C11" i="1"/>
  <c r="B11" i="1"/>
  <c r="A11" i="1"/>
  <c r="AQ10" i="1"/>
  <c r="Z8" i="1" s="1"/>
  <c r="AN10" i="1"/>
  <c r="AT10" i="1" s="1"/>
  <c r="AM10" i="1"/>
  <c r="AS10" i="1" s="1"/>
  <c r="AL10" i="1"/>
  <c r="AR10" i="1" s="1"/>
  <c r="AK10" i="1"/>
  <c r="AJ10" i="1"/>
  <c r="AP10" i="1" s="1"/>
  <c r="AI10" i="1"/>
  <c r="AW12" i="1" s="1"/>
  <c r="BB10" i="1" s="1"/>
  <c r="U10" i="1"/>
  <c r="M10" i="1"/>
  <c r="I10" i="1"/>
  <c r="E10" i="1"/>
  <c r="D10" i="1"/>
  <c r="C10" i="1"/>
  <c r="B10" i="1"/>
  <c r="A10" i="1"/>
  <c r="U9" i="1"/>
  <c r="U8" i="1"/>
  <c r="O8" i="1"/>
  <c r="I8" i="1"/>
  <c r="U7" i="1"/>
  <c r="Q6" i="1"/>
  <c r="T4" i="1"/>
  <c r="T2" i="1"/>
  <c r="T1" i="1"/>
  <c r="BF107" i="1"/>
  <c r="Q76" i="1"/>
  <c r="BB96" i="1"/>
  <c r="Z95" i="1"/>
  <c r="Z98" i="1"/>
  <c r="Y101" i="1"/>
  <c r="BE98" i="1"/>
  <c r="BB107" i="1"/>
  <c r="Z106" i="1"/>
  <c r="X112" i="1"/>
  <c r="T162" i="1"/>
  <c r="Q162" i="1"/>
  <c r="O79" i="1"/>
  <c r="H85" i="1"/>
  <c r="X109" i="1"/>
  <c r="AY109" i="1"/>
  <c r="BB108" i="1"/>
  <c r="BA119" i="1"/>
  <c r="AZ120" i="1"/>
  <c r="BB228" i="1"/>
  <c r="AQ247" i="1"/>
  <c r="AY242" i="1"/>
  <c r="H256" i="1"/>
  <c r="X257" i="1"/>
  <c r="Z265" i="1"/>
  <c r="X271" i="1"/>
  <c r="Y317" i="1"/>
  <c r="Z314" i="1"/>
  <c r="BA314" i="1"/>
  <c r="AZ315" i="1" s="1"/>
  <c r="L626" i="1"/>
  <c r="H626" i="1"/>
  <c r="H630" i="1"/>
  <c r="F630" i="1"/>
  <c r="D628" i="1" s="1"/>
  <c r="Y750" i="1"/>
  <c r="Z747" i="1"/>
  <c r="Z809" i="1"/>
  <c r="AA806" i="1"/>
  <c r="AY21" i="1"/>
  <c r="AY23" i="1"/>
  <c r="BB22" i="1" s="1"/>
  <c r="AW44" i="1"/>
  <c r="AW55" i="1"/>
  <c r="AY65" i="1"/>
  <c r="H79" i="1"/>
  <c r="AY96" i="1"/>
  <c r="BG108" i="1"/>
  <c r="AY120" i="1"/>
  <c r="BB119" i="1" s="1"/>
  <c r="BA130" i="1"/>
  <c r="AZ131" i="1"/>
  <c r="BA204" i="1"/>
  <c r="AX206" i="1"/>
  <c r="AW268" i="1"/>
  <c r="AP266" i="1"/>
  <c r="BC267" i="1"/>
  <c r="AZ269" i="1"/>
  <c r="AY269" i="1"/>
  <c r="BD267" i="1"/>
  <c r="AO267" i="1"/>
  <c r="AP269" i="1"/>
  <c r="AY282" i="1"/>
  <c r="BB281" i="1"/>
  <c r="AO281" i="1"/>
  <c r="AY293" i="1"/>
  <c r="BB292" i="1" s="1"/>
  <c r="AO292" i="1"/>
  <c r="BA292" i="1"/>
  <c r="AZ293" i="1"/>
  <c r="X317" i="1"/>
  <c r="Z311" i="1"/>
  <c r="BA313" i="1"/>
  <c r="AX315" i="1" s="1"/>
  <c r="AW314" i="1"/>
  <c r="AY313" i="1"/>
  <c r="AO315" i="1"/>
  <c r="AP325" i="1"/>
  <c r="H468" i="1"/>
  <c r="AO496" i="1"/>
  <c r="AY497" i="1"/>
  <c r="BB496" i="1" s="1"/>
  <c r="BA496" i="1"/>
  <c r="AZ497" i="1" s="1"/>
  <c r="AO506" i="1"/>
  <c r="AW508" i="1"/>
  <c r="BA506" i="1"/>
  <c r="AX508" i="1"/>
  <c r="AR539" i="1"/>
  <c r="BA539" i="1"/>
  <c r="AX541" i="1" s="1"/>
  <c r="AW541" i="1"/>
  <c r="AO562" i="1"/>
  <c r="AY563" i="1"/>
  <c r="BB562" i="1" s="1"/>
  <c r="BA562" i="1"/>
  <c r="AZ563" i="1" s="1"/>
  <c r="BA663" i="1"/>
  <c r="AX665" i="1"/>
  <c r="AO663" i="1"/>
  <c r="AW665" i="1"/>
  <c r="AO11" i="1"/>
  <c r="AO22" i="1"/>
  <c r="AO32" i="1"/>
  <c r="AQ34" i="1"/>
  <c r="AO44" i="1"/>
  <c r="AO55" i="1"/>
  <c r="AO66" i="1"/>
  <c r="Q75" i="1"/>
  <c r="AO96" i="1"/>
  <c r="AO97" i="1"/>
  <c r="AQ98" i="1"/>
  <c r="X107" i="1"/>
  <c r="AO107" i="1"/>
  <c r="AZ107" i="1"/>
  <c r="AO108" i="1"/>
  <c r="BA118" i="1"/>
  <c r="AX120" i="1"/>
  <c r="AY131" i="1"/>
  <c r="BB130" i="1" s="1"/>
  <c r="Z141" i="1"/>
  <c r="BA141" i="1"/>
  <c r="AZ142" i="1" s="1"/>
  <c r="AW142" i="1"/>
  <c r="Y155" i="1"/>
  <c r="AW152" i="1"/>
  <c r="AY151" i="1"/>
  <c r="AO153" i="1"/>
  <c r="AY184" i="1"/>
  <c r="Z194" i="1"/>
  <c r="BA194" i="1"/>
  <c r="AZ195" i="1"/>
  <c r="AW195" i="1"/>
  <c r="Y208" i="1"/>
  <c r="AW205" i="1"/>
  <c r="AY204" i="1"/>
  <c r="AO206" i="1"/>
  <c r="G216" i="1"/>
  <c r="F216" i="1"/>
  <c r="BA228" i="1"/>
  <c r="AX230" i="1" s="1"/>
  <c r="AY231" i="1"/>
  <c r="BD229" i="1" s="1"/>
  <c r="AO229" i="1"/>
  <c r="BC229" i="1"/>
  <c r="AZ231" i="1"/>
  <c r="AY228" i="1"/>
  <c r="AO233" i="1"/>
  <c r="AW229" i="1"/>
  <c r="BC243" i="1"/>
  <c r="AZ245" i="1" s="1"/>
  <c r="AW245" i="1"/>
  <c r="AO244" i="1"/>
  <c r="BC242" i="1"/>
  <c r="AX245" i="1" s="1"/>
  <c r="F256" i="1"/>
  <c r="X255" i="1"/>
  <c r="BA266" i="1"/>
  <c r="AX268" i="1"/>
  <c r="AO271" i="1"/>
  <c r="AW267" i="1"/>
  <c r="AY266" i="1"/>
  <c r="AW281" i="1"/>
  <c r="AY280" i="1"/>
  <c r="AO282" i="1"/>
  <c r="AW282" i="1"/>
  <c r="X293" i="1"/>
  <c r="Y306" i="1"/>
  <c r="BC324" i="1"/>
  <c r="AX327" i="1"/>
  <c r="AO326" i="1"/>
  <c r="AW327" i="1"/>
  <c r="X326" i="1"/>
  <c r="H338" i="1"/>
  <c r="L338" i="1"/>
  <c r="AO360" i="1"/>
  <c r="AW362" i="1"/>
  <c r="AO372" i="1"/>
  <c r="AY373" i="1"/>
  <c r="BA372" i="1"/>
  <c r="AZ373" i="1" s="1"/>
  <c r="AO394" i="1"/>
  <c r="AY395" i="1"/>
  <c r="BB394" i="1"/>
  <c r="BA394" i="1"/>
  <c r="AZ395" i="1"/>
  <c r="AO416" i="1"/>
  <c r="AY417" i="1"/>
  <c r="BA416" i="1"/>
  <c r="AZ417" i="1"/>
  <c r="AO438" i="1"/>
  <c r="AY439" i="1"/>
  <c r="BB438" i="1" s="1"/>
  <c r="BA438" i="1"/>
  <c r="AZ439" i="1" s="1"/>
  <c r="F468" i="1"/>
  <c r="D464" i="1"/>
  <c r="H476" i="1"/>
  <c r="Q482" i="1"/>
  <c r="T482" i="1"/>
  <c r="X498" i="1"/>
  <c r="Z497" i="1"/>
  <c r="AR497" i="1"/>
  <c r="AW496" i="1"/>
  <c r="AR517" i="1"/>
  <c r="BA517" i="1"/>
  <c r="AX519" i="1"/>
  <c r="AW519" i="1"/>
  <c r="AO540" i="1"/>
  <c r="AY541" i="1"/>
  <c r="BB540" i="1"/>
  <c r="BA540" i="1"/>
  <c r="AZ541" i="1"/>
  <c r="Z563" i="1"/>
  <c r="AR563" i="1"/>
  <c r="Y559" i="1" s="1"/>
  <c r="AW562" i="1"/>
  <c r="AX595" i="1"/>
  <c r="AR607" i="1"/>
  <c r="Y603" i="1" s="1"/>
  <c r="AY605" i="1"/>
  <c r="AW606" i="1"/>
  <c r="AO701" i="1"/>
  <c r="AY699" i="1"/>
  <c r="AW700" i="1"/>
  <c r="BG700" i="1" s="1"/>
  <c r="H77" i="1"/>
  <c r="AW130" i="1"/>
  <c r="AY129" i="1"/>
  <c r="AO131" i="1"/>
  <c r="BA140" i="1"/>
  <c r="AX142" i="1"/>
  <c r="X154" i="1"/>
  <c r="Z148" i="1"/>
  <c r="BE183" i="1"/>
  <c r="AW183" i="1"/>
  <c r="AY182" i="1"/>
  <c r="AO184" i="1"/>
  <c r="X184" i="1"/>
  <c r="BA193" i="1"/>
  <c r="AX195" i="1"/>
  <c r="AQ245" i="1"/>
  <c r="BA243" i="1"/>
  <c r="AZ244" i="1" s="1"/>
  <c r="AY245" i="1"/>
  <c r="BD243" i="1"/>
  <c r="Z278" i="1"/>
  <c r="Y284" i="1"/>
  <c r="Z281" i="1"/>
  <c r="Y278" i="1"/>
  <c r="AO291" i="1"/>
  <c r="BA291" i="1"/>
  <c r="AX293" i="1"/>
  <c r="X372" i="1"/>
  <c r="X371" i="1"/>
  <c r="Q395" i="1"/>
  <c r="Y435" i="1"/>
  <c r="H460" i="1"/>
  <c r="D626" i="1"/>
  <c r="H650" i="1"/>
  <c r="F650" i="1"/>
  <c r="B652" i="1"/>
  <c r="AA661" i="1"/>
  <c r="AA667" i="1"/>
  <c r="AQ746" i="1"/>
  <c r="AW748" i="1"/>
  <c r="AY12" i="1"/>
  <c r="AY34" i="1"/>
  <c r="AY98" i="1"/>
  <c r="BB97" i="1" s="1"/>
  <c r="Y100" i="1"/>
  <c r="Y106" i="1"/>
  <c r="AY107" i="1"/>
  <c r="AW141" i="1"/>
  <c r="AY140" i="1"/>
  <c r="AO142" i="1"/>
  <c r="BA151" i="1"/>
  <c r="AX153" i="1" s="1"/>
  <c r="Z183" i="1"/>
  <c r="BA183" i="1"/>
  <c r="AZ184" i="1"/>
  <c r="BB182" i="1"/>
  <c r="AW194" i="1"/>
  <c r="AY193" i="1"/>
  <c r="AO195" i="1"/>
  <c r="L214" i="1"/>
  <c r="X232" i="1"/>
  <c r="Z226" i="1"/>
  <c r="AU228" i="1"/>
  <c r="Q228" i="1" s="1"/>
  <c r="AA227" i="1"/>
  <c r="AW231" i="1"/>
  <c r="BE244" i="1"/>
  <c r="AW243" i="1"/>
  <c r="BA10" i="1"/>
  <c r="AX12" i="1" s="1"/>
  <c r="BA21" i="1"/>
  <c r="AX23" i="1" s="1"/>
  <c r="BA32" i="1"/>
  <c r="AX34" i="1" s="1"/>
  <c r="BA43" i="1"/>
  <c r="AX45" i="1" s="1"/>
  <c r="BA54" i="1"/>
  <c r="BA96" i="1"/>
  <c r="AX98" i="1" s="1"/>
  <c r="Z105" i="1"/>
  <c r="BA107" i="1"/>
  <c r="AX109" i="1"/>
  <c r="AU119" i="1"/>
  <c r="Q119" i="1" s="1"/>
  <c r="AW119" i="1"/>
  <c r="AY118" i="1"/>
  <c r="AO120" i="1"/>
  <c r="Y117" i="1"/>
  <c r="X120" i="1"/>
  <c r="BA129" i="1"/>
  <c r="AX131" i="1"/>
  <c r="X143" i="1"/>
  <c r="Z137" i="1"/>
  <c r="AY142" i="1"/>
  <c r="BB141" i="1"/>
  <c r="BA152" i="1"/>
  <c r="AZ153" i="1"/>
  <c r="AW153" i="1"/>
  <c r="BA182" i="1"/>
  <c r="AX184" i="1" s="1"/>
  <c r="X197" i="1"/>
  <c r="AY195" i="1"/>
  <c r="BB194" i="1" s="1"/>
  <c r="Z195" i="1"/>
  <c r="BA205" i="1"/>
  <c r="AZ206" i="1" s="1"/>
  <c r="AW206" i="1"/>
  <c r="G218" i="1"/>
  <c r="E216" i="1" s="1"/>
  <c r="F218" i="1"/>
  <c r="D216" i="1" s="1"/>
  <c r="Y226" i="1"/>
  <c r="Z227" i="1"/>
  <c r="Z230" i="1"/>
  <c r="BC228" i="1"/>
  <c r="AX231" i="1"/>
  <c r="AQ230" i="1"/>
  <c r="AA225" i="1"/>
  <c r="AU230" i="1"/>
  <c r="Q230" i="1" s="1"/>
  <c r="BA231" i="1"/>
  <c r="BD230" i="1" s="1"/>
  <c r="BC230" i="1"/>
  <c r="AQ232" i="1"/>
  <c r="AA232" i="1" s="1"/>
  <c r="AW244" i="1"/>
  <c r="AO242" i="1"/>
  <c r="BA245" i="1"/>
  <c r="BD244" i="1" s="1"/>
  <c r="BH244" i="1" s="1"/>
  <c r="AC245" i="1" s="1"/>
  <c r="AO246" i="1"/>
  <c r="BC244" i="1"/>
  <c r="BB245" i="1"/>
  <c r="AA247" i="1"/>
  <c r="G256" i="1"/>
  <c r="X256" i="1" s="1"/>
  <c r="BE266" i="1"/>
  <c r="AP268" i="1"/>
  <c r="AW269" i="1"/>
  <c r="BC266" i="1"/>
  <c r="AX269" i="1"/>
  <c r="AQ270" i="1"/>
  <c r="BC268" i="1"/>
  <c r="BB269" i="1" s="1"/>
  <c r="AU270" i="1"/>
  <c r="Q270" i="1" s="1"/>
  <c r="AA269" i="1"/>
  <c r="Z290" i="1"/>
  <c r="BE304" i="1"/>
  <c r="AW315" i="1"/>
  <c r="AA326" i="1"/>
  <c r="BA327" i="1"/>
  <c r="BD326" i="1" s="1"/>
  <c r="AU328" i="1"/>
  <c r="Q328" i="1" s="1"/>
  <c r="AP329" i="1"/>
  <c r="AW325" i="1"/>
  <c r="H340" i="1"/>
  <c r="H342" i="1"/>
  <c r="H344" i="1"/>
  <c r="H346" i="1"/>
  <c r="H348" i="1"/>
  <c r="H350" i="1"/>
  <c r="L350" i="1"/>
  <c r="BA360" i="1"/>
  <c r="AX362" i="1" s="1"/>
  <c r="Y364" i="1"/>
  <c r="AP373" i="1"/>
  <c r="AW372" i="1"/>
  <c r="AY371" i="1"/>
  <c r="AO382" i="1"/>
  <c r="AW384" i="1"/>
  <c r="BA382" i="1"/>
  <c r="AX384" i="1"/>
  <c r="X387" i="1"/>
  <c r="X384" i="1"/>
  <c r="AP395" i="1"/>
  <c r="X393" i="1"/>
  <c r="AW394" i="1"/>
  <c r="AY393" i="1"/>
  <c r="AO404" i="1"/>
  <c r="AW406" i="1"/>
  <c r="BA404" i="1"/>
  <c r="AX406" i="1" s="1"/>
  <c r="Z403" i="1"/>
  <c r="Y408" i="1"/>
  <c r="AP417" i="1"/>
  <c r="AW416" i="1"/>
  <c r="AY415" i="1"/>
  <c r="AO426" i="1"/>
  <c r="AW428" i="1"/>
  <c r="BA426" i="1"/>
  <c r="AX428" i="1" s="1"/>
  <c r="Z425" i="1"/>
  <c r="Y430" i="1"/>
  <c r="BG439" i="1"/>
  <c r="AO448" i="1"/>
  <c r="AW450" i="1"/>
  <c r="BA448" i="1"/>
  <c r="AX450" i="1"/>
  <c r="X453" i="1"/>
  <c r="X450" i="1"/>
  <c r="O462" i="1"/>
  <c r="T467" i="1"/>
  <c r="Q467" i="1"/>
  <c r="F484" i="1"/>
  <c r="D480" i="1"/>
  <c r="BE497" i="1"/>
  <c r="Z492" i="1"/>
  <c r="AU495" i="1"/>
  <c r="Q495" i="1" s="1"/>
  <c r="AO518" i="1"/>
  <c r="AY519" i="1"/>
  <c r="BB518" i="1" s="1"/>
  <c r="BA518" i="1"/>
  <c r="AZ519" i="1" s="1"/>
  <c r="BE596" i="1"/>
  <c r="BA595" i="1"/>
  <c r="AZ596" i="1" s="1"/>
  <c r="AO595" i="1"/>
  <c r="AY596" i="1"/>
  <c r="BB595" i="1"/>
  <c r="Y599" i="1"/>
  <c r="Z614" i="1"/>
  <c r="Z617" i="1"/>
  <c r="L634" i="1"/>
  <c r="H634" i="1"/>
  <c r="F640" i="1"/>
  <c r="H640" i="1"/>
  <c r="L654" i="1"/>
  <c r="H654" i="1"/>
  <c r="AU746" i="1"/>
  <c r="Q746" i="1" s="1"/>
  <c r="H163" i="1"/>
  <c r="H167" i="1"/>
  <c r="H171" i="1"/>
  <c r="Z264" i="1"/>
  <c r="AU266" i="1"/>
  <c r="Q266" i="1" s="1"/>
  <c r="Z263" i="1"/>
  <c r="AU268" i="1"/>
  <c r="Q268" i="1" s="1"/>
  <c r="X269" i="1"/>
  <c r="AW292" i="1"/>
  <c r="AY291" i="1"/>
  <c r="AY304" i="1"/>
  <c r="BB303" i="1"/>
  <c r="AW304" i="1"/>
  <c r="BF313" i="1"/>
  <c r="AW326" i="1"/>
  <c r="BC326" i="1"/>
  <c r="BB327" i="1" s="1"/>
  <c r="O341" i="1"/>
  <c r="AO361" i="1"/>
  <c r="AY362" i="1"/>
  <c r="BB361" i="1" s="1"/>
  <c r="AP362" i="1"/>
  <c r="AW361" i="1"/>
  <c r="BF372" i="1"/>
  <c r="AO383" i="1"/>
  <c r="AY384" i="1"/>
  <c r="BB383" i="1" s="1"/>
  <c r="AP384" i="1"/>
  <c r="AW383" i="1"/>
  <c r="AY382" i="1"/>
  <c r="AO405" i="1"/>
  <c r="AY406" i="1"/>
  <c r="BB405" i="1"/>
  <c r="AP406" i="1"/>
  <c r="Y401" i="1"/>
  <c r="AW405" i="1"/>
  <c r="AY404" i="1"/>
  <c r="BF416" i="1"/>
  <c r="AO427" i="1"/>
  <c r="AY428" i="1"/>
  <c r="AP428" i="1"/>
  <c r="X426" i="1" s="1"/>
  <c r="AW427" i="1"/>
  <c r="AY426" i="1"/>
  <c r="BF448" i="1"/>
  <c r="AO449" i="1"/>
  <c r="AY450" i="1"/>
  <c r="BB449" i="1" s="1"/>
  <c r="L486" i="1"/>
  <c r="Y510" i="1"/>
  <c r="AO528" i="1"/>
  <c r="AW530" i="1"/>
  <c r="BA528" i="1"/>
  <c r="AX530" i="1" s="1"/>
  <c r="Z527" i="1"/>
  <c r="Y532" i="1"/>
  <c r="AO550" i="1"/>
  <c r="AW552" i="1"/>
  <c r="BA550" i="1"/>
  <c r="AX552" i="1"/>
  <c r="X555" i="1"/>
  <c r="Y554" i="1"/>
  <c r="X563" i="1"/>
  <c r="X595" i="1"/>
  <c r="Y591" i="1"/>
  <c r="Z603" i="1"/>
  <c r="T654" i="1"/>
  <c r="AR668" i="1"/>
  <c r="AW664" i="1"/>
  <c r="X729" i="1"/>
  <c r="AY244" i="1"/>
  <c r="BB243" i="1"/>
  <c r="X270" i="1"/>
  <c r="BA303" i="1"/>
  <c r="AZ304" i="1"/>
  <c r="AW303" i="1"/>
  <c r="AY302" i="1"/>
  <c r="AY315" i="1"/>
  <c r="BB314" i="1" s="1"/>
  <c r="BA324" i="1"/>
  <c r="AX326" i="1" s="1"/>
  <c r="AY327" i="1"/>
  <c r="BD325" i="1" s="1"/>
  <c r="AO325" i="1"/>
  <c r="AY324" i="1"/>
  <c r="AY360" i="1"/>
  <c r="Y358" i="1"/>
  <c r="Y365" i="1"/>
  <c r="Y375" i="1"/>
  <c r="Y380" i="1"/>
  <c r="Y392" i="1"/>
  <c r="X405" i="1"/>
  <c r="AU406" i="1"/>
  <c r="Q406" i="1" s="1"/>
  <c r="Y409" i="1"/>
  <c r="Y419" i="1"/>
  <c r="X427" i="1"/>
  <c r="AW438" i="1"/>
  <c r="X449" i="1"/>
  <c r="AU450" i="1"/>
  <c r="Q450" i="1" s="1"/>
  <c r="X448" i="1"/>
  <c r="F464" i="1"/>
  <c r="B472" i="1" s="1"/>
  <c r="F472" i="1"/>
  <c r="F480" i="1"/>
  <c r="D472" i="1"/>
  <c r="H486" i="1"/>
  <c r="X518" i="1"/>
  <c r="AU519" i="1"/>
  <c r="Q519" i="1" s="1"/>
  <c r="X517" i="1"/>
  <c r="AZ528" i="1"/>
  <c r="X540" i="1"/>
  <c r="AU541" i="1"/>
  <c r="Q541" i="1" s="1"/>
  <c r="X539" i="1"/>
  <c r="BE563" i="1"/>
  <c r="Z573" i="1"/>
  <c r="AQ585" i="1"/>
  <c r="AW584" i="1"/>
  <c r="AY583" i="1"/>
  <c r="Y580" i="1"/>
  <c r="AW596" i="1"/>
  <c r="BA594" i="1"/>
  <c r="AO594" i="1"/>
  <c r="X599" i="1"/>
  <c r="Z593" i="1"/>
  <c r="AY607" i="1"/>
  <c r="BB606" i="1"/>
  <c r="T646" i="1"/>
  <c r="Q646" i="1"/>
  <c r="F652" i="1"/>
  <c r="D648" i="1"/>
  <c r="H652" i="1"/>
  <c r="Z661" i="1"/>
  <c r="AP665" i="1"/>
  <c r="BF663" i="1"/>
  <c r="BC663" i="1"/>
  <c r="AX666" i="1"/>
  <c r="AA662" i="1"/>
  <c r="X671" i="1"/>
  <c r="AY737" i="1"/>
  <c r="BB736" i="1"/>
  <c r="AR736" i="1"/>
  <c r="Z736" i="1"/>
  <c r="Y738" i="1"/>
  <c r="Y756" i="1"/>
  <c r="X759" i="1"/>
  <c r="AO768" i="1"/>
  <c r="AW770" i="1"/>
  <c r="BA768" i="1"/>
  <c r="AX770" i="1"/>
  <c r="X773" i="1"/>
  <c r="AY437" i="1"/>
  <c r="AY448" i="1"/>
  <c r="AY495" i="1"/>
  <c r="AO507" i="1"/>
  <c r="AY508" i="1"/>
  <c r="BB507" i="1"/>
  <c r="AP508" i="1"/>
  <c r="Y503" i="1"/>
  <c r="AW507" i="1"/>
  <c r="BE517" i="1"/>
  <c r="BF528" i="1"/>
  <c r="AO529" i="1"/>
  <c r="AY530" i="1"/>
  <c r="BB529" i="1" s="1"/>
  <c r="BE539" i="1"/>
  <c r="BF550" i="1"/>
  <c r="AO551" i="1"/>
  <c r="AY552" i="1"/>
  <c r="BB551" i="1" s="1"/>
  <c r="BA584" i="1"/>
  <c r="AZ585" i="1" s="1"/>
  <c r="AO584" i="1"/>
  <c r="AY585" i="1"/>
  <c r="BB584" i="1"/>
  <c r="Z585" i="1"/>
  <c r="Y609" i="1"/>
  <c r="Y604" i="1"/>
  <c r="Q626" i="1"/>
  <c r="O630" i="1"/>
  <c r="O631" i="1" s="1"/>
  <c r="F636" i="1"/>
  <c r="D632" i="1" s="1"/>
  <c r="H636" i="1"/>
  <c r="X665" i="1"/>
  <c r="BE677" i="1"/>
  <c r="Y682" i="1"/>
  <c r="Z679" i="1"/>
  <c r="X692" i="1"/>
  <c r="X691" i="1"/>
  <c r="AQ689" i="1"/>
  <c r="Y692" i="1" s="1"/>
  <c r="AY690" i="1"/>
  <c r="BB689" i="1"/>
  <c r="Y691" i="1"/>
  <c r="BA700" i="1"/>
  <c r="AZ701" i="1"/>
  <c r="AP700" i="1"/>
  <c r="BF700" i="1"/>
  <c r="AY701" i="1"/>
  <c r="BB700" i="1"/>
  <c r="AP802" i="1"/>
  <c r="BC802" i="1"/>
  <c r="AZ804" i="1"/>
  <c r="Z494" i="1"/>
  <c r="BA495" i="1"/>
  <c r="AX497" i="1" s="1"/>
  <c r="BF496" i="1"/>
  <c r="Y493" i="1"/>
  <c r="X500" i="1"/>
  <c r="BG506" i="1"/>
  <c r="Y504" i="1"/>
  <c r="Z514" i="1"/>
  <c r="AW518" i="1"/>
  <c r="BG518" i="1" s="1"/>
  <c r="X520" i="1"/>
  <c r="Y526" i="1"/>
  <c r="X528" i="1"/>
  <c r="Y533" i="1"/>
  <c r="Y543" i="1"/>
  <c r="AW540" i="1"/>
  <c r="Y538" i="1"/>
  <c r="X542" i="1"/>
  <c r="Y548" i="1"/>
  <c r="Y555" i="1"/>
  <c r="AW585" i="1"/>
  <c r="BA583" i="1"/>
  <c r="AX585" i="1"/>
  <c r="AO583" i="1"/>
  <c r="X588" i="1"/>
  <c r="X618" i="1"/>
  <c r="F632" i="1"/>
  <c r="B640" i="1"/>
  <c r="H632" i="1"/>
  <c r="H638" i="1"/>
  <c r="AP664" i="1"/>
  <c r="AY666" i="1"/>
  <c r="BD664" i="1"/>
  <c r="BC664" i="1"/>
  <c r="AZ666" i="1"/>
  <c r="AQ666" i="1"/>
  <c r="BA664" i="1"/>
  <c r="AZ665" i="1" s="1"/>
  <c r="AU666" i="1"/>
  <c r="Q666" i="1" s="1"/>
  <c r="Z663" i="1"/>
  <c r="BC665" i="1"/>
  <c r="BB666" i="1" s="1"/>
  <c r="AW679" i="1"/>
  <c r="BA677" i="1"/>
  <c r="AX679" i="1"/>
  <c r="AP677" i="1"/>
  <c r="AY677" i="1"/>
  <c r="BA678" i="1"/>
  <c r="AZ679" i="1"/>
  <c r="AP678" i="1"/>
  <c r="BF678" i="1"/>
  <c r="AY679" i="1"/>
  <c r="BB678" i="1"/>
  <c r="AW678" i="1"/>
  <c r="Y674" i="1"/>
  <c r="BA699" i="1"/>
  <c r="AX701" i="1"/>
  <c r="AP699" i="1"/>
  <c r="X700" i="1"/>
  <c r="AW701" i="1"/>
  <c r="O782" i="1"/>
  <c r="O786" i="1"/>
  <c r="Q778" i="1"/>
  <c r="AY517" i="1"/>
  <c r="AY528" i="1"/>
  <c r="AY539" i="1"/>
  <c r="AY550" i="1"/>
  <c r="AY561" i="1"/>
  <c r="AW574" i="1"/>
  <c r="BA572" i="1"/>
  <c r="AO572" i="1"/>
  <c r="X577" i="1"/>
  <c r="Z571" i="1"/>
  <c r="BA573" i="1"/>
  <c r="AZ574" i="1"/>
  <c r="AO573" i="1"/>
  <c r="X573" i="1"/>
  <c r="Y570" i="1"/>
  <c r="Y569" i="1"/>
  <c r="BE585" i="1"/>
  <c r="Z592" i="1"/>
  <c r="AW618" i="1"/>
  <c r="BA616" i="1"/>
  <c r="AX618" i="1" s="1"/>
  <c r="AO616" i="1"/>
  <c r="X621" i="1"/>
  <c r="Z615" i="1"/>
  <c r="BA617" i="1"/>
  <c r="AZ618" i="1"/>
  <c r="AO617" i="1"/>
  <c r="X617" i="1"/>
  <c r="Y614" i="1"/>
  <c r="AY663" i="1"/>
  <c r="Z675" i="1"/>
  <c r="BF679" i="1"/>
  <c r="Z678" i="1"/>
  <c r="Z677" i="1"/>
  <c r="AW737" i="1"/>
  <c r="AP735" i="1"/>
  <c r="BA735" i="1"/>
  <c r="AX737" i="1"/>
  <c r="AZ735" i="1"/>
  <c r="AY748" i="1"/>
  <c r="BB747" i="1"/>
  <c r="BA747" i="1"/>
  <c r="AZ748" i="1"/>
  <c r="AO747" i="1"/>
  <c r="Z748" i="1"/>
  <c r="AA802" i="1"/>
  <c r="Y808" i="1"/>
  <c r="AW563" i="1"/>
  <c r="AO561" i="1"/>
  <c r="BA561" i="1"/>
  <c r="AX563" i="1" s="1"/>
  <c r="BF562" i="1"/>
  <c r="AU563" i="1"/>
  <c r="Q563" i="1" s="1"/>
  <c r="X561" i="1"/>
  <c r="BF572" i="1"/>
  <c r="AX573" i="1"/>
  <c r="AZ572" i="1"/>
  <c r="AY574" i="1"/>
  <c r="BB573" i="1" s="1"/>
  <c r="Z581" i="1"/>
  <c r="X598" i="1"/>
  <c r="AW607" i="1"/>
  <c r="BA605" i="1"/>
  <c r="AX607" i="1" s="1"/>
  <c r="AO605" i="1"/>
  <c r="X610" i="1"/>
  <c r="Z604" i="1"/>
  <c r="BA606" i="1"/>
  <c r="AZ607" i="1"/>
  <c r="AO606" i="1"/>
  <c r="X606" i="1"/>
  <c r="Y602" i="1"/>
  <c r="BE618" i="1"/>
  <c r="BG616" i="1"/>
  <c r="AX617" i="1"/>
  <c r="AY618" i="1"/>
  <c r="BB617" i="1"/>
  <c r="BI617" i="1" s="1"/>
  <c r="Y671" i="1"/>
  <c r="AW666" i="1"/>
  <c r="AO665" i="1"/>
  <c r="AY665" i="1"/>
  <c r="BB664" i="1"/>
  <c r="BA666" i="1"/>
  <c r="BD665" i="1" s="1"/>
  <c r="AO667" i="1"/>
  <c r="Z671" i="1"/>
  <c r="Y668" i="1"/>
  <c r="Y660" i="1"/>
  <c r="Y704" i="1"/>
  <c r="X728" i="1"/>
  <c r="AO726" i="1"/>
  <c r="AY724" i="1"/>
  <c r="AW725" i="1"/>
  <c r="Y723" i="1"/>
  <c r="D779" i="1"/>
  <c r="H783" i="1"/>
  <c r="L783" i="1"/>
  <c r="AZ826" i="1"/>
  <c r="BH826" i="1" s="1"/>
  <c r="AW690" i="1"/>
  <c r="Z690" i="1"/>
  <c r="Z697" i="1"/>
  <c r="AU699" i="1"/>
  <c r="Q699" i="1" s="1"/>
  <c r="Z696" i="1"/>
  <c r="Z700" i="1"/>
  <c r="Y728" i="1"/>
  <c r="X739" i="1"/>
  <c r="BF737" i="1"/>
  <c r="BE735" i="1"/>
  <c r="AO737" i="1"/>
  <c r="AY735" i="1"/>
  <c r="BG735" i="1" s="1"/>
  <c r="Y734" i="1"/>
  <c r="BF757" i="1"/>
  <c r="Y762" i="1"/>
  <c r="Y755" i="1"/>
  <c r="V790" i="1"/>
  <c r="Z816" i="1"/>
  <c r="Y819" i="1"/>
  <c r="AY817" i="1"/>
  <c r="BB816" i="1"/>
  <c r="Y858" i="1"/>
  <c r="X861" i="1"/>
  <c r="BA688" i="1"/>
  <c r="AX690" i="1"/>
  <c r="AP688" i="1"/>
  <c r="AY688" i="1"/>
  <c r="BA689" i="1"/>
  <c r="AZ690" i="1"/>
  <c r="AP689" i="1"/>
  <c r="BF689" i="1"/>
  <c r="AW689" i="1"/>
  <c r="Y685" i="1"/>
  <c r="BE700" i="1"/>
  <c r="AW726" i="1"/>
  <c r="AP724" i="1"/>
  <c r="BA724" i="1"/>
  <c r="AX726" i="1"/>
  <c r="BA736" i="1"/>
  <c r="AZ737" i="1" s="1"/>
  <c r="BE748" i="1"/>
  <c r="Y743" i="1"/>
  <c r="X762" i="1"/>
  <c r="AR769" i="1"/>
  <c r="Z769" i="1"/>
  <c r="BA769" i="1"/>
  <c r="AZ770" i="1"/>
  <c r="Y772" i="1"/>
  <c r="H781" i="1"/>
  <c r="G781" i="1"/>
  <c r="C785" i="1"/>
  <c r="F781" i="1"/>
  <c r="B785" i="1"/>
  <c r="AR801" i="1"/>
  <c r="Z799" i="1"/>
  <c r="BA801" i="1"/>
  <c r="AX803" i="1"/>
  <c r="X805" i="1"/>
  <c r="X808" i="1"/>
  <c r="AA799" i="1"/>
  <c r="O711" i="1"/>
  <c r="O713" i="1" s="1"/>
  <c r="Y729" i="1"/>
  <c r="Y761" i="1"/>
  <c r="BE758" i="1"/>
  <c r="AU758" i="1"/>
  <c r="Q758" i="1" s="1"/>
  <c r="H785" i="1"/>
  <c r="G785" i="1"/>
  <c r="AY828" i="1"/>
  <c r="AP827" i="1"/>
  <c r="Y823" i="1"/>
  <c r="AU828" i="1"/>
  <c r="Q828" i="1"/>
  <c r="Y842" i="1"/>
  <c r="Y847" i="1"/>
  <c r="X850" i="1"/>
  <c r="G710" i="1"/>
  <c r="C712" i="1"/>
  <c r="G712" i="1"/>
  <c r="G714" i="1"/>
  <c r="E712" i="1" s="1"/>
  <c r="AU736" i="1"/>
  <c r="Q736" i="1" s="1"/>
  <c r="BE736" i="1"/>
  <c r="BE738" i="1" s="1"/>
  <c r="BA746" i="1"/>
  <c r="X751" i="1"/>
  <c r="Y745" i="1"/>
  <c r="X761" i="1"/>
  <c r="AU757" i="1"/>
  <c r="Q757" i="1" s="1"/>
  <c r="BA758" i="1"/>
  <c r="AZ759" i="1" s="1"/>
  <c r="AW758" i="1"/>
  <c r="AY757" i="1"/>
  <c r="AX758" i="1" s="1"/>
  <c r="AO759" i="1"/>
  <c r="BF769" i="1"/>
  <c r="V784" i="1"/>
  <c r="Z803" i="1"/>
  <c r="Y806" i="1"/>
  <c r="AO805" i="1"/>
  <c r="BC803" i="1"/>
  <c r="BB804" i="1"/>
  <c r="Y800" i="1"/>
  <c r="Z827" i="1"/>
  <c r="BE827" i="1"/>
  <c r="BA827" i="1"/>
  <c r="AZ828" i="1" s="1"/>
  <c r="Z835" i="1"/>
  <c r="X841" i="1"/>
  <c r="BF839" i="1"/>
  <c r="H872" i="1"/>
  <c r="G872" i="1"/>
  <c r="C876" i="1"/>
  <c r="F872" i="1"/>
  <c r="B876" i="1"/>
  <c r="AO769" i="1"/>
  <c r="AY770" i="1"/>
  <c r="BB769" i="1"/>
  <c r="Q780" i="1"/>
  <c r="T781" i="1"/>
  <c r="V781" i="1" s="1"/>
  <c r="H787" i="1"/>
  <c r="G787" i="1"/>
  <c r="C789" i="1" s="1"/>
  <c r="Q790" i="1"/>
  <c r="T791" i="1"/>
  <c r="AO801" i="1"/>
  <c r="AW803" i="1"/>
  <c r="AO803" i="1"/>
  <c r="BC801" i="1"/>
  <c r="AX804" i="1"/>
  <c r="X809" i="1"/>
  <c r="AA800" i="1"/>
  <c r="BA802" i="1"/>
  <c r="AP804" i="1"/>
  <c r="Y804" i="1" s="1"/>
  <c r="AW804" i="1"/>
  <c r="AQ806" i="1"/>
  <c r="AY801" i="1"/>
  <c r="BA826" i="1"/>
  <c r="X831" i="1"/>
  <c r="Z825" i="1"/>
  <c r="X852" i="1"/>
  <c r="Z846" i="1"/>
  <c r="BF850" i="1"/>
  <c r="Z845" i="1"/>
  <c r="BA848" i="1"/>
  <c r="AX850" i="1"/>
  <c r="AW849" i="1"/>
  <c r="AY848" i="1"/>
  <c r="AO850" i="1"/>
  <c r="AW747" i="1"/>
  <c r="AY746" i="1"/>
  <c r="AY759" i="1"/>
  <c r="BB758" i="1" s="1"/>
  <c r="X769" i="1"/>
  <c r="Y766" i="1"/>
  <c r="AU770" i="1"/>
  <c r="Q770" i="1" s="1"/>
  <c r="X768" i="1"/>
  <c r="H779" i="1"/>
  <c r="L779" i="1"/>
  <c r="Q784" i="1"/>
  <c r="T785" i="1"/>
  <c r="H789" i="1"/>
  <c r="G789" i="1"/>
  <c r="E785" i="1"/>
  <c r="H791" i="1"/>
  <c r="L791" i="1"/>
  <c r="Y798" i="1"/>
  <c r="AY804" i="1"/>
  <c r="BD802" i="1" s="1"/>
  <c r="AO802" i="1"/>
  <c r="Y809" i="1"/>
  <c r="Y805" i="1"/>
  <c r="Z802" i="1"/>
  <c r="Z801" i="1"/>
  <c r="X819" i="1"/>
  <c r="Z813" i="1"/>
  <c r="AU815" i="1"/>
  <c r="Q815" i="1" s="1"/>
  <c r="BE815" i="1"/>
  <c r="BF826" i="1"/>
  <c r="AX827" i="1"/>
  <c r="AW828" i="1"/>
  <c r="AY768" i="1"/>
  <c r="AW817" i="1"/>
  <c r="Z817" i="1"/>
  <c r="X830" i="1"/>
  <c r="Z824" i="1"/>
  <c r="X829" i="1"/>
  <c r="BF828" i="1"/>
  <c r="BE826" i="1"/>
  <c r="AU826" i="1"/>
  <c r="Q826" i="1" s="1"/>
  <c r="Z823" i="1"/>
  <c r="Y852" i="1"/>
  <c r="Z849" i="1"/>
  <c r="Y851" i="1"/>
  <c r="BE849" i="1"/>
  <c r="Z848" i="1"/>
  <c r="AU849" i="1"/>
  <c r="Q849" i="1" s="1"/>
  <c r="BA849" i="1"/>
  <c r="AZ850" i="1" s="1"/>
  <c r="BA815" i="1"/>
  <c r="AX817" i="1" s="1"/>
  <c r="AP815" i="1"/>
  <c r="AY815" i="1"/>
  <c r="BA816" i="1"/>
  <c r="AZ817" i="1" s="1"/>
  <c r="AP816" i="1"/>
  <c r="BF816" i="1" s="1"/>
  <c r="AW816" i="1"/>
  <c r="Y812" i="1"/>
  <c r="Y831" i="1"/>
  <c r="AW839" i="1"/>
  <c r="BA837" i="1"/>
  <c r="AX839" i="1" s="1"/>
  <c r="AP837" i="1"/>
  <c r="BF849" i="1"/>
  <c r="H874" i="1"/>
  <c r="G874" i="1"/>
  <c r="E872" i="1"/>
  <c r="F874" i="1"/>
  <c r="D872" i="1"/>
  <c r="H882" i="1"/>
  <c r="L882" i="1"/>
  <c r="X828" i="1"/>
  <c r="Y841" i="1"/>
  <c r="Y840" i="1"/>
  <c r="Z837" i="1"/>
  <c r="Y834" i="1"/>
  <c r="Y853" i="1"/>
  <c r="V881" i="1"/>
  <c r="X842" i="1"/>
  <c r="AW850" i="1"/>
  <c r="Z847" i="1"/>
  <c r="AO859" i="1"/>
  <c r="AW861" i="1"/>
  <c r="BA859" i="1"/>
  <c r="AX861" i="1" s="1"/>
  <c r="Z858" i="1"/>
  <c r="X864" i="1"/>
  <c r="Y863" i="1"/>
  <c r="O873" i="1"/>
  <c r="H880" i="1"/>
  <c r="G880" i="1"/>
  <c r="E876" i="1"/>
  <c r="F880" i="1"/>
  <c r="D876" i="1"/>
  <c r="AY839" i="1"/>
  <c r="BB838" i="1"/>
  <c r="BF859" i="1"/>
  <c r="AO860" i="1"/>
  <c r="AY861" i="1"/>
  <c r="BB860" i="1" s="1"/>
  <c r="Q871" i="1"/>
  <c r="T872" i="1"/>
  <c r="H876" i="1"/>
  <c r="G876" i="1"/>
  <c r="BA838" i="1"/>
  <c r="AZ839" i="1" s="1"/>
  <c r="BH839" i="1" s="1"/>
  <c r="AB840" i="1" s="1"/>
  <c r="AW838" i="1"/>
  <c r="AY850" i="1"/>
  <c r="BB849" i="1"/>
  <c r="X860" i="1"/>
  <c r="Y857" i="1"/>
  <c r="AU861" i="1"/>
  <c r="Q861" i="1"/>
  <c r="X859" i="1"/>
  <c r="Y864" i="1"/>
  <c r="H870" i="1"/>
  <c r="L870" i="1"/>
  <c r="H878" i="1"/>
  <c r="G878" i="1"/>
  <c r="C880" i="1" s="1"/>
  <c r="Q881" i="1"/>
  <c r="T882" i="1"/>
  <c r="AY859" i="1"/>
  <c r="BG859" i="1" s="1"/>
  <c r="Q786" i="1"/>
  <c r="BE860" i="1"/>
  <c r="AX816" i="1"/>
  <c r="BI816" i="1" s="1"/>
  <c r="BB826" i="1"/>
  <c r="AA823" i="1"/>
  <c r="Y807" i="1"/>
  <c r="AX747" i="1"/>
  <c r="BG849" i="1"/>
  <c r="BG851" i="1" s="1"/>
  <c r="AZ848" i="1"/>
  <c r="BG801" i="1"/>
  <c r="AZ803" i="1"/>
  <c r="E779" i="1"/>
  <c r="Z834" i="1"/>
  <c r="AU759" i="1"/>
  <c r="Q759" i="1" s="1"/>
  <c r="X757" i="1"/>
  <c r="BF585" i="1"/>
  <c r="Z580" i="1"/>
  <c r="BE583" i="1"/>
  <c r="BE586" i="1" s="1"/>
  <c r="AZ539" i="1"/>
  <c r="BG540" i="1"/>
  <c r="AZ517" i="1"/>
  <c r="AA514" i="1" s="1"/>
  <c r="Z689" i="1"/>
  <c r="AX449" i="1"/>
  <c r="BG448" i="1"/>
  <c r="X451" i="1"/>
  <c r="Z445" i="1"/>
  <c r="BB426" i="1"/>
  <c r="AX394" i="1"/>
  <c r="BI394" i="1" s="1"/>
  <c r="BG393" i="1"/>
  <c r="BB382" i="1"/>
  <c r="BH362" i="1"/>
  <c r="Y321" i="1"/>
  <c r="Z235" i="1"/>
  <c r="BE230" i="1"/>
  <c r="AU142" i="1"/>
  <c r="Q142" i="1" s="1"/>
  <c r="X140" i="1"/>
  <c r="X324" i="1"/>
  <c r="AZ699" i="1"/>
  <c r="AX860" i="1"/>
  <c r="BH860" i="1" s="1"/>
  <c r="AA815" i="1"/>
  <c r="BE817" i="1"/>
  <c r="BE818" i="1" s="1"/>
  <c r="BF815" i="1"/>
  <c r="V785" i="1"/>
  <c r="E783" i="1"/>
  <c r="BI747" i="1"/>
  <c r="BG747" i="1"/>
  <c r="BJ850" i="1"/>
  <c r="X802" i="1"/>
  <c r="Y799" i="1"/>
  <c r="AU806" i="1"/>
  <c r="Q806" i="1" s="1"/>
  <c r="BG803" i="1"/>
  <c r="BB801" i="1"/>
  <c r="BG688" i="1"/>
  <c r="AX689" i="1"/>
  <c r="BH689" i="1" s="1"/>
  <c r="AB688" i="1" s="1"/>
  <c r="AX736" i="1"/>
  <c r="BJ736" i="1" s="1"/>
  <c r="Y721" i="1"/>
  <c r="AU726" i="1"/>
  <c r="Q726" i="1"/>
  <c r="X724" i="1"/>
  <c r="BF725" i="1"/>
  <c r="X727" i="1"/>
  <c r="BH607" i="1"/>
  <c r="BJ607" i="1"/>
  <c r="AC608" i="1" s="1"/>
  <c r="X564" i="1"/>
  <c r="AU561" i="1"/>
  <c r="Q561" i="1" s="1"/>
  <c r="Z558" i="1"/>
  <c r="BE561" i="1"/>
  <c r="BF563" i="1"/>
  <c r="AA564" i="1" s="1"/>
  <c r="BJ737" i="1"/>
  <c r="BL737" i="1" s="1"/>
  <c r="BH737" i="1"/>
  <c r="AX562" i="1"/>
  <c r="BI562" i="1" s="1"/>
  <c r="BG561" i="1"/>
  <c r="AX518" i="1"/>
  <c r="BH518" i="1" s="1"/>
  <c r="BG517" i="1"/>
  <c r="BG520" i="1" s="1"/>
  <c r="BE701" i="1"/>
  <c r="BF699" i="1"/>
  <c r="BG678" i="1"/>
  <c r="AZ677" i="1"/>
  <c r="BG677" i="1"/>
  <c r="BG675" i="1" s="1"/>
  <c r="AX678" i="1"/>
  <c r="BF664" i="1"/>
  <c r="BE666" i="1"/>
  <c r="AU664" i="1"/>
  <c r="Q664" i="1" s="1"/>
  <c r="Y669" i="1"/>
  <c r="BH585" i="1"/>
  <c r="BJ585" i="1"/>
  <c r="X506" i="1"/>
  <c r="Q631" i="1"/>
  <c r="AX438" i="1"/>
  <c r="BI438" i="1" s="1"/>
  <c r="BH770" i="1"/>
  <c r="BJ770" i="1"/>
  <c r="BG596" i="1"/>
  <c r="BB594" i="1"/>
  <c r="BG583" i="1"/>
  <c r="BG581" i="1" s="1"/>
  <c r="AX584" i="1"/>
  <c r="AU428" i="1"/>
  <c r="Q428" i="1" s="1"/>
  <c r="AX361" i="1"/>
  <c r="BI361" i="1" s="1"/>
  <c r="BG360" i="1"/>
  <c r="BH326" i="1"/>
  <c r="BE724" i="1"/>
  <c r="BG530" i="1"/>
  <c r="BB528" i="1"/>
  <c r="AA525" i="1" s="1"/>
  <c r="BE361" i="1"/>
  <c r="AZ291" i="1"/>
  <c r="BG292" i="1"/>
  <c r="Z594" i="1"/>
  <c r="BE595" i="1"/>
  <c r="Y597" i="1"/>
  <c r="AU595" i="1"/>
  <c r="Q595" i="1"/>
  <c r="V467" i="1"/>
  <c r="D466" i="1"/>
  <c r="BE426" i="1"/>
  <c r="BF428" i="1"/>
  <c r="Z423" i="1"/>
  <c r="X429" i="1"/>
  <c r="AU426" i="1"/>
  <c r="Q426" i="1" s="1"/>
  <c r="AZ415" i="1"/>
  <c r="BG416" i="1"/>
  <c r="BE404" i="1"/>
  <c r="X407" i="1"/>
  <c r="AU404" i="1"/>
  <c r="Q404" i="1"/>
  <c r="BF406" i="1"/>
  <c r="Z401" i="1"/>
  <c r="AZ393" i="1"/>
  <c r="BG394" i="1"/>
  <c r="BE382" i="1"/>
  <c r="X385" i="1"/>
  <c r="AU382" i="1"/>
  <c r="Q382" i="1" s="1"/>
  <c r="BF384" i="1"/>
  <c r="Z379" i="1"/>
  <c r="AZ371" i="1"/>
  <c r="BG372" i="1"/>
  <c r="BD266" i="1"/>
  <c r="BB204" i="1"/>
  <c r="BJ204" i="1" s="1"/>
  <c r="BJ109" i="1"/>
  <c r="BH109" i="1"/>
  <c r="BI109" i="1"/>
  <c r="AX56" i="1"/>
  <c r="BG54" i="1"/>
  <c r="BJ12" i="1"/>
  <c r="BH12" i="1"/>
  <c r="BB33" i="1"/>
  <c r="BG34" i="1"/>
  <c r="Z744" i="1"/>
  <c r="X750" i="1"/>
  <c r="Z243" i="1"/>
  <c r="Y246" i="1"/>
  <c r="AU245" i="1"/>
  <c r="Q245" i="1" s="1"/>
  <c r="BG183" i="1"/>
  <c r="AZ182" i="1"/>
  <c r="BI182" i="1" s="1"/>
  <c r="BE519" i="1"/>
  <c r="X521" i="1"/>
  <c r="BG229" i="1"/>
  <c r="AZ228" i="1"/>
  <c r="BG204" i="1"/>
  <c r="AX205" i="1"/>
  <c r="BG195" i="1"/>
  <c r="BB193" i="1"/>
  <c r="BI195" i="1"/>
  <c r="AC196" i="1" s="1"/>
  <c r="X97" i="1"/>
  <c r="Y94" i="1"/>
  <c r="AU98" i="1"/>
  <c r="Q98" i="1" s="1"/>
  <c r="X35" i="1"/>
  <c r="AU32" i="1"/>
  <c r="Q32" i="1" s="1"/>
  <c r="Z29" i="1"/>
  <c r="BE32" i="1"/>
  <c r="Z10" i="1"/>
  <c r="Y13" i="1"/>
  <c r="BE11" i="1"/>
  <c r="AU11" i="1"/>
  <c r="Q11" i="1"/>
  <c r="AA663" i="1"/>
  <c r="Z537" i="1"/>
  <c r="BF517" i="1"/>
  <c r="BG508" i="1"/>
  <c r="AB509" i="1" s="1"/>
  <c r="BI508" i="1"/>
  <c r="BB506" i="1"/>
  <c r="BJ315" i="1"/>
  <c r="BH315" i="1"/>
  <c r="AX243" i="1"/>
  <c r="BG242" i="1"/>
  <c r="BI120" i="1"/>
  <c r="BG23" i="1"/>
  <c r="AB24" i="1" s="1"/>
  <c r="BI12" i="1"/>
  <c r="V882" i="1"/>
  <c r="C882" i="1"/>
  <c r="Q873" i="1"/>
  <c r="O875" i="1"/>
  <c r="BE859" i="1"/>
  <c r="BF861" i="1"/>
  <c r="Z856" i="1"/>
  <c r="X862" i="1"/>
  <c r="AU859" i="1"/>
  <c r="Q859" i="1" s="1"/>
  <c r="BG839" i="1"/>
  <c r="BB837" i="1"/>
  <c r="BJ817" i="1"/>
  <c r="BB815" i="1"/>
  <c r="BI817" i="1"/>
  <c r="AC818" i="1" s="1"/>
  <c r="BG817" i="1"/>
  <c r="X818" i="1"/>
  <c r="Y845" i="1"/>
  <c r="AU850" i="1"/>
  <c r="Q850" i="1" s="1"/>
  <c r="X848" i="1"/>
  <c r="BE848" i="1"/>
  <c r="BD801" i="1"/>
  <c r="AU801" i="1"/>
  <c r="Q801" i="1" s="1"/>
  <c r="BE801" i="1"/>
  <c r="Z798" i="1"/>
  <c r="AA804" i="1"/>
  <c r="Z807" i="1"/>
  <c r="BG758" i="1"/>
  <c r="AZ757" i="1"/>
  <c r="BE757" i="1"/>
  <c r="BB724" i="1"/>
  <c r="BJ724" i="1" s="1"/>
  <c r="BG726" i="1"/>
  <c r="BG689" i="1"/>
  <c r="AZ688" i="1"/>
  <c r="BH688" i="1" s="1"/>
  <c r="BE690" i="1"/>
  <c r="BF688" i="1"/>
  <c r="BF691" i="1" s="1"/>
  <c r="BE803" i="1"/>
  <c r="Y732" i="1"/>
  <c r="AU737" i="1"/>
  <c r="Q737" i="1"/>
  <c r="X735" i="1"/>
  <c r="Z721" i="1"/>
  <c r="AU668" i="1"/>
  <c r="Q668" i="1" s="1"/>
  <c r="BG617" i="1"/>
  <c r="BG619" i="1" s="1"/>
  <c r="BJ617" i="1"/>
  <c r="BH617" i="1"/>
  <c r="BI607" i="1"/>
  <c r="BG607" i="1"/>
  <c r="BG603" i="1" s="1"/>
  <c r="BB605" i="1"/>
  <c r="BG573" i="1"/>
  <c r="BJ573" i="1"/>
  <c r="BH573" i="1"/>
  <c r="AB572" i="1" s="1"/>
  <c r="BI563" i="1"/>
  <c r="AC564" i="1" s="1"/>
  <c r="BG563" i="1"/>
  <c r="BB561" i="1"/>
  <c r="BE737" i="1"/>
  <c r="BF735" i="1"/>
  <c r="AU678" i="1"/>
  <c r="Q678" i="1" s="1"/>
  <c r="BG663" i="1"/>
  <c r="AX664" i="1"/>
  <c r="Z616" i="1"/>
  <c r="Y619" i="1"/>
  <c r="AU617" i="1"/>
  <c r="Q617" i="1" s="1"/>
  <c r="BE617" i="1"/>
  <c r="AU616" i="1"/>
  <c r="Q616" i="1"/>
  <c r="X619" i="1"/>
  <c r="Z613" i="1"/>
  <c r="BF618" i="1"/>
  <c r="Z572" i="1"/>
  <c r="Y575" i="1"/>
  <c r="AU573" i="1"/>
  <c r="Q573" i="1" s="1"/>
  <c r="BE573" i="1"/>
  <c r="AA572" i="1" s="1"/>
  <c r="AU572" i="1"/>
  <c r="Q572" i="1" s="1"/>
  <c r="X575" i="1"/>
  <c r="BE572" i="1"/>
  <c r="Z569" i="1"/>
  <c r="BF574" i="1"/>
  <c r="BF575" i="1"/>
  <c r="AX551" i="1"/>
  <c r="BG550" i="1"/>
  <c r="BB699" i="1"/>
  <c r="BI701" i="1"/>
  <c r="BG701" i="1"/>
  <c r="AB702" i="1" s="1"/>
  <c r="BJ701" i="1"/>
  <c r="AC702" i="1" s="1"/>
  <c r="BH701" i="1"/>
  <c r="BE679" i="1"/>
  <c r="BF677" i="1"/>
  <c r="Y667" i="1"/>
  <c r="Z664" i="1"/>
  <c r="BI585" i="1"/>
  <c r="AC586" i="1" s="1"/>
  <c r="AA586" i="1"/>
  <c r="BB583" i="1"/>
  <c r="BG585" i="1"/>
  <c r="AB586" i="1" s="1"/>
  <c r="AU517" i="1"/>
  <c r="Q517" i="1" s="1"/>
  <c r="AU508" i="1"/>
  <c r="Q508" i="1" s="1"/>
  <c r="BH497" i="1"/>
  <c r="BJ497" i="1"/>
  <c r="BF802" i="1"/>
  <c r="AU689" i="1"/>
  <c r="Q689" i="1"/>
  <c r="AU688" i="1"/>
  <c r="Q688" i="1"/>
  <c r="Y553" i="1"/>
  <c r="BE551" i="1"/>
  <c r="AU551" i="1"/>
  <c r="Q551" i="1"/>
  <c r="Z550" i="1"/>
  <c r="Y509" i="1"/>
  <c r="BE507" i="1"/>
  <c r="AU507" i="1"/>
  <c r="Q507" i="1" s="1"/>
  <c r="Z506" i="1"/>
  <c r="BE770" i="1"/>
  <c r="BG770" i="1"/>
  <c r="AB771" i="1" s="1"/>
  <c r="BB768" i="1"/>
  <c r="BI770" i="1"/>
  <c r="AC771" i="1" s="1"/>
  <c r="B646" i="1"/>
  <c r="V646" i="1"/>
  <c r="BG584" i="1"/>
  <c r="AZ583" i="1"/>
  <c r="BJ583" i="1" s="1"/>
  <c r="BI584" i="1"/>
  <c r="X382" i="1"/>
  <c r="AU362" i="1"/>
  <c r="Q362" i="1"/>
  <c r="AX325" i="1"/>
  <c r="BG324" i="1"/>
  <c r="BH552" i="1"/>
  <c r="BJ552" i="1"/>
  <c r="BL552" i="1" s="1"/>
  <c r="BE528" i="1"/>
  <c r="X531" i="1"/>
  <c r="AU528" i="1"/>
  <c r="Q528" i="1"/>
  <c r="BF530" i="1"/>
  <c r="Z525" i="1"/>
  <c r="BE449" i="1"/>
  <c r="AX427" i="1"/>
  <c r="BG426" i="1"/>
  <c r="BE427" i="1"/>
  <c r="AX405" i="1"/>
  <c r="BI405" i="1" s="1"/>
  <c r="BG404" i="1"/>
  <c r="BG402" i="1" s="1"/>
  <c r="BE405" i="1"/>
  <c r="AX383" i="1"/>
  <c r="AC382" i="1" s="1"/>
  <c r="BG382" i="1"/>
  <c r="BE383" i="1"/>
  <c r="AZ360" i="1"/>
  <c r="BH360" i="1" s="1"/>
  <c r="BG361" i="1"/>
  <c r="BG358" i="1" s="1"/>
  <c r="Q341" i="1"/>
  <c r="BG304" i="1"/>
  <c r="BB302" i="1"/>
  <c r="BI304" i="1"/>
  <c r="BH450" i="1"/>
  <c r="BJ450" i="1"/>
  <c r="Y368" i="1"/>
  <c r="AU373" i="1"/>
  <c r="Q373" i="1" s="1"/>
  <c r="AU329" i="1"/>
  <c r="Q329" i="1" s="1"/>
  <c r="BG315" i="1"/>
  <c r="AB316" i="1" s="1"/>
  <c r="BB313" i="1"/>
  <c r="BI315" i="1"/>
  <c r="AC316" i="1" s="1"/>
  <c r="AU246" i="1"/>
  <c r="Q246" i="1" s="1"/>
  <c r="AA245" i="1"/>
  <c r="Z248" i="1"/>
  <c r="AU232" i="1"/>
  <c r="Q232" i="1" s="1"/>
  <c r="Y190" i="1"/>
  <c r="AU195" i="1"/>
  <c r="Q195" i="1"/>
  <c r="X193" i="1"/>
  <c r="BE193" i="1"/>
  <c r="AZ140" i="1"/>
  <c r="BG141" i="1"/>
  <c r="BG130" i="1"/>
  <c r="AZ129" i="1"/>
  <c r="AU701" i="1"/>
  <c r="Q701" i="1"/>
  <c r="Y696" i="1"/>
  <c r="X699" i="1"/>
  <c r="AZ561" i="1"/>
  <c r="BI561" i="1"/>
  <c r="BG562" i="1"/>
  <c r="BG564" i="1" s="1"/>
  <c r="Z515" i="1"/>
  <c r="BF506" i="1"/>
  <c r="Y440" i="1"/>
  <c r="BE438" i="1"/>
  <c r="Z437" i="1"/>
  <c r="AU438" i="1"/>
  <c r="Q438" i="1"/>
  <c r="BH395" i="1"/>
  <c r="BB372" i="1"/>
  <c r="AA371" i="1" s="1"/>
  <c r="BE360" i="1"/>
  <c r="AU360" i="1"/>
  <c r="Q360" i="1"/>
  <c r="BF362" i="1"/>
  <c r="Z357" i="1"/>
  <c r="X363" i="1"/>
  <c r="AA321" i="1"/>
  <c r="X330" i="1"/>
  <c r="AU326" i="1"/>
  <c r="Q326" i="1"/>
  <c r="BE324" i="1"/>
  <c r="BG282" i="1"/>
  <c r="BI282" i="1"/>
  <c r="BB280" i="1"/>
  <c r="BG152" i="1"/>
  <c r="AZ151" i="1"/>
  <c r="X55" i="1"/>
  <c r="Y52" i="1"/>
  <c r="BF55" i="1"/>
  <c r="AU56" i="1"/>
  <c r="Q56" i="1" s="1"/>
  <c r="BI665" i="1"/>
  <c r="AD666" i="1" s="1"/>
  <c r="BB663" i="1"/>
  <c r="BH663" i="1" s="1"/>
  <c r="BH667" i="1" s="1"/>
  <c r="BG665" i="1"/>
  <c r="BG541" i="1"/>
  <c r="BB539" i="1"/>
  <c r="AA536" i="1" s="1"/>
  <c r="BI541" i="1"/>
  <c r="Y310" i="1"/>
  <c r="AU315" i="1"/>
  <c r="Q315" i="1"/>
  <c r="X313" i="1"/>
  <c r="BE313" i="1"/>
  <c r="BF314" i="1"/>
  <c r="BJ304" i="1"/>
  <c r="Y283" i="1"/>
  <c r="BE281" i="1"/>
  <c r="AU281" i="1"/>
  <c r="Q281" i="1" s="1"/>
  <c r="Z280" i="1"/>
  <c r="BG55" i="1"/>
  <c r="AZ54" i="1"/>
  <c r="BG21" i="1"/>
  <c r="AX22" i="1"/>
  <c r="BE746" i="1"/>
  <c r="BE749" i="1" s="1"/>
  <c r="BJ244" i="1"/>
  <c r="BF194" i="1"/>
  <c r="BI23" i="1"/>
  <c r="AC24" i="1" s="1"/>
  <c r="BH861" i="1"/>
  <c r="BJ861" i="1"/>
  <c r="BG850" i="1"/>
  <c r="BB848" i="1"/>
  <c r="BI850" i="1"/>
  <c r="AC851" i="1" s="1"/>
  <c r="BF827" i="1"/>
  <c r="BF824" i="1" s="1"/>
  <c r="BE828" i="1"/>
  <c r="BE824" i="1" s="1"/>
  <c r="Q713" i="1"/>
  <c r="BG724" i="1"/>
  <c r="AX725" i="1"/>
  <c r="BG666" i="1"/>
  <c r="AC669" i="1" s="1"/>
  <c r="BD663" i="1"/>
  <c r="BI666" i="1"/>
  <c r="BL666" i="1" s="1"/>
  <c r="Z605" i="1"/>
  <c r="Y608" i="1"/>
  <c r="AU606" i="1"/>
  <c r="Q606" i="1" s="1"/>
  <c r="BE606" i="1"/>
  <c r="AU605" i="1"/>
  <c r="Q605" i="1"/>
  <c r="X608" i="1"/>
  <c r="BE605" i="1"/>
  <c r="Z602" i="1"/>
  <c r="BF607" i="1"/>
  <c r="Y749" i="1"/>
  <c r="BE747" i="1"/>
  <c r="AU747" i="1"/>
  <c r="Q747" i="1" s="1"/>
  <c r="Z746" i="1"/>
  <c r="BI618" i="1"/>
  <c r="AA619" i="1"/>
  <c r="BB616" i="1"/>
  <c r="BI616" i="1" s="1"/>
  <c r="BG618" i="1"/>
  <c r="BL618" i="1" s="1"/>
  <c r="BB572" i="1"/>
  <c r="BI572" i="1"/>
  <c r="BG574" i="1"/>
  <c r="AX529" i="1"/>
  <c r="BI528" i="1"/>
  <c r="BG528" i="1"/>
  <c r="Q782" i="1"/>
  <c r="AA680" i="1"/>
  <c r="BB677" i="1"/>
  <c r="AA674" i="1" s="1"/>
  <c r="BI679" i="1"/>
  <c r="AC680" i="1" s="1"/>
  <c r="BG679" i="1"/>
  <c r="AX596" i="1"/>
  <c r="BG594" i="1"/>
  <c r="BH528" i="1"/>
  <c r="BG303" i="1"/>
  <c r="BG300" i="1" s="1"/>
  <c r="AZ302" i="1"/>
  <c r="BI664" i="1"/>
  <c r="AD663" i="1" s="1"/>
  <c r="AZ663" i="1"/>
  <c r="BI663" i="1" s="1"/>
  <c r="AB660" i="1"/>
  <c r="BG664" i="1"/>
  <c r="BE550" i="1"/>
  <c r="BE548" i="1" s="1"/>
  <c r="X553" i="1"/>
  <c r="AU550" i="1"/>
  <c r="Q550" i="1" s="1"/>
  <c r="BF552" i="1"/>
  <c r="AA553" i="1" s="1"/>
  <c r="Z547" i="1"/>
  <c r="BB324" i="1"/>
  <c r="BI291" i="1"/>
  <c r="AC288" i="1" s="1"/>
  <c r="AX292" i="1"/>
  <c r="BG291" i="1"/>
  <c r="BG294" i="1" s="1"/>
  <c r="AX416" i="1"/>
  <c r="BI416" i="1" s="1"/>
  <c r="BG415" i="1"/>
  <c r="BG406" i="1"/>
  <c r="BB404" i="1"/>
  <c r="BI406" i="1"/>
  <c r="AX372" i="1"/>
  <c r="BG371" i="1"/>
  <c r="X245" i="1"/>
  <c r="BE242" i="1"/>
  <c r="Z239" i="1"/>
  <c r="BF244" i="1"/>
  <c r="AU242" i="1"/>
  <c r="Q242" i="1"/>
  <c r="AZ193" i="1"/>
  <c r="BG194" i="1"/>
  <c r="AB193" i="1" s="1"/>
  <c r="BH293" i="1"/>
  <c r="BJ293" i="1"/>
  <c r="AC294" i="1" s="1"/>
  <c r="AU131" i="1"/>
  <c r="Q131" i="1" s="1"/>
  <c r="X129" i="1"/>
  <c r="Y126" i="1"/>
  <c r="BF130" i="1"/>
  <c r="BG605" i="1"/>
  <c r="AX606" i="1"/>
  <c r="BI606" i="1" s="1"/>
  <c r="AZ495" i="1"/>
  <c r="BG496" i="1"/>
  <c r="BB416" i="1"/>
  <c r="BJ416" i="1" s="1"/>
  <c r="Y396" i="1"/>
  <c r="BE394" i="1"/>
  <c r="Z393" i="1"/>
  <c r="AU394" i="1"/>
  <c r="Q394" i="1" s="1"/>
  <c r="AX281" i="1"/>
  <c r="BI281" i="1" s="1"/>
  <c r="BG280" i="1"/>
  <c r="BG267" i="1"/>
  <c r="AZ266" i="1"/>
  <c r="Y148" i="1"/>
  <c r="BF152" i="1"/>
  <c r="AU153" i="1"/>
  <c r="Q153" i="1"/>
  <c r="X151" i="1"/>
  <c r="BE151" i="1"/>
  <c r="BE129" i="1"/>
  <c r="BJ107" i="1"/>
  <c r="BH107" i="1"/>
  <c r="Z43" i="1"/>
  <c r="Y46" i="1"/>
  <c r="BE44" i="1"/>
  <c r="AU44" i="1"/>
  <c r="Q44" i="1" s="1"/>
  <c r="BH665" i="1"/>
  <c r="AC666" i="1" s="1"/>
  <c r="BJ665" i="1"/>
  <c r="BF539" i="1"/>
  <c r="X543" i="1"/>
  <c r="BE327" i="1"/>
  <c r="BF325" i="1"/>
  <c r="BG314" i="1"/>
  <c r="AZ313" i="1"/>
  <c r="AA310" i="1" s="1"/>
  <c r="Y294" i="1"/>
  <c r="BE292" i="1"/>
  <c r="AU292" i="1"/>
  <c r="Q292" i="1"/>
  <c r="Z291" i="1"/>
  <c r="BF269" i="1"/>
  <c r="Y272" i="1"/>
  <c r="AU267" i="1"/>
  <c r="Q267" i="1" s="1"/>
  <c r="AA266" i="1"/>
  <c r="BB266" i="1"/>
  <c r="BF748" i="1"/>
  <c r="V872" i="1"/>
  <c r="E870" i="1"/>
  <c r="BG861" i="1"/>
  <c r="AB862" i="1" s="1"/>
  <c r="BB859" i="1"/>
  <c r="BI861" i="1"/>
  <c r="AC862" i="1" s="1"/>
  <c r="Q711" i="1"/>
  <c r="AX769" i="1"/>
  <c r="BG768" i="1"/>
  <c r="BI826" i="1"/>
  <c r="AC823" i="1" s="1"/>
  <c r="Z812" i="1"/>
  <c r="AX849" i="1"/>
  <c r="BJ849" i="1" s="1"/>
  <c r="BG848" i="1"/>
  <c r="AX828" i="1"/>
  <c r="AA829" i="1" s="1"/>
  <c r="BG826" i="1"/>
  <c r="V791" i="1"/>
  <c r="C791" i="1"/>
  <c r="Y771" i="1"/>
  <c r="BE769" i="1"/>
  <c r="AU769" i="1"/>
  <c r="Q769" i="1" s="1"/>
  <c r="Z768" i="1"/>
  <c r="Y829" i="1"/>
  <c r="O715" i="1"/>
  <c r="Q715" i="1" s="1"/>
  <c r="BJ690" i="1"/>
  <c r="BH690" i="1"/>
  <c r="BF801" i="1"/>
  <c r="BE733" i="1"/>
  <c r="Z699" i="1"/>
  <c r="X702" i="1"/>
  <c r="BB688" i="1"/>
  <c r="BI690" i="1"/>
  <c r="BG690" i="1"/>
  <c r="AB691" i="1"/>
  <c r="AZ724" i="1"/>
  <c r="BI724" i="1"/>
  <c r="AU724" i="1"/>
  <c r="Q724" i="1"/>
  <c r="Z669" i="1"/>
  <c r="AU667" i="1"/>
  <c r="Q667" i="1" s="1"/>
  <c r="AA666" i="1"/>
  <c r="AU665" i="1"/>
  <c r="Q665" i="1"/>
  <c r="X669" i="1"/>
  <c r="AA660" i="1"/>
  <c r="BF666" i="1"/>
  <c r="AB669" i="1"/>
  <c r="BH563" i="1"/>
  <c r="AB564" i="1"/>
  <c r="BJ563" i="1"/>
  <c r="BB735" i="1"/>
  <c r="AA732" i="1" s="1"/>
  <c r="AB738" i="1"/>
  <c r="BG737" i="1"/>
  <c r="AA738" i="1"/>
  <c r="BI737" i="1"/>
  <c r="BE665" i="1"/>
  <c r="AB666" i="1" s="1"/>
  <c r="BH618" i="1"/>
  <c r="AB619" i="1"/>
  <c r="BJ618" i="1"/>
  <c r="AC619" i="1" s="1"/>
  <c r="AX540" i="1"/>
  <c r="BG539" i="1"/>
  <c r="BG537" i="1" s="1"/>
  <c r="O788" i="1"/>
  <c r="O792" i="1"/>
  <c r="Q792" i="1" s="1"/>
  <c r="BJ679" i="1"/>
  <c r="BH679" i="1"/>
  <c r="AB680" i="1" s="1"/>
  <c r="BJ507" i="1"/>
  <c r="AC506" i="1"/>
  <c r="BH507" i="1"/>
  <c r="BE689" i="1"/>
  <c r="AA688" i="1" s="1"/>
  <c r="BF690" i="1"/>
  <c r="AA691" i="1"/>
  <c r="Q630" i="1"/>
  <c r="Z583" i="1"/>
  <c r="BE584" i="1"/>
  <c r="AU584" i="1"/>
  <c r="Q584" i="1"/>
  <c r="Y586" i="1"/>
  <c r="BF553" i="1"/>
  <c r="Y531" i="1"/>
  <c r="BE529" i="1"/>
  <c r="AU529" i="1"/>
  <c r="Q529" i="1"/>
  <c r="Z528" i="1"/>
  <c r="AZ506" i="1"/>
  <c r="BH506" i="1" s="1"/>
  <c r="BI507" i="1"/>
  <c r="BG507" i="1"/>
  <c r="BG504" i="1" s="1"/>
  <c r="AB506" i="1"/>
  <c r="AX496" i="1"/>
  <c r="BI496" i="1" s="1"/>
  <c r="BG495" i="1"/>
  <c r="BE768" i="1"/>
  <c r="BE766" i="1" s="1"/>
  <c r="BF770" i="1"/>
  <c r="BF771" i="1"/>
  <c r="Z765" i="1"/>
  <c r="AU768" i="1"/>
  <c r="Q768" i="1" s="1"/>
  <c r="X771" i="1"/>
  <c r="BF736" i="1"/>
  <c r="BJ666" i="1"/>
  <c r="BH666" i="1"/>
  <c r="O634" i="1"/>
  <c r="Q634" i="1" s="1"/>
  <c r="X597" i="1"/>
  <c r="BE594" i="1"/>
  <c r="BE592" i="1" s="1"/>
  <c r="BF596" i="1"/>
  <c r="Z591" i="1"/>
  <c r="AU594" i="1"/>
  <c r="Q594" i="1"/>
  <c r="X584" i="1"/>
  <c r="Y581" i="1"/>
  <c r="AZ437" i="1"/>
  <c r="AA437" i="1"/>
  <c r="BG438" i="1"/>
  <c r="X404" i="1"/>
  <c r="AU384" i="1"/>
  <c r="Q384" i="1"/>
  <c r="Y330" i="1"/>
  <c r="BF327" i="1"/>
  <c r="AA324" i="1"/>
  <c r="AU325" i="1"/>
  <c r="Q325" i="1"/>
  <c r="AX303" i="1"/>
  <c r="BI303" i="1" s="1"/>
  <c r="BG302" i="1"/>
  <c r="B654" i="1"/>
  <c r="V654" i="1"/>
  <c r="BG552" i="1"/>
  <c r="AC553" i="1"/>
  <c r="BB550" i="1"/>
  <c r="AB553" i="1"/>
  <c r="BI552" i="1"/>
  <c r="AZ426" i="1"/>
  <c r="BH426" i="1" s="1"/>
  <c r="BG427" i="1"/>
  <c r="BF426" i="1"/>
  <c r="AZ404" i="1"/>
  <c r="BH404" i="1" s="1"/>
  <c r="BG405" i="1"/>
  <c r="BF404" i="1"/>
  <c r="AZ382" i="1"/>
  <c r="AA379" i="1" s="1"/>
  <c r="BI383" i="1"/>
  <c r="BG383" i="1"/>
  <c r="BF382" i="1"/>
  <c r="Y520" i="1"/>
  <c r="BE518" i="1"/>
  <c r="BE515" i="1" s="1"/>
  <c r="Z517" i="1"/>
  <c r="AU518" i="1"/>
  <c r="Q518" i="1" s="1"/>
  <c r="Q462" i="1"/>
  <c r="O466" i="1"/>
  <c r="BG450" i="1"/>
  <c r="AB451" i="1"/>
  <c r="BB448" i="1"/>
  <c r="BI450" i="1"/>
  <c r="BH428" i="1"/>
  <c r="BJ428" i="1"/>
  <c r="BH406" i="1"/>
  <c r="AB407" i="1" s="1"/>
  <c r="BJ406" i="1"/>
  <c r="BH384" i="1"/>
  <c r="BJ384" i="1"/>
  <c r="AZ324" i="1"/>
  <c r="BG325" i="1"/>
  <c r="AA270" i="1"/>
  <c r="Z273" i="1"/>
  <c r="BJ184" i="1"/>
  <c r="BH184" i="1"/>
  <c r="BE140" i="1"/>
  <c r="AX119" i="1"/>
  <c r="BI119" i="1" s="1"/>
  <c r="BG118" i="1"/>
  <c r="BH98" i="1"/>
  <c r="BJ98" i="1"/>
  <c r="BI98" i="1"/>
  <c r="AC99" i="1" s="1"/>
  <c r="BH34" i="1"/>
  <c r="BJ34" i="1"/>
  <c r="AB35" i="1"/>
  <c r="BD228" i="1"/>
  <c r="BG231" i="1"/>
  <c r="BB11" i="1"/>
  <c r="BG12" i="1"/>
  <c r="AB13" i="1"/>
  <c r="Y390" i="1"/>
  <c r="BE243" i="1"/>
  <c r="Y179" i="1"/>
  <c r="AU184" i="1"/>
  <c r="Q184" i="1" s="1"/>
  <c r="X182" i="1"/>
  <c r="BE182" i="1"/>
  <c r="BG519" i="1"/>
  <c r="AB520" i="1" s="1"/>
  <c r="BI519" i="1"/>
  <c r="BB517" i="1"/>
  <c r="AU244" i="1"/>
  <c r="Q244" i="1"/>
  <c r="AA239" i="1"/>
  <c r="X248" i="1"/>
  <c r="BF245" i="1"/>
  <c r="AX229" i="1"/>
  <c r="BH229" i="1" s="1"/>
  <c r="BG228" i="1"/>
  <c r="BB183" i="1"/>
  <c r="BG184" i="1"/>
  <c r="AB185" i="1" s="1"/>
  <c r="BE96" i="1"/>
  <c r="BE99" i="1" s="1"/>
  <c r="X99" i="1"/>
  <c r="BF98" i="1"/>
  <c r="AA99" i="1" s="1"/>
  <c r="AU96" i="1"/>
  <c r="Q96" i="1" s="1"/>
  <c r="Z93" i="1"/>
  <c r="Z65" i="1"/>
  <c r="BE66" i="1"/>
  <c r="AU66" i="1"/>
  <c r="Q66" i="1"/>
  <c r="Y68" i="1"/>
  <c r="X33" i="1"/>
  <c r="Y30" i="1"/>
  <c r="AU34" i="1"/>
  <c r="Q34" i="1" s="1"/>
  <c r="Y498" i="1"/>
  <c r="BE496" i="1"/>
  <c r="BE493" i="1" s="1"/>
  <c r="AU496" i="1"/>
  <c r="Q496" i="1"/>
  <c r="Z495" i="1"/>
  <c r="BF497" i="1"/>
  <c r="BF493" i="1" s="1"/>
  <c r="BF415" i="1"/>
  <c r="BF371" i="1"/>
  <c r="BE541" i="1"/>
  <c r="BE542" i="1" s="1"/>
  <c r="V162" i="1"/>
  <c r="D161" i="1"/>
  <c r="BI293" i="1"/>
  <c r="BF141" i="1"/>
  <c r="BH269" i="1"/>
  <c r="X235" i="1"/>
  <c r="AA226" i="1"/>
  <c r="BE228" i="1"/>
  <c r="BG153" i="1"/>
  <c r="BB151" i="1"/>
  <c r="BI153" i="1"/>
  <c r="AC154" i="1" s="1"/>
  <c r="BJ131" i="1"/>
  <c r="BH131" i="1"/>
  <c r="AU120" i="1"/>
  <c r="Q120" i="1" s="1"/>
  <c r="X118" i="1"/>
  <c r="Y115" i="1"/>
  <c r="BH45" i="1"/>
  <c r="BG243" i="1"/>
  <c r="AC242" i="1" s="1"/>
  <c r="AZ242" i="1"/>
  <c r="AB242" i="1"/>
  <c r="BG107" i="1"/>
  <c r="BI107" i="1"/>
  <c r="BL107" i="1" s="1"/>
  <c r="AX108" i="1"/>
  <c r="BH108" i="1" s="1"/>
  <c r="BG748" i="1"/>
  <c r="BB746" i="1"/>
  <c r="BE291" i="1"/>
  <c r="X294" i="1"/>
  <c r="Z288" i="1"/>
  <c r="BF293" i="1"/>
  <c r="AU291" i="1"/>
  <c r="Q291" i="1"/>
  <c r="BJ195" i="1"/>
  <c r="BH195" i="1"/>
  <c r="AB196" i="1" s="1"/>
  <c r="BG182" i="1"/>
  <c r="AX183" i="1"/>
  <c r="AB182" i="1" s="1"/>
  <c r="BG606" i="1"/>
  <c r="AZ605" i="1"/>
  <c r="AA605" i="1"/>
  <c r="BH519" i="1"/>
  <c r="BJ519" i="1"/>
  <c r="B482" i="1"/>
  <c r="V482" i="1"/>
  <c r="Y374" i="1"/>
  <c r="BE372" i="1"/>
  <c r="Z371" i="1"/>
  <c r="AU372" i="1"/>
  <c r="Q372" i="1"/>
  <c r="BJ327" i="1"/>
  <c r="BH327" i="1"/>
  <c r="AU282" i="1"/>
  <c r="Q282" i="1"/>
  <c r="X280" i="1"/>
  <c r="Y277" i="1"/>
  <c r="AX267" i="1"/>
  <c r="AB263" i="1"/>
  <c r="BG266" i="1"/>
  <c r="BJ245" i="1"/>
  <c r="BH245" i="1"/>
  <c r="X228" i="1"/>
  <c r="Y225" i="1"/>
  <c r="AU233" i="1"/>
  <c r="Q233" i="1" s="1"/>
  <c r="BJ230" i="1"/>
  <c r="BH230" i="1"/>
  <c r="Y201" i="1"/>
  <c r="AU206" i="1"/>
  <c r="Q206" i="1" s="1"/>
  <c r="X204" i="1"/>
  <c r="BF205" i="1"/>
  <c r="BJ120" i="1"/>
  <c r="BH120" i="1"/>
  <c r="AU108" i="1"/>
  <c r="Q108" i="1"/>
  <c r="BE108" i="1"/>
  <c r="Z107" i="1"/>
  <c r="Y110" i="1"/>
  <c r="Z96" i="1"/>
  <c r="Y99" i="1"/>
  <c r="BE97" i="1"/>
  <c r="AU97" i="1"/>
  <c r="Q97" i="1"/>
  <c r="X66" i="1"/>
  <c r="Y63" i="1"/>
  <c r="Z21" i="1"/>
  <c r="AU22" i="1"/>
  <c r="Q22" i="1" s="1"/>
  <c r="Y24" i="1"/>
  <c r="BE22" i="1"/>
  <c r="X11" i="1"/>
  <c r="Y8" i="1"/>
  <c r="Y564" i="1"/>
  <c r="BE562" i="1"/>
  <c r="AA561" i="1"/>
  <c r="AU562" i="1"/>
  <c r="Q562" i="1"/>
  <c r="Z561" i="1"/>
  <c r="BH541" i="1"/>
  <c r="AB542" i="1" s="1"/>
  <c r="BJ541" i="1"/>
  <c r="AC542" i="1" s="1"/>
  <c r="BE506" i="1"/>
  <c r="AU506" i="1"/>
  <c r="Q506" i="1" s="1"/>
  <c r="X509" i="1"/>
  <c r="Z503" i="1"/>
  <c r="BF508" i="1"/>
  <c r="BF266" i="1"/>
  <c r="BE268" i="1"/>
  <c r="BH206" i="1"/>
  <c r="AX66" i="1"/>
  <c r="X243" i="1"/>
  <c r="Y240" i="1"/>
  <c r="BE204" i="1"/>
  <c r="BG109" i="1"/>
  <c r="AB110" i="1" s="1"/>
  <c r="BF66" i="1"/>
  <c r="BG43" i="1"/>
  <c r="BG293" i="1"/>
  <c r="AB294" i="1"/>
  <c r="D75" i="1"/>
  <c r="V76" i="1"/>
  <c r="BI244" i="1"/>
  <c r="BL244" i="1" s="1"/>
  <c r="BB242" i="1"/>
  <c r="AD245" i="1"/>
  <c r="BG244" i="1"/>
  <c r="BG119" i="1"/>
  <c r="AZ118" i="1"/>
  <c r="BJ23" i="1"/>
  <c r="BH23" i="1"/>
  <c r="BI193" i="1"/>
  <c r="AC190" i="1" s="1"/>
  <c r="BG193" i="1"/>
  <c r="BG196" i="1" s="1"/>
  <c r="AX194" i="1"/>
  <c r="BJ153" i="1"/>
  <c r="BH153" i="1"/>
  <c r="AB154" i="1" s="1"/>
  <c r="BG140" i="1"/>
  <c r="BG143" i="1" s="1"/>
  <c r="AX141" i="1"/>
  <c r="BJ142" i="1"/>
  <c r="BH142" i="1"/>
  <c r="AX130" i="1"/>
  <c r="BH130" i="1" s="1"/>
  <c r="AB129" i="1" s="1"/>
  <c r="BG129" i="1"/>
  <c r="BG699" i="1"/>
  <c r="BG697" i="1" s="1"/>
  <c r="AX700" i="1"/>
  <c r="BH595" i="1"/>
  <c r="Y542" i="1"/>
  <c r="BE540" i="1"/>
  <c r="BE537" i="1"/>
  <c r="Z539" i="1"/>
  <c r="AU540" i="1"/>
  <c r="Q540" i="1" s="1"/>
  <c r="Y418" i="1"/>
  <c r="BE416" i="1"/>
  <c r="Z415" i="1"/>
  <c r="AU416" i="1"/>
  <c r="Q416" i="1"/>
  <c r="BG362" i="1"/>
  <c r="AB363" i="1" s="1"/>
  <c r="BI362" i="1"/>
  <c r="BB360" i="1"/>
  <c r="BI327" i="1"/>
  <c r="BG327" i="1"/>
  <c r="AC330" i="1"/>
  <c r="BD324" i="1"/>
  <c r="AB330" i="1"/>
  <c r="AZ280" i="1"/>
  <c r="BH280" i="1" s="1"/>
  <c r="BG281" i="1"/>
  <c r="BG283" i="1" s="1"/>
  <c r="AU271" i="1"/>
  <c r="Q271" i="1"/>
  <c r="X266" i="1"/>
  <c r="Y263" i="1"/>
  <c r="BG245" i="1"/>
  <c r="AC248" i="1" s="1"/>
  <c r="BD242" i="1"/>
  <c r="BH242" i="1" s="1"/>
  <c r="BH246" i="1" s="1"/>
  <c r="BI245" i="1"/>
  <c r="AD248" i="1"/>
  <c r="Y234" i="1"/>
  <c r="AU229" i="1"/>
  <c r="Q229" i="1" s="1"/>
  <c r="BE229" i="1"/>
  <c r="BF231" i="1"/>
  <c r="AA228" i="1"/>
  <c r="BG205" i="1"/>
  <c r="AZ204" i="1"/>
  <c r="BI204" i="1"/>
  <c r="BG151" i="1"/>
  <c r="BG149" i="1" s="1"/>
  <c r="AX152" i="1"/>
  <c r="BG142" i="1"/>
  <c r="AB143" i="1" s="1"/>
  <c r="BB140" i="1"/>
  <c r="BI142" i="1"/>
  <c r="X110" i="1"/>
  <c r="BF109" i="1"/>
  <c r="BE107" i="1"/>
  <c r="AA104" i="1" s="1"/>
  <c r="AU107" i="1"/>
  <c r="Q107" i="1" s="1"/>
  <c r="Z104" i="1"/>
  <c r="Z54" i="1"/>
  <c r="Y57" i="1"/>
  <c r="BE55" i="1"/>
  <c r="AU55" i="1"/>
  <c r="Q55" i="1"/>
  <c r="X44" i="1"/>
  <c r="Y41" i="1"/>
  <c r="X666" i="1"/>
  <c r="BE663" i="1"/>
  <c r="BF665" i="1"/>
  <c r="Z660" i="1"/>
  <c r="AU663" i="1"/>
  <c r="Q663" i="1"/>
  <c r="BH508" i="1"/>
  <c r="BJ508" i="1"/>
  <c r="AX314" i="1"/>
  <c r="BG313" i="1"/>
  <c r="BI131" i="1"/>
  <c r="AC132" i="1" s="1"/>
  <c r="BG96" i="1"/>
  <c r="AX97" i="1"/>
  <c r="BG44" i="1"/>
  <c r="AZ43" i="1"/>
  <c r="BI230" i="1"/>
  <c r="AD231" i="1" s="1"/>
  <c r="BG120" i="1"/>
  <c r="AB121" i="1" s="1"/>
  <c r="Q79" i="1"/>
  <c r="BF44" i="1"/>
  <c r="O80" i="1"/>
  <c r="Q80" i="1" s="1"/>
  <c r="BJ130" i="1"/>
  <c r="BH194" i="1"/>
  <c r="BH196" i="1" s="1"/>
  <c r="BJ194" i="1"/>
  <c r="BJ242" i="1"/>
  <c r="BJ246" i="1" s="1"/>
  <c r="BJ229" i="1"/>
  <c r="BG121" i="1"/>
  <c r="BJ404" i="1"/>
  <c r="BJ540" i="1"/>
  <c r="BH540" i="1"/>
  <c r="BJ313" i="1"/>
  <c r="BG608" i="1"/>
  <c r="BG289" i="1"/>
  <c r="BE553" i="1"/>
  <c r="BH302" i="1"/>
  <c r="BJ302" i="1"/>
  <c r="BH596" i="1"/>
  <c r="BJ596" i="1"/>
  <c r="O83" i="1"/>
  <c r="Q83" i="1" s="1"/>
  <c r="BJ151" i="1"/>
  <c r="BI152" i="1"/>
  <c r="BI141" i="1"/>
  <c r="BH583" i="1"/>
  <c r="BH586" i="1" s="1"/>
  <c r="BG586" i="1"/>
  <c r="BG515" i="1"/>
  <c r="BJ518" i="1"/>
  <c r="BI151" i="1"/>
  <c r="BJ280" i="1"/>
  <c r="BL327" i="1"/>
  <c r="BG138" i="1"/>
  <c r="BG191" i="1"/>
  <c r="AB245" i="1"/>
  <c r="BI243" i="1"/>
  <c r="AD242" i="1" s="1"/>
  <c r="BE94" i="1"/>
  <c r="BL690" i="1"/>
  <c r="BH849" i="1"/>
  <c r="BI194" i="1"/>
  <c r="AC193" i="1" s="1"/>
  <c r="BJ292" i="1"/>
  <c r="BH292" i="1"/>
  <c r="BJ360" i="1"/>
  <c r="BF680" i="1"/>
  <c r="BF675" i="1"/>
  <c r="BG667" i="1"/>
  <c r="AC13" i="1"/>
  <c r="AC110" i="1"/>
  <c r="BG363" i="1"/>
  <c r="BH677" i="1"/>
  <c r="BJ677" i="1"/>
  <c r="BL677" i="1" s="1"/>
  <c r="AA569" i="1"/>
  <c r="BG311" i="1"/>
  <c r="AC143" i="1"/>
  <c r="AD330" i="1"/>
  <c r="BH700" i="1"/>
  <c r="AB699" i="1" s="1"/>
  <c r="BJ700" i="1"/>
  <c r="BH183" i="1"/>
  <c r="BJ183" i="1"/>
  <c r="BJ108" i="1"/>
  <c r="BI108" i="1"/>
  <c r="BJ324" i="1"/>
  <c r="BH324" i="1"/>
  <c r="AB299" i="1"/>
  <c r="BE597" i="1"/>
  <c r="BJ496" i="1"/>
  <c r="BH496" i="1"/>
  <c r="Q788" i="1"/>
  <c r="BJ281" i="1"/>
  <c r="BH193" i="1"/>
  <c r="BJ193" i="1"/>
  <c r="BH372" i="1"/>
  <c r="BH416" i="1"/>
  <c r="BL679" i="1"/>
  <c r="AB525" i="1"/>
  <c r="BH725" i="1"/>
  <c r="BE744" i="1"/>
  <c r="AC305" i="1"/>
  <c r="BI324" i="1"/>
  <c r="AD321" i="1" s="1"/>
  <c r="AA771" i="1"/>
  <c r="BF738" i="1"/>
  <c r="BF733" i="1"/>
  <c r="AB616" i="1"/>
  <c r="BF686" i="1"/>
  <c r="BJ688" i="1"/>
  <c r="BJ182" i="1"/>
  <c r="BI183" i="1"/>
  <c r="AB371" i="1"/>
  <c r="BJ291" i="1"/>
  <c r="BH291" i="1"/>
  <c r="BH289" i="1" s="1"/>
  <c r="BI292" i="1"/>
  <c r="BJ584" i="1"/>
  <c r="BH584" i="1"/>
  <c r="AB583" i="1" s="1"/>
  <c r="AB597" i="1"/>
  <c r="BI677" i="1"/>
  <c r="BG680" i="1"/>
  <c r="BI517" i="1"/>
  <c r="BE564" i="1"/>
  <c r="BE559" i="1"/>
  <c r="BF570" i="1"/>
  <c r="BH572" i="1"/>
  <c r="BH616" i="1"/>
  <c r="BH619" i="1" s="1"/>
  <c r="AB823" i="1"/>
  <c r="BH736" i="1"/>
  <c r="BI736" i="1"/>
  <c r="BG691" i="1"/>
  <c r="BG686" i="1"/>
  <c r="BI700" i="1"/>
  <c r="BH449" i="1"/>
  <c r="BH517" i="1"/>
  <c r="BH515" i="1" s="1"/>
  <c r="BI540" i="1"/>
  <c r="AC539" i="1" s="1"/>
  <c r="AB848" i="1"/>
  <c r="BH816" i="1"/>
  <c r="BF667" i="1"/>
  <c r="BH152" i="1"/>
  <c r="BJ152" i="1"/>
  <c r="AC151" i="1" s="1"/>
  <c r="BH141" i="1"/>
  <c r="AB140" i="1"/>
  <c r="BJ141" i="1"/>
  <c r="AC140" i="1"/>
  <c r="Q466" i="1"/>
  <c r="O470" i="1"/>
  <c r="O474" i="1" s="1"/>
  <c r="BG305" i="1"/>
  <c r="BE771" i="1"/>
  <c r="BJ506" i="1"/>
  <c r="AA503" i="1"/>
  <c r="BG542" i="1"/>
  <c r="BH724" i="1"/>
  <c r="BG846" i="1"/>
  <c r="BG407" i="1"/>
  <c r="BH551" i="1"/>
  <c r="BL563" i="1"/>
  <c r="BJ243" i="1"/>
  <c r="BH243" i="1"/>
  <c r="BI583" i="1"/>
  <c r="AA597" i="1"/>
  <c r="BG559" i="1"/>
  <c r="BI735" i="1"/>
  <c r="BJ758" i="1"/>
  <c r="BH758" i="1"/>
  <c r="AB757" i="1"/>
  <c r="BH699" i="1"/>
  <c r="BH697" i="1" s="1"/>
  <c r="BJ539" i="1"/>
  <c r="BH848" i="1"/>
  <c r="AB845" i="1" s="1"/>
  <c r="BJ848" i="1"/>
  <c r="BH43" i="1"/>
  <c r="BJ43" i="1"/>
  <c r="BI43" i="1"/>
  <c r="AC40" i="1" s="1"/>
  <c r="BI313" i="1"/>
  <c r="BG702" i="1"/>
  <c r="BJ382" i="1"/>
  <c r="BH382" i="1"/>
  <c r="BH380" i="1" s="1"/>
  <c r="BH303" i="1"/>
  <c r="BJ303" i="1"/>
  <c r="AC738" i="1"/>
  <c r="BH828" i="1"/>
  <c r="BG278" i="1"/>
  <c r="AB721" i="1"/>
  <c r="BH22" i="1"/>
  <c r="BL665" i="1"/>
  <c r="BJ561" i="1"/>
  <c r="BH561" i="1"/>
  <c r="BJ140" i="1"/>
  <c r="BI382" i="1"/>
  <c r="AC379" i="1" s="1"/>
  <c r="BH405" i="1"/>
  <c r="BL770" i="1"/>
  <c r="Q875" i="1"/>
  <c r="O877" i="1"/>
  <c r="BH228" i="1"/>
  <c r="AB291" i="1"/>
  <c r="BI596" i="1"/>
  <c r="BJ394" i="1"/>
  <c r="BL394" i="1" s="1"/>
  <c r="BH394" i="1"/>
  <c r="AB393" i="1" s="1"/>
  <c r="AA517" i="1"/>
  <c r="AB539" i="1"/>
  <c r="BE581" i="1"/>
  <c r="BH97" i="1"/>
  <c r="BJ314" i="1"/>
  <c r="BG154" i="1"/>
  <c r="BH204" i="1"/>
  <c r="BG185" i="1"/>
  <c r="AB104" i="1"/>
  <c r="BG110" i="1"/>
  <c r="BG105" i="1"/>
  <c r="BE498" i="1"/>
  <c r="AC520" i="1"/>
  <c r="AC451" i="1"/>
  <c r="BJ426" i="1"/>
  <c r="BI302" i="1"/>
  <c r="BH735" i="1"/>
  <c r="BH733" i="1" s="1"/>
  <c r="BI848" i="1"/>
  <c r="BH769" i="1"/>
  <c r="BJ266" i="1"/>
  <c r="BH266" i="1"/>
  <c r="BI605" i="1"/>
  <c r="BJ529" i="1"/>
  <c r="BH529" i="1"/>
  <c r="BI529" i="1"/>
  <c r="AD669" i="1"/>
  <c r="AB151" i="1"/>
  <c r="BJ383" i="1"/>
  <c r="BH383" i="1"/>
  <c r="BI404" i="1"/>
  <c r="AA498" i="1"/>
  <c r="BJ664" i="1"/>
  <c r="BH664" i="1"/>
  <c r="AC663" i="1" s="1"/>
  <c r="BI689" i="1"/>
  <c r="BI758" i="1"/>
  <c r="BG246" i="1"/>
  <c r="BH56" i="1"/>
  <c r="BI372" i="1"/>
  <c r="AA393" i="1"/>
  <c r="AC393" i="1"/>
  <c r="AA291" i="1"/>
  <c r="BI360" i="1"/>
  <c r="BI678" i="1"/>
  <c r="BJ572" i="1"/>
  <c r="BJ616" i="1"/>
  <c r="BJ826" i="1"/>
  <c r="AA699" i="1"/>
  <c r="AA539" i="1"/>
  <c r="BH747" i="1"/>
  <c r="AB746" i="1" s="1"/>
  <c r="BJ747" i="1"/>
  <c r="BL747" i="1" s="1"/>
  <c r="BI828" i="1"/>
  <c r="AC674" i="1"/>
  <c r="AC357" i="1"/>
  <c r="BL826" i="1"/>
  <c r="BL292" i="1"/>
  <c r="AC291" i="1"/>
  <c r="BH191" i="1"/>
  <c r="AC528" i="1"/>
  <c r="AC299" i="1"/>
  <c r="AB190" i="1"/>
  <c r="BL596" i="1"/>
  <c r="BH385" i="1"/>
  <c r="BH294" i="1"/>
  <c r="AB288" i="1"/>
  <c r="AC558" i="1"/>
  <c r="BH702" i="1"/>
  <c r="BH614" i="1"/>
  <c r="AB613" i="1"/>
  <c r="O84" i="1"/>
  <c r="AC263" i="1"/>
  <c r="BH738" i="1"/>
  <c r="AB558" i="1"/>
  <c r="BL382" i="1"/>
  <c r="AC699" i="1"/>
  <c r="AB201" i="1"/>
  <c r="BH581" i="1"/>
  <c r="Q84" i="1"/>
  <c r="O88" i="1"/>
  <c r="Q88" i="1"/>
  <c r="L714" i="1"/>
  <c r="L712" i="1"/>
  <c r="L710" i="1"/>
  <c r="L474" i="1"/>
  <c r="L785" i="1"/>
  <c r="L652" i="1"/>
  <c r="L632" i="1"/>
  <c r="L169" i="1"/>
  <c r="L880" i="1"/>
  <c r="L165" i="1"/>
  <c r="L648" i="1"/>
  <c r="L628" i="1"/>
  <c r="L79" i="1"/>
  <c r="L460" i="1"/>
  <c r="L163" i="1"/>
  <c r="L630" i="1"/>
  <c r="L77" i="1"/>
  <c r="L650" i="1"/>
  <c r="L85" i="1"/>
  <c r="L171" i="1"/>
  <c r="L468" i="1"/>
  <c r="L83" i="1"/>
  <c r="L81" i="1"/>
  <c r="L472" i="1"/>
  <c r="L642" i="1"/>
  <c r="L216" i="1"/>
  <c r="L167" i="1"/>
  <c r="L340" i="1"/>
  <c r="L348" i="1"/>
  <c r="L464" i="1"/>
  <c r="L644" i="1"/>
  <c r="L781" i="1"/>
  <c r="L476" i="1"/>
  <c r="L342" i="1"/>
  <c r="L346" i="1"/>
  <c r="L484" i="1"/>
  <c r="L640" i="1"/>
  <c r="L480" i="1"/>
  <c r="L636" i="1"/>
  <c r="L789" i="1"/>
  <c r="L874" i="1"/>
  <c r="L876" i="1"/>
  <c r="L256" i="1"/>
  <c r="L218" i="1"/>
  <c r="L638" i="1"/>
  <c r="L872" i="1"/>
  <c r="L787" i="1"/>
  <c r="L344" i="1"/>
  <c r="L878" i="1"/>
  <c r="BL360" i="1" l="1"/>
  <c r="BL848" i="1"/>
  <c r="BH407" i="1"/>
  <c r="AB401" i="1"/>
  <c r="BH402" i="1"/>
  <c r="AC302" i="1"/>
  <c r="AC280" i="1"/>
  <c r="BL416" i="1"/>
  <c r="AC415" i="1"/>
  <c r="BI667" i="1"/>
  <c r="AC201" i="1"/>
  <c r="O475" i="1"/>
  <c r="O479" i="1" s="1"/>
  <c r="Q474" i="1"/>
  <c r="AB277" i="1"/>
  <c r="BH105" i="1"/>
  <c r="AB107" i="1"/>
  <c r="BH110" i="1"/>
  <c r="AB423" i="1"/>
  <c r="BL496" i="1"/>
  <c r="BH509" i="1"/>
  <c r="AB503" i="1"/>
  <c r="BH504" i="1"/>
  <c r="BE531" i="1"/>
  <c r="BF509" i="1"/>
  <c r="BH691" i="1"/>
  <c r="BH686" i="1"/>
  <c r="AC360" i="1"/>
  <c r="AC437" i="1"/>
  <c r="AB517" i="1"/>
  <c r="BH520" i="1"/>
  <c r="AC735" i="1"/>
  <c r="AC616" i="1"/>
  <c r="AB732" i="1"/>
  <c r="AC597" i="1"/>
  <c r="BL291" i="1"/>
  <c r="AC691" i="1"/>
  <c r="AC407" i="1"/>
  <c r="AA423" i="1"/>
  <c r="BE520" i="1"/>
  <c r="AB608" i="1"/>
  <c r="AC509" i="1"/>
  <c r="AA182" i="1"/>
  <c r="BI266" i="1"/>
  <c r="AD263" i="1" s="1"/>
  <c r="BG509" i="1"/>
  <c r="BI426" i="1"/>
  <c r="BI539" i="1"/>
  <c r="AC536" i="1" s="1"/>
  <c r="BE839" i="1"/>
  <c r="AA840" i="1" s="1"/>
  <c r="X807" i="1"/>
  <c r="AU803" i="1"/>
  <c r="Q803" i="1" s="1"/>
  <c r="BB827" i="1"/>
  <c r="BG828" i="1"/>
  <c r="BI688" i="1"/>
  <c r="AU816" i="1"/>
  <c r="Q816" i="1" s="1"/>
  <c r="BI573" i="1"/>
  <c r="BG384" i="1"/>
  <c r="BI384" i="1"/>
  <c r="X272" i="1"/>
  <c r="AA263" i="1"/>
  <c r="AU140" i="1"/>
  <c r="Q140" i="1" s="1"/>
  <c r="Y121" i="1"/>
  <c r="BE245" i="1"/>
  <c r="V173" i="1"/>
  <c r="Y139" i="1"/>
  <c r="Y245" i="1"/>
  <c r="X131" i="1"/>
  <c r="BF10" i="1"/>
  <c r="BE12" i="1"/>
  <c r="Y15" i="1"/>
  <c r="Z12" i="1"/>
  <c r="Z11" i="1"/>
  <c r="X10" i="1"/>
  <c r="AU12" i="1"/>
  <c r="Q12" i="1" s="1"/>
  <c r="Z20" i="1"/>
  <c r="X26" i="1"/>
  <c r="Z19" i="1"/>
  <c r="Y19" i="1"/>
  <c r="X22" i="1"/>
  <c r="Y20" i="1"/>
  <c r="X23" i="1"/>
  <c r="Y18" i="1"/>
  <c r="BE34" i="1"/>
  <c r="BF32" i="1"/>
  <c r="Z34" i="1"/>
  <c r="Y37" i="1"/>
  <c r="Z33" i="1"/>
  <c r="Z42" i="1"/>
  <c r="X48" i="1"/>
  <c r="Z41" i="1"/>
  <c r="Y42" i="1"/>
  <c r="X45" i="1"/>
  <c r="Y40" i="1"/>
  <c r="BF54" i="1"/>
  <c r="BE56" i="1"/>
  <c r="Y59" i="1"/>
  <c r="Z56" i="1"/>
  <c r="Z55" i="1"/>
  <c r="BB65" i="1"/>
  <c r="X70" i="1"/>
  <c r="Z64" i="1"/>
  <c r="Z63" i="1"/>
  <c r="AZ65" i="1"/>
  <c r="BG66" i="1"/>
  <c r="Y64" i="1"/>
  <c r="X67" i="1"/>
  <c r="Y62" i="1"/>
  <c r="Y95" i="1"/>
  <c r="X98" i="1"/>
  <c r="BE109" i="1"/>
  <c r="BF108" i="1"/>
  <c r="BB118" i="1"/>
  <c r="BI118" i="1" s="1"/>
  <c r="AC121" i="1"/>
  <c r="Z116" i="1"/>
  <c r="X122" i="1"/>
  <c r="Z117" i="1"/>
  <c r="X123" i="1"/>
  <c r="Z118" i="1"/>
  <c r="BE119" i="1"/>
  <c r="AA118" i="1" s="1"/>
  <c r="Y122" i="1"/>
  <c r="Z119" i="1"/>
  <c r="Y123" i="1"/>
  <c r="Z120" i="1"/>
  <c r="BG131" i="1"/>
  <c r="BB129" i="1"/>
  <c r="Z127" i="1"/>
  <c r="X133" i="1"/>
  <c r="BF131" i="1"/>
  <c r="Z129" i="1"/>
  <c r="BE130" i="1"/>
  <c r="Y132" i="1"/>
  <c r="AU130" i="1"/>
  <c r="Q130" i="1" s="1"/>
  <c r="Y133" i="1"/>
  <c r="Z130" i="1"/>
  <c r="BE142" i="1"/>
  <c r="AA143" i="1" s="1"/>
  <c r="BF140" i="1"/>
  <c r="AA137" i="1" s="1"/>
  <c r="X145" i="1"/>
  <c r="Z139" i="1"/>
  <c r="Z142" i="1"/>
  <c r="BE141" i="1"/>
  <c r="Z150" i="1"/>
  <c r="X156" i="1"/>
  <c r="Z153" i="1"/>
  <c r="Y150" i="1"/>
  <c r="X153" i="1"/>
  <c r="Y149" i="1"/>
  <c r="BI184" i="1"/>
  <c r="Z180" i="1"/>
  <c r="X186" i="1"/>
  <c r="BF184" i="1"/>
  <c r="Y185" i="1"/>
  <c r="AU183" i="1"/>
  <c r="Q183" i="1" s="1"/>
  <c r="Z182" i="1"/>
  <c r="Y186" i="1"/>
  <c r="Z184" i="1"/>
  <c r="Y187" i="1"/>
  <c r="X183" i="1"/>
  <c r="Y180" i="1"/>
  <c r="Y181" i="1"/>
  <c r="X196" i="1"/>
  <c r="AU193" i="1"/>
  <c r="Q193" i="1" s="1"/>
  <c r="Z190" i="1"/>
  <c r="Y196" i="1"/>
  <c r="AU194" i="1"/>
  <c r="Q194" i="1" s="1"/>
  <c r="Z193" i="1"/>
  <c r="Y192" i="1"/>
  <c r="X195" i="1"/>
  <c r="X194" i="1"/>
  <c r="X207" i="1"/>
  <c r="AU204" i="1"/>
  <c r="Q204" i="1" s="1"/>
  <c r="Z201" i="1"/>
  <c r="BE206" i="1"/>
  <c r="BF204" i="1"/>
  <c r="O217" i="1"/>
  <c r="Q213" i="1"/>
  <c r="O219" i="1"/>
  <c r="BF230" i="1"/>
  <c r="AB231" i="1" s="1"/>
  <c r="X233" i="1"/>
  <c r="Y235" i="1"/>
  <c r="AA229" i="1"/>
  <c r="Y236" i="1"/>
  <c r="AA230" i="1"/>
  <c r="X236" i="1"/>
  <c r="Y227" i="1"/>
  <c r="X230" i="1"/>
  <c r="X229" i="1"/>
  <c r="BF242" i="1"/>
  <c r="BF246" i="1" s="1"/>
  <c r="AA243" i="1"/>
  <c r="AU243" i="1"/>
  <c r="Q243" i="1" s="1"/>
  <c r="Y249" i="1"/>
  <c r="AA244" i="1"/>
  <c r="Y250" i="1"/>
  <c r="AA240" i="1"/>
  <c r="X249" i="1"/>
  <c r="X250" i="1"/>
  <c r="AA241" i="1"/>
  <c r="Y273" i="1"/>
  <c r="AA267" i="1"/>
  <c r="X274" i="1"/>
  <c r="AA265" i="1"/>
  <c r="Z274" i="1"/>
  <c r="AA271" i="1"/>
  <c r="Z272" i="1"/>
  <c r="Y264" i="1"/>
  <c r="X267" i="1"/>
  <c r="BE280" i="1"/>
  <c r="X284" i="1"/>
  <c r="BF282" i="1"/>
  <c r="Y279" i="1"/>
  <c r="X282" i="1"/>
  <c r="BE293" i="1"/>
  <c r="BF291" i="1"/>
  <c r="X296" i="1"/>
  <c r="Z292" i="1"/>
  <c r="Y295" i="1"/>
  <c r="Z293" i="1"/>
  <c r="Y296" i="1"/>
  <c r="Y289" i="1"/>
  <c r="X292" i="1"/>
  <c r="X306" i="1"/>
  <c r="BE302" i="1"/>
  <c r="BF304" i="1"/>
  <c r="AA305" i="1" s="1"/>
  <c r="Z300" i="1"/>
  <c r="X307" i="1"/>
  <c r="Z301" i="1"/>
  <c r="X305" i="1"/>
  <c r="AU304" i="1"/>
  <c r="Q304" i="1" s="1"/>
  <c r="X302" i="1"/>
  <c r="Y299" i="1"/>
  <c r="Y300" i="1"/>
  <c r="X303" i="1"/>
  <c r="Y301" i="1"/>
  <c r="X304" i="1"/>
  <c r="BE315" i="1"/>
  <c r="Y316" i="1"/>
  <c r="Z313" i="1"/>
  <c r="BE314" i="1"/>
  <c r="AU314" i="1"/>
  <c r="Q314" i="1" s="1"/>
  <c r="Y318" i="1"/>
  <c r="Z315" i="1"/>
  <c r="X314" i="1"/>
  <c r="Y311" i="1"/>
  <c r="X315" i="1"/>
  <c r="Y312" i="1"/>
  <c r="X327" i="1"/>
  <c r="AU324" i="1"/>
  <c r="Q324" i="1" s="1"/>
  <c r="Z321" i="1"/>
  <c r="X328" i="1"/>
  <c r="Z322" i="1"/>
  <c r="AA325" i="1"/>
  <c r="Y331" i="1"/>
  <c r="Z326" i="1"/>
  <c r="Y328" i="1"/>
  <c r="AA327" i="1"/>
  <c r="Z330" i="1"/>
  <c r="Z331" i="1"/>
  <c r="AA328" i="1"/>
  <c r="AA329" i="1"/>
  <c r="Z332" i="1"/>
  <c r="Q337" i="1"/>
  <c r="O343" i="1"/>
  <c r="T349" i="1"/>
  <c r="T350" i="1"/>
  <c r="Q349" i="1"/>
  <c r="BF360" i="1"/>
  <c r="BH373" i="1"/>
  <c r="Z369" i="1"/>
  <c r="X375" i="1"/>
  <c r="Y386" i="1"/>
  <c r="Z383" i="1"/>
  <c r="Y379" i="1"/>
  <c r="Y381" i="1"/>
  <c r="BF393" i="1"/>
  <c r="BE395" i="1"/>
  <c r="Z394" i="1"/>
  <c r="Y397" i="1"/>
  <c r="X395" i="1"/>
  <c r="X419" i="1"/>
  <c r="Z413" i="1"/>
  <c r="X415" i="1"/>
  <c r="AU417" i="1"/>
  <c r="Q417" i="1" s="1"/>
  <c r="Y412" i="1"/>
  <c r="Y413" i="1"/>
  <c r="X416" i="1"/>
  <c r="Y423" i="1"/>
  <c r="Y425" i="1"/>
  <c r="X428" i="1"/>
  <c r="BE439" i="1"/>
  <c r="BF437" i="1"/>
  <c r="Z438" i="1"/>
  <c r="Y441" i="1"/>
  <c r="Y453" i="1"/>
  <c r="Z450" i="1"/>
  <c r="T486" i="1"/>
  <c r="Q486" i="1"/>
  <c r="X499" i="1"/>
  <c r="Z493" i="1"/>
  <c r="Y499" i="1"/>
  <c r="Z496" i="1"/>
  <c r="AU497" i="1"/>
  <c r="Q497" i="1" s="1"/>
  <c r="X495" i="1"/>
  <c r="Y492" i="1"/>
  <c r="Y494" i="1"/>
  <c r="X497" i="1"/>
  <c r="BE508" i="1"/>
  <c r="X510" i="1"/>
  <c r="Z504" i="1"/>
  <c r="Z505" i="1"/>
  <c r="X511" i="1"/>
  <c r="BF507" i="1"/>
  <c r="Y511" i="1"/>
  <c r="Z508" i="1"/>
  <c r="BF519" i="1"/>
  <c r="BL519" i="1" s="1"/>
  <c r="X522" i="1"/>
  <c r="Z516" i="1"/>
  <c r="Z518" i="1"/>
  <c r="Y521" i="1"/>
  <c r="BE530" i="1"/>
  <c r="BE526" i="1" s="1"/>
  <c r="BF529" i="1"/>
  <c r="BF526" i="1" s="1"/>
  <c r="X530" i="1"/>
  <c r="Y527" i="1"/>
  <c r="Z536" i="1"/>
  <c r="BF541" i="1"/>
  <c r="BF542" i="1" s="1"/>
  <c r="AU539" i="1"/>
  <c r="Q539" i="1" s="1"/>
  <c r="X544" i="1"/>
  <c r="Z538" i="1"/>
  <c r="Z540" i="1"/>
  <c r="Y547" i="1"/>
  <c r="AU552" i="1"/>
  <c r="Q552" i="1" s="1"/>
  <c r="X550" i="1"/>
  <c r="Y549" i="1"/>
  <c r="X552" i="1"/>
  <c r="BF561" i="1"/>
  <c r="Z562" i="1"/>
  <c r="Y565" i="1"/>
  <c r="Y558" i="1"/>
  <c r="BE574" i="1"/>
  <c r="BE575" i="1" s="1"/>
  <c r="Y576" i="1"/>
  <c r="Y577" i="1"/>
  <c r="Z574" i="1"/>
  <c r="X587" i="1"/>
  <c r="Z582" i="1"/>
  <c r="Z584" i="1"/>
  <c r="Y587" i="1"/>
  <c r="Y588" i="1"/>
  <c r="BF594" i="1"/>
  <c r="Y598" i="1"/>
  <c r="Z595" i="1"/>
  <c r="Z596" i="1"/>
  <c r="AU596" i="1"/>
  <c r="Q596" i="1" s="1"/>
  <c r="X594" i="1"/>
  <c r="X609" i="1"/>
  <c r="X607" i="1"/>
  <c r="X620" i="1"/>
  <c r="X680" i="1"/>
  <c r="AU677" i="1"/>
  <c r="Q677" i="1" s="1"/>
  <c r="Z674" i="1"/>
  <c r="X682" i="1"/>
  <c r="Z676" i="1"/>
  <c r="AU679" i="1"/>
  <c r="Q679" i="1" s="1"/>
  <c r="X677" i="1"/>
  <c r="Y675" i="1"/>
  <c r="X678" i="1"/>
  <c r="X693" i="1"/>
  <c r="Z687" i="1"/>
  <c r="Y687" i="1"/>
  <c r="X690" i="1"/>
  <c r="X738" i="1"/>
  <c r="AU735" i="1"/>
  <c r="Q735" i="1" s="1"/>
  <c r="Z732" i="1"/>
  <c r="X740" i="1"/>
  <c r="Z734" i="1"/>
  <c r="Y733" i="1"/>
  <c r="X736" i="1"/>
  <c r="X749" i="1"/>
  <c r="Z743" i="1"/>
  <c r="X747" i="1"/>
  <c r="X760" i="1"/>
  <c r="BF759" i="1"/>
  <c r="Z754" i="1"/>
  <c r="Y760" i="1"/>
  <c r="Z757" i="1"/>
  <c r="Z766" i="1"/>
  <c r="X772" i="1"/>
  <c r="Y767" i="1"/>
  <c r="X770" i="1"/>
  <c r="X820" i="1"/>
  <c r="BF817" i="1"/>
  <c r="BF813" i="1" s="1"/>
  <c r="Z814" i="1"/>
  <c r="Z839" i="1"/>
  <c r="AU838" i="1"/>
  <c r="Q838" i="1" s="1"/>
  <c r="AU848" i="1"/>
  <c r="Q848" i="1" s="1"/>
  <c r="X851" i="1"/>
  <c r="BE850" i="1"/>
  <c r="BE846" i="1" s="1"/>
  <c r="BF848" i="1"/>
  <c r="AB379" i="1"/>
  <c r="AC129" i="1"/>
  <c r="AC182" i="1"/>
  <c r="BL700" i="1"/>
  <c r="BL540" i="1"/>
  <c r="Q877" i="1"/>
  <c r="AC845" i="1"/>
  <c r="AB685" i="1"/>
  <c r="BL243" i="1"/>
  <c r="AC757" i="1"/>
  <c r="AC580" i="1"/>
  <c r="AB696" i="1"/>
  <c r="BL404" i="1"/>
  <c r="AC321" i="1"/>
  <c r="AB674" i="1"/>
  <c r="AC721" i="1"/>
  <c r="AC660" i="1"/>
  <c r="AB179" i="1"/>
  <c r="Q470" i="1"/>
  <c r="AC746" i="1"/>
  <c r="BI849" i="1"/>
  <c r="AC613" i="1"/>
  <c r="AC569" i="1"/>
  <c r="AC677" i="1"/>
  <c r="BJ678" i="1"/>
  <c r="BH678" i="1"/>
  <c r="BH361" i="1"/>
  <c r="AB360" i="1" s="1"/>
  <c r="BJ361" i="1"/>
  <c r="BI229" i="1"/>
  <c r="BL701" i="1"/>
  <c r="AC583" i="1"/>
  <c r="AC401" i="1"/>
  <c r="AB382" i="1"/>
  <c r="AB302" i="1"/>
  <c r="AA495" i="1"/>
  <c r="BI314" i="1"/>
  <c r="BJ119" i="1"/>
  <c r="BL119" i="1" s="1"/>
  <c r="BH119" i="1"/>
  <c r="AB118" i="1" s="1"/>
  <c r="AC225" i="1"/>
  <c r="BG180" i="1"/>
  <c r="BH605" i="1"/>
  <c r="BJ605" i="1"/>
  <c r="BH314" i="1"/>
  <c r="AB313" i="1" s="1"/>
  <c r="BL131" i="1"/>
  <c r="AB580" i="1"/>
  <c r="BJ228" i="1"/>
  <c r="BI242" i="1"/>
  <c r="O879" i="1"/>
  <c r="BE813" i="1"/>
  <c r="BL585" i="1"/>
  <c r="AB404" i="1"/>
  <c r="BJ405" i="1"/>
  <c r="AC137" i="1"/>
  <c r="BH140" i="1"/>
  <c r="BJ663" i="1"/>
  <c r="BJ667" i="1" s="1"/>
  <c r="AB829" i="1"/>
  <c r="BJ828" i="1"/>
  <c r="AC310" i="1"/>
  <c r="AB40" i="1"/>
  <c r="BH539" i="1"/>
  <c r="AB536" i="1" s="1"/>
  <c r="BI518" i="1"/>
  <c r="BJ699" i="1"/>
  <c r="BF498" i="1"/>
  <c r="BI506" i="1"/>
  <c r="O638" i="1"/>
  <c r="BJ816" i="1"/>
  <c r="AA848" i="1"/>
  <c r="AB514" i="1"/>
  <c r="BJ517" i="1"/>
  <c r="AC514" i="1" s="1"/>
  <c r="AA685" i="1"/>
  <c r="AA735" i="1"/>
  <c r="BH562" i="1"/>
  <c r="BJ562" i="1"/>
  <c r="AC561" i="1" s="1"/>
  <c r="BH438" i="1"/>
  <c r="AB437" i="1" s="1"/>
  <c r="BJ438" i="1"/>
  <c r="BL438" i="1" s="1"/>
  <c r="AB357" i="1"/>
  <c r="AA415" i="1"/>
  <c r="AC179" i="1"/>
  <c r="BH182" i="1"/>
  <c r="AA401" i="1"/>
  <c r="BI130" i="1"/>
  <c r="BJ129" i="1"/>
  <c r="AB415" i="1"/>
  <c r="BJ372" i="1"/>
  <c r="BL372" i="1" s="1"/>
  <c r="BH606" i="1"/>
  <c r="AB605" i="1" s="1"/>
  <c r="BJ606" i="1"/>
  <c r="AC605" i="1" s="1"/>
  <c r="BI280" i="1"/>
  <c r="BH281" i="1"/>
  <c r="AB280" i="1" s="1"/>
  <c r="BJ735" i="1"/>
  <c r="BL735" i="1" s="1"/>
  <c r="BF548" i="1"/>
  <c r="AB495" i="1"/>
  <c r="AC495" i="1"/>
  <c r="AC104" i="1"/>
  <c r="AC107" i="1"/>
  <c r="AA107" i="1"/>
  <c r="AC148" i="1"/>
  <c r="BG316" i="1"/>
  <c r="BJ689" i="1"/>
  <c r="AC228" i="1"/>
  <c r="AC239" i="1"/>
  <c r="BH151" i="1"/>
  <c r="AB148" i="1" s="1"/>
  <c r="BH313" i="1"/>
  <c r="BG116" i="1"/>
  <c r="AC118" i="1"/>
  <c r="BI140" i="1"/>
  <c r="AA280" i="1"/>
  <c r="BI228" i="1"/>
  <c r="BI827" i="1"/>
  <c r="BH804" i="1"/>
  <c r="BJ528" i="1"/>
  <c r="AC525" i="1" s="1"/>
  <c r="BG614" i="1"/>
  <c r="AA826" i="1"/>
  <c r="BE829" i="1"/>
  <c r="BF829" i="1"/>
  <c r="Z815" i="1"/>
  <c r="X840" i="1"/>
  <c r="X804" i="1"/>
  <c r="BH817" i="1"/>
  <c r="BI839" i="1"/>
  <c r="BG827" i="1"/>
  <c r="BI699" i="1"/>
  <c r="AA798" i="1"/>
  <c r="BF804" i="1"/>
  <c r="BG815" i="1"/>
  <c r="BG838" i="1"/>
  <c r="AZ837" i="1"/>
  <c r="BJ839" i="1"/>
  <c r="BG816" i="1"/>
  <c r="AB815" i="1" s="1"/>
  <c r="AZ815" i="1"/>
  <c r="BJ827" i="1"/>
  <c r="AU804" i="1"/>
  <c r="Q804" i="1" s="1"/>
  <c r="BE802" i="1"/>
  <c r="AU802" i="1"/>
  <c r="Q802" i="1" s="1"/>
  <c r="AA801" i="1"/>
  <c r="AA746" i="1"/>
  <c r="AZ746" i="1"/>
  <c r="BH850" i="1"/>
  <c r="AX802" i="1"/>
  <c r="AX748" i="1"/>
  <c r="BG746" i="1"/>
  <c r="Z826" i="1"/>
  <c r="AU827" i="1"/>
  <c r="Q827" i="1" s="1"/>
  <c r="BE726" i="1"/>
  <c r="BF724" i="1"/>
  <c r="Y818" i="1"/>
  <c r="BG736" i="1"/>
  <c r="AX574" i="1"/>
  <c r="BG572" i="1"/>
  <c r="X664" i="1"/>
  <c r="Y661" i="1"/>
  <c r="BB427" i="1"/>
  <c r="BG428" i="1"/>
  <c r="BG429" i="1" s="1"/>
  <c r="BI428" i="1"/>
  <c r="BJ362" i="1"/>
  <c r="BB231" i="1"/>
  <c r="BG230" i="1"/>
  <c r="Z9" i="1"/>
  <c r="X15" i="1"/>
  <c r="BG11" i="1"/>
  <c r="AZ10" i="1"/>
  <c r="Y9" i="1"/>
  <c r="X12" i="1"/>
  <c r="BF21" i="1"/>
  <c r="BE23" i="1"/>
  <c r="Z23" i="1"/>
  <c r="Y26" i="1"/>
  <c r="BI34" i="1"/>
  <c r="BB32" i="1"/>
  <c r="X37" i="1"/>
  <c r="Z31" i="1"/>
  <c r="AZ32" i="1"/>
  <c r="BG33" i="1"/>
  <c r="Y31" i="1"/>
  <c r="X34" i="1"/>
  <c r="BF43" i="1"/>
  <c r="BE45" i="1"/>
  <c r="Y48" i="1"/>
  <c r="Z45" i="1"/>
  <c r="X43" i="1"/>
  <c r="AU45" i="1"/>
  <c r="Q45" i="1" s="1"/>
  <c r="BB54" i="1"/>
  <c r="Z53" i="1"/>
  <c r="X59" i="1"/>
  <c r="Y53" i="1"/>
  <c r="X56" i="1"/>
  <c r="BF65" i="1"/>
  <c r="BE67" i="1"/>
  <c r="Z67" i="1"/>
  <c r="Y70" i="1"/>
  <c r="X65" i="1"/>
  <c r="AU67" i="1"/>
  <c r="Q67" i="1" s="1"/>
  <c r="T87" i="1"/>
  <c r="Q87" i="1"/>
  <c r="BG98" i="1"/>
  <c r="AB99" i="1" s="1"/>
  <c r="X100" i="1"/>
  <c r="Z94" i="1"/>
  <c r="X96" i="1"/>
  <c r="Y93" i="1"/>
  <c r="BF97" i="1"/>
  <c r="Z109" i="1"/>
  <c r="Y112" i="1"/>
  <c r="Y105" i="1"/>
  <c r="X108" i="1"/>
  <c r="AU109" i="1"/>
  <c r="Q109" i="1" s="1"/>
  <c r="BF118" i="1"/>
  <c r="BE120" i="1"/>
  <c r="X119" i="1"/>
  <c r="Y116" i="1"/>
  <c r="BE131" i="1"/>
  <c r="AA132" i="1" s="1"/>
  <c r="X132" i="1"/>
  <c r="AU129" i="1"/>
  <c r="Q129" i="1" s="1"/>
  <c r="Z126" i="1"/>
  <c r="BF129" i="1"/>
  <c r="X134" i="1"/>
  <c r="Z128" i="1"/>
  <c r="Y134" i="1"/>
  <c r="Z131" i="1"/>
  <c r="X130" i="1"/>
  <c r="Y127" i="1"/>
  <c r="Y143" i="1"/>
  <c r="AU141" i="1"/>
  <c r="Q141" i="1" s="1"/>
  <c r="Z140" i="1"/>
  <c r="BE153" i="1"/>
  <c r="BF151" i="1"/>
  <c r="AA148" i="1" s="1"/>
  <c r="Q161" i="1"/>
  <c r="O165" i="1"/>
  <c r="BE184" i="1"/>
  <c r="X185" i="1"/>
  <c r="AU182" i="1"/>
  <c r="Q182" i="1" s="1"/>
  <c r="Z179" i="1"/>
  <c r="BF182" i="1"/>
  <c r="X187" i="1"/>
  <c r="Z181" i="1"/>
  <c r="BF193" i="1"/>
  <c r="AA190" i="1" s="1"/>
  <c r="BE195" i="1"/>
  <c r="Z192" i="1"/>
  <c r="X198" i="1"/>
  <c r="Y198" i="1"/>
  <c r="BE194" i="1"/>
  <c r="X209" i="1"/>
  <c r="Z203" i="1"/>
  <c r="BF206" i="1"/>
  <c r="Z204" i="1"/>
  <c r="Y207" i="1"/>
  <c r="AU205" i="1"/>
  <c r="Q205" i="1" s="1"/>
  <c r="BE205" i="1"/>
  <c r="BE202" i="1" s="1"/>
  <c r="Y209" i="1"/>
  <c r="Z206" i="1"/>
  <c r="X206" i="1"/>
  <c r="Y203" i="1"/>
  <c r="T216" i="1"/>
  <c r="T215" i="1"/>
  <c r="Q215" i="1"/>
  <c r="BF228" i="1"/>
  <c r="BF232" i="1" s="1"/>
  <c r="X231" i="1"/>
  <c r="BE231" i="1"/>
  <c r="BE232" i="1" s="1"/>
  <c r="BF229" i="1"/>
  <c r="AB228" i="1" s="1"/>
  <c r="Y231" i="1"/>
  <c r="Z228" i="1"/>
  <c r="AU231" i="1"/>
  <c r="Q231" i="1" s="1"/>
  <c r="Z234" i="1"/>
  <c r="AA231" i="1"/>
  <c r="AA233" i="1"/>
  <c r="Z236" i="1"/>
  <c r="Z240" i="1"/>
  <c r="X246" i="1"/>
  <c r="Y247" i="1"/>
  <c r="Z244" i="1"/>
  <c r="Z249" i="1"/>
  <c r="AA246" i="1"/>
  <c r="Y239" i="1"/>
  <c r="AU247" i="1"/>
  <c r="Q247" i="1" s="1"/>
  <c r="X242" i="1"/>
  <c r="X244" i="1"/>
  <c r="Y241" i="1"/>
  <c r="BF268" i="1"/>
  <c r="BF267" i="1"/>
  <c r="BE269" i="1"/>
  <c r="Y270" i="1"/>
  <c r="Z267" i="1"/>
  <c r="Y271" i="1"/>
  <c r="Z268" i="1"/>
  <c r="BH282" i="1"/>
  <c r="AB283" i="1" s="1"/>
  <c r="BJ282" i="1"/>
  <c r="X285" i="1"/>
  <c r="Z279" i="1"/>
  <c r="Z282" i="1"/>
  <c r="Y285" i="1"/>
  <c r="Z289" i="1"/>
  <c r="X295" i="1"/>
  <c r="X291" i="1"/>
  <c r="Y288" i="1"/>
  <c r="AU293" i="1"/>
  <c r="Q293" i="1" s="1"/>
  <c r="BH304" i="1"/>
  <c r="BH300" i="1" s="1"/>
  <c r="AU302" i="1"/>
  <c r="Q302" i="1" s="1"/>
  <c r="BF302" i="1"/>
  <c r="Z299" i="1"/>
  <c r="AU303" i="1"/>
  <c r="Q303" i="1" s="1"/>
  <c r="Y305" i="1"/>
  <c r="Z302" i="1"/>
  <c r="BE303" i="1"/>
  <c r="AA302" i="1" s="1"/>
  <c r="Y307" i="1"/>
  <c r="Z304" i="1"/>
  <c r="BF315" i="1"/>
  <c r="Z310" i="1"/>
  <c r="AU313" i="1"/>
  <c r="Q313" i="1" s="1"/>
  <c r="X316" i="1"/>
  <c r="X318" i="1"/>
  <c r="Z312" i="1"/>
  <c r="BF324" i="1"/>
  <c r="BE326" i="1"/>
  <c r="AA322" i="1"/>
  <c r="X331" i="1"/>
  <c r="X332" i="1"/>
  <c r="AA323" i="1"/>
  <c r="T340" i="1"/>
  <c r="T339" i="1"/>
  <c r="Q339" i="1"/>
  <c r="X364" i="1"/>
  <c r="Z358" i="1"/>
  <c r="Z359" i="1"/>
  <c r="X365" i="1"/>
  <c r="Y357" i="1"/>
  <c r="X360" i="1"/>
  <c r="X362" i="1"/>
  <c r="Y359" i="1"/>
  <c r="Y370" i="1"/>
  <c r="X373" i="1"/>
  <c r="Y387" i="1"/>
  <c r="Z384" i="1"/>
  <c r="Z391" i="1"/>
  <c r="X397" i="1"/>
  <c r="Y391" i="1"/>
  <c r="X394" i="1"/>
  <c r="Y403" i="1"/>
  <c r="X406" i="1"/>
  <c r="Y414" i="1"/>
  <c r="X417" i="1"/>
  <c r="Y431" i="1"/>
  <c r="Z428" i="1"/>
  <c r="BB437" i="1"/>
  <c r="X441" i="1"/>
  <c r="Z435" i="1"/>
  <c r="AU439" i="1"/>
  <c r="Q439" i="1" s="1"/>
  <c r="X437" i="1"/>
  <c r="Y434" i="1"/>
  <c r="X439" i="1"/>
  <c r="Y436" i="1"/>
  <c r="AU448" i="1"/>
  <c r="Q448" i="1" s="1"/>
  <c r="Y452" i="1"/>
  <c r="BF450" i="1"/>
  <c r="Z449" i="1"/>
  <c r="Y445" i="1"/>
  <c r="BE448" i="1"/>
  <c r="T459" i="1"/>
  <c r="Q459" i="1"/>
  <c r="V463" i="1"/>
  <c r="D462" i="1"/>
  <c r="Q471" i="1"/>
  <c r="T471" i="1"/>
  <c r="BB495" i="1"/>
  <c r="BG497" i="1"/>
  <c r="BI497" i="1"/>
  <c r="X508" i="1"/>
  <c r="Y505" i="1"/>
  <c r="X519" i="1"/>
  <c r="Y516" i="1"/>
  <c r="X532" i="1"/>
  <c r="Z526" i="1"/>
  <c r="AZ530" i="1"/>
  <c r="BG529" i="1"/>
  <c r="BG531" i="1" s="1"/>
  <c r="X529" i="1"/>
  <c r="AU530" i="1"/>
  <c r="Q530" i="1" s="1"/>
  <c r="X565" i="1"/>
  <c r="Z559" i="1"/>
  <c r="Z560" i="1"/>
  <c r="X566" i="1"/>
  <c r="Z570" i="1"/>
  <c r="X576" i="1"/>
  <c r="AU574" i="1"/>
  <c r="Q574" i="1" s="1"/>
  <c r="X572" i="1"/>
  <c r="X574" i="1"/>
  <c r="Y571" i="1"/>
  <c r="BF583" i="1"/>
  <c r="AU583" i="1"/>
  <c r="Q583" i="1" s="1"/>
  <c r="X586" i="1"/>
  <c r="BF584" i="1"/>
  <c r="AA583" i="1" s="1"/>
  <c r="AU585" i="1"/>
  <c r="Q585" i="1" s="1"/>
  <c r="X583" i="1"/>
  <c r="Y582" i="1"/>
  <c r="X585" i="1"/>
  <c r="X596" i="1"/>
  <c r="Y593" i="1"/>
  <c r="BF605" i="1"/>
  <c r="BE607" i="1"/>
  <c r="AU607" i="1"/>
  <c r="Q607" i="1" s="1"/>
  <c r="X605" i="1"/>
  <c r="Q635" i="1"/>
  <c r="T635" i="1"/>
  <c r="X667" i="1"/>
  <c r="X668" i="1"/>
  <c r="Z662" i="1"/>
  <c r="BE664" i="1"/>
  <c r="Y670" i="1"/>
  <c r="AA664" i="1"/>
  <c r="AA665" i="1"/>
  <c r="Z670" i="1"/>
  <c r="BE678" i="1"/>
  <c r="Y680" i="1"/>
  <c r="BE688" i="1"/>
  <c r="Z685" i="1"/>
  <c r="Y693" i="1"/>
  <c r="Y686" i="1"/>
  <c r="X689" i="1"/>
  <c r="X703" i="1"/>
  <c r="BF701" i="1"/>
  <c r="BE699" i="1"/>
  <c r="Z698" i="1"/>
  <c r="X704" i="1"/>
  <c r="AU700" i="1"/>
  <c r="Q700" i="1" s="1"/>
  <c r="Y702" i="1"/>
  <c r="Z701" i="1"/>
  <c r="X701" i="1"/>
  <c r="Y698" i="1"/>
  <c r="X725" i="1"/>
  <c r="Y722" i="1"/>
  <c r="X726" i="1"/>
  <c r="Z735" i="1"/>
  <c r="Y740" i="1"/>
  <c r="Z737" i="1"/>
  <c r="BF746" i="1"/>
  <c r="X746" i="1"/>
  <c r="AU748" i="1"/>
  <c r="Q748" i="1" s="1"/>
  <c r="BE759" i="1"/>
  <c r="BF758" i="1"/>
  <c r="BF766" i="1"/>
  <c r="Y813" i="1"/>
  <c r="X816" i="1"/>
  <c r="BE837" i="1"/>
  <c r="AU837" i="1"/>
  <c r="Q837" i="1" s="1"/>
  <c r="BF838" i="1"/>
  <c r="AW97" i="1"/>
  <c r="AO152" i="1"/>
  <c r="Q173" i="1"/>
  <c r="Y191" i="1"/>
  <c r="Z202" i="1"/>
  <c r="AY206" i="1"/>
  <c r="AA242" i="1"/>
  <c r="AA268" i="1"/>
  <c r="X273" i="1"/>
  <c r="AY268" i="1"/>
  <c r="AO269" i="1"/>
  <c r="AP280" i="1"/>
  <c r="AO327" i="1"/>
  <c r="F342" i="1"/>
  <c r="D340" i="1" s="1"/>
  <c r="AP361" i="1"/>
  <c r="AW373" i="1"/>
  <c r="AP383" i="1"/>
  <c r="AW395" i="1"/>
  <c r="AP405" i="1"/>
  <c r="AW417" i="1"/>
  <c r="AP427" i="1"/>
  <c r="X442" i="1"/>
  <c r="AP449" i="1"/>
  <c r="Q463" i="1"/>
  <c r="L470" i="1"/>
  <c r="T478" i="1"/>
  <c r="Y544" i="1"/>
  <c r="AW595" i="1"/>
  <c r="Y610" i="1"/>
  <c r="Z618" i="1"/>
  <c r="AO618" i="1"/>
  <c r="Q627" i="1"/>
  <c r="H642" i="1"/>
  <c r="H644" i="1"/>
  <c r="X688" i="1"/>
  <c r="F710" i="1"/>
  <c r="B712" i="1" s="1"/>
  <c r="F712" i="1"/>
  <c r="BA725" i="1"/>
  <c r="AO725" i="1"/>
  <c r="AW759" i="1"/>
  <c r="BA757" i="1"/>
  <c r="AW769" i="1"/>
  <c r="Z800" i="1"/>
  <c r="AA803" i="1"/>
  <c r="AW802" i="1"/>
  <c r="AR805" i="1"/>
  <c r="BA804" i="1"/>
  <c r="X801" i="1"/>
  <c r="AU817" i="1"/>
  <c r="Q817" i="1" s="1"/>
  <c r="X815" i="1"/>
  <c r="X817" i="1"/>
  <c r="Y814" i="1"/>
  <c r="AR839" i="1"/>
  <c r="Y835" i="1" s="1"/>
  <c r="AY837" i="1"/>
  <c r="AU839" i="1"/>
  <c r="Q839" i="1" s="1"/>
  <c r="X837" i="1"/>
  <c r="X849" i="1"/>
  <c r="Z850" i="1"/>
  <c r="V871" i="1"/>
  <c r="D870" i="1"/>
  <c r="X562" i="1"/>
  <c r="BA65" i="1"/>
  <c r="Y36" i="1"/>
  <c r="Y14" i="1"/>
  <c r="AY10" i="1"/>
  <c r="X36" i="1"/>
  <c r="X14" i="1"/>
  <c r="L87" i="1"/>
  <c r="AO65" i="1"/>
  <c r="AO54" i="1"/>
  <c r="AO43" i="1"/>
  <c r="AO33" i="1"/>
  <c r="X32" i="1"/>
  <c r="AU23" i="1"/>
  <c r="Q23" i="1" s="1"/>
  <c r="AO21" i="1"/>
  <c r="AO10" i="1"/>
  <c r="H75" i="1"/>
  <c r="AY67" i="1"/>
  <c r="Y58" i="1"/>
  <c r="AY56" i="1"/>
  <c r="Y47" i="1"/>
  <c r="AY45" i="1"/>
  <c r="AY32" i="1"/>
  <c r="AW22" i="1"/>
  <c r="H81" i="1"/>
  <c r="X58" i="1"/>
  <c r="AO118" i="1"/>
  <c r="Y138" i="1"/>
  <c r="Z149" i="1"/>
  <c r="H161" i="1"/>
  <c r="BA269" i="1"/>
  <c r="AY326" i="1"/>
  <c r="Z325" i="1"/>
  <c r="G340" i="1"/>
  <c r="C344" i="1" s="1"/>
  <c r="G348" i="1"/>
  <c r="E344" i="1" s="1"/>
  <c r="AO371" i="1"/>
  <c r="Z370" i="1"/>
  <c r="Z380" i="1"/>
  <c r="AO393" i="1"/>
  <c r="Z392" i="1"/>
  <c r="Z402" i="1"/>
  <c r="AO415" i="1"/>
  <c r="Z414" i="1"/>
  <c r="Z424" i="1"/>
  <c r="AO437" i="1"/>
  <c r="BA437" i="1"/>
  <c r="Z446" i="1"/>
  <c r="AW449" i="1"/>
  <c r="H458" i="1"/>
  <c r="H466" i="1"/>
  <c r="H478" i="1"/>
  <c r="Z548" i="1"/>
  <c r="AW551" i="1"/>
  <c r="F648" i="1"/>
  <c r="D640" i="1" s="1"/>
  <c r="Y676" i="1"/>
  <c r="X827" i="1"/>
  <c r="Y824" i="1"/>
  <c r="X839" i="1"/>
  <c r="AP860" i="1"/>
  <c r="BE861" i="1" s="1"/>
  <c r="X863" i="1"/>
  <c r="Q553" i="2"/>
  <c r="O554" i="2"/>
  <c r="O557" i="2" s="1"/>
  <c r="O135" i="2"/>
  <c r="AC174" i="2"/>
  <c r="AB282" i="2"/>
  <c r="AC702" i="2"/>
  <c r="BG964" i="2"/>
  <c r="BG969" i="2"/>
  <c r="Q942" i="2"/>
  <c r="O943" i="2"/>
  <c r="O947" i="2" s="1"/>
  <c r="BI914" i="2"/>
  <c r="AA913" i="2"/>
  <c r="BH914" i="2"/>
  <c r="BJ914" i="2"/>
  <c r="AB913" i="2"/>
  <c r="AC913" i="2"/>
  <c r="AB869" i="2"/>
  <c r="AW860" i="1"/>
  <c r="BI902" i="2"/>
  <c r="BG980" i="2"/>
  <c r="BG975" i="2"/>
  <c r="BE911" i="2"/>
  <c r="BG809" i="2"/>
  <c r="BG814" i="2"/>
  <c r="BI800" i="2"/>
  <c r="BJ800" i="2"/>
  <c r="AC797" i="2" s="1"/>
  <c r="BH800" i="2"/>
  <c r="AA797" i="2"/>
  <c r="O139" i="2"/>
  <c r="O371" i="2"/>
  <c r="AB87" i="2"/>
  <c r="AB611" i="2"/>
  <c r="AB974" i="2"/>
  <c r="AC713" i="2"/>
  <c r="BL414" i="2"/>
  <c r="AB888" i="2"/>
  <c r="AC498" i="2"/>
  <c r="BL301" i="2"/>
  <c r="AC276" i="2"/>
  <c r="AC800" i="2"/>
  <c r="AB713" i="2"/>
  <c r="AA924" i="2"/>
  <c r="AC658" i="2"/>
  <c r="BJ716" i="2"/>
  <c r="BL413" i="2"/>
  <c r="BE991" i="2"/>
  <c r="BJ977" i="2"/>
  <c r="BF579" i="2"/>
  <c r="BF606" i="2"/>
  <c r="BG798" i="2"/>
  <c r="BL459" i="2"/>
  <c r="BG277" i="2"/>
  <c r="BH855" i="2"/>
  <c r="BG482" i="2"/>
  <c r="AC924" i="2"/>
  <c r="AB323" i="2"/>
  <c r="BJ822" i="2"/>
  <c r="AC819" i="2" s="1"/>
  <c r="BG460" i="2"/>
  <c r="AA493" i="2"/>
  <c r="AB924" i="2"/>
  <c r="BI458" i="2"/>
  <c r="BG601" i="2"/>
  <c r="BG400" i="2"/>
  <c r="AA501" i="2"/>
  <c r="AB808" i="2"/>
  <c r="AB753" i="2"/>
  <c r="AC753" i="2"/>
  <c r="BE197" i="2"/>
  <c r="BG675" i="2"/>
  <c r="BL347" i="2"/>
  <c r="BE675" i="2"/>
  <c r="BI615" i="2"/>
  <c r="AB899" i="2"/>
  <c r="AC16" i="2"/>
  <c r="BE299" i="2"/>
  <c r="AA301" i="2"/>
  <c r="BE337" i="2"/>
  <c r="BH178" i="2"/>
  <c r="AC177" i="2"/>
  <c r="BJ222" i="2"/>
  <c r="AB221" i="2"/>
  <c r="BI222" i="2"/>
  <c r="BE515" i="2"/>
  <c r="BE510" i="2"/>
  <c r="BJ90" i="2"/>
  <c r="BI90" i="2"/>
  <c r="BG383" i="2"/>
  <c r="BG466" i="2"/>
  <c r="BJ501" i="2"/>
  <c r="BH590" i="2"/>
  <c r="AD664" i="2"/>
  <c r="AA402" i="2"/>
  <c r="BI403" i="2"/>
  <c r="BH403" i="2"/>
  <c r="AB402" i="2"/>
  <c r="AA498" i="2"/>
  <c r="BH512" i="2"/>
  <c r="BI512" i="2"/>
  <c r="AA509" i="2"/>
  <c r="BJ685" i="2"/>
  <c r="Q840" i="2"/>
  <c r="O844" i="2"/>
  <c r="BH695" i="2"/>
  <c r="BJ695" i="2"/>
  <c r="BI767" i="2"/>
  <c r="BH767" i="2"/>
  <c r="BJ767" i="2"/>
  <c r="AC764" i="2"/>
  <c r="BI801" i="2"/>
  <c r="BE916" i="2"/>
  <c r="AA894" i="2"/>
  <c r="BI166" i="2"/>
  <c r="BH166" i="2"/>
  <c r="AB163" i="2" s="1"/>
  <c r="AC163" i="2"/>
  <c r="AA163" i="2"/>
  <c r="BI604" i="2"/>
  <c r="BG515" i="2"/>
  <c r="BF49" i="2"/>
  <c r="BJ35" i="2"/>
  <c r="AB32" i="2"/>
  <c r="BI35" i="2"/>
  <c r="AA32" i="2"/>
  <c r="BH199" i="2"/>
  <c r="AB196" i="2" s="1"/>
  <c r="AC196" i="2"/>
  <c r="BH457" i="2"/>
  <c r="AB454" i="2"/>
  <c r="AC224" i="2"/>
  <c r="BH393" i="2"/>
  <c r="BH312" i="2"/>
  <c r="BI312" i="2"/>
  <c r="AC309" i="2"/>
  <c r="AA410" i="2"/>
  <c r="BE466" i="2"/>
  <c r="BE471" i="2"/>
  <c r="BF584" i="2"/>
  <c r="BE579" i="2"/>
  <c r="AA584" i="2"/>
  <c r="BF617" i="2"/>
  <c r="BI470" i="2"/>
  <c r="BJ672" i="2"/>
  <c r="BI672" i="2"/>
  <c r="AC669" i="2"/>
  <c r="BE692" i="2"/>
  <c r="BH706" i="2"/>
  <c r="BI706" i="2"/>
  <c r="BJ870" i="2"/>
  <c r="BG927" i="2"/>
  <c r="AA775" i="2"/>
  <c r="BH778" i="2"/>
  <c r="BL778" i="2" s="1"/>
  <c r="BI822" i="2"/>
  <c r="AC872" i="2"/>
  <c r="BI200" i="2"/>
  <c r="AB199" i="2"/>
  <c r="AC199" i="2"/>
  <c r="BJ490" i="2"/>
  <c r="AB487" i="2"/>
  <c r="BI490" i="2"/>
  <c r="AA487" i="2"/>
  <c r="BH80" i="2"/>
  <c r="BJ177" i="2"/>
  <c r="BG455" i="2"/>
  <c r="AC287" i="2"/>
  <c r="BH290" i="2"/>
  <c r="AB287" i="2" s="1"/>
  <c r="BJ415" i="2"/>
  <c r="BE230" i="2"/>
  <c r="AA290" i="2"/>
  <c r="BH291" i="2"/>
  <c r="AB290" i="2"/>
  <c r="AB298" i="2"/>
  <c r="BG304" i="2"/>
  <c r="AA309" i="2"/>
  <c r="BI402" i="2"/>
  <c r="BH402" i="2"/>
  <c r="AC399" i="2"/>
  <c r="AB449" i="2"/>
  <c r="BH479" i="2"/>
  <c r="AC589" i="2"/>
  <c r="BE455" i="2"/>
  <c r="AC520" i="2"/>
  <c r="BL523" i="2"/>
  <c r="AB880" i="2"/>
  <c r="BF964" i="2"/>
  <c r="BE955" i="2"/>
  <c r="BH968" i="2"/>
  <c r="BL968" i="2" s="1"/>
  <c r="BE49" i="2"/>
  <c r="BF197" i="2"/>
  <c r="BF504" i="2"/>
  <c r="BI323" i="2"/>
  <c r="BH323" i="2"/>
  <c r="AC320" i="2"/>
  <c r="BE573" i="2"/>
  <c r="BI694" i="2"/>
  <c r="BH694" i="2"/>
  <c r="AB691" i="2" s="1"/>
  <c r="AC691" i="2"/>
  <c r="BI716" i="2"/>
  <c r="BG765" i="2"/>
  <c r="BI870" i="2"/>
  <c r="AC869" i="2" s="1"/>
  <c r="BJ904" i="2"/>
  <c r="AU988" i="2"/>
  <c r="Q988" i="2" s="1"/>
  <c r="BF990" i="2"/>
  <c r="Z985" i="2"/>
  <c r="BI926" i="2"/>
  <c r="BH926" i="2"/>
  <c r="AB927" i="2" s="1"/>
  <c r="AA927" i="2"/>
  <c r="AC927" i="2"/>
  <c r="BB989" i="2"/>
  <c r="BJ989" i="2" s="1"/>
  <c r="AB991" i="2"/>
  <c r="BI990" i="2"/>
  <c r="AC991" i="2" s="1"/>
  <c r="AZ988" i="2"/>
  <c r="BG989" i="2"/>
  <c r="BG986" i="2" s="1"/>
  <c r="BI989" i="2"/>
  <c r="BF978" i="2"/>
  <c r="Y975" i="2"/>
  <c r="AA969" i="2"/>
  <c r="AC969" i="2"/>
  <c r="AB969" i="2"/>
  <c r="BG903" i="2"/>
  <c r="BJ903" i="2"/>
  <c r="BL903" i="2" s="1"/>
  <c r="AB902" i="2"/>
  <c r="BH904" i="2"/>
  <c r="BG904" i="2"/>
  <c r="BI904" i="2"/>
  <c r="AC905" i="2" s="1"/>
  <c r="BB902" i="2"/>
  <c r="BH902" i="2" s="1"/>
  <c r="BG872" i="2"/>
  <c r="AZ753" i="2"/>
  <c r="BI754" i="2"/>
  <c r="BJ754" i="2"/>
  <c r="BF869" i="2"/>
  <c r="X870" i="2"/>
  <c r="Y867" i="2"/>
  <c r="BI858" i="2"/>
  <c r="BJ858" i="2"/>
  <c r="BH858" i="2"/>
  <c r="AC861" i="2"/>
  <c r="AU857" i="2"/>
  <c r="Q857" i="2" s="1"/>
  <c r="AA852" i="2"/>
  <c r="BF858" i="2"/>
  <c r="AB861" i="2" s="1"/>
  <c r="BE855" i="2"/>
  <c r="BE859" i="2" s="1"/>
  <c r="AU855" i="2"/>
  <c r="Q855" i="2" s="1"/>
  <c r="BF857" i="2"/>
  <c r="BF859" i="2" s="1"/>
  <c r="BG822" i="2"/>
  <c r="AX823" i="2"/>
  <c r="BE809" i="2"/>
  <c r="BI790" i="2"/>
  <c r="AZ789" i="2"/>
  <c r="BJ790" i="2"/>
  <c r="BG779" i="2"/>
  <c r="BI768" i="2"/>
  <c r="AC767" i="2"/>
  <c r="AB767" i="2"/>
  <c r="AZ718" i="2"/>
  <c r="AX707" i="2"/>
  <c r="BG705" i="2"/>
  <c r="AB702" i="2" s="1"/>
  <c r="BG695" i="2"/>
  <c r="BI695" i="2"/>
  <c r="AA694" i="2"/>
  <c r="AC694" i="2"/>
  <c r="AX856" i="2"/>
  <c r="AB852" i="2"/>
  <c r="AD852" i="2"/>
  <c r="BJ813" i="2"/>
  <c r="AB814" i="2"/>
  <c r="AC814" i="2"/>
  <c r="AZ707" i="2"/>
  <c r="BG706" i="2"/>
  <c r="AB705" i="2" s="1"/>
  <c r="AA697" i="2"/>
  <c r="BB779" i="2"/>
  <c r="AA778" i="2" s="1"/>
  <c r="BG780" i="2"/>
  <c r="AA891" i="2"/>
  <c r="BG892" i="2"/>
  <c r="BG894" i="2" s="1"/>
  <c r="BI892" i="2"/>
  <c r="AC891" i="2" s="1"/>
  <c r="AB891" i="2"/>
  <c r="O743" i="2"/>
  <c r="O643" i="2"/>
  <c r="BI802" i="2"/>
  <c r="AC803" i="2"/>
  <c r="AB803" i="2"/>
  <c r="AB672" i="2"/>
  <c r="BI673" i="2"/>
  <c r="BH674" i="2"/>
  <c r="BH670" i="2" s="1"/>
  <c r="AB675" i="2"/>
  <c r="AA675" i="2"/>
  <c r="AC675" i="2"/>
  <c r="BH503" i="2"/>
  <c r="AA504" i="2"/>
  <c r="AB504" i="2"/>
  <c r="BI503" i="2"/>
  <c r="BI605" i="2"/>
  <c r="BH605" i="2"/>
  <c r="AC606" i="2"/>
  <c r="AA606" i="2"/>
  <c r="BE488" i="2"/>
  <c r="AA781" i="2"/>
  <c r="BH780" i="2"/>
  <c r="BJ780" i="2"/>
  <c r="AD271" i="2"/>
  <c r="AC271" i="2"/>
  <c r="BG579" i="2"/>
  <c r="AB578" i="2"/>
  <c r="BJ404" i="2"/>
  <c r="BL303" i="2"/>
  <c r="BK303" i="2" s="1"/>
  <c r="AD304" i="2" s="1"/>
  <c r="BI212" i="2"/>
  <c r="AC213" i="2" s="1"/>
  <c r="BI281" i="2"/>
  <c r="BH281" i="2"/>
  <c r="AA282" i="2"/>
  <c r="BH26" i="2"/>
  <c r="BH12" i="2"/>
  <c r="AC13" i="2"/>
  <c r="BJ12" i="2"/>
  <c r="BL12" i="2" s="1"/>
  <c r="AA14" i="2"/>
  <c r="BF12" i="2"/>
  <c r="AB13" i="2" s="1"/>
  <c r="Z17" i="2"/>
  <c r="AU14" i="2"/>
  <c r="Q14" i="2" s="1"/>
  <c r="BL491" i="2"/>
  <c r="AD101" i="2"/>
  <c r="BE282" i="2"/>
  <c r="AA279" i="2"/>
  <c r="BL582" i="2"/>
  <c r="BK583" i="2" s="1"/>
  <c r="AD584" i="2" s="1"/>
  <c r="BG883" i="2"/>
  <c r="BJ891" i="2"/>
  <c r="BI891" i="2"/>
  <c r="BL616" i="2"/>
  <c r="BF411" i="2"/>
  <c r="BI221" i="2"/>
  <c r="BH221" i="2"/>
  <c r="AA218" i="2"/>
  <c r="BJ491" i="2"/>
  <c r="AC490" i="2"/>
  <c r="BL674" i="2"/>
  <c r="BI659" i="2"/>
  <c r="AB658" i="2"/>
  <c r="BJ659" i="2"/>
  <c r="AD658" i="2" s="1"/>
  <c r="BL334" i="2"/>
  <c r="AA276" i="2"/>
  <c r="BH279" i="2"/>
  <c r="AB276" i="2" s="1"/>
  <c r="BH488" i="2"/>
  <c r="BI335" i="2"/>
  <c r="AB334" i="2"/>
  <c r="BG416" i="2"/>
  <c r="AC479" i="2"/>
  <c r="BH24" i="2"/>
  <c r="BL24" i="2" s="1"/>
  <c r="AC21" i="2"/>
  <c r="AA21" i="2"/>
  <c r="BE224" i="2"/>
  <c r="BL415" i="2"/>
  <c r="BH658" i="2"/>
  <c r="AA702" i="2"/>
  <c r="BJ705" i="2"/>
  <c r="BH684" i="2"/>
  <c r="BJ684" i="2"/>
  <c r="AC683" i="2" s="1"/>
  <c r="AA888" i="2"/>
  <c r="BG889" i="2"/>
  <c r="BG991" i="2"/>
  <c r="AX967" i="2"/>
  <c r="BI966" i="2"/>
  <c r="BJ966" i="2"/>
  <c r="AC963" i="2" s="1"/>
  <c r="AB963" i="2"/>
  <c r="BF986" i="2"/>
  <c r="BI979" i="2"/>
  <c r="AC980" i="2" s="1"/>
  <c r="BH979" i="2"/>
  <c r="AB980" i="2"/>
  <c r="Z952" i="2"/>
  <c r="BF957" i="2"/>
  <c r="Q939" i="2"/>
  <c r="O946" i="2"/>
  <c r="AX956" i="2"/>
  <c r="AX978" i="2"/>
  <c r="BI977" i="2"/>
  <c r="BE903" i="2"/>
  <c r="Y905" i="2"/>
  <c r="BF904" i="2"/>
  <c r="BF905" i="2" s="1"/>
  <c r="AU891" i="2"/>
  <c r="Q891" i="2" s="1"/>
  <c r="Z888" i="2"/>
  <c r="BF893" i="2"/>
  <c r="AA883" i="2"/>
  <c r="BB880" i="2"/>
  <c r="AC883" i="2"/>
  <c r="AB883" i="2"/>
  <c r="BJ893" i="2"/>
  <c r="BL893" i="2" s="1"/>
  <c r="BJ871" i="2"/>
  <c r="BH871" i="2"/>
  <c r="AB872" i="2" s="1"/>
  <c r="BI871" i="2"/>
  <c r="BB869" i="2"/>
  <c r="BG913" i="2"/>
  <c r="X914" i="2"/>
  <c r="AU915" i="2"/>
  <c r="Q915" i="2" s="1"/>
  <c r="Z914" i="2"/>
  <c r="Y917" i="2"/>
  <c r="AU914" i="2"/>
  <c r="Q914" i="2" s="1"/>
  <c r="BE915" i="2"/>
  <c r="BI915" i="2"/>
  <c r="AC916" i="2" s="1"/>
  <c r="BG915" i="2"/>
  <c r="AB916" i="2" s="1"/>
  <c r="BB913" i="2"/>
  <c r="AA916" i="2"/>
  <c r="BH824" i="2"/>
  <c r="AB825" i="2" s="1"/>
  <c r="BI824" i="2"/>
  <c r="AC825" i="2"/>
  <c r="AX812" i="2"/>
  <c r="AA808" i="2"/>
  <c r="BI811" i="2"/>
  <c r="AC808" i="2" s="1"/>
  <c r="BG870" i="2"/>
  <c r="BG867" i="2" s="1"/>
  <c r="AZ869" i="2"/>
  <c r="BB717" i="2"/>
  <c r="AB719" i="2"/>
  <c r="BF707" i="2"/>
  <c r="BE706" i="2"/>
  <c r="AZ924" i="2"/>
  <c r="BG925" i="2"/>
  <c r="BF900" i="2"/>
  <c r="BJ769" i="2"/>
  <c r="BI769" i="2"/>
  <c r="AC770" i="2" s="1"/>
  <c r="AB770" i="2"/>
  <c r="BI685" i="2"/>
  <c r="AA686" i="2"/>
  <c r="BH685" i="2"/>
  <c r="AB686" i="2" s="1"/>
  <c r="BJ615" i="2"/>
  <c r="AB614" i="2"/>
  <c r="BG526" i="2"/>
  <c r="BI481" i="2"/>
  <c r="BH481" i="2"/>
  <c r="AB482" i="2" s="1"/>
  <c r="AC603" i="2"/>
  <c r="AB603" i="2"/>
  <c r="AA603" i="2"/>
  <c r="BI524" i="2"/>
  <c r="BJ524" i="2"/>
  <c r="BH524" i="2"/>
  <c r="AB523" i="2" s="1"/>
  <c r="BI469" i="2"/>
  <c r="AC468" i="2"/>
  <c r="BJ469" i="2"/>
  <c r="AB468" i="2"/>
  <c r="BI594" i="2"/>
  <c r="BJ594" i="2"/>
  <c r="AC595" i="2" s="1"/>
  <c r="AC471" i="2"/>
  <c r="BH470" i="2"/>
  <c r="BH466" i="2" s="1"/>
  <c r="AB383" i="2"/>
  <c r="BJ502" i="2"/>
  <c r="BH502" i="2"/>
  <c r="BH504" i="2" s="1"/>
  <c r="AA449" i="2"/>
  <c r="BJ448" i="2"/>
  <c r="BI234" i="2"/>
  <c r="BJ234" i="2"/>
  <c r="BH234" i="2"/>
  <c r="AB235" i="2" s="1"/>
  <c r="BI201" i="2"/>
  <c r="BJ201" i="2"/>
  <c r="AB202" i="2"/>
  <c r="BJ458" i="2"/>
  <c r="AB457" i="2"/>
  <c r="AC457" i="2"/>
  <c r="BH336" i="2"/>
  <c r="BH337" i="2" s="1"/>
  <c r="BI336" i="2"/>
  <c r="AA337" i="2"/>
  <c r="BH292" i="2"/>
  <c r="AB293" i="2" s="1"/>
  <c r="BI292" i="2"/>
  <c r="AC293" i="2" s="1"/>
  <c r="BJ324" i="2"/>
  <c r="AC323" i="2"/>
  <c r="BF230" i="2"/>
  <c r="BJ13" i="2"/>
  <c r="AD16" i="2"/>
  <c r="BI492" i="2"/>
  <c r="Z10" i="2"/>
  <c r="BF11" i="2"/>
  <c r="AU13" i="2"/>
  <c r="Q13" i="2" s="1"/>
  <c r="Y13" i="2"/>
  <c r="AU721" i="2"/>
  <c r="Q721" i="2" s="1"/>
  <c r="AX525" i="2"/>
  <c r="X468" i="2"/>
  <c r="BG525" i="2"/>
  <c r="BG521" i="2" s="1"/>
  <c r="BB381" i="2"/>
  <c r="BE291" i="2"/>
  <c r="AU335" i="2"/>
  <c r="Q335" i="2" s="1"/>
  <c r="Y320" i="2"/>
  <c r="Z320" i="2"/>
  <c r="AU291" i="2"/>
  <c r="Q291" i="2" s="1"/>
  <c r="Y276" i="2"/>
  <c r="Z276" i="2"/>
  <c r="Y600" i="2"/>
  <c r="Y197" i="2"/>
  <c r="BE178" i="2"/>
  <c r="AA177" i="2" s="1"/>
  <c r="BE69" i="2"/>
  <c r="BE66" i="2" s="1"/>
  <c r="BF70" i="2"/>
  <c r="AU179" i="2"/>
  <c r="Q179" i="2" s="1"/>
  <c r="X200" i="2"/>
  <c r="BF153" i="2"/>
  <c r="BF156" i="2" s="1"/>
  <c r="AZ37" i="2"/>
  <c r="BH37" i="2" s="1"/>
  <c r="M152" i="3"/>
  <c r="N148" i="3"/>
  <c r="M18" i="3"/>
  <c r="N18" i="3" s="1"/>
  <c r="M17" i="3"/>
  <c r="AO11" i="2"/>
  <c r="X16" i="2"/>
  <c r="AA13" i="2"/>
  <c r="Z18" i="2"/>
  <c r="X10" i="2"/>
  <c r="AP15" i="2"/>
  <c r="AY10" i="2"/>
  <c r="X29" i="2"/>
  <c r="Z23" i="2"/>
  <c r="X25" i="2"/>
  <c r="Y22" i="2"/>
  <c r="X40" i="2"/>
  <c r="Z34" i="2"/>
  <c r="X36" i="2"/>
  <c r="Y33" i="2"/>
  <c r="Z46" i="2"/>
  <c r="Z48" i="2"/>
  <c r="X47" i="2"/>
  <c r="Y44" i="2"/>
  <c r="Y45" i="2"/>
  <c r="X62" i="2"/>
  <c r="Z57" i="2"/>
  <c r="X73" i="2"/>
  <c r="Z67" i="2"/>
  <c r="X95" i="2"/>
  <c r="Z89" i="2"/>
  <c r="Z90" i="2"/>
  <c r="Y88" i="2"/>
  <c r="X91" i="2"/>
  <c r="Z101" i="2"/>
  <c r="T116" i="2"/>
  <c r="T115" i="2"/>
  <c r="Q115" i="2"/>
  <c r="T137" i="2"/>
  <c r="Q137" i="2"/>
  <c r="BE168" i="2"/>
  <c r="Z166" i="2"/>
  <c r="Z168" i="2"/>
  <c r="Y171" i="2"/>
  <c r="Z175" i="2"/>
  <c r="Z186" i="2"/>
  <c r="Y202" i="2"/>
  <c r="Y204" i="2"/>
  <c r="Z201" i="2"/>
  <c r="X201" i="2"/>
  <c r="Y198" i="2"/>
  <c r="X213" i="2"/>
  <c r="X211" i="2"/>
  <c r="BF222" i="2"/>
  <c r="Z223" i="2"/>
  <c r="Y226" i="2"/>
  <c r="Y220" i="2"/>
  <c r="X223" i="2"/>
  <c r="X221" i="2"/>
  <c r="Y236" i="2"/>
  <c r="Z233" i="2"/>
  <c r="Y230" i="2"/>
  <c r="X233" i="2"/>
  <c r="Y282" i="2"/>
  <c r="Z279" i="2"/>
  <c r="Z281" i="2"/>
  <c r="Z289" i="2"/>
  <c r="Z290" i="2"/>
  <c r="Z292" i="2"/>
  <c r="Z300" i="2"/>
  <c r="Y300" i="2"/>
  <c r="BE312" i="2"/>
  <c r="Y315" i="2"/>
  <c r="Z312" i="2"/>
  <c r="Z314" i="2"/>
  <c r="Z323" i="2"/>
  <c r="Y326" i="2"/>
  <c r="Z325" i="2"/>
  <c r="BF335" i="2"/>
  <c r="BF337" i="2" s="1"/>
  <c r="Y332" i="2"/>
  <c r="X335" i="2"/>
  <c r="X350" i="2"/>
  <c r="Z377" i="2"/>
  <c r="BE382" i="2"/>
  <c r="BF402" i="2"/>
  <c r="Z401" i="2"/>
  <c r="X407" i="2"/>
  <c r="Z402" i="2"/>
  <c r="Z403" i="2"/>
  <c r="Y407" i="2"/>
  <c r="Y428" i="2"/>
  <c r="X439" i="2"/>
  <c r="Y434" i="2"/>
  <c r="Y445" i="2"/>
  <c r="Y500" i="2"/>
  <c r="X503" i="2"/>
  <c r="Z513" i="2"/>
  <c r="Y516" i="2"/>
  <c r="X51" i="2"/>
  <c r="Z45" i="2"/>
  <c r="X58" i="2"/>
  <c r="Y55" i="2"/>
  <c r="X69" i="2"/>
  <c r="Y66" i="2"/>
  <c r="X84" i="2"/>
  <c r="Z78" i="2"/>
  <c r="Y82" i="2"/>
  <c r="Z79" i="2"/>
  <c r="Y159" i="2"/>
  <c r="AA153" i="2"/>
  <c r="Z165" i="2"/>
  <c r="X171" i="2"/>
  <c r="Y181" i="2"/>
  <c r="Z178" i="2"/>
  <c r="Z189" i="2"/>
  <c r="Y192" i="2"/>
  <c r="Y214" i="2"/>
  <c r="Z211" i="2"/>
  <c r="X212" i="2"/>
  <c r="X272" i="2"/>
  <c r="AA263" i="2"/>
  <c r="Y263" i="2"/>
  <c r="X266" i="2"/>
  <c r="Y288" i="2"/>
  <c r="X291" i="2"/>
  <c r="Y351" i="2"/>
  <c r="AA345" i="2"/>
  <c r="AA347" i="2"/>
  <c r="Y353" i="2"/>
  <c r="BF391" i="2"/>
  <c r="BE393" i="2"/>
  <c r="BE389" i="2" s="1"/>
  <c r="Z390" i="2"/>
  <c r="X396" i="2"/>
  <c r="X403" i="2"/>
  <c r="Y400" i="2"/>
  <c r="Y417" i="2"/>
  <c r="Z414" i="2"/>
  <c r="Z448" i="2"/>
  <c r="Y451" i="2"/>
  <c r="X494" i="2"/>
  <c r="Z488" i="2"/>
  <c r="Y495" i="2"/>
  <c r="Z492" i="2"/>
  <c r="Y520" i="2"/>
  <c r="X571" i="2"/>
  <c r="Y568" i="2"/>
  <c r="AY26" i="2"/>
  <c r="AY37" i="2"/>
  <c r="BA46" i="2"/>
  <c r="AY48" i="2"/>
  <c r="BA47" i="2"/>
  <c r="AY70" i="2"/>
  <c r="BB69" i="2" s="1"/>
  <c r="BA69" i="2"/>
  <c r="BA80" i="2"/>
  <c r="AA79" i="2" s="1"/>
  <c r="AW81" i="2"/>
  <c r="AR90" i="2"/>
  <c r="BA101" i="2"/>
  <c r="AP102" i="2"/>
  <c r="BC103" i="2"/>
  <c r="X103" i="2"/>
  <c r="T120" i="2"/>
  <c r="L122" i="2"/>
  <c r="H124" i="2"/>
  <c r="H130" i="2"/>
  <c r="L134" i="2"/>
  <c r="H136" i="2"/>
  <c r="L138" i="2"/>
  <c r="F140" i="2"/>
  <c r="D136" i="2" s="1"/>
  <c r="T141" i="2"/>
  <c r="AY155" i="2"/>
  <c r="BD153" i="2" s="1"/>
  <c r="AW155" i="2"/>
  <c r="Z153" i="2"/>
  <c r="BA155" i="2"/>
  <c r="BD154" i="2" s="1"/>
  <c r="BA167" i="2"/>
  <c r="AO177" i="2"/>
  <c r="AO188" i="2"/>
  <c r="AO189" i="2"/>
  <c r="AY190" i="2"/>
  <c r="Y209" i="2"/>
  <c r="AY210" i="2"/>
  <c r="AY232" i="2"/>
  <c r="F243" i="2"/>
  <c r="B245" i="2" s="1"/>
  <c r="H245" i="2"/>
  <c r="F249" i="2"/>
  <c r="F251" i="2"/>
  <c r="B253" i="2" s="1"/>
  <c r="F253" i="2"/>
  <c r="D249" i="2" s="1"/>
  <c r="H255" i="2"/>
  <c r="AO265" i="2"/>
  <c r="AA266" i="2"/>
  <c r="BA266" i="2"/>
  <c r="Z299" i="2"/>
  <c r="BA313" i="2"/>
  <c r="BC345" i="2"/>
  <c r="AY348" i="2"/>
  <c r="G360" i="2"/>
  <c r="C364" i="2" s="1"/>
  <c r="G364" i="2"/>
  <c r="AO381" i="2"/>
  <c r="X406" i="2"/>
  <c r="AO402" i="2"/>
  <c r="AY424" i="2"/>
  <c r="Z425" i="2"/>
  <c r="AO435" i="2"/>
  <c r="AQ436" i="2"/>
  <c r="AW436" i="2"/>
  <c r="AO437" i="2"/>
  <c r="AO479" i="2"/>
  <c r="Y484" i="2"/>
  <c r="AO481" i="2"/>
  <c r="T534" i="2"/>
  <c r="H537" i="2"/>
  <c r="H549" i="2"/>
  <c r="F549" i="2"/>
  <c r="B551" i="2" s="1"/>
  <c r="F559" i="2"/>
  <c r="D555" i="2" s="1"/>
  <c r="H559" i="2"/>
  <c r="X575" i="2"/>
  <c r="X597" i="2"/>
  <c r="Z591" i="2"/>
  <c r="Z594" i="2"/>
  <c r="BE614" i="2"/>
  <c r="Z616" i="2"/>
  <c r="Y619" i="2"/>
  <c r="X627" i="2"/>
  <c r="Y624" i="2"/>
  <c r="AA663" i="2"/>
  <c r="X660" i="2"/>
  <c r="Y657" i="2"/>
  <c r="BF683" i="2"/>
  <c r="X684" i="2"/>
  <c r="Y681" i="2"/>
  <c r="BF706" i="2"/>
  <c r="BF703" i="2" s="1"/>
  <c r="Y710" i="2"/>
  <c r="BA57" i="2"/>
  <c r="BA58" i="2"/>
  <c r="AW70" i="2"/>
  <c r="BA91" i="2"/>
  <c r="Q119" i="2"/>
  <c r="AY168" i="2"/>
  <c r="F245" i="2"/>
  <c r="B249" i="2" s="1"/>
  <c r="F255" i="2"/>
  <c r="D253" i="2" s="1"/>
  <c r="AY393" i="2"/>
  <c r="BJ393" i="2" s="1"/>
  <c r="F543" i="2"/>
  <c r="D539" i="2" s="1"/>
  <c r="Q561" i="2"/>
  <c r="AY570" i="2"/>
  <c r="X586" i="2"/>
  <c r="Z580" i="2"/>
  <c r="X582" i="2"/>
  <c r="Y579" i="2"/>
  <c r="Y608" i="2"/>
  <c r="Z605" i="2"/>
  <c r="X619" i="2"/>
  <c r="Z613" i="2"/>
  <c r="T637" i="2"/>
  <c r="Q637" i="2"/>
  <c r="T638" i="2"/>
  <c r="AA658" i="2"/>
  <c r="Z658" i="2"/>
  <c r="AU661" i="2"/>
  <c r="Q661" i="2" s="1"/>
  <c r="BF673" i="2"/>
  <c r="Y670" i="2"/>
  <c r="X673" i="2"/>
  <c r="X768" i="2"/>
  <c r="Y765" i="2"/>
  <c r="AO592" i="2"/>
  <c r="AO593" i="2"/>
  <c r="AO626" i="2"/>
  <c r="BA626" i="2"/>
  <c r="Q647" i="2"/>
  <c r="T648" i="2"/>
  <c r="BA658" i="2"/>
  <c r="AR662" i="2"/>
  <c r="Y664" i="2"/>
  <c r="Y692" i="2"/>
  <c r="X707" i="2"/>
  <c r="Y724" i="2"/>
  <c r="BC717" i="2"/>
  <c r="AZ719" i="2" s="1"/>
  <c r="X757" i="2"/>
  <c r="AW756" i="2"/>
  <c r="BJ756" i="2" s="1"/>
  <c r="BF767" i="2"/>
  <c r="Z769" i="2"/>
  <c r="BF779" i="2"/>
  <c r="Z787" i="2"/>
  <c r="X793" i="2"/>
  <c r="X790" i="2"/>
  <c r="Y787" i="2"/>
  <c r="BF801" i="2"/>
  <c r="BF803" i="2" s="1"/>
  <c r="BF812" i="2"/>
  <c r="Y808" i="2"/>
  <c r="AU813" i="2"/>
  <c r="Q813" i="2" s="1"/>
  <c r="X811" i="2"/>
  <c r="X812" i="2"/>
  <c r="Y809" i="2"/>
  <c r="BE824" i="2"/>
  <c r="BE825" i="2" s="1"/>
  <c r="Z824" i="2"/>
  <c r="X871" i="2"/>
  <c r="Y868" i="2"/>
  <c r="BF881" i="2"/>
  <c r="Z882" i="2"/>
  <c r="Y885" i="2"/>
  <c r="X893" i="2"/>
  <c r="Y890" i="2"/>
  <c r="X928" i="2"/>
  <c r="Z922" i="2"/>
  <c r="X959" i="2"/>
  <c r="Z953" i="2"/>
  <c r="Z956" i="2"/>
  <c r="BE966" i="2"/>
  <c r="X968" i="2"/>
  <c r="Y965" i="2"/>
  <c r="X981" i="2"/>
  <c r="BE978" i="2"/>
  <c r="X979" i="2"/>
  <c r="Y976" i="2"/>
  <c r="X993" i="2"/>
  <c r="AU989" i="2"/>
  <c r="Q989" i="2" s="1"/>
  <c r="X990" i="2"/>
  <c r="D27" i="3"/>
  <c r="Q29" i="3"/>
  <c r="AY625" i="2"/>
  <c r="Y704" i="2"/>
  <c r="X723" i="2"/>
  <c r="AA714" i="2"/>
  <c r="Y715" i="2"/>
  <c r="X718" i="2"/>
  <c r="AO757" i="2"/>
  <c r="BE755" i="2" s="1"/>
  <c r="BE757" i="2" s="1"/>
  <c r="BA756" i="2"/>
  <c r="BD755" i="2" s="1"/>
  <c r="BF768" i="2"/>
  <c r="AA767" i="2" s="1"/>
  <c r="Z776" i="2"/>
  <c r="X782" i="2"/>
  <c r="X779" i="2"/>
  <c r="Y776" i="2"/>
  <c r="X813" i="2"/>
  <c r="Y810" i="2"/>
  <c r="X882" i="2"/>
  <c r="Y879" i="2"/>
  <c r="Y900" i="2"/>
  <c r="X903" i="2"/>
  <c r="X926" i="2"/>
  <c r="Y923" i="2"/>
  <c r="T935" i="2"/>
  <c r="Q935" i="2"/>
  <c r="X957" i="2"/>
  <c r="Y954" i="2"/>
  <c r="Z967" i="2"/>
  <c r="Y970" i="2"/>
  <c r="Z780" i="2"/>
  <c r="Z791" i="2"/>
  <c r="Y805" i="2"/>
  <c r="Z810" i="2"/>
  <c r="AU811" i="2"/>
  <c r="Q811" i="2" s="1"/>
  <c r="F835" i="2"/>
  <c r="B839" i="2" s="1"/>
  <c r="F837" i="2"/>
  <c r="D835" i="2" s="1"/>
  <c r="G837" i="2"/>
  <c r="E835" i="2" s="1"/>
  <c r="G839" i="2"/>
  <c r="F841" i="2"/>
  <c r="B843" i="2" s="1"/>
  <c r="G841" i="2"/>
  <c r="C843" i="2" s="1"/>
  <c r="H845" i="2"/>
  <c r="X904" i="2"/>
  <c r="Y912" i="2"/>
  <c r="AW956" i="2"/>
  <c r="BA956" i="2"/>
  <c r="AZ957" i="2" s="1"/>
  <c r="BJ957" i="2" s="1"/>
  <c r="Z964" i="2"/>
  <c r="AO977" i="2"/>
  <c r="AU978" i="2"/>
  <c r="Q978" i="2" s="1"/>
  <c r="Z988" i="2"/>
  <c r="H998" i="2"/>
  <c r="X999" i="2" s="1"/>
  <c r="H9" i="3"/>
  <c r="Q10" i="3" s="1"/>
  <c r="H11" i="3"/>
  <c r="R12" i="3" s="1"/>
  <c r="H23" i="3"/>
  <c r="T24" i="3" s="1"/>
  <c r="H29" i="3"/>
  <c r="Q30" i="3" s="1"/>
  <c r="H33" i="3"/>
  <c r="Q34" i="3" s="1"/>
  <c r="H37" i="3"/>
  <c r="Q38" i="3" s="1"/>
  <c r="Q45" i="3"/>
  <c r="D59" i="3"/>
  <c r="H91" i="3"/>
  <c r="Q92" i="3" s="1"/>
  <c r="F91" i="3"/>
  <c r="H95" i="3"/>
  <c r="Q96" i="3" s="1"/>
  <c r="F95" i="3"/>
  <c r="R260" i="3"/>
  <c r="B264" i="3"/>
  <c r="F839" i="2"/>
  <c r="BA856" i="2"/>
  <c r="I41" i="3"/>
  <c r="H41" i="3"/>
  <c r="H99" i="3"/>
  <c r="Q100" i="3" s="1"/>
  <c r="F99" i="3"/>
  <c r="S198" i="3"/>
  <c r="D190" i="3"/>
  <c r="O254" i="3"/>
  <c r="B254" i="3"/>
  <c r="B292" i="3"/>
  <c r="S284" i="3"/>
  <c r="O149" i="3"/>
  <c r="D148" i="3"/>
  <c r="B232" i="3"/>
  <c r="R228" i="3"/>
  <c r="H232" i="3"/>
  <c r="S233" i="3" s="1"/>
  <c r="F232" i="3"/>
  <c r="Q246" i="3"/>
  <c r="D244" i="3"/>
  <c r="B256" i="3"/>
  <c r="S248" i="3"/>
  <c r="H260" i="3"/>
  <c r="R261" i="3" s="1"/>
  <c r="H284" i="3"/>
  <c r="S285" i="3" s="1"/>
  <c r="B288" i="3"/>
  <c r="I294" i="3"/>
  <c r="H294" i="3"/>
  <c r="F332" i="3"/>
  <c r="H332" i="3"/>
  <c r="S333" i="3" s="1"/>
  <c r="H336" i="3"/>
  <c r="R337" i="3" s="1"/>
  <c r="Q338" i="3"/>
  <c r="D336" i="3"/>
  <c r="H101" i="3"/>
  <c r="R102" i="3" s="1"/>
  <c r="F101" i="3"/>
  <c r="I103" i="3"/>
  <c r="H103" i="3"/>
  <c r="Q104" i="3" s="1"/>
  <c r="Q145" i="3"/>
  <c r="I148" i="3"/>
  <c r="Q149" i="3" s="1"/>
  <c r="H150" i="3"/>
  <c r="S151" i="3" s="1"/>
  <c r="F150" i="3"/>
  <c r="Q161" i="3"/>
  <c r="D192" i="3"/>
  <c r="Q200" i="3"/>
  <c r="S216" i="3"/>
  <c r="H216" i="3"/>
  <c r="S217" i="3" s="1"/>
  <c r="F230" i="3"/>
  <c r="F262" i="3"/>
  <c r="H262" i="3"/>
  <c r="Q263" i="3" s="1"/>
  <c r="H270" i="3"/>
  <c r="Q271" i="3" s="1"/>
  <c r="L279" i="3"/>
  <c r="M279" i="3"/>
  <c r="F280" i="3"/>
  <c r="H280" i="3"/>
  <c r="R281" i="3" s="1"/>
  <c r="H304" i="3"/>
  <c r="R305" i="3" s="1"/>
  <c r="I314" i="3"/>
  <c r="H314" i="3"/>
  <c r="Q315" i="3" s="1"/>
  <c r="B320" i="3"/>
  <c r="Q318" i="3"/>
  <c r="F320" i="3"/>
  <c r="H320" i="3"/>
  <c r="R321" i="3" s="1"/>
  <c r="R336" i="3"/>
  <c r="D332" i="3"/>
  <c r="Q348" i="3"/>
  <c r="D346" i="3"/>
  <c r="F154" i="3"/>
  <c r="F170" i="3"/>
  <c r="M295" i="3"/>
  <c r="N295" i="3" s="1"/>
  <c r="L295" i="3"/>
  <c r="Q331" i="3"/>
  <c r="B336" i="3"/>
  <c r="Q334" i="3"/>
  <c r="F358" i="3"/>
  <c r="H358" i="3"/>
  <c r="T359" i="3" s="1"/>
  <c r="F366" i="3"/>
  <c r="H366" i="3"/>
  <c r="S367" i="3" s="1"/>
  <c r="I388" i="3"/>
  <c r="H388" i="3"/>
  <c r="F382" i="3"/>
  <c r="H382" i="3"/>
  <c r="S383" i="3" s="1"/>
  <c r="L384" i="3"/>
  <c r="M384" i="3"/>
  <c r="N384" i="3" s="1"/>
  <c r="D374" i="3"/>
  <c r="T390" i="3"/>
  <c r="B398" i="3"/>
  <c r="R394" i="3"/>
  <c r="D390" i="3"/>
  <c r="S398" i="3"/>
  <c r="H394" i="3"/>
  <c r="R395" i="3" s="1"/>
  <c r="H398" i="3"/>
  <c r="S399" i="3" s="1"/>
  <c r="K583" i="2" l="1"/>
  <c r="Q947" i="2"/>
  <c r="Q557" i="2"/>
  <c r="Q479" i="1"/>
  <c r="AA862" i="1"/>
  <c r="BE857" i="1"/>
  <c r="BL861" i="1"/>
  <c r="BE862" i="1"/>
  <c r="S366" i="3"/>
  <c r="D358" i="3"/>
  <c r="R170" i="3"/>
  <c r="D166" i="3"/>
  <c r="O384" i="3"/>
  <c r="B384" i="3"/>
  <c r="Q389" i="3"/>
  <c r="D294" i="3"/>
  <c r="O295" i="3"/>
  <c r="D150" i="3"/>
  <c r="R154" i="3"/>
  <c r="R320" i="3"/>
  <c r="D316" i="3"/>
  <c r="N279" i="3"/>
  <c r="M282" i="3"/>
  <c r="N282" i="3" s="1"/>
  <c r="Q262" i="3"/>
  <c r="D260" i="3"/>
  <c r="Q295" i="3"/>
  <c r="B101" i="3"/>
  <c r="Q99" i="3"/>
  <c r="Q42" i="3"/>
  <c r="AZ857" i="2"/>
  <c r="BG856" i="2"/>
  <c r="BG859" i="2" s="1"/>
  <c r="Q95" i="3"/>
  <c r="D93" i="3"/>
  <c r="B93" i="3"/>
  <c r="Q91" i="3"/>
  <c r="AA955" i="2"/>
  <c r="AZ955" i="2"/>
  <c r="BI956" i="2"/>
  <c r="BG956" i="2"/>
  <c r="D934" i="2"/>
  <c r="V935" i="2"/>
  <c r="AX626" i="2"/>
  <c r="BJ625" i="2"/>
  <c r="AA622" i="2"/>
  <c r="BI625" i="2"/>
  <c r="BG625" i="2"/>
  <c r="AB622" i="2"/>
  <c r="BE969" i="2"/>
  <c r="BE964" i="2"/>
  <c r="AA963" i="2"/>
  <c r="BF883" i="2"/>
  <c r="BF878" i="2"/>
  <c r="AA880" i="2"/>
  <c r="BL881" i="2"/>
  <c r="BF809" i="2"/>
  <c r="BF814" i="2"/>
  <c r="BF776" i="2"/>
  <c r="BF781" i="2"/>
  <c r="BF765" i="2"/>
  <c r="AA764" i="2"/>
  <c r="BF770" i="2"/>
  <c r="BF660" i="2"/>
  <c r="BF662" i="2" s="1"/>
  <c r="AA662" i="2"/>
  <c r="Z665" i="2"/>
  <c r="AU662" i="2"/>
  <c r="Q662" i="2" s="1"/>
  <c r="V648" i="2"/>
  <c r="C648" i="2"/>
  <c r="AZ627" i="2"/>
  <c r="BG626" i="2"/>
  <c r="BE593" i="2"/>
  <c r="Y595" i="2"/>
  <c r="AU593" i="2"/>
  <c r="Q593" i="2" s="1"/>
  <c r="Z592" i="2"/>
  <c r="BF670" i="2"/>
  <c r="AA672" i="2"/>
  <c r="BF675" i="2"/>
  <c r="BE661" i="2"/>
  <c r="BG570" i="2"/>
  <c r="AX571" i="2"/>
  <c r="BI570" i="2"/>
  <c r="AA567" i="2"/>
  <c r="BJ570" i="2"/>
  <c r="AC567" i="2" s="1"/>
  <c r="AB567" i="2"/>
  <c r="BB167" i="2"/>
  <c r="BG168" i="2"/>
  <c r="AZ92" i="2"/>
  <c r="AA90" i="2"/>
  <c r="BG91" i="2"/>
  <c r="BI91" i="2"/>
  <c r="BJ91" i="2"/>
  <c r="AC90" i="2" s="1"/>
  <c r="AZ59" i="2"/>
  <c r="BG58" i="2"/>
  <c r="AB57" i="2" s="1"/>
  <c r="BI58" i="2"/>
  <c r="BF681" i="2"/>
  <c r="AA680" i="2"/>
  <c r="BF686" i="2"/>
  <c r="BL683" i="2"/>
  <c r="BE612" i="2"/>
  <c r="BE617" i="2"/>
  <c r="V534" i="2"/>
  <c r="D533" i="2"/>
  <c r="Y432" i="2"/>
  <c r="AU437" i="2"/>
  <c r="Q437" i="2" s="1"/>
  <c r="X435" i="2"/>
  <c r="BF436" i="2"/>
  <c r="Z436" i="2"/>
  <c r="BE436" i="2"/>
  <c r="Y439" i="2"/>
  <c r="AU436" i="2"/>
  <c r="Q436" i="2" s="1"/>
  <c r="X405" i="2"/>
  <c r="AU402" i="2"/>
  <c r="Q402" i="2" s="1"/>
  <c r="Z399" i="2"/>
  <c r="BF404" i="2"/>
  <c r="BE402" i="2"/>
  <c r="Z380" i="2"/>
  <c r="BE381" i="2"/>
  <c r="BF382" i="2"/>
  <c r="AU381" i="2"/>
  <c r="Q381" i="2" s="1"/>
  <c r="Y383" i="2"/>
  <c r="AX348" i="2"/>
  <c r="BG345" i="2"/>
  <c r="BI345" i="2"/>
  <c r="BJ345" i="2"/>
  <c r="AC342" i="2"/>
  <c r="AX233" i="2"/>
  <c r="BJ232" i="2"/>
  <c r="BG232" i="2"/>
  <c r="BI232" i="2"/>
  <c r="AA229" i="2"/>
  <c r="AC229" i="2"/>
  <c r="Z188" i="2"/>
  <c r="AU189" i="2"/>
  <c r="Q189" i="2" s="1"/>
  <c r="Y191" i="2"/>
  <c r="BE189" i="2"/>
  <c r="BF179" i="2"/>
  <c r="BE177" i="2"/>
  <c r="X180" i="2"/>
  <c r="AU177" i="2"/>
  <c r="Q177" i="2" s="1"/>
  <c r="Z174" i="2"/>
  <c r="BH154" i="2"/>
  <c r="BJ154" i="2"/>
  <c r="AD155" i="2"/>
  <c r="BI154" i="2"/>
  <c r="AC155" i="2"/>
  <c r="AB155" i="2"/>
  <c r="BD152" i="2"/>
  <c r="BG155" i="2"/>
  <c r="BG156" i="2" s="1"/>
  <c r="AB158" i="2"/>
  <c r="AC158" i="2"/>
  <c r="BJ155" i="2"/>
  <c r="BI155" i="2"/>
  <c r="B142" i="2"/>
  <c r="V141" i="2"/>
  <c r="E118" i="2"/>
  <c r="V120" i="2"/>
  <c r="BB104" i="2"/>
  <c r="BG103" i="2"/>
  <c r="AX103" i="2"/>
  <c r="BG101" i="2"/>
  <c r="BG105" i="2" s="1"/>
  <c r="BI101" i="2"/>
  <c r="BJ101" i="2"/>
  <c r="AB98" i="2"/>
  <c r="AC98" i="2"/>
  <c r="AD98" i="2"/>
  <c r="BB79" i="2"/>
  <c r="BG81" i="2"/>
  <c r="AZ70" i="2"/>
  <c r="BH70" i="2" s="1"/>
  <c r="BG69" i="2"/>
  <c r="BI69" i="2"/>
  <c r="AA68" i="2"/>
  <c r="AC68" i="2"/>
  <c r="AZ48" i="2"/>
  <c r="AX48" i="2"/>
  <c r="BJ46" i="2"/>
  <c r="AA43" i="2"/>
  <c r="BI46" i="2"/>
  <c r="BG46" i="2"/>
  <c r="BB25" i="2"/>
  <c r="BG26" i="2"/>
  <c r="AA27" i="2"/>
  <c r="BJ26" i="2"/>
  <c r="BI26" i="2"/>
  <c r="BE315" i="2"/>
  <c r="BE310" i="2"/>
  <c r="AA221" i="2"/>
  <c r="BF224" i="2"/>
  <c r="V116" i="2"/>
  <c r="E114" i="2"/>
  <c r="BG47" i="2"/>
  <c r="Y7" i="2"/>
  <c r="AU15" i="2"/>
  <c r="Q15" i="2" s="1"/>
  <c r="BF10" i="2"/>
  <c r="BF14" i="2" s="1"/>
  <c r="N17" i="3"/>
  <c r="M21" i="3"/>
  <c r="N21" i="3" s="1"/>
  <c r="O148" i="3"/>
  <c r="B148" i="3"/>
  <c r="F148" i="3" s="1"/>
  <c r="BF66" i="2"/>
  <c r="BF71" i="2"/>
  <c r="BE288" i="2"/>
  <c r="BE293" i="2"/>
  <c r="BH525" i="2"/>
  <c r="AB526" i="2" s="1"/>
  <c r="BJ525" i="2"/>
  <c r="BI525" i="2"/>
  <c r="AA526" i="2"/>
  <c r="AC526" i="2"/>
  <c r="BL492" i="2"/>
  <c r="BK491" i="2" s="1"/>
  <c r="AD490" i="2" s="1"/>
  <c r="AC493" i="2"/>
  <c r="BK492" i="2"/>
  <c r="AD493" i="2" s="1"/>
  <c r="BI153" i="2"/>
  <c r="BL336" i="2"/>
  <c r="AC337" i="2"/>
  <c r="AC235" i="2"/>
  <c r="BL234" i="2"/>
  <c r="AB471" i="2"/>
  <c r="BL469" i="2"/>
  <c r="BL685" i="2"/>
  <c r="BK685" i="2" s="1"/>
  <c r="AD686" i="2" s="1"/>
  <c r="BE820" i="2"/>
  <c r="BG922" i="2"/>
  <c r="BL925" i="2"/>
  <c r="AB756" i="2"/>
  <c r="BL824" i="2"/>
  <c r="BG916" i="2"/>
  <c r="BG911" i="2"/>
  <c r="BL871" i="2"/>
  <c r="AA877" i="2"/>
  <c r="BH880" i="2"/>
  <c r="BI880" i="2"/>
  <c r="BJ880" i="2"/>
  <c r="AB877" i="2"/>
  <c r="BF889" i="2"/>
  <c r="BF894" i="2"/>
  <c r="BJ978" i="2"/>
  <c r="BI978" i="2"/>
  <c r="AA977" i="2"/>
  <c r="BH978" i="2"/>
  <c r="AB977" i="2"/>
  <c r="AA958" i="2"/>
  <c r="BH957" i="2"/>
  <c r="BL966" i="2"/>
  <c r="BI717" i="2"/>
  <c r="BL705" i="2"/>
  <c r="BJ658" i="2"/>
  <c r="BI658" i="2"/>
  <c r="BH381" i="2"/>
  <c r="BI381" i="2"/>
  <c r="AC334" i="2"/>
  <c r="AA334" i="2"/>
  <c r="BJ58" i="2"/>
  <c r="AC57" i="2" s="1"/>
  <c r="BL659" i="2"/>
  <c r="BK674" i="2"/>
  <c r="AD675" i="2" s="1"/>
  <c r="BL221" i="2"/>
  <c r="BK221" i="2"/>
  <c r="AC218" i="2"/>
  <c r="AD218" i="2"/>
  <c r="BL813" i="2"/>
  <c r="BE394" i="2"/>
  <c r="BL614" i="2"/>
  <c r="AC27" i="2"/>
  <c r="AC405" i="2"/>
  <c r="BL605" i="2"/>
  <c r="AC672" i="2"/>
  <c r="BK673" i="2"/>
  <c r="BL673" i="2"/>
  <c r="BL802" i="2"/>
  <c r="BK802" i="2" s="1"/>
  <c r="AD803" i="2" s="1"/>
  <c r="Q643" i="2"/>
  <c r="O645" i="2"/>
  <c r="BF798" i="2"/>
  <c r="AB781" i="2"/>
  <c r="BH856" i="2"/>
  <c r="BJ856" i="2"/>
  <c r="AD855" i="2"/>
  <c r="AB855" i="2"/>
  <c r="AC855" i="2"/>
  <c r="BI856" i="2"/>
  <c r="BG692" i="2"/>
  <c r="BG697" i="2"/>
  <c r="BH707" i="2"/>
  <c r="AB708" i="2" s="1"/>
  <c r="BI707" i="2"/>
  <c r="BJ707" i="2"/>
  <c r="AC708" i="2" s="1"/>
  <c r="AA708" i="2"/>
  <c r="BH718" i="2"/>
  <c r="AC719" i="2" s="1"/>
  <c r="BJ718" i="2"/>
  <c r="BJ720" i="2" s="1"/>
  <c r="BL768" i="2"/>
  <c r="AC789" i="2"/>
  <c r="BL790" i="2"/>
  <c r="BG825" i="2"/>
  <c r="BG820" i="2"/>
  <c r="AB819" i="2"/>
  <c r="BL858" i="2"/>
  <c r="AD861" i="2"/>
  <c r="BH753" i="2"/>
  <c r="BI753" i="2"/>
  <c r="AB750" i="2"/>
  <c r="BH905" i="2"/>
  <c r="BH900" i="2"/>
  <c r="AB905" i="2"/>
  <c r="BG900" i="2"/>
  <c r="BG905" i="2"/>
  <c r="BL926" i="2"/>
  <c r="BF991" i="2"/>
  <c r="AA991" i="2"/>
  <c r="BL694" i="2"/>
  <c r="BH321" i="2"/>
  <c r="AB320" i="2"/>
  <c r="BH326" i="2"/>
  <c r="BE953" i="2"/>
  <c r="BE958" i="2"/>
  <c r="BJ755" i="2"/>
  <c r="BH400" i="2"/>
  <c r="BH405" i="2"/>
  <c r="AB399" i="2"/>
  <c r="BL402" i="2"/>
  <c r="BL291" i="2"/>
  <c r="BJ80" i="2"/>
  <c r="AC487" i="2"/>
  <c r="BL490" i="2"/>
  <c r="BK490" i="2"/>
  <c r="AD487" i="2" s="1"/>
  <c r="BL822" i="2"/>
  <c r="BH703" i="2"/>
  <c r="BK672" i="2"/>
  <c r="AD669" i="2" s="1"/>
  <c r="BL672" i="2"/>
  <c r="AD672" i="2"/>
  <c r="BL470" i="2"/>
  <c r="BK470" i="2" s="1"/>
  <c r="AD471" i="2" s="1"/>
  <c r="BF332" i="2"/>
  <c r="AC449" i="2"/>
  <c r="BL312" i="2"/>
  <c r="BH455" i="2"/>
  <c r="BH460" i="2"/>
  <c r="BL457" i="2"/>
  <c r="BL35" i="2"/>
  <c r="AC32" i="2"/>
  <c r="BL604" i="2"/>
  <c r="BK603" i="2" s="1"/>
  <c r="AD600" i="2" s="1"/>
  <c r="BL166" i="2"/>
  <c r="AA899" i="2"/>
  <c r="BL801" i="2"/>
  <c r="BK801" i="2" s="1"/>
  <c r="AD800" i="2" s="1"/>
  <c r="BL767" i="2"/>
  <c r="BK767" i="2" s="1"/>
  <c r="AD764" i="2" s="1"/>
  <c r="AB509" i="2"/>
  <c r="BH515" i="2"/>
  <c r="BH510" i="2"/>
  <c r="BK501" i="2"/>
  <c r="AD498" i="2" s="1"/>
  <c r="BL501" i="2"/>
  <c r="AB342" i="2"/>
  <c r="BF219" i="2"/>
  <c r="AC482" i="2"/>
  <c r="BJ913" i="2"/>
  <c r="BL458" i="2"/>
  <c r="BK458" i="2"/>
  <c r="AD457" i="2" s="1"/>
  <c r="BJ902" i="2"/>
  <c r="BL902" i="2" s="1"/>
  <c r="AA910" i="2"/>
  <c r="AC852" i="2"/>
  <c r="BJ153" i="2"/>
  <c r="BK413" i="2"/>
  <c r="AD410" i="2" s="1"/>
  <c r="BK301" i="2"/>
  <c r="AD298" i="2" s="1"/>
  <c r="AC902" i="2"/>
  <c r="BK414" i="2"/>
  <c r="AD413" i="2" s="1"/>
  <c r="BK582" i="2"/>
  <c r="AD581" i="2" s="1"/>
  <c r="AD460" i="2"/>
  <c r="Q139" i="2"/>
  <c r="BE71" i="2"/>
  <c r="BL448" i="2"/>
  <c r="AC501" i="2"/>
  <c r="AB694" i="2"/>
  <c r="AC686" i="2"/>
  <c r="BL780" i="2"/>
  <c r="BH798" i="2"/>
  <c r="BH803" i="2"/>
  <c r="AB797" i="2"/>
  <c r="BL800" i="2"/>
  <c r="BK800" i="2" s="1"/>
  <c r="AD797" i="2" s="1"/>
  <c r="BL324" i="2"/>
  <c r="BK324" i="2" s="1"/>
  <c r="AD323" i="2" s="1"/>
  <c r="BH675" i="2"/>
  <c r="BH708" i="2"/>
  <c r="AZ859" i="1"/>
  <c r="AB859" i="1"/>
  <c r="BI860" i="1"/>
  <c r="BG860" i="1"/>
  <c r="BJ860" i="1"/>
  <c r="AA859" i="1"/>
  <c r="AC859" i="1"/>
  <c r="BI718" i="2"/>
  <c r="BL914" i="2"/>
  <c r="BH717" i="2"/>
  <c r="BL684" i="2"/>
  <c r="BK684" i="2" s="1"/>
  <c r="AD683" i="2" s="1"/>
  <c r="BH471" i="2"/>
  <c r="Q135" i="2"/>
  <c r="O143" i="2"/>
  <c r="BK302" i="2"/>
  <c r="AD301" i="2" s="1"/>
  <c r="BG551" i="1"/>
  <c r="AZ550" i="1"/>
  <c r="AC550" i="1"/>
  <c r="BI551" i="1"/>
  <c r="AB550" i="1"/>
  <c r="BJ551" i="1"/>
  <c r="AA550" i="1"/>
  <c r="AU437" i="1"/>
  <c r="Q437" i="1" s="1"/>
  <c r="X440" i="1"/>
  <c r="BE437" i="1"/>
  <c r="BF439" i="1"/>
  <c r="BF440" i="1" s="1"/>
  <c r="Z434" i="1"/>
  <c r="AU393" i="1"/>
  <c r="Q393" i="1" s="1"/>
  <c r="BF395" i="1"/>
  <c r="X396" i="1"/>
  <c r="BE393" i="1"/>
  <c r="Z390" i="1"/>
  <c r="BD268" i="1"/>
  <c r="BH268" i="1" s="1"/>
  <c r="AB272" i="1"/>
  <c r="BG269" i="1"/>
  <c r="AC272" i="1" s="1"/>
  <c r="BI269" i="1"/>
  <c r="BJ269" i="1"/>
  <c r="AD272" i="1" s="1"/>
  <c r="X121" i="1"/>
  <c r="AU118" i="1"/>
  <c r="Q118" i="1" s="1"/>
  <c r="Z115" i="1"/>
  <c r="BE118" i="1"/>
  <c r="BF120" i="1"/>
  <c r="BL120" i="1" s="1"/>
  <c r="BG32" i="1"/>
  <c r="AX33" i="1"/>
  <c r="AA29" i="1"/>
  <c r="BI32" i="1"/>
  <c r="AB29" i="1"/>
  <c r="Z18" i="1"/>
  <c r="BF23" i="1"/>
  <c r="BL23" i="1" s="1"/>
  <c r="X24" i="1"/>
  <c r="BE21" i="1"/>
  <c r="AU21" i="1"/>
  <c r="Q21" i="1" s="1"/>
  <c r="BE43" i="1"/>
  <c r="X46" i="1"/>
  <c r="AU43" i="1"/>
  <c r="Q43" i="1" s="1"/>
  <c r="Z40" i="1"/>
  <c r="BF45" i="1"/>
  <c r="BF46" i="1" s="1"/>
  <c r="X68" i="1"/>
  <c r="AU65" i="1"/>
  <c r="Q65" i="1" s="1"/>
  <c r="BE65" i="1"/>
  <c r="BF67" i="1"/>
  <c r="BF68" i="1" s="1"/>
  <c r="Z62" i="1"/>
  <c r="BG10" i="1"/>
  <c r="AB7" i="1"/>
  <c r="BI10" i="1"/>
  <c r="AX11" i="1"/>
  <c r="AX838" i="1"/>
  <c r="BG837" i="1"/>
  <c r="BI837" i="1"/>
  <c r="AC834" i="1" s="1"/>
  <c r="BD803" i="1"/>
  <c r="BG804" i="1"/>
  <c r="BI804" i="1"/>
  <c r="BJ804" i="1"/>
  <c r="AD807" i="1" s="1"/>
  <c r="AZ801" i="1"/>
  <c r="AB801" i="1"/>
  <c r="BI802" i="1"/>
  <c r="AD801" i="1"/>
  <c r="BG802" i="1"/>
  <c r="BG805" i="1" s="1"/>
  <c r="AX759" i="1"/>
  <c r="BG757" i="1"/>
  <c r="Z724" i="1"/>
  <c r="Y727" i="1"/>
  <c r="AU725" i="1"/>
  <c r="Q725" i="1" s="1"/>
  <c r="BE725" i="1"/>
  <c r="AU618" i="1"/>
  <c r="Q618" i="1" s="1"/>
  <c r="X616" i="1"/>
  <c r="BF617" i="1"/>
  <c r="BE616" i="1"/>
  <c r="Y613" i="1"/>
  <c r="BF449" i="1"/>
  <c r="Y451" i="1"/>
  <c r="AU449" i="1"/>
  <c r="Q449" i="1" s="1"/>
  <c r="Z448" i="1"/>
  <c r="BF427" i="1"/>
  <c r="AU427" i="1"/>
  <c r="Q427" i="1" s="1"/>
  <c r="Z426" i="1"/>
  <c r="Y429" i="1"/>
  <c r="BF405" i="1"/>
  <c r="Y407" i="1"/>
  <c r="AU405" i="1"/>
  <c r="Q405" i="1" s="1"/>
  <c r="Z404" i="1"/>
  <c r="BF383" i="1"/>
  <c r="Y385" i="1"/>
  <c r="AU383" i="1"/>
  <c r="Q383" i="1" s="1"/>
  <c r="Z382" i="1"/>
  <c r="BF361" i="1"/>
  <c r="AA360" i="1" s="1"/>
  <c r="Y363" i="1"/>
  <c r="AU361" i="1"/>
  <c r="Q361" i="1" s="1"/>
  <c r="Z360" i="1"/>
  <c r="Y327" i="1"/>
  <c r="AU327" i="1"/>
  <c r="Q327" i="1" s="1"/>
  <c r="Z324" i="1"/>
  <c r="BE325" i="1"/>
  <c r="BE328" i="1" s="1"/>
  <c r="BE267" i="1"/>
  <c r="BE270" i="1" s="1"/>
  <c r="AU269" i="1"/>
  <c r="Q269" i="1" s="1"/>
  <c r="Y269" i="1"/>
  <c r="Z266" i="1"/>
  <c r="AZ96" i="1"/>
  <c r="BG97" i="1"/>
  <c r="AB96" i="1"/>
  <c r="BJ97" i="1"/>
  <c r="BI97" i="1"/>
  <c r="AA96" i="1"/>
  <c r="BE755" i="1"/>
  <c r="BE760" i="1"/>
  <c r="AA702" i="1"/>
  <c r="BF697" i="1"/>
  <c r="BE691" i="1"/>
  <c r="BE686" i="1"/>
  <c r="BE680" i="1"/>
  <c r="BE675" i="1"/>
  <c r="BF608" i="1"/>
  <c r="BF603" i="1"/>
  <c r="BF581" i="1"/>
  <c r="BF586" i="1"/>
  <c r="BI530" i="1"/>
  <c r="AC531" i="1" s="1"/>
  <c r="BH530" i="1"/>
  <c r="BJ530" i="1"/>
  <c r="AA531" i="1"/>
  <c r="AB498" i="1"/>
  <c r="BG493" i="1"/>
  <c r="V471" i="1"/>
  <c r="D470" i="1"/>
  <c r="BE451" i="1"/>
  <c r="BE450" i="1"/>
  <c r="BE406" i="1"/>
  <c r="V339" i="1"/>
  <c r="D338" i="1"/>
  <c r="BF270" i="1"/>
  <c r="V216" i="1"/>
  <c r="E214" i="1"/>
  <c r="AA193" i="1"/>
  <c r="BE191" i="1"/>
  <c r="BL194" i="1"/>
  <c r="AA196" i="1"/>
  <c r="BL195" i="1"/>
  <c r="BF180" i="1"/>
  <c r="BF185" i="1"/>
  <c r="AA179" i="1"/>
  <c r="BE180" i="1"/>
  <c r="AA185" i="1"/>
  <c r="BE185" i="1"/>
  <c r="BF132" i="1"/>
  <c r="BF127" i="1"/>
  <c r="BF121" i="1"/>
  <c r="BF94" i="1"/>
  <c r="BF99" i="1"/>
  <c r="BH54" i="1"/>
  <c r="AA51" i="1"/>
  <c r="BJ54" i="1"/>
  <c r="BI54" i="1"/>
  <c r="AA24" i="1"/>
  <c r="BH10" i="1"/>
  <c r="BJ10" i="1"/>
  <c r="BI231" i="1"/>
  <c r="BH231" i="1"/>
  <c r="BH232" i="1" s="1"/>
  <c r="BJ231" i="1"/>
  <c r="AB234" i="1"/>
  <c r="AC429" i="1"/>
  <c r="BI427" i="1"/>
  <c r="BH427" i="1"/>
  <c r="AA426" i="1"/>
  <c r="BJ427" i="1"/>
  <c r="AB426" i="1"/>
  <c r="AB569" i="1"/>
  <c r="BG570" i="1"/>
  <c r="BG575" i="1"/>
  <c r="BG738" i="1"/>
  <c r="AB735" i="1"/>
  <c r="BG733" i="1"/>
  <c r="BJ748" i="1"/>
  <c r="AC749" i="1" s="1"/>
  <c r="BI748" i="1"/>
  <c r="BH748" i="1"/>
  <c r="AB749" i="1" s="1"/>
  <c r="AA749" i="1"/>
  <c r="BL850" i="1"/>
  <c r="BK850" i="1" s="1"/>
  <c r="AD851" i="1" s="1"/>
  <c r="BH846" i="1"/>
  <c r="BJ837" i="1"/>
  <c r="BH837" i="1"/>
  <c r="BL699" i="1"/>
  <c r="BK700" i="1" s="1"/>
  <c r="AD699" i="1" s="1"/>
  <c r="BK699" i="1"/>
  <c r="AD696" i="1" s="1"/>
  <c r="BL839" i="1"/>
  <c r="AC840" i="1"/>
  <c r="BL228" i="1"/>
  <c r="BL140" i="1"/>
  <c r="BK140" i="1" s="1"/>
  <c r="AD137" i="1" s="1"/>
  <c r="AD225" i="1"/>
  <c r="BH311" i="1"/>
  <c r="BH316" i="1"/>
  <c r="AB310" i="1"/>
  <c r="BL313" i="1"/>
  <c r="AB239" i="1"/>
  <c r="BL130" i="1"/>
  <c r="BH185" i="1"/>
  <c r="BH180" i="1"/>
  <c r="BL98" i="1"/>
  <c r="BL506" i="1"/>
  <c r="BK506" i="1" s="1"/>
  <c r="AD503" i="1" s="1"/>
  <c r="AC503" i="1"/>
  <c r="AC732" i="1"/>
  <c r="BL518" i="1"/>
  <c r="BL572" i="1"/>
  <c r="BH143" i="1"/>
  <c r="AB137" i="1"/>
  <c r="BH138" i="1"/>
  <c r="BE196" i="1"/>
  <c r="BI246" i="1"/>
  <c r="AD239" i="1"/>
  <c r="BL242" i="1"/>
  <c r="AC517" i="1"/>
  <c r="BH118" i="1"/>
  <c r="BL605" i="1"/>
  <c r="BL314" i="1"/>
  <c r="BK314" i="1" s="1"/>
  <c r="AD313" i="1" s="1"/>
  <c r="AC313" i="1"/>
  <c r="BE570" i="1"/>
  <c r="BL229" i="1"/>
  <c r="AD228" i="1"/>
  <c r="AA580" i="1"/>
  <c r="BL678" i="1"/>
  <c r="BL849" i="1"/>
  <c r="BK849" i="1"/>
  <c r="AD848" i="1" s="1"/>
  <c r="BL583" i="1"/>
  <c r="BH851" i="1"/>
  <c r="AC848" i="1"/>
  <c r="O483" i="1"/>
  <c r="O487" i="1" s="1"/>
  <c r="AD660" i="1"/>
  <c r="BK678" i="1"/>
  <c r="AD677" i="1" s="1"/>
  <c r="BF851" i="1"/>
  <c r="AA845" i="1"/>
  <c r="BF846" i="1"/>
  <c r="BF726" i="1"/>
  <c r="BF597" i="1"/>
  <c r="BF592" i="1"/>
  <c r="AA506" i="1"/>
  <c r="BL507" i="1"/>
  <c r="BF504" i="1"/>
  <c r="V486" i="1"/>
  <c r="B486" i="1"/>
  <c r="BE428" i="1"/>
  <c r="BF391" i="1"/>
  <c r="BF396" i="1"/>
  <c r="BF358" i="1"/>
  <c r="AA357" i="1"/>
  <c r="C350" i="1"/>
  <c r="V350" i="1"/>
  <c r="Q343" i="1"/>
  <c r="O345" i="1"/>
  <c r="AA316" i="1"/>
  <c r="BL315" i="1"/>
  <c r="BK315" i="1" s="1"/>
  <c r="AD316" i="1" s="1"/>
  <c r="BF294" i="1"/>
  <c r="BF289" i="1"/>
  <c r="AA288" i="1"/>
  <c r="Q219" i="1"/>
  <c r="Q217" i="1"/>
  <c r="BI129" i="1"/>
  <c r="BH129" i="1"/>
  <c r="AC126" i="1"/>
  <c r="BF105" i="1"/>
  <c r="BF110" i="1"/>
  <c r="BI65" i="1"/>
  <c r="BJ65" i="1"/>
  <c r="AC62" i="1" s="1"/>
  <c r="BH65" i="1"/>
  <c r="AA62" i="1"/>
  <c r="BF30" i="1"/>
  <c r="BF8" i="1"/>
  <c r="AC385" i="1"/>
  <c r="AA818" i="1"/>
  <c r="BL426" i="1"/>
  <c r="AC423" i="1"/>
  <c r="AA542" i="1"/>
  <c r="AC602" i="1"/>
  <c r="AC807" i="1"/>
  <c r="BL816" i="1"/>
  <c r="AC696" i="1"/>
  <c r="BL108" i="1"/>
  <c r="AA602" i="1"/>
  <c r="BE207" i="1"/>
  <c r="BL142" i="1"/>
  <c r="BF702" i="1"/>
  <c r="BL182" i="1"/>
  <c r="BH358" i="1"/>
  <c r="AA126" i="1"/>
  <c r="BL663" i="1"/>
  <c r="BL606" i="1"/>
  <c r="BK605" i="1" s="1"/>
  <c r="AD602" i="1" s="1"/>
  <c r="BL281" i="1"/>
  <c r="BL517" i="1"/>
  <c r="BK517" i="1" s="1"/>
  <c r="AD514" i="1" s="1"/>
  <c r="BL736" i="1"/>
  <c r="BK736" i="1" s="1"/>
  <c r="AD735" i="1" s="1"/>
  <c r="B390" i="3"/>
  <c r="S382" i="3"/>
  <c r="T358" i="3"/>
  <c r="B374" i="3"/>
  <c r="R280" i="3"/>
  <c r="B284" i="3"/>
  <c r="D228" i="3"/>
  <c r="Q230" i="3"/>
  <c r="B158" i="3"/>
  <c r="S150" i="3"/>
  <c r="R101" i="3"/>
  <c r="D97" i="3"/>
  <c r="S332" i="3"/>
  <c r="D324" i="3"/>
  <c r="D224" i="3"/>
  <c r="S232" i="3"/>
  <c r="Z974" i="2"/>
  <c r="BE977" i="2"/>
  <c r="BF979" i="2"/>
  <c r="X980" i="2"/>
  <c r="AU977" i="2"/>
  <c r="Q977" i="2" s="1"/>
  <c r="AA756" i="2"/>
  <c r="AU757" i="2"/>
  <c r="Q757" i="2" s="1"/>
  <c r="BF756" i="2"/>
  <c r="BF757" i="2" s="1"/>
  <c r="Z759" i="2"/>
  <c r="BD753" i="2"/>
  <c r="BJ753" i="2" s="1"/>
  <c r="BJ757" i="2" s="1"/>
  <c r="BG756" i="2"/>
  <c r="BG757" i="2" s="1"/>
  <c r="AC759" i="2"/>
  <c r="BI756" i="2"/>
  <c r="AB759" i="2"/>
  <c r="BH719" i="2"/>
  <c r="AB722" i="2"/>
  <c r="AC722" i="2"/>
  <c r="BI719" i="2"/>
  <c r="BJ719" i="2"/>
  <c r="AX660" i="2"/>
  <c r="BG658" i="2"/>
  <c r="BG662" i="2" s="1"/>
  <c r="BE626" i="2"/>
  <c r="Z625" i="2"/>
  <c r="Y628" i="2"/>
  <c r="AU626" i="2"/>
  <c r="Q626" i="2" s="1"/>
  <c r="BF627" i="2"/>
  <c r="BE592" i="2"/>
  <c r="X595" i="2"/>
  <c r="Z589" i="2"/>
  <c r="AU592" i="2"/>
  <c r="Q592" i="2" s="1"/>
  <c r="BF594" i="2"/>
  <c r="E636" i="2"/>
  <c r="V638" i="2"/>
  <c r="V637" i="2"/>
  <c r="D636" i="2"/>
  <c r="BB392" i="2"/>
  <c r="BG393" i="2"/>
  <c r="AB394" i="2"/>
  <c r="AA394" i="2"/>
  <c r="BG70" i="2"/>
  <c r="BB68" i="2"/>
  <c r="BJ70" i="2"/>
  <c r="AA71" i="2"/>
  <c r="AX59" i="2"/>
  <c r="BG57" i="2"/>
  <c r="AA54" i="2"/>
  <c r="BI57" i="2"/>
  <c r="BJ57" i="2"/>
  <c r="Y476" i="2"/>
  <c r="BF480" i="2"/>
  <c r="AU481" i="2"/>
  <c r="Q481" i="2" s="1"/>
  <c r="X479" i="2"/>
  <c r="BE479" i="2"/>
  <c r="X482" i="2"/>
  <c r="Z476" i="2"/>
  <c r="AU479" i="2"/>
  <c r="Q479" i="2" s="1"/>
  <c r="BF481" i="2"/>
  <c r="AA482" i="2" s="1"/>
  <c r="BG436" i="2"/>
  <c r="AZ435" i="2"/>
  <c r="BJ436" i="2"/>
  <c r="BI436" i="2"/>
  <c r="AB435" i="2"/>
  <c r="AA435" i="2"/>
  <c r="BE435" i="2"/>
  <c r="Z432" i="2"/>
  <c r="AU435" i="2"/>
  <c r="Q435" i="2" s="1"/>
  <c r="X438" i="2"/>
  <c r="BF437" i="2"/>
  <c r="AX425" i="2"/>
  <c r="AA421" i="2"/>
  <c r="BG424" i="2"/>
  <c r="BJ424" i="2"/>
  <c r="AB421" i="2"/>
  <c r="BI424" i="2"/>
  <c r="BD346" i="2"/>
  <c r="BG348" i="2"/>
  <c r="AZ314" i="2"/>
  <c r="AA312" i="2"/>
  <c r="AB312" i="2"/>
  <c r="BI313" i="2"/>
  <c r="BG313" i="2"/>
  <c r="BJ313" i="2"/>
  <c r="AZ267" i="2"/>
  <c r="BI266" i="2"/>
  <c r="BG266" i="2"/>
  <c r="BG269" i="2" s="1"/>
  <c r="AD265" i="2"/>
  <c r="AC265" i="2"/>
  <c r="AB265" i="2"/>
  <c r="BJ266" i="2"/>
  <c r="Z262" i="2"/>
  <c r="X268" i="2"/>
  <c r="BF267" i="2"/>
  <c r="BF269" i="2" s="1"/>
  <c r="BE265" i="2"/>
  <c r="AU265" i="2"/>
  <c r="Q265" i="2" s="1"/>
  <c r="BG210" i="2"/>
  <c r="AX211" i="2"/>
  <c r="BI210" i="2"/>
  <c r="BJ210" i="2"/>
  <c r="AC207" i="2" s="1"/>
  <c r="AA207" i="2"/>
  <c r="AB207" i="2"/>
  <c r="BB189" i="2"/>
  <c r="BG190" i="2"/>
  <c r="BJ190" i="2"/>
  <c r="AC191" i="2" s="1"/>
  <c r="BI190" i="2"/>
  <c r="AA191" i="2"/>
  <c r="AB191" i="2"/>
  <c r="AU188" i="2"/>
  <c r="Q188" i="2" s="1"/>
  <c r="Z185" i="2"/>
  <c r="BE188" i="2"/>
  <c r="X191" i="2"/>
  <c r="BF190" i="2"/>
  <c r="AZ168" i="2"/>
  <c r="BG167" i="2"/>
  <c r="AA166" i="2"/>
  <c r="AC152" i="2"/>
  <c r="BE104" i="2"/>
  <c r="BE105" i="2" s="1"/>
  <c r="AU102" i="2"/>
  <c r="Q102" i="2" s="1"/>
  <c r="AA101" i="2"/>
  <c r="Y107" i="2"/>
  <c r="BF102" i="2"/>
  <c r="BE92" i="2"/>
  <c r="BF90" i="2"/>
  <c r="X94" i="2"/>
  <c r="AU90" i="2"/>
  <c r="Q90" i="2" s="1"/>
  <c r="AZ81" i="2"/>
  <c r="BH81" i="2" s="1"/>
  <c r="BG80" i="2"/>
  <c r="AC79" i="2"/>
  <c r="BI80" i="2"/>
  <c r="AB79" i="2"/>
  <c r="BJ69" i="2"/>
  <c r="BH69" i="2"/>
  <c r="AB68" i="2" s="1"/>
  <c r="BB47" i="2"/>
  <c r="BG48" i="2"/>
  <c r="BB36" i="2"/>
  <c r="BG37" i="2"/>
  <c r="BI37" i="2"/>
  <c r="AA38" i="2"/>
  <c r="BF394" i="2"/>
  <c r="BF389" i="2"/>
  <c r="Z88" i="2"/>
  <c r="BF405" i="2"/>
  <c r="BF400" i="2"/>
  <c r="BE169" i="2"/>
  <c r="BE164" i="2"/>
  <c r="B138" i="2"/>
  <c r="V137" i="2"/>
  <c r="V115" i="2"/>
  <c r="D114" i="2"/>
  <c r="AX11" i="2"/>
  <c r="BI10" i="2"/>
  <c r="BG10" i="2"/>
  <c r="BG14" i="2" s="1"/>
  <c r="BJ10" i="2"/>
  <c r="AC7" i="2"/>
  <c r="BF13" i="2"/>
  <c r="Y16" i="2"/>
  <c r="BE11" i="2"/>
  <c r="BE14" i="2" s="1"/>
  <c r="AA10" i="2"/>
  <c r="AU11" i="2"/>
  <c r="Q11" i="2" s="1"/>
  <c r="D17" i="3"/>
  <c r="O18" i="3"/>
  <c r="N152" i="3"/>
  <c r="M153" i="3"/>
  <c r="N153" i="3" s="1"/>
  <c r="M157" i="3"/>
  <c r="N157" i="3" s="1"/>
  <c r="M156" i="3"/>
  <c r="N156" i="3" s="1"/>
  <c r="M160" i="3"/>
  <c r="N160" i="3" s="1"/>
  <c r="AB380" i="2"/>
  <c r="BH153" i="2"/>
  <c r="BL292" i="2"/>
  <c r="BK292" i="2" s="1"/>
  <c r="AD293" i="2" s="1"/>
  <c r="AB337" i="2"/>
  <c r="BH332" i="2"/>
  <c r="BI393" i="2"/>
  <c r="BL201" i="2"/>
  <c r="BK201" i="2"/>
  <c r="AD202" i="2" s="1"/>
  <c r="BH526" i="2"/>
  <c r="BL524" i="2"/>
  <c r="BF708" i="2"/>
  <c r="BL769" i="2"/>
  <c r="BK769" i="2" s="1"/>
  <c r="AD770" i="2" s="1"/>
  <c r="BI924" i="2"/>
  <c r="BH924" i="2"/>
  <c r="AA921" i="2"/>
  <c r="AC921" i="2"/>
  <c r="BJ924" i="2"/>
  <c r="BH755" i="2"/>
  <c r="AC756" i="2" s="1"/>
  <c r="BE708" i="2"/>
  <c r="BE703" i="2"/>
  <c r="BJ869" i="2"/>
  <c r="BI869" i="2"/>
  <c r="AA866" i="2"/>
  <c r="BH869" i="2"/>
  <c r="AC866" i="2"/>
  <c r="AA800" i="2"/>
  <c r="BL811" i="2"/>
  <c r="BI812" i="2"/>
  <c r="AA811" i="2"/>
  <c r="BJ812" i="2"/>
  <c r="AC811" i="2" s="1"/>
  <c r="BH812" i="2"/>
  <c r="AA825" i="2"/>
  <c r="BH913" i="2"/>
  <c r="BI913" i="2"/>
  <c r="AB910" i="2"/>
  <c r="BL915" i="2"/>
  <c r="AC894" i="2"/>
  <c r="BE900" i="2"/>
  <c r="BE905" i="2"/>
  <c r="AA902" i="2"/>
  <c r="BL977" i="2"/>
  <c r="AC974" i="2"/>
  <c r="BH956" i="2"/>
  <c r="BJ956" i="2"/>
  <c r="Q946" i="2"/>
  <c r="BF958" i="2"/>
  <c r="BF953" i="2"/>
  <c r="AB958" i="2"/>
  <c r="BL979" i="2"/>
  <c r="BH967" i="2"/>
  <c r="BI967" i="2"/>
  <c r="AA966" i="2"/>
  <c r="BJ967" i="2"/>
  <c r="AC966" i="2" s="1"/>
  <c r="AB716" i="2"/>
  <c r="BJ717" i="2"/>
  <c r="AB683" i="2"/>
  <c r="BH681" i="2"/>
  <c r="BH686" i="2"/>
  <c r="AB655" i="2"/>
  <c r="BJ381" i="2"/>
  <c r="AB21" i="2"/>
  <c r="BL335" i="2"/>
  <c r="BK334" i="2" s="1"/>
  <c r="BK335" i="2"/>
  <c r="AD334" i="2" s="1"/>
  <c r="BH282" i="2"/>
  <c r="BL279" i="2"/>
  <c r="BH277" i="2"/>
  <c r="AA57" i="2"/>
  <c r="AD331" i="2"/>
  <c r="AB218" i="2"/>
  <c r="BH224" i="2"/>
  <c r="BH219" i="2"/>
  <c r="BL891" i="2"/>
  <c r="BK893" i="2" s="1"/>
  <c r="AD894" i="2" s="1"/>
  <c r="AA388" i="2"/>
  <c r="AD13" i="2"/>
  <c r="BJ37" i="2"/>
  <c r="BL281" i="2"/>
  <c r="AC282" i="2"/>
  <c r="BL212" i="2"/>
  <c r="AB606" i="2"/>
  <c r="BH601" i="2"/>
  <c r="BL503" i="2"/>
  <c r="AC504" i="2"/>
  <c r="Q743" i="2"/>
  <c r="BL892" i="2"/>
  <c r="BK892" i="2"/>
  <c r="AD891" i="2" s="1"/>
  <c r="BH779" i="2"/>
  <c r="BI779" i="2"/>
  <c r="AB778" i="2"/>
  <c r="BK695" i="2"/>
  <c r="AD694" i="2" s="1"/>
  <c r="BL695" i="2"/>
  <c r="BK694" i="2" s="1"/>
  <c r="AD691" i="2" s="1"/>
  <c r="BG703" i="2"/>
  <c r="BG708" i="2"/>
  <c r="BG717" i="2"/>
  <c r="BG720" i="2" s="1"/>
  <c r="BJ779" i="2"/>
  <c r="BG781" i="2"/>
  <c r="BG776" i="2"/>
  <c r="BJ789" i="2"/>
  <c r="BI789" i="2"/>
  <c r="BH789" i="2"/>
  <c r="AA786" i="2"/>
  <c r="BH823" i="2"/>
  <c r="AA822" i="2"/>
  <c r="BJ823" i="2"/>
  <c r="AC822" i="2" s="1"/>
  <c r="BI823" i="2"/>
  <c r="AB822" i="2"/>
  <c r="BF867" i="2"/>
  <c r="BF872" i="2"/>
  <c r="AD753" i="2"/>
  <c r="BL754" i="2"/>
  <c r="BL904" i="2"/>
  <c r="BJ988" i="2"/>
  <c r="BI988" i="2"/>
  <c r="AC985" i="2"/>
  <c r="AA985" i="2"/>
  <c r="BH988" i="2"/>
  <c r="BL990" i="2"/>
  <c r="BH989" i="2"/>
  <c r="AB988" i="2" s="1"/>
  <c r="AA988" i="2"/>
  <c r="AC988" i="2"/>
  <c r="BL870" i="2"/>
  <c r="BI720" i="2"/>
  <c r="AD713" i="2"/>
  <c r="BL716" i="2"/>
  <c r="BH692" i="2"/>
  <c r="BH697" i="2"/>
  <c r="BL323" i="2"/>
  <c r="BH477" i="2"/>
  <c r="AB476" i="2"/>
  <c r="BH482" i="2"/>
  <c r="AC416" i="2"/>
  <c r="BK415" i="2"/>
  <c r="AD416" i="2" s="1"/>
  <c r="BH288" i="2"/>
  <c r="BH293" i="2"/>
  <c r="BL290" i="2"/>
  <c r="BI167" i="2"/>
  <c r="BL200" i="2"/>
  <c r="BK200" i="2"/>
  <c r="AD199" i="2" s="1"/>
  <c r="AD196" i="2"/>
  <c r="AB775" i="2"/>
  <c r="BH781" i="2"/>
  <c r="BH776" i="2"/>
  <c r="BL706" i="2"/>
  <c r="AC705" i="2"/>
  <c r="AA705" i="2"/>
  <c r="AC781" i="2"/>
  <c r="AB309" i="2"/>
  <c r="BH197" i="2"/>
  <c r="BH202" i="2"/>
  <c r="AA611" i="2"/>
  <c r="AA905" i="2"/>
  <c r="BH765" i="2"/>
  <c r="AB764" i="2"/>
  <c r="BH770" i="2"/>
  <c r="Q844" i="2"/>
  <c r="O846" i="2"/>
  <c r="AC509" i="2"/>
  <c r="BL512" i="2"/>
  <c r="AC523" i="2"/>
  <c r="BL403" i="2"/>
  <c r="AC402" i="2"/>
  <c r="AC87" i="2"/>
  <c r="BL90" i="2"/>
  <c r="AC221" i="2"/>
  <c r="BL222" i="2"/>
  <c r="BK222" i="2"/>
  <c r="AD221" i="2" s="1"/>
  <c r="AB177" i="2"/>
  <c r="BH180" i="2"/>
  <c r="BH175" i="2"/>
  <c r="BI47" i="2"/>
  <c r="BL615" i="2"/>
  <c r="BK615" i="2" s="1"/>
  <c r="AD614" i="2" s="1"/>
  <c r="AC614" i="2"/>
  <c r="AB501" i="2"/>
  <c r="AC778" i="2"/>
  <c r="BK459" i="2"/>
  <c r="AC202" i="2"/>
  <c r="AC888" i="2"/>
  <c r="BL391" i="2"/>
  <c r="Q371" i="2"/>
  <c r="AB152" i="2"/>
  <c r="AC394" i="2"/>
  <c r="BL502" i="2"/>
  <c r="BK502" i="2" s="1"/>
  <c r="AD501" i="2" s="1"/>
  <c r="BH606" i="2"/>
  <c r="BI755" i="2"/>
  <c r="AA380" i="2"/>
  <c r="BH499" i="2"/>
  <c r="BL855" i="2"/>
  <c r="BK581" i="2"/>
  <c r="AD578" i="2" s="1"/>
  <c r="Q943" i="2"/>
  <c r="BI957" i="2"/>
  <c r="BL199" i="2"/>
  <c r="BK199" i="2" s="1"/>
  <c r="BL178" i="2"/>
  <c r="Q554" i="2"/>
  <c r="O558" i="2"/>
  <c r="BF860" i="1"/>
  <c r="Z859" i="1"/>
  <c r="Y862" i="1"/>
  <c r="AU860" i="1"/>
  <c r="Q860" i="1" s="1"/>
  <c r="AZ448" i="1"/>
  <c r="BG449" i="1"/>
  <c r="BJ449" i="1"/>
  <c r="BI449" i="1"/>
  <c r="AC448" i="1"/>
  <c r="AX439" i="1"/>
  <c r="BG437" i="1"/>
  <c r="BI437" i="1"/>
  <c r="AA434" i="1"/>
  <c r="BE415" i="1"/>
  <c r="Z412" i="1"/>
  <c r="X418" i="1"/>
  <c r="AU415" i="1"/>
  <c r="Q415" i="1" s="1"/>
  <c r="BF417" i="1"/>
  <c r="BE371" i="1"/>
  <c r="Z368" i="1"/>
  <c r="AU371" i="1"/>
  <c r="Q371" i="1" s="1"/>
  <c r="BF373" i="1"/>
  <c r="X374" i="1"/>
  <c r="BB325" i="1"/>
  <c r="AB327" i="1"/>
  <c r="BJ326" i="1"/>
  <c r="BG326" i="1"/>
  <c r="BG328" i="1" s="1"/>
  <c r="BI326" i="1"/>
  <c r="AZ21" i="1"/>
  <c r="AA21" i="1"/>
  <c r="BG22" i="1"/>
  <c r="BJ22" i="1"/>
  <c r="AC21" i="1" s="1"/>
  <c r="BI22" i="1"/>
  <c r="BB44" i="1"/>
  <c r="BI45" i="1"/>
  <c r="BG45" i="1"/>
  <c r="BJ45" i="1"/>
  <c r="AA46" i="1"/>
  <c r="AC46" i="1"/>
  <c r="AB46" i="1"/>
  <c r="BB55" i="1"/>
  <c r="BJ56" i="1"/>
  <c r="AC57" i="1" s="1"/>
  <c r="BI56" i="1"/>
  <c r="BB66" i="1"/>
  <c r="BG67" i="1"/>
  <c r="BE10" i="1"/>
  <c r="BF12" i="1"/>
  <c r="BF13" i="1" s="1"/>
  <c r="AU10" i="1"/>
  <c r="Q10" i="1" s="1"/>
  <c r="Z7" i="1"/>
  <c r="X13" i="1"/>
  <c r="BF34" i="1"/>
  <c r="BF35" i="1" s="1"/>
  <c r="Y35" i="1"/>
  <c r="AU33" i="1"/>
  <c r="Q33" i="1" s="1"/>
  <c r="Z32" i="1"/>
  <c r="BE33" i="1"/>
  <c r="X57" i="1"/>
  <c r="AU54" i="1"/>
  <c r="Q54" i="1" s="1"/>
  <c r="Z51" i="1"/>
  <c r="BE54" i="1"/>
  <c r="BF56" i="1"/>
  <c r="BF52" i="1" s="1"/>
  <c r="AX67" i="1"/>
  <c r="BG65" i="1"/>
  <c r="X838" i="1"/>
  <c r="BE838" i="1"/>
  <c r="BE840" i="1" s="1"/>
  <c r="Z808" i="1"/>
  <c r="AA805" i="1"/>
  <c r="AU805" i="1"/>
  <c r="Q805" i="1" s="1"/>
  <c r="BE804" i="1"/>
  <c r="BE805" i="1" s="1"/>
  <c r="BG769" i="1"/>
  <c r="AC768" i="1"/>
  <c r="AA768" i="1"/>
  <c r="AZ768" i="1"/>
  <c r="BJ769" i="1"/>
  <c r="AB768" i="1"/>
  <c r="BI769" i="1"/>
  <c r="BB757" i="1"/>
  <c r="AA754" i="1" s="1"/>
  <c r="BG759" i="1"/>
  <c r="AA760" i="1"/>
  <c r="BI759" i="1"/>
  <c r="AZ726" i="1"/>
  <c r="BI725" i="1"/>
  <c r="BJ725" i="1"/>
  <c r="BG725" i="1"/>
  <c r="AC724" i="1"/>
  <c r="BI595" i="1"/>
  <c r="AZ594" i="1"/>
  <c r="BG595" i="1"/>
  <c r="AA594" i="1"/>
  <c r="AB594" i="1"/>
  <c r="BJ595" i="1"/>
  <c r="AC594" i="1" s="1"/>
  <c r="B478" i="1"/>
  <c r="V478" i="1"/>
  <c r="BB415" i="1"/>
  <c r="BI417" i="1"/>
  <c r="AB418" i="1"/>
  <c r="BG417" i="1"/>
  <c r="BJ417" i="1"/>
  <c r="BG395" i="1"/>
  <c r="BB393" i="1"/>
  <c r="AA396" i="1"/>
  <c r="BJ395" i="1"/>
  <c r="AB396" i="1"/>
  <c r="BI395" i="1"/>
  <c r="BB371" i="1"/>
  <c r="BI373" i="1"/>
  <c r="BG373" i="1"/>
  <c r="BJ373" i="1"/>
  <c r="BE282" i="1"/>
  <c r="AA283" i="1" s="1"/>
  <c r="Z277" i="1"/>
  <c r="AU280" i="1"/>
  <c r="Q280" i="1" s="1"/>
  <c r="X283" i="1"/>
  <c r="BF280" i="1"/>
  <c r="AA277" i="1" s="1"/>
  <c r="BB267" i="1"/>
  <c r="BG268" i="1"/>
  <c r="BG270" i="1" s="1"/>
  <c r="BJ268" i="1"/>
  <c r="AD269" i="1"/>
  <c r="BI268" i="1"/>
  <c r="AC269" i="1"/>
  <c r="AB269" i="1"/>
  <c r="BB205" i="1"/>
  <c r="BG206" i="1"/>
  <c r="BI206" i="1"/>
  <c r="BJ206" i="1"/>
  <c r="AC207" i="1" s="1"/>
  <c r="AB207" i="1"/>
  <c r="AA207" i="1"/>
  <c r="BE152" i="1"/>
  <c r="Z151" i="1"/>
  <c r="Y154" i="1"/>
  <c r="AU152" i="1"/>
  <c r="Q152" i="1" s="1"/>
  <c r="BE835" i="1"/>
  <c r="BF760" i="1"/>
  <c r="AA757" i="1"/>
  <c r="BL758" i="1"/>
  <c r="BF749" i="1"/>
  <c r="BF744" i="1"/>
  <c r="BE697" i="1"/>
  <c r="BE702" i="1"/>
  <c r="AB663" i="1"/>
  <c r="BE667" i="1"/>
  <c r="BL664" i="1"/>
  <c r="BK664" i="1" s="1"/>
  <c r="AE663" i="1" s="1"/>
  <c r="D634" i="1"/>
  <c r="V635" i="1"/>
  <c r="AA608" i="1"/>
  <c r="BE603" i="1"/>
  <c r="BL529" i="1"/>
  <c r="BG526" i="1"/>
  <c r="AB528" i="1"/>
  <c r="BL497" i="1"/>
  <c r="AC498" i="1"/>
  <c r="AA492" i="1"/>
  <c r="BJ495" i="1"/>
  <c r="AC492" i="1" s="1"/>
  <c r="BH495" i="1"/>
  <c r="AB492" i="1"/>
  <c r="D458" i="1"/>
  <c r="V459" i="1"/>
  <c r="BJ437" i="1"/>
  <c r="BH437" i="1"/>
  <c r="E338" i="1"/>
  <c r="V340" i="1"/>
  <c r="AB321" i="1"/>
  <c r="BL324" i="1"/>
  <c r="BF311" i="1"/>
  <c r="BF316" i="1"/>
  <c r="BF300" i="1"/>
  <c r="BF305" i="1"/>
  <c r="BL304" i="1"/>
  <c r="BK304" i="1" s="1"/>
  <c r="AD305" i="1" s="1"/>
  <c r="AB305" i="1"/>
  <c r="BH305" i="1"/>
  <c r="AC283" i="1"/>
  <c r="V215" i="1"/>
  <c r="D214" i="1"/>
  <c r="BF191" i="1"/>
  <c r="BF196" i="1"/>
  <c r="BL193" i="1"/>
  <c r="BK193" i="1" s="1"/>
  <c r="AD190" i="1" s="1"/>
  <c r="Q165" i="1"/>
  <c r="O169" i="1"/>
  <c r="O166" i="1"/>
  <c r="V87" i="1"/>
  <c r="B87" i="1"/>
  <c r="BF63" i="1"/>
  <c r="BG56" i="1"/>
  <c r="BF41" i="1"/>
  <c r="BJ32" i="1"/>
  <c r="AC29" i="1" s="1"/>
  <c r="BH32" i="1"/>
  <c r="BL34" i="1"/>
  <c r="AC35" i="1"/>
  <c r="BF19" i="1"/>
  <c r="BG232" i="1"/>
  <c r="AC231" i="1"/>
  <c r="BL230" i="1"/>
  <c r="BL362" i="1"/>
  <c r="AB429" i="1"/>
  <c r="BG424" i="1"/>
  <c r="BI574" i="1"/>
  <c r="BH574" i="1"/>
  <c r="AA575" i="1"/>
  <c r="BJ574" i="1"/>
  <c r="AB575" i="1"/>
  <c r="BF755" i="1"/>
  <c r="BF722" i="1"/>
  <c r="BF727" i="1"/>
  <c r="BG744" i="1"/>
  <c r="BG749" i="1"/>
  <c r="BJ802" i="1"/>
  <c r="BH802" i="1"/>
  <c r="AC801" i="1" s="1"/>
  <c r="AA743" i="1"/>
  <c r="BH746" i="1"/>
  <c r="AB743" i="1"/>
  <c r="BI746" i="1"/>
  <c r="BJ746" i="1"/>
  <c r="BI815" i="1"/>
  <c r="AA812" i="1"/>
  <c r="BH815" i="1"/>
  <c r="AB812" i="1"/>
  <c r="BJ815" i="1"/>
  <c r="BG813" i="1"/>
  <c r="BG818" i="1"/>
  <c r="BG829" i="1"/>
  <c r="BG824" i="1"/>
  <c r="AB818" i="1"/>
  <c r="BL817" i="1"/>
  <c r="AB807" i="1"/>
  <c r="BH149" i="1"/>
  <c r="BL151" i="1"/>
  <c r="BH154" i="1"/>
  <c r="BL689" i="1"/>
  <c r="BK689" i="1" s="1"/>
  <c r="AD688" i="1" s="1"/>
  <c r="BL280" i="1"/>
  <c r="AC277" i="1"/>
  <c r="AC371" i="1"/>
  <c r="BH559" i="1"/>
  <c r="AB561" i="1"/>
  <c r="BH564" i="1"/>
  <c r="Q638" i="1"/>
  <c r="O639" i="1"/>
  <c r="BH537" i="1"/>
  <c r="BH542" i="1"/>
  <c r="BL828" i="1"/>
  <c r="AC829" i="1"/>
  <c r="Q879" i="1"/>
  <c r="BJ232" i="1"/>
  <c r="AA696" i="1"/>
  <c r="BH603" i="1"/>
  <c r="BH608" i="1"/>
  <c r="AB602" i="1"/>
  <c r="AC404" i="1"/>
  <c r="AA721" i="1"/>
  <c r="BK701" i="1"/>
  <c r="AD702" i="1" s="1"/>
  <c r="BL607" i="1"/>
  <c r="BK607" i="1" s="1"/>
  <c r="AD608" i="1" s="1"/>
  <c r="AA57" i="1"/>
  <c r="BH680" i="1"/>
  <c r="AB677" i="1"/>
  <c r="BH675" i="1"/>
  <c r="AC688" i="1"/>
  <c r="AC815" i="1"/>
  <c r="BK540" i="1"/>
  <c r="AA851" i="1"/>
  <c r="BE851" i="1"/>
  <c r="AA558" i="1"/>
  <c r="BF559" i="1"/>
  <c r="BL561" i="1"/>
  <c r="BF564" i="1"/>
  <c r="BL541" i="1"/>
  <c r="BF537" i="1"/>
  <c r="BF531" i="1"/>
  <c r="AA528" i="1"/>
  <c r="BF515" i="1"/>
  <c r="BF520" i="1"/>
  <c r="AA509" i="1"/>
  <c r="BE509" i="1"/>
  <c r="BE504" i="1"/>
  <c r="BF435" i="1"/>
  <c r="BE384" i="1"/>
  <c r="BE362" i="1"/>
  <c r="V349" i="1"/>
  <c r="B350" i="1"/>
  <c r="BF326" i="1"/>
  <c r="BF328" i="1" s="1"/>
  <c r="AA313" i="1"/>
  <c r="BE316" i="1"/>
  <c r="BE305" i="1"/>
  <c r="AA299" i="1"/>
  <c r="BE300" i="1"/>
  <c r="BL302" i="1"/>
  <c r="AA294" i="1"/>
  <c r="BL293" i="1"/>
  <c r="BE289" i="1"/>
  <c r="BF207" i="1"/>
  <c r="BF202" i="1"/>
  <c r="AC185" i="1"/>
  <c r="BL184" i="1"/>
  <c r="BK184" i="1" s="1"/>
  <c r="AD185" i="1" s="1"/>
  <c r="BF153" i="1"/>
  <c r="BL153" i="1" s="1"/>
  <c r="BE143" i="1"/>
  <c r="AA140" i="1"/>
  <c r="BE138" i="1"/>
  <c r="BF143" i="1"/>
  <c r="BF138" i="1"/>
  <c r="BE132" i="1"/>
  <c r="AA129" i="1"/>
  <c r="BE127" i="1"/>
  <c r="AB132" i="1"/>
  <c r="BG127" i="1"/>
  <c r="BG132" i="1"/>
  <c r="BJ118" i="1"/>
  <c r="AA115" i="1"/>
  <c r="BE105" i="1"/>
  <c r="BL109" i="1"/>
  <c r="BK109" i="1" s="1"/>
  <c r="AD110" i="1" s="1"/>
  <c r="AA110" i="1"/>
  <c r="BE110" i="1"/>
  <c r="AA35" i="1"/>
  <c r="AA13" i="1"/>
  <c r="AB248" i="1"/>
  <c r="BE246" i="1"/>
  <c r="AB385" i="1"/>
  <c r="BG385" i="1"/>
  <c r="AC572" i="1"/>
  <c r="BL573" i="1"/>
  <c r="BL688" i="1"/>
  <c r="BK690" i="1" s="1"/>
  <c r="AD691" i="1" s="1"/>
  <c r="AC685" i="1"/>
  <c r="BH827" i="1"/>
  <c r="AC826" i="1"/>
  <c r="BF837" i="1"/>
  <c r="BL539" i="1"/>
  <c r="AD536" i="1"/>
  <c r="AD539" i="1"/>
  <c r="BK539" i="1"/>
  <c r="BL266" i="1"/>
  <c r="AA201" i="1"/>
  <c r="BF803" i="1"/>
  <c r="BF805" i="1" s="1"/>
  <c r="BL562" i="1"/>
  <c r="BK562" i="1" s="1"/>
  <c r="AD561" i="1" s="1"/>
  <c r="AA520" i="1"/>
  <c r="BE311" i="1"/>
  <c r="BL528" i="1"/>
  <c r="BI495" i="1"/>
  <c r="BL245" i="1"/>
  <c r="BK245" i="1" s="1"/>
  <c r="AE248" i="1" s="1"/>
  <c r="BH283" i="1"/>
  <c r="BH278" i="1"/>
  <c r="BL508" i="1"/>
  <c r="BL584" i="1"/>
  <c r="BK584" i="1" s="1"/>
  <c r="AD583" i="1" s="1"/>
  <c r="Q475" i="1"/>
  <c r="O883" i="1"/>
  <c r="BF818" i="1"/>
  <c r="AA677" i="1"/>
  <c r="BL204" i="1"/>
  <c r="BL12" i="1"/>
  <c r="BL724" i="1"/>
  <c r="BG380" i="1"/>
  <c r="BH363" i="1"/>
  <c r="BL141" i="1"/>
  <c r="BK141" i="1" s="1"/>
  <c r="AD140" i="1" s="1"/>
  <c r="AB851" i="1"/>
  <c r="BE608" i="1"/>
  <c r="BK606" i="1"/>
  <c r="AD605" i="1" s="1"/>
  <c r="BG498" i="1"/>
  <c r="BE294" i="1"/>
  <c r="BL303" i="1"/>
  <c r="AB225" i="1"/>
  <c r="AC363" i="1"/>
  <c r="K140" i="1" l="1"/>
  <c r="J140" i="1"/>
  <c r="J701" i="1"/>
  <c r="K701" i="1"/>
  <c r="K692" i="2"/>
  <c r="T738" i="2" s="1"/>
  <c r="J692" i="2"/>
  <c r="T737" i="2" s="1"/>
  <c r="K201" i="2"/>
  <c r="J201" i="2"/>
  <c r="K603" i="1"/>
  <c r="J603" i="1"/>
  <c r="J504" i="1"/>
  <c r="T630" i="1" s="1"/>
  <c r="K504" i="1"/>
  <c r="J699" i="1"/>
  <c r="K699" i="1"/>
  <c r="K798" i="2"/>
  <c r="T843" i="2" s="1"/>
  <c r="J798" i="2"/>
  <c r="T842" i="2" s="1"/>
  <c r="BK903" i="2"/>
  <c r="AD902" i="2" s="1"/>
  <c r="BK904" i="2"/>
  <c r="AD905" i="2" s="1"/>
  <c r="K499" i="2"/>
  <c r="J499" i="2"/>
  <c r="T557" i="2" s="1"/>
  <c r="K765" i="2"/>
  <c r="T837" i="2" s="1"/>
  <c r="J765" i="2"/>
  <c r="T836" i="2" s="1"/>
  <c r="K670" i="2"/>
  <c r="T734" i="2" s="1"/>
  <c r="J670" i="2"/>
  <c r="T733" i="2" s="1"/>
  <c r="K802" i="2"/>
  <c r="J802" i="2"/>
  <c r="J674" i="2"/>
  <c r="K674" i="2"/>
  <c r="K492" i="2"/>
  <c r="J492" i="2"/>
  <c r="K490" i="2"/>
  <c r="J490" i="2"/>
  <c r="J221" i="2"/>
  <c r="K221" i="2"/>
  <c r="K199" i="2"/>
  <c r="J199" i="2"/>
  <c r="J334" i="2"/>
  <c r="K334" i="2"/>
  <c r="Q487" i="1"/>
  <c r="J138" i="1"/>
  <c r="K138" i="1"/>
  <c r="K697" i="1"/>
  <c r="T716" i="1" s="1"/>
  <c r="J697" i="1"/>
  <c r="T715" i="1" s="1"/>
  <c r="J800" i="2"/>
  <c r="K800" i="2"/>
  <c r="J488" i="2"/>
  <c r="T554" i="2" s="1"/>
  <c r="K488" i="2"/>
  <c r="K605" i="1"/>
  <c r="J605" i="1"/>
  <c r="J539" i="1"/>
  <c r="K539" i="1"/>
  <c r="J537" i="1"/>
  <c r="T638" i="1" s="1"/>
  <c r="K537" i="1"/>
  <c r="BH824" i="1"/>
  <c r="BH829" i="1"/>
  <c r="AB826" i="1"/>
  <c r="AA385" i="1"/>
  <c r="BE380" i="1"/>
  <c r="BE385" i="1"/>
  <c r="BK243" i="1"/>
  <c r="AE242" i="1" s="1"/>
  <c r="BL815" i="1"/>
  <c r="BK816" i="1" s="1"/>
  <c r="AD815" i="1" s="1"/>
  <c r="AD812" i="1"/>
  <c r="BK815" i="1"/>
  <c r="BH749" i="1"/>
  <c r="BH744" i="1"/>
  <c r="BF154" i="1"/>
  <c r="BH435" i="1"/>
  <c r="BH205" i="1"/>
  <c r="AB204" i="1" s="1"/>
  <c r="BI205" i="1"/>
  <c r="AC204" i="1" s="1"/>
  <c r="BJ205" i="1"/>
  <c r="AA204" i="1"/>
  <c r="BL373" i="1"/>
  <c r="BJ371" i="1"/>
  <c r="BH371" i="1"/>
  <c r="BI371" i="1"/>
  <c r="AA368" i="1"/>
  <c r="AC368" i="1"/>
  <c r="AB368" i="1"/>
  <c r="BG391" i="1"/>
  <c r="BG396" i="1"/>
  <c r="BH594" i="1"/>
  <c r="BJ594" i="1"/>
  <c r="AA591" i="1"/>
  <c r="AB591" i="1"/>
  <c r="BI594" i="1"/>
  <c r="BH768" i="1"/>
  <c r="AB765" i="1" s="1"/>
  <c r="AA765" i="1"/>
  <c r="BI768" i="1"/>
  <c r="AC765" i="1" s="1"/>
  <c r="BJ768" i="1"/>
  <c r="BG68" i="1"/>
  <c r="BG63" i="1"/>
  <c r="BE13" i="1"/>
  <c r="BE8" i="1"/>
  <c r="BH66" i="1"/>
  <c r="AB65" i="1" s="1"/>
  <c r="BI66" i="1"/>
  <c r="AA65" i="1"/>
  <c r="BJ66" i="1"/>
  <c r="AC65" i="1" s="1"/>
  <c r="AA43" i="1"/>
  <c r="BH44" i="1"/>
  <c r="BI44" i="1"/>
  <c r="AC43" i="1" s="1"/>
  <c r="BJ44" i="1"/>
  <c r="AB43" i="1"/>
  <c r="BF369" i="1"/>
  <c r="BF374" i="1"/>
  <c r="BK514" i="2"/>
  <c r="AD515" i="2" s="1"/>
  <c r="BK513" i="2"/>
  <c r="AD512" i="2" s="1"/>
  <c r="BK891" i="2"/>
  <c r="AD888" i="2" s="1"/>
  <c r="AD872" i="2"/>
  <c r="BL869" i="2"/>
  <c r="BK871" i="2" s="1"/>
  <c r="BH927" i="2"/>
  <c r="BH922" i="2"/>
  <c r="BK183" i="1"/>
  <c r="AD182" i="1" s="1"/>
  <c r="BK182" i="1"/>
  <c r="AD179" i="1" s="1"/>
  <c r="BH132" i="1"/>
  <c r="BH127" i="1"/>
  <c r="AB126" i="1"/>
  <c r="BE283" i="1"/>
  <c r="Q345" i="1"/>
  <c r="AA429" i="1"/>
  <c r="BE429" i="1"/>
  <c r="BE424" i="1"/>
  <c r="BH116" i="1"/>
  <c r="BH121" i="1"/>
  <c r="AB115" i="1"/>
  <c r="BK242" i="1"/>
  <c r="AE239" i="1" s="1"/>
  <c r="BK518" i="1"/>
  <c r="AD517" i="1" s="1"/>
  <c r="BK313" i="1"/>
  <c r="AD310" i="1" s="1"/>
  <c r="J315" i="1" s="1"/>
  <c r="BK194" i="1"/>
  <c r="AD193" i="1" s="1"/>
  <c r="BJ96" i="1"/>
  <c r="AA93" i="1"/>
  <c r="BI96" i="1"/>
  <c r="AC93" i="1" s="1"/>
  <c r="BH96" i="1"/>
  <c r="AB93" i="1"/>
  <c r="BF385" i="1"/>
  <c r="AA382" i="1"/>
  <c r="BF380" i="1"/>
  <c r="BL383" i="1"/>
  <c r="BF407" i="1"/>
  <c r="AA404" i="1"/>
  <c r="BF402" i="1"/>
  <c r="BF424" i="1"/>
  <c r="BF429" i="1"/>
  <c r="BF451" i="1"/>
  <c r="BF446" i="1"/>
  <c r="BE619" i="1"/>
  <c r="BE614" i="1"/>
  <c r="AA613" i="1"/>
  <c r="BL616" i="1"/>
  <c r="BJ803" i="1"/>
  <c r="AB804" i="1"/>
  <c r="BH803" i="1"/>
  <c r="BI803" i="1"/>
  <c r="AC804" i="1"/>
  <c r="K301" i="2"/>
  <c r="J301" i="2"/>
  <c r="BG862" i="1"/>
  <c r="BG857" i="1"/>
  <c r="BK447" i="2"/>
  <c r="AD446" i="2" s="1"/>
  <c r="BK446" i="2"/>
  <c r="AD443" i="2" s="1"/>
  <c r="J299" i="2"/>
  <c r="T363" i="2" s="1"/>
  <c r="K299" i="2"/>
  <c r="T364" i="2" s="1"/>
  <c r="J303" i="2"/>
  <c r="BL381" i="2"/>
  <c r="BL658" i="2"/>
  <c r="AD655" i="2"/>
  <c r="BL717" i="2"/>
  <c r="BK716" i="2" s="1"/>
  <c r="AE713" i="2" s="1"/>
  <c r="BL880" i="2"/>
  <c r="BK882" i="2" s="1"/>
  <c r="AD883" i="2" s="1"/>
  <c r="BH883" i="2"/>
  <c r="BH878" i="2"/>
  <c r="BL481" i="2"/>
  <c r="BK469" i="2"/>
  <c r="AD468" i="2" s="1"/>
  <c r="BL525" i="2"/>
  <c r="BK525" i="2"/>
  <c r="O21" i="3"/>
  <c r="B21" i="3"/>
  <c r="M22" i="3"/>
  <c r="BL26" i="2"/>
  <c r="BJ25" i="2"/>
  <c r="AA24" i="2"/>
  <c r="BH25" i="2"/>
  <c r="BI25" i="2"/>
  <c r="AB24" i="2"/>
  <c r="BL46" i="2"/>
  <c r="BL69" i="2"/>
  <c r="AA76" i="2"/>
  <c r="BH79" i="2"/>
  <c r="BI79" i="2"/>
  <c r="BJ79" i="2"/>
  <c r="AC76" i="2" s="1"/>
  <c r="BL101" i="2"/>
  <c r="BI105" i="2"/>
  <c r="BH103" i="2"/>
  <c r="BI103" i="2"/>
  <c r="AC104" i="2"/>
  <c r="AB104" i="2"/>
  <c r="BJ103" i="2"/>
  <c r="AD104" i="2" s="1"/>
  <c r="BH104" i="2"/>
  <c r="AC107" i="2" s="1"/>
  <c r="BI104" i="2"/>
  <c r="BJ104" i="2"/>
  <c r="AB107" i="2"/>
  <c r="AD107" i="2"/>
  <c r="BL155" i="2"/>
  <c r="AD158" i="2"/>
  <c r="AB149" i="2"/>
  <c r="BH152" i="2"/>
  <c r="BH156" i="2" s="1"/>
  <c r="BI152" i="2"/>
  <c r="BJ152" i="2"/>
  <c r="BJ156" i="2" s="1"/>
  <c r="AD149" i="2"/>
  <c r="AC149" i="2"/>
  <c r="BE175" i="2"/>
  <c r="BE180" i="2"/>
  <c r="BL177" i="2"/>
  <c r="BK178" i="2" s="1"/>
  <c r="AD177" i="2" s="1"/>
  <c r="AA174" i="2"/>
  <c r="BL232" i="2"/>
  <c r="BG235" i="2"/>
  <c r="BG230" i="2"/>
  <c r="BH233" i="2"/>
  <c r="AB232" i="2"/>
  <c r="BJ233" i="2"/>
  <c r="AC232" i="2" s="1"/>
  <c r="BI233" i="2"/>
  <c r="AA232" i="2"/>
  <c r="BL345" i="2"/>
  <c r="BH348" i="2"/>
  <c r="AC351" i="2" s="1"/>
  <c r="BJ348" i="2"/>
  <c r="AB351" i="2"/>
  <c r="BI348" i="2"/>
  <c r="AD351" i="2" s="1"/>
  <c r="BE383" i="2"/>
  <c r="BE378" i="2"/>
  <c r="BE400" i="2"/>
  <c r="BE405" i="2"/>
  <c r="AA399" i="2"/>
  <c r="BG93" i="2"/>
  <c r="BG88" i="2"/>
  <c r="BH92" i="2"/>
  <c r="BJ92" i="2"/>
  <c r="AB93" i="2"/>
  <c r="AA93" i="2"/>
  <c r="BI92" i="2"/>
  <c r="BH167" i="2"/>
  <c r="BJ167" i="2"/>
  <c r="AA570" i="2"/>
  <c r="BH571" i="2"/>
  <c r="BJ571" i="2"/>
  <c r="AC570" i="2"/>
  <c r="BI571" i="2"/>
  <c r="AB570" i="2"/>
  <c r="AB664" i="2"/>
  <c r="BE662" i="2"/>
  <c r="BL661" i="2"/>
  <c r="BK881" i="2"/>
  <c r="AD880" i="2" s="1"/>
  <c r="BL625" i="2"/>
  <c r="BG958" i="2"/>
  <c r="BG953" i="2"/>
  <c r="BJ955" i="2"/>
  <c r="BH955" i="2"/>
  <c r="AB952" i="2"/>
  <c r="AA952" i="2"/>
  <c r="BI955" i="2"/>
  <c r="AC952" i="2" s="1"/>
  <c r="BH857" i="2"/>
  <c r="BH859" i="2" s="1"/>
  <c r="AC858" i="2"/>
  <c r="BI857" i="2"/>
  <c r="BJ857" i="2"/>
  <c r="AB858" i="2"/>
  <c r="BF835" i="1"/>
  <c r="BF840" i="1"/>
  <c r="BK585" i="1"/>
  <c r="AD586" i="1" s="1"/>
  <c r="Q639" i="1"/>
  <c r="BH813" i="1"/>
  <c r="BH818" i="1"/>
  <c r="BL574" i="1"/>
  <c r="BK572" i="1" s="1"/>
  <c r="AD569" i="1" s="1"/>
  <c r="Q169" i="1"/>
  <c r="BF278" i="1"/>
  <c r="BF283" i="1"/>
  <c r="BG374" i="1"/>
  <c r="BG369" i="1"/>
  <c r="BL395" i="1"/>
  <c r="BL417" i="1"/>
  <c r="BG722" i="1"/>
  <c r="BG727" i="1"/>
  <c r="BI726" i="1"/>
  <c r="BJ726" i="1"/>
  <c r="AC727" i="1" s="1"/>
  <c r="AA727" i="1"/>
  <c r="BH726" i="1"/>
  <c r="AB727" i="1" s="1"/>
  <c r="BJ757" i="1"/>
  <c r="BH757" i="1"/>
  <c r="BG46" i="1"/>
  <c r="BG41" i="1"/>
  <c r="BL326" i="1"/>
  <c r="BI325" i="1"/>
  <c r="AC324" i="1"/>
  <c r="AB324" i="1"/>
  <c r="BH325" i="1"/>
  <c r="BH328" i="1" s="1"/>
  <c r="BJ325" i="1"/>
  <c r="BJ328" i="1" s="1"/>
  <c r="BF418" i="1"/>
  <c r="BF413" i="1"/>
  <c r="BE413" i="1"/>
  <c r="BE418" i="1"/>
  <c r="BL437" i="1"/>
  <c r="AB434" i="1"/>
  <c r="BH439" i="1"/>
  <c r="BH440" i="1" s="1"/>
  <c r="BJ439" i="1"/>
  <c r="AC440" i="1" s="1"/>
  <c r="BI439" i="1"/>
  <c r="AB440" i="1"/>
  <c r="AA440" i="1"/>
  <c r="BL449" i="1"/>
  <c r="BG451" i="1"/>
  <c r="BG446" i="1"/>
  <c r="Q558" i="2"/>
  <c r="BL957" i="2"/>
  <c r="K197" i="2"/>
  <c r="T251" i="2" s="1"/>
  <c r="J197" i="2"/>
  <c r="T250" i="2" s="1"/>
  <c r="BL167" i="2"/>
  <c r="J415" i="2"/>
  <c r="K415" i="2"/>
  <c r="BH991" i="2"/>
  <c r="BH986" i="2"/>
  <c r="BL989" i="2"/>
  <c r="BH825" i="2"/>
  <c r="BH820" i="2"/>
  <c r="BL789" i="2"/>
  <c r="BK789" i="2"/>
  <c r="AD786" i="2" s="1"/>
  <c r="BL779" i="2"/>
  <c r="BK778" i="2" s="1"/>
  <c r="AD775" i="2"/>
  <c r="BK279" i="2"/>
  <c r="AD276" i="2" s="1"/>
  <c r="BK280" i="2"/>
  <c r="AD279" i="2" s="1"/>
  <c r="BH964" i="2"/>
  <c r="BH969" i="2"/>
  <c r="BH911" i="2"/>
  <c r="BH916" i="2"/>
  <c r="BH809" i="2"/>
  <c r="BH814" i="2"/>
  <c r="AB811" i="2"/>
  <c r="BL924" i="2"/>
  <c r="BK926" i="2" s="1"/>
  <c r="AD927" i="2"/>
  <c r="BL393" i="2"/>
  <c r="B160" i="3"/>
  <c r="F160" i="3" s="1"/>
  <c r="O160" i="3"/>
  <c r="O157" i="3"/>
  <c r="D156" i="3"/>
  <c r="B152" i="3"/>
  <c r="O152" i="3"/>
  <c r="BL10" i="2"/>
  <c r="BJ11" i="2"/>
  <c r="BJ14" i="2" s="1"/>
  <c r="BI11" i="2"/>
  <c r="BH11" i="2"/>
  <c r="BH14" i="2" s="1"/>
  <c r="AD10" i="2"/>
  <c r="AC10" i="2"/>
  <c r="AB10" i="2"/>
  <c r="BL37" i="2"/>
  <c r="BG38" i="2"/>
  <c r="BG33" i="2"/>
  <c r="BE93" i="2"/>
  <c r="BE88" i="2"/>
  <c r="BH168" i="2"/>
  <c r="AB169" i="2" s="1"/>
  <c r="BJ168" i="2"/>
  <c r="AA188" i="2"/>
  <c r="BH189" i="2"/>
  <c r="AB188" i="2"/>
  <c r="BJ189" i="2"/>
  <c r="BI189" i="2"/>
  <c r="AC188" i="2" s="1"/>
  <c r="BH211" i="2"/>
  <c r="BI211" i="2"/>
  <c r="AA210" i="2"/>
  <c r="AB210" i="2"/>
  <c r="BJ211" i="2"/>
  <c r="AC210" i="2"/>
  <c r="BL266" i="2"/>
  <c r="BL313" i="2"/>
  <c r="AA315" i="2"/>
  <c r="BH314" i="2"/>
  <c r="BI314" i="2"/>
  <c r="BJ314" i="2"/>
  <c r="AB345" i="2"/>
  <c r="BJ346" i="2"/>
  <c r="BI346" i="2"/>
  <c r="BI349" i="2" s="1"/>
  <c r="BH346" i="2"/>
  <c r="BH349" i="2" s="1"/>
  <c r="BL424" i="2"/>
  <c r="BL437" i="2"/>
  <c r="AA438" i="2"/>
  <c r="BE433" i="2"/>
  <c r="BE438" i="2"/>
  <c r="BL436" i="2"/>
  <c r="BH435" i="2"/>
  <c r="BI435" i="2"/>
  <c r="AC432" i="2" s="1"/>
  <c r="AB432" i="2"/>
  <c r="BJ435" i="2"/>
  <c r="AA432" i="2"/>
  <c r="BE477" i="2"/>
  <c r="BE482" i="2"/>
  <c r="AA476" i="2"/>
  <c r="BL57" i="2"/>
  <c r="AC54" i="2"/>
  <c r="BG60" i="2"/>
  <c r="BG55" i="2"/>
  <c r="AB391" i="2"/>
  <c r="AA391" i="2"/>
  <c r="BI392" i="2"/>
  <c r="BJ392" i="2"/>
  <c r="AC391" i="2"/>
  <c r="BH392" i="2"/>
  <c r="BF628" i="2"/>
  <c r="BF623" i="2"/>
  <c r="BE623" i="2"/>
  <c r="BE628" i="2"/>
  <c r="BH660" i="2"/>
  <c r="BH662" i="2" s="1"/>
  <c r="AB661" i="2"/>
  <c r="BJ660" i="2"/>
  <c r="BI660" i="2"/>
  <c r="BL719" i="2"/>
  <c r="BK719" i="2" s="1"/>
  <c r="AE722" i="2" s="1"/>
  <c r="BF980" i="2"/>
  <c r="AA980" i="2"/>
  <c r="BK665" i="1"/>
  <c r="AE666" i="1" s="1"/>
  <c r="BK666" i="1"/>
  <c r="AE669" i="1" s="1"/>
  <c r="BK142" i="1"/>
  <c r="AD143" i="1" s="1"/>
  <c r="BL384" i="1"/>
  <c r="BK384" i="1" s="1"/>
  <c r="AD385" i="1" s="1"/>
  <c r="BF57" i="1"/>
  <c r="AB62" i="1"/>
  <c r="Q483" i="1"/>
  <c r="BK583" i="1"/>
  <c r="AD580" i="1" s="1"/>
  <c r="J583" i="1" s="1"/>
  <c r="BK677" i="1"/>
  <c r="AD674" i="1" s="1"/>
  <c r="BK679" i="1"/>
  <c r="AD680" i="1" s="1"/>
  <c r="BL427" i="1"/>
  <c r="BK426" i="1" s="1"/>
  <c r="AD423" i="1" s="1"/>
  <c r="BL231" i="1"/>
  <c r="BK228" i="1" s="1"/>
  <c r="AE225" i="1" s="1"/>
  <c r="BH57" i="1"/>
  <c r="BK195" i="1"/>
  <c r="AD196" i="1" s="1"/>
  <c r="AA407" i="1"/>
  <c r="BE407" i="1"/>
  <c r="BL406" i="1"/>
  <c r="BE402" i="1"/>
  <c r="BL530" i="1"/>
  <c r="BK528" i="1" s="1"/>
  <c r="AD525" i="1" s="1"/>
  <c r="BE727" i="1"/>
  <c r="BE722" i="1"/>
  <c r="BG755" i="1"/>
  <c r="BG760" i="1"/>
  <c r="BL837" i="1"/>
  <c r="BJ838" i="1"/>
  <c r="AA837" i="1"/>
  <c r="BH838" i="1"/>
  <c r="AB837" i="1"/>
  <c r="BI838" i="1"/>
  <c r="BH11" i="1"/>
  <c r="AB10" i="1" s="1"/>
  <c r="BJ11" i="1"/>
  <c r="BI11" i="1"/>
  <c r="AC10" i="1"/>
  <c r="AA10" i="1"/>
  <c r="BG13" i="1"/>
  <c r="BG8" i="1"/>
  <c r="BE41" i="1"/>
  <c r="BE46" i="1"/>
  <c r="AA40" i="1"/>
  <c r="BL43" i="1"/>
  <c r="BE19" i="1"/>
  <c r="BE24" i="1"/>
  <c r="BJ33" i="1"/>
  <c r="BH33" i="1"/>
  <c r="AB32" i="1"/>
  <c r="AA32" i="1"/>
  <c r="BI33" i="1"/>
  <c r="BG548" i="1"/>
  <c r="BG553" i="1"/>
  <c r="BL718" i="2"/>
  <c r="BK718" i="2" s="1"/>
  <c r="AE719" i="2" s="1"/>
  <c r="AD719" i="2"/>
  <c r="J413" i="2"/>
  <c r="K413" i="2"/>
  <c r="J411" i="2"/>
  <c r="T541" i="2" s="1"/>
  <c r="K411" i="2"/>
  <c r="J601" i="2"/>
  <c r="T643" i="2" s="1"/>
  <c r="K601" i="2"/>
  <c r="T644" i="2" s="1"/>
  <c r="BK604" i="2"/>
  <c r="AD603" i="2" s="1"/>
  <c r="K672" i="2"/>
  <c r="J672" i="2"/>
  <c r="BK291" i="2"/>
  <c r="AD290" i="2" s="1"/>
  <c r="BL753" i="2"/>
  <c r="BK754" i="2" s="1"/>
  <c r="AE753" i="2" s="1"/>
  <c r="BI757" i="2"/>
  <c r="BH757" i="2"/>
  <c r="BK768" i="2"/>
  <c r="AD767" i="2" s="1"/>
  <c r="BK605" i="2"/>
  <c r="AD606" i="2" s="1"/>
  <c r="J219" i="2"/>
  <c r="T254" i="2" s="1"/>
  <c r="K219" i="2"/>
  <c r="T255" i="2" s="1"/>
  <c r="B282" i="3"/>
  <c r="F282" i="3" s="1"/>
  <c r="O282" i="3"/>
  <c r="BL361" i="1"/>
  <c r="AC899" i="2"/>
  <c r="AD716" i="2"/>
  <c r="AC38" i="2"/>
  <c r="AB166" i="2"/>
  <c r="AC115" i="1"/>
  <c r="BL479" i="2"/>
  <c r="AC380" i="2"/>
  <c r="BK303" i="1"/>
  <c r="AD302" i="1" s="1"/>
  <c r="BK663" i="1"/>
  <c r="AE660" i="1" s="1"/>
  <c r="Q883" i="1"/>
  <c r="BK508" i="1"/>
  <c r="AD509" i="1" s="1"/>
  <c r="BL495" i="1"/>
  <c r="BK495" i="1"/>
  <c r="AD492" i="1" s="1"/>
  <c r="J561" i="1"/>
  <c r="BK688" i="1"/>
  <c r="AD685" i="1" s="1"/>
  <c r="BK573" i="1"/>
  <c r="BK291" i="1"/>
  <c r="AD288" i="1" s="1"/>
  <c r="BK293" i="1"/>
  <c r="AD294" i="1" s="1"/>
  <c r="BK302" i="1"/>
  <c r="AD299" i="1" s="1"/>
  <c r="AA363" i="1"/>
  <c r="BE358" i="1"/>
  <c r="BE363" i="1"/>
  <c r="BK541" i="1"/>
  <c r="AD542" i="1" s="1"/>
  <c r="BK561" i="1"/>
  <c r="AD558" i="1" s="1"/>
  <c r="BK563" i="1"/>
  <c r="AD564" i="1" s="1"/>
  <c r="K607" i="1"/>
  <c r="J607" i="1"/>
  <c r="O642" i="1"/>
  <c r="O643" i="1" s="1"/>
  <c r="BL827" i="1"/>
  <c r="BK817" i="1"/>
  <c r="AD818" i="1" s="1"/>
  <c r="AC812" i="1"/>
  <c r="BL746" i="1"/>
  <c r="BK746" i="1" s="1"/>
  <c r="AD743" i="1" s="1"/>
  <c r="AC743" i="1"/>
  <c r="AC575" i="1"/>
  <c r="BH575" i="1"/>
  <c r="BH570" i="1"/>
  <c r="BF24" i="1"/>
  <c r="BH30" i="1"/>
  <c r="BH35" i="1"/>
  <c r="BG52" i="1"/>
  <c r="BG57" i="1"/>
  <c r="AA121" i="1"/>
  <c r="BF149" i="1"/>
  <c r="Q166" i="1"/>
  <c r="O170" i="1"/>
  <c r="BL282" i="1"/>
  <c r="BK282" i="1" s="1"/>
  <c r="AD283" i="1" s="1"/>
  <c r="BH498" i="1"/>
  <c r="BH493" i="1"/>
  <c r="BK529" i="1"/>
  <c r="AD528" i="1" s="1"/>
  <c r="AA151" i="1"/>
  <c r="BE154" i="1"/>
  <c r="BL152" i="1"/>
  <c r="BK152" i="1" s="1"/>
  <c r="AD151" i="1" s="1"/>
  <c r="BE149" i="1"/>
  <c r="BL206" i="1"/>
  <c r="BG202" i="1"/>
  <c r="BG207" i="1"/>
  <c r="BL268" i="1"/>
  <c r="AC266" i="1"/>
  <c r="AB266" i="1"/>
  <c r="BH267" i="1"/>
  <c r="BH270" i="1" s="1"/>
  <c r="BJ267" i="1"/>
  <c r="BJ270" i="1" s="1"/>
  <c r="BI267" i="1"/>
  <c r="AC374" i="1"/>
  <c r="AB374" i="1"/>
  <c r="AA374" i="1"/>
  <c r="AC396" i="1"/>
  <c r="BH393" i="1"/>
  <c r="AB390" i="1" s="1"/>
  <c r="BI393" i="1"/>
  <c r="AA390" i="1"/>
  <c r="BJ393" i="1"/>
  <c r="AC390" i="1" s="1"/>
  <c r="AC418" i="1"/>
  <c r="BG418" i="1"/>
  <c r="BG413" i="1"/>
  <c r="AA418" i="1"/>
  <c r="BI415" i="1"/>
  <c r="AC412" i="1" s="1"/>
  <c r="AA412" i="1"/>
  <c r="BH415" i="1"/>
  <c r="AB412" i="1" s="1"/>
  <c r="BJ415" i="1"/>
  <c r="BG592" i="1"/>
  <c r="BG597" i="1"/>
  <c r="BL595" i="1"/>
  <c r="AB724" i="1"/>
  <c r="AA724" i="1"/>
  <c r="BL725" i="1"/>
  <c r="BL769" i="1"/>
  <c r="BG766" i="1"/>
  <c r="BG771" i="1"/>
  <c r="AA68" i="1"/>
  <c r="BJ67" i="1"/>
  <c r="BH67" i="1"/>
  <c r="BH68" i="1" s="1"/>
  <c r="BI67" i="1"/>
  <c r="AC68" i="1" s="1"/>
  <c r="BE52" i="1"/>
  <c r="BE57" i="1"/>
  <c r="BE30" i="1"/>
  <c r="BE35" i="1"/>
  <c r="BL56" i="1"/>
  <c r="BJ55" i="1"/>
  <c r="AC54" i="1"/>
  <c r="BH55" i="1"/>
  <c r="BH52" i="1" s="1"/>
  <c r="AB54" i="1"/>
  <c r="BI55" i="1"/>
  <c r="AA54" i="1"/>
  <c r="BL45" i="1"/>
  <c r="BL22" i="1"/>
  <c r="BG19" i="1"/>
  <c r="BG24" i="1"/>
  <c r="AB21" i="1"/>
  <c r="BH21" i="1"/>
  <c r="AB18" i="1" s="1"/>
  <c r="AA18" i="1"/>
  <c r="BJ21" i="1"/>
  <c r="BI21" i="1"/>
  <c r="AC18" i="1" s="1"/>
  <c r="AD327" i="1"/>
  <c r="AC327" i="1"/>
  <c r="BE369" i="1"/>
  <c r="BE374" i="1"/>
  <c r="AC434" i="1"/>
  <c r="BG435" i="1"/>
  <c r="BG440" i="1"/>
  <c r="AB448" i="1"/>
  <c r="AA448" i="1"/>
  <c r="BJ448" i="1"/>
  <c r="AA445" i="1"/>
  <c r="BH448" i="1"/>
  <c r="BI448" i="1"/>
  <c r="AC445" i="1" s="1"/>
  <c r="BF857" i="1"/>
  <c r="BF862" i="1"/>
  <c r="K579" i="2"/>
  <c r="T640" i="2" s="1"/>
  <c r="J579" i="2"/>
  <c r="T639" i="2" s="1"/>
  <c r="BK902" i="2"/>
  <c r="AD899" i="2" s="1"/>
  <c r="BL755" i="2"/>
  <c r="BK753" i="2" s="1"/>
  <c r="AE750" i="2" s="1"/>
  <c r="BK512" i="2"/>
  <c r="AD509" i="2" s="1"/>
  <c r="Q846" i="2"/>
  <c r="BK290" i="2"/>
  <c r="AD287" i="2" s="1"/>
  <c r="J292" i="2" s="1"/>
  <c r="BK325" i="2"/>
  <c r="AD326" i="2" s="1"/>
  <c r="BK323" i="2"/>
  <c r="AD320" i="2" s="1"/>
  <c r="AB985" i="2"/>
  <c r="BL988" i="2"/>
  <c r="BK990" i="2" s="1"/>
  <c r="AD991" i="2" s="1"/>
  <c r="BF975" i="2"/>
  <c r="BL823" i="2"/>
  <c r="BK823" i="2" s="1"/>
  <c r="AD822" i="2" s="1"/>
  <c r="AC786" i="2"/>
  <c r="BH787" i="2"/>
  <c r="BH792" i="2"/>
  <c r="AB786" i="2"/>
  <c r="AD722" i="2"/>
  <c r="BK503" i="2"/>
  <c r="AD504" i="2" s="1"/>
  <c r="J501" i="2" s="1"/>
  <c r="BK281" i="2"/>
  <c r="AD282" i="2" s="1"/>
  <c r="AB966" i="2"/>
  <c r="BL967" i="2"/>
  <c r="BK966" i="2" s="1"/>
  <c r="AD963" i="2" s="1"/>
  <c r="AC958" i="2"/>
  <c r="BL913" i="2"/>
  <c r="AD910" i="2"/>
  <c r="BK913" i="2"/>
  <c r="BL812" i="2"/>
  <c r="BK811" i="2" s="1"/>
  <c r="AD808" i="2" s="1"/>
  <c r="BK812" i="2"/>
  <c r="AD811" i="2" s="1"/>
  <c r="BH872" i="2"/>
  <c r="BH867" i="2"/>
  <c r="AB866" i="2"/>
  <c r="AB921" i="2"/>
  <c r="AD526" i="2"/>
  <c r="BH521" i="2"/>
  <c r="M164" i="3"/>
  <c r="O156" i="3"/>
  <c r="B156" i="3"/>
  <c r="O153" i="3"/>
  <c r="D152" i="3"/>
  <c r="BL13" i="2"/>
  <c r="AB16" i="2"/>
  <c r="AD7" i="2"/>
  <c r="AB7" i="2"/>
  <c r="AB38" i="2"/>
  <c r="AA35" i="2"/>
  <c r="BH36" i="2"/>
  <c r="AB35" i="2" s="1"/>
  <c r="BI36" i="2"/>
  <c r="BJ36" i="2"/>
  <c r="BJ47" i="2"/>
  <c r="BL47" i="2" s="1"/>
  <c r="BH47" i="2"/>
  <c r="BL80" i="2"/>
  <c r="BG77" i="2"/>
  <c r="BG82" i="2"/>
  <c r="BF93" i="2"/>
  <c r="BF88" i="2"/>
  <c r="AA87" i="2"/>
  <c r="AB101" i="2"/>
  <c r="BF105" i="2"/>
  <c r="BL102" i="2"/>
  <c r="AC166" i="2"/>
  <c r="BG169" i="2"/>
  <c r="BG164" i="2"/>
  <c r="BF191" i="2"/>
  <c r="BF186" i="2"/>
  <c r="BE186" i="2"/>
  <c r="AA185" i="2"/>
  <c r="BE191" i="2"/>
  <c r="BL188" i="2"/>
  <c r="BL190" i="2"/>
  <c r="BG191" i="2"/>
  <c r="BG186" i="2"/>
  <c r="BL210" i="2"/>
  <c r="BG213" i="2"/>
  <c r="BG208" i="2"/>
  <c r="BE269" i="2"/>
  <c r="AB262" i="2"/>
  <c r="BL265" i="2"/>
  <c r="BJ269" i="2"/>
  <c r="BJ267" i="2"/>
  <c r="AB268" i="2"/>
  <c r="BH267" i="2"/>
  <c r="BH269" i="2" s="1"/>
  <c r="BI267" i="2"/>
  <c r="AD268" i="2"/>
  <c r="BG315" i="2"/>
  <c r="BG310" i="2"/>
  <c r="AC312" i="2"/>
  <c r="AC421" i="2"/>
  <c r="BG422" i="2"/>
  <c r="BG427" i="2"/>
  <c r="BI425" i="2"/>
  <c r="AA424" i="2"/>
  <c r="BJ425" i="2"/>
  <c r="AC424" i="2"/>
  <c r="BH425" i="2"/>
  <c r="AB424" i="2" s="1"/>
  <c r="AC435" i="2"/>
  <c r="BG433" i="2"/>
  <c r="BG438" i="2"/>
  <c r="BF482" i="2"/>
  <c r="AA479" i="2"/>
  <c r="BF477" i="2"/>
  <c r="BL480" i="2"/>
  <c r="BK480" i="2" s="1"/>
  <c r="AD479" i="2" s="1"/>
  <c r="AB54" i="2"/>
  <c r="BH59" i="2"/>
  <c r="AB60" i="2"/>
  <c r="BI59" i="2"/>
  <c r="AA60" i="2"/>
  <c r="BJ59" i="2"/>
  <c r="AC60" i="2" s="1"/>
  <c r="AB71" i="2"/>
  <c r="BI70" i="2"/>
  <c r="BI68" i="2"/>
  <c r="BJ68" i="2"/>
  <c r="AA65" i="2"/>
  <c r="BH68" i="2"/>
  <c r="BG394" i="2"/>
  <c r="BG389" i="2"/>
  <c r="BF595" i="2"/>
  <c r="BF590" i="2"/>
  <c r="AA595" i="2"/>
  <c r="AA589" i="2"/>
  <c r="BE590" i="2"/>
  <c r="BE595" i="2"/>
  <c r="BL592" i="2"/>
  <c r="BL756" i="2"/>
  <c r="BK756" i="2" s="1"/>
  <c r="AE759" i="2" s="1"/>
  <c r="AD759" i="2"/>
  <c r="BE980" i="2"/>
  <c r="BE975" i="2"/>
  <c r="AA974" i="2"/>
  <c r="BK108" i="1"/>
  <c r="AD107" i="1" s="1"/>
  <c r="BK107" i="1"/>
  <c r="AD104" i="1" s="1"/>
  <c r="BL65" i="1"/>
  <c r="BL129" i="1"/>
  <c r="BK129" i="1"/>
  <c r="AD126" i="1" s="1"/>
  <c r="BE278" i="1"/>
  <c r="O347" i="1"/>
  <c r="BF363" i="1"/>
  <c r="BK507" i="1"/>
  <c r="AD506" i="1" s="1"/>
  <c r="BK735" i="1"/>
  <c r="AD732" i="1" s="1"/>
  <c r="K735" i="1" s="1"/>
  <c r="BK848" i="1"/>
  <c r="AD845" i="1" s="1"/>
  <c r="BK229" i="1"/>
  <c r="AE228" i="1" s="1"/>
  <c r="BK244" i="1"/>
  <c r="AE245" i="1" s="1"/>
  <c r="BI232" i="1"/>
  <c r="BH835" i="1"/>
  <c r="BH840" i="1"/>
  <c r="BK748" i="1"/>
  <c r="AD749" i="1" s="1"/>
  <c r="BL748" i="1"/>
  <c r="AC426" i="1"/>
  <c r="BH424" i="1"/>
  <c r="BH429" i="1"/>
  <c r="BL428" i="1"/>
  <c r="BK428" i="1" s="1"/>
  <c r="AD429" i="1" s="1"/>
  <c r="AD234" i="1"/>
  <c r="AC234" i="1"/>
  <c r="BH13" i="1"/>
  <c r="BH8" i="1"/>
  <c r="BL54" i="1"/>
  <c r="AB51" i="1"/>
  <c r="AC51" i="1"/>
  <c r="BF116" i="1"/>
  <c r="AA154" i="1"/>
  <c r="AA451" i="1"/>
  <c r="BL450" i="1"/>
  <c r="BE446" i="1"/>
  <c r="BH531" i="1"/>
  <c r="BH526" i="1"/>
  <c r="AB531" i="1"/>
  <c r="BL97" i="1"/>
  <c r="AC96" i="1"/>
  <c r="BG94" i="1"/>
  <c r="BG99" i="1"/>
  <c r="BF614" i="1"/>
  <c r="BF619" i="1"/>
  <c r="AA616" i="1"/>
  <c r="BL617" i="1"/>
  <c r="BK617" i="1" s="1"/>
  <c r="AD616" i="1" s="1"/>
  <c r="AB754" i="1"/>
  <c r="BI757" i="1"/>
  <c r="BH759" i="1"/>
  <c r="AB760" i="1" s="1"/>
  <c r="BJ759" i="1"/>
  <c r="AC760" i="1" s="1"/>
  <c r="BL802" i="1"/>
  <c r="BJ801" i="1"/>
  <c r="BJ805" i="1" s="1"/>
  <c r="AB798" i="1"/>
  <c r="AC798" i="1"/>
  <c r="BH801" i="1"/>
  <c r="BH805" i="1" s="1"/>
  <c r="AD798" i="1"/>
  <c r="BI801" i="1"/>
  <c r="BL804" i="1"/>
  <c r="AB834" i="1"/>
  <c r="AA834" i="1"/>
  <c r="BG835" i="1"/>
  <c r="BG840" i="1"/>
  <c r="AA7" i="1"/>
  <c r="BL10" i="1"/>
  <c r="AC7" i="1"/>
  <c r="BE63" i="1"/>
  <c r="BE68" i="1"/>
  <c r="BL32" i="1"/>
  <c r="BG35" i="1"/>
  <c r="BG30" i="1"/>
  <c r="BE121" i="1"/>
  <c r="BE116" i="1"/>
  <c r="BL269" i="1"/>
  <c r="BE396" i="1"/>
  <c r="BE391" i="1"/>
  <c r="BE440" i="1"/>
  <c r="BE435" i="1"/>
  <c r="BL551" i="1"/>
  <c r="BH550" i="1"/>
  <c r="AB547" i="1" s="1"/>
  <c r="BI550" i="1"/>
  <c r="AC547" i="1" s="1"/>
  <c r="BJ550" i="1"/>
  <c r="AA547" i="1"/>
  <c r="O562" i="2"/>
  <c r="Q143" i="2"/>
  <c r="BH720" i="2"/>
  <c r="BL860" i="1"/>
  <c r="BH859" i="1"/>
  <c r="AB856" i="1" s="1"/>
  <c r="BJ859" i="1"/>
  <c r="BI859" i="1"/>
  <c r="AC856" i="1" s="1"/>
  <c r="AA856" i="1"/>
  <c r="K581" i="2"/>
  <c r="J581" i="2"/>
  <c r="K457" i="2"/>
  <c r="AC46" i="2"/>
  <c r="BK457" i="2"/>
  <c r="AD454" i="2" s="1"/>
  <c r="BK696" i="2"/>
  <c r="AD697" i="2" s="1"/>
  <c r="J694" i="2" s="1"/>
  <c r="AC750" i="2"/>
  <c r="AD750" i="2"/>
  <c r="BL707" i="2"/>
  <c r="BK705" i="2" s="1"/>
  <c r="AD702" i="2" s="1"/>
  <c r="BI859" i="2"/>
  <c r="BL856" i="2"/>
  <c r="BJ859" i="2"/>
  <c r="Q645" i="2"/>
  <c r="O649" i="2"/>
  <c r="K303" i="2"/>
  <c r="BK614" i="2"/>
  <c r="AD611" i="2" s="1"/>
  <c r="BK223" i="2"/>
  <c r="AD224" i="2" s="1"/>
  <c r="BH378" i="2"/>
  <c r="BH383" i="2"/>
  <c r="BJ662" i="2"/>
  <c r="AC716" i="2"/>
  <c r="BH980" i="2"/>
  <c r="BH975" i="2"/>
  <c r="BL978" i="2"/>
  <c r="BK977" i="2" s="1"/>
  <c r="AD974" i="2" s="1"/>
  <c r="BK978" i="2"/>
  <c r="AD977" i="2" s="1"/>
  <c r="AC977" i="2"/>
  <c r="AC877" i="2"/>
  <c r="AD756" i="2"/>
  <c r="BK468" i="2"/>
  <c r="AD465" i="2" s="1"/>
  <c r="K470" i="2" s="1"/>
  <c r="BL594" i="2"/>
  <c r="BK336" i="2"/>
  <c r="AD337" i="2" s="1"/>
  <c r="K332" i="2" s="1"/>
  <c r="T370" i="2" s="1"/>
  <c r="BL153" i="2"/>
  <c r="D146" i="3"/>
  <c r="Q148" i="3"/>
  <c r="M29" i="3"/>
  <c r="N29" i="3" s="1"/>
  <c r="M25" i="3"/>
  <c r="N25" i="3" s="1"/>
  <c r="B17" i="3"/>
  <c r="O17" i="3"/>
  <c r="BG22" i="2"/>
  <c r="BG27" i="2"/>
  <c r="AB27" i="2"/>
  <c r="BG49" i="2"/>
  <c r="BG44" i="2"/>
  <c r="AB43" i="2"/>
  <c r="AC43" i="2"/>
  <c r="BH48" i="2"/>
  <c r="AA49" i="2"/>
  <c r="AB49" i="2"/>
  <c r="BI48" i="2"/>
  <c r="BJ48" i="2"/>
  <c r="AC49" i="2" s="1"/>
  <c r="AA46" i="2"/>
  <c r="BG66" i="2"/>
  <c r="BG71" i="2"/>
  <c r="AB82" i="2"/>
  <c r="BJ81" i="2"/>
  <c r="AA82" i="2"/>
  <c r="BI81" i="2"/>
  <c r="AC82" i="2" s="1"/>
  <c r="BJ105" i="2"/>
  <c r="BL154" i="2"/>
  <c r="AA180" i="2"/>
  <c r="BF180" i="2"/>
  <c r="BL179" i="2"/>
  <c r="BK179" i="2" s="1"/>
  <c r="AD180" i="2" s="1"/>
  <c r="BF175" i="2"/>
  <c r="AB229" i="2"/>
  <c r="AD342" i="2"/>
  <c r="BJ349" i="2"/>
  <c r="BG349" i="2"/>
  <c r="BF378" i="2"/>
  <c r="BF383" i="2"/>
  <c r="BL382" i="2"/>
  <c r="BK382" i="2" s="1"/>
  <c r="AD383" i="2" s="1"/>
  <c r="AA383" i="2"/>
  <c r="AA405" i="2"/>
  <c r="BL404" i="2"/>
  <c r="BK404" i="2" s="1"/>
  <c r="AD405" i="2" s="1"/>
  <c r="BF438" i="2"/>
  <c r="BF433" i="2"/>
  <c r="BK683" i="2"/>
  <c r="AD680" i="2" s="1"/>
  <c r="J683" i="2" s="1"/>
  <c r="BL58" i="2"/>
  <c r="BL91" i="2"/>
  <c r="AB90" i="2"/>
  <c r="BI168" i="2"/>
  <c r="AC169" i="2"/>
  <c r="AA169" i="2"/>
  <c r="BL570" i="2"/>
  <c r="BG568" i="2"/>
  <c r="BG573" i="2"/>
  <c r="AA592" i="2"/>
  <c r="BL593" i="2"/>
  <c r="BK593" i="2" s="1"/>
  <c r="AD592" i="2" s="1"/>
  <c r="BH627" i="2"/>
  <c r="BI627" i="2"/>
  <c r="AA628" i="2"/>
  <c r="BJ627" i="2"/>
  <c r="AB628" i="2"/>
  <c r="AC628" i="2"/>
  <c r="AC622" i="2"/>
  <c r="BG628" i="2"/>
  <c r="BG623" i="2"/>
  <c r="BI626" i="2"/>
  <c r="BJ626" i="2"/>
  <c r="BH626" i="2"/>
  <c r="AA625" i="2"/>
  <c r="AB625" i="2"/>
  <c r="AC625" i="2"/>
  <c r="AB955" i="2"/>
  <c r="BL956" i="2"/>
  <c r="AC955" i="2"/>
  <c r="M286" i="3"/>
  <c r="O279" i="3"/>
  <c r="D278" i="3"/>
  <c r="F278" i="3" s="1"/>
  <c r="BK292" i="1"/>
  <c r="AD291" i="1" s="1"/>
  <c r="BK519" i="1"/>
  <c r="AD520" i="1" s="1"/>
  <c r="BL405" i="1"/>
  <c r="AC910" i="2"/>
  <c r="BK448" i="2"/>
  <c r="AD449" i="2" s="1"/>
  <c r="AD152" i="2"/>
  <c r="AD572" i="1"/>
  <c r="BL118" i="1"/>
  <c r="BK119" i="1" s="1"/>
  <c r="AD118" i="1" s="1"/>
  <c r="BK737" i="1"/>
  <c r="AD738" i="1" s="1"/>
  <c r="AB57" i="1"/>
  <c r="J583" i="2"/>
  <c r="BK616" i="2"/>
  <c r="AD617" i="2" s="1"/>
  <c r="AC655" i="2"/>
  <c r="C370" i="2" l="1"/>
  <c r="V370" i="2"/>
  <c r="J809" i="2"/>
  <c r="T844" i="2" s="1"/>
  <c r="K809" i="2"/>
  <c r="T845" i="2" s="1"/>
  <c r="J528" i="1"/>
  <c r="K528" i="1"/>
  <c r="J493" i="1"/>
  <c r="T626" i="1" s="1"/>
  <c r="K493" i="1"/>
  <c r="J753" i="2"/>
  <c r="K753" i="2"/>
  <c r="J718" i="2"/>
  <c r="K718" i="2"/>
  <c r="K787" i="2"/>
  <c r="T841" i="2" s="1"/>
  <c r="J787" i="2"/>
  <c r="T840" i="2" s="1"/>
  <c r="K703" i="2"/>
  <c r="T740" i="2" s="1"/>
  <c r="J703" i="2"/>
  <c r="T739" i="2" s="1"/>
  <c r="K127" i="1"/>
  <c r="J127" i="1"/>
  <c r="T169" i="1" s="1"/>
  <c r="K751" i="2"/>
  <c r="T833" i="2" s="1"/>
  <c r="J751" i="2"/>
  <c r="T832" i="2" s="1"/>
  <c r="K817" i="1"/>
  <c r="J817" i="1"/>
  <c r="Q643" i="1"/>
  <c r="J424" i="1"/>
  <c r="T479" i="1" s="1"/>
  <c r="K424" i="1"/>
  <c r="J570" i="1"/>
  <c r="T643" i="1" s="1"/>
  <c r="K570" i="1"/>
  <c r="K815" i="1"/>
  <c r="J815" i="1"/>
  <c r="B25" i="3"/>
  <c r="F25" i="3" s="1"/>
  <c r="O25" i="3"/>
  <c r="BK594" i="2"/>
  <c r="AD595" i="2" s="1"/>
  <c r="J975" i="2"/>
  <c r="T1002" i="2" s="1"/>
  <c r="K975" i="2"/>
  <c r="J612" i="2"/>
  <c r="T645" i="2" s="1"/>
  <c r="K612" i="2"/>
  <c r="T646" i="2" s="1"/>
  <c r="Q649" i="2"/>
  <c r="BK707" i="2"/>
  <c r="AD708" i="2" s="1"/>
  <c r="J455" i="2"/>
  <c r="T549" i="2" s="1"/>
  <c r="K455" i="2"/>
  <c r="J457" i="2"/>
  <c r="BL801" i="1"/>
  <c r="BK804" i="1" s="1"/>
  <c r="AE807" i="1" s="1"/>
  <c r="BI805" i="1"/>
  <c r="BL757" i="1"/>
  <c r="K244" i="1"/>
  <c r="J244" i="1"/>
  <c r="K846" i="1"/>
  <c r="T880" i="1" s="1"/>
  <c r="J846" i="1"/>
  <c r="T879" i="1" s="1"/>
  <c r="J506" i="1"/>
  <c r="K506" i="1"/>
  <c r="J105" i="1"/>
  <c r="T165" i="1" s="1"/>
  <c r="K105" i="1"/>
  <c r="BK592" i="2"/>
  <c r="AD589" i="2" s="1"/>
  <c r="BL68" i="2"/>
  <c r="AC65" i="2"/>
  <c r="BL59" i="2"/>
  <c r="BK57" i="2" s="1"/>
  <c r="AD54" i="2" s="1"/>
  <c r="BK59" i="2"/>
  <c r="BH55" i="2"/>
  <c r="BH60" i="2"/>
  <c r="BL425" i="2"/>
  <c r="BK424" i="2" s="1"/>
  <c r="BK425" i="2"/>
  <c r="BL267" i="2"/>
  <c r="BK267" i="2" s="1"/>
  <c r="AE268" i="2" s="1"/>
  <c r="AC268" i="2"/>
  <c r="BK265" i="2"/>
  <c r="BL36" i="2"/>
  <c r="AC35" i="2"/>
  <c r="BK915" i="2"/>
  <c r="AD916" i="2" s="1"/>
  <c r="BK914" i="2"/>
  <c r="AD913" i="2" s="1"/>
  <c r="BK967" i="2"/>
  <c r="AD966" i="2" s="1"/>
  <c r="J281" i="2"/>
  <c r="K281" i="2"/>
  <c r="BK988" i="2"/>
  <c r="AD985" i="2" s="1"/>
  <c r="J990" i="2" s="1"/>
  <c r="J321" i="2"/>
  <c r="T367" i="2" s="1"/>
  <c r="K321" i="2"/>
  <c r="T368" i="2" s="1"/>
  <c r="BK403" i="2"/>
  <c r="AD402" i="2" s="1"/>
  <c r="BK755" i="2"/>
  <c r="AE756" i="2" s="1"/>
  <c r="J757" i="2" s="1"/>
  <c r="J900" i="2"/>
  <c r="T943" i="2" s="1"/>
  <c r="K900" i="2"/>
  <c r="C640" i="2"/>
  <c r="V640" i="2"/>
  <c r="BL55" i="1"/>
  <c r="BK54" i="1" s="1"/>
  <c r="AD51" i="1" s="1"/>
  <c r="AB68" i="1"/>
  <c r="BL759" i="1"/>
  <c r="BL393" i="1"/>
  <c r="BK393" i="1"/>
  <c r="AD390" i="1" s="1"/>
  <c r="BL267" i="1"/>
  <c r="BK266" i="1" s="1"/>
  <c r="BK267" i="1"/>
  <c r="AE266" i="1" s="1"/>
  <c r="AE263" i="1"/>
  <c r="BI270" i="1"/>
  <c r="AD266" i="1"/>
  <c r="BK230" i="1"/>
  <c r="AE231" i="1" s="1"/>
  <c r="BK826" i="1"/>
  <c r="AD823" i="1" s="1"/>
  <c r="BK827" i="1"/>
  <c r="AD826" i="1" s="1"/>
  <c r="BK828" i="1"/>
  <c r="AD829" i="1" s="1"/>
  <c r="O647" i="1"/>
  <c r="J559" i="1"/>
  <c r="K559" i="1"/>
  <c r="K300" i="1"/>
  <c r="T346" i="1" s="1"/>
  <c r="J300" i="1"/>
  <c r="T345" i="1" s="1"/>
  <c r="J289" i="1"/>
  <c r="T343" i="1" s="1"/>
  <c r="K289" i="1"/>
  <c r="T344" i="1" s="1"/>
  <c r="K109" i="1"/>
  <c r="K686" i="1"/>
  <c r="T714" i="1" s="1"/>
  <c r="J686" i="1"/>
  <c r="T713" i="1" s="1"/>
  <c r="K561" i="1"/>
  <c r="J508" i="1"/>
  <c r="K508" i="1"/>
  <c r="K661" i="1"/>
  <c r="T710" i="1" s="1"/>
  <c r="J661" i="1"/>
  <c r="T709" i="1" s="1"/>
  <c r="BK361" i="1"/>
  <c r="AD360" i="1" s="1"/>
  <c r="BK360" i="1"/>
  <c r="AD357" i="1" s="1"/>
  <c r="D280" i="3"/>
  <c r="Q282" i="3"/>
  <c r="B255" i="2"/>
  <c r="V254" i="2"/>
  <c r="K767" i="2"/>
  <c r="J767" i="2"/>
  <c r="K603" i="2"/>
  <c r="J603" i="2"/>
  <c r="B644" i="2"/>
  <c r="V643" i="2"/>
  <c r="V541" i="2"/>
  <c r="B541" i="2"/>
  <c r="BL33" i="1"/>
  <c r="BK32" i="1" s="1"/>
  <c r="AD29" i="1" s="1"/>
  <c r="BK33" i="1"/>
  <c r="AD32" i="1" s="1"/>
  <c r="AC32" i="1"/>
  <c r="BL838" i="1"/>
  <c r="BK837" i="1" s="1"/>
  <c r="BK838" i="1"/>
  <c r="AD837" i="1" s="1"/>
  <c r="AC837" i="1"/>
  <c r="BK839" i="1"/>
  <c r="AD840" i="1" s="1"/>
  <c r="AD834" i="1"/>
  <c r="BK530" i="1"/>
  <c r="AD531" i="1" s="1"/>
  <c r="BK406" i="1"/>
  <c r="AD407" i="1" s="1"/>
  <c r="BK231" i="1"/>
  <c r="AE234" i="1" s="1"/>
  <c r="BK427" i="1"/>
  <c r="AD426" i="1" s="1"/>
  <c r="K428" i="1" s="1"/>
  <c r="J675" i="1"/>
  <c r="T711" i="1" s="1"/>
  <c r="K675" i="1"/>
  <c r="T712" i="1" s="1"/>
  <c r="BH63" i="1"/>
  <c r="J667" i="1"/>
  <c r="K667" i="1"/>
  <c r="AD661" i="2"/>
  <c r="AC661" i="2"/>
  <c r="BH394" i="2"/>
  <c r="BH389" i="2"/>
  <c r="AD60" i="2"/>
  <c r="BH438" i="2"/>
  <c r="BH433" i="2"/>
  <c r="AD424" i="2"/>
  <c r="AC345" i="2"/>
  <c r="BH315" i="2"/>
  <c r="BH310" i="2"/>
  <c r="AB315" i="2"/>
  <c r="AE262" i="2"/>
  <c r="BI269" i="2"/>
  <c r="BH213" i="2"/>
  <c r="BH208" i="2"/>
  <c r="BI14" i="2"/>
  <c r="Q160" i="3"/>
  <c r="B162" i="3"/>
  <c r="BK924" i="2"/>
  <c r="AD921" i="2" s="1"/>
  <c r="K277" i="2"/>
  <c r="T360" i="2" s="1"/>
  <c r="J277" i="2"/>
  <c r="T359" i="2" s="1"/>
  <c r="BK779" i="2"/>
  <c r="AD778" i="2" s="1"/>
  <c r="BK791" i="2"/>
  <c r="AD792" i="2" s="1"/>
  <c r="BK790" i="2"/>
  <c r="AD789" i="2" s="1"/>
  <c r="B251" i="2"/>
  <c r="V250" i="2"/>
  <c r="BL439" i="1"/>
  <c r="BK437" i="1" s="1"/>
  <c r="AD434" i="1" s="1"/>
  <c r="AD324" i="1"/>
  <c r="BL325" i="1"/>
  <c r="BK325" i="1" s="1"/>
  <c r="AE324" i="1" s="1"/>
  <c r="BI328" i="1"/>
  <c r="BL726" i="1"/>
  <c r="BK724" i="1" s="1"/>
  <c r="AD721" i="1" s="1"/>
  <c r="J663" i="1"/>
  <c r="BK574" i="1"/>
  <c r="AD575" i="1" s="1"/>
  <c r="K585" i="1"/>
  <c r="J585" i="1"/>
  <c r="BL857" i="2"/>
  <c r="BK855" i="2" s="1"/>
  <c r="AE852" i="2" s="1"/>
  <c r="BK857" i="2"/>
  <c r="AE858" i="2" s="1"/>
  <c r="AD858" i="2"/>
  <c r="BH958" i="2"/>
  <c r="BH953" i="2"/>
  <c r="BL571" i="2"/>
  <c r="BK570" i="2" s="1"/>
  <c r="AD567" i="2" s="1"/>
  <c r="BK571" i="2"/>
  <c r="AD570" i="2" s="1"/>
  <c r="BH164" i="2"/>
  <c r="BH169" i="2"/>
  <c r="BH88" i="2"/>
  <c r="BH93" i="2"/>
  <c r="BL233" i="2"/>
  <c r="BK233" i="2" s="1"/>
  <c r="AD232" i="2" s="1"/>
  <c r="BH235" i="2"/>
  <c r="BH230" i="2"/>
  <c r="BK234" i="2"/>
  <c r="AD235" i="2" s="1"/>
  <c r="BL104" i="2"/>
  <c r="BK104" i="2" s="1"/>
  <c r="AE107" i="2" s="1"/>
  <c r="BL103" i="2"/>
  <c r="BK103" i="2" s="1"/>
  <c r="AE104" i="2" s="1"/>
  <c r="BH105" i="2"/>
  <c r="BL79" i="2"/>
  <c r="BK79" i="2" s="1"/>
  <c r="AD76" i="2" s="1"/>
  <c r="BH22" i="2"/>
  <c r="BH27" i="2"/>
  <c r="N22" i="3"/>
  <c r="M30" i="3"/>
  <c r="N30" i="3" s="1"/>
  <c r="BK523" i="2"/>
  <c r="AD520" i="2" s="1"/>
  <c r="BK524" i="2"/>
  <c r="AD523" i="2" s="1"/>
  <c r="BK481" i="2"/>
  <c r="AD482" i="2" s="1"/>
  <c r="BK880" i="2"/>
  <c r="AD877" i="2" s="1"/>
  <c r="BK717" i="2"/>
  <c r="AE716" i="2" s="1"/>
  <c r="J720" i="2" s="1"/>
  <c r="BK381" i="2"/>
  <c r="AD380" i="2" s="1"/>
  <c r="BK380" i="2"/>
  <c r="AD377" i="2" s="1"/>
  <c r="E362" i="2"/>
  <c r="V364" i="2"/>
  <c r="K459" i="2"/>
  <c r="J444" i="2"/>
  <c r="T546" i="2" s="1"/>
  <c r="K444" i="2"/>
  <c r="BL803" i="1"/>
  <c r="BK803" i="1"/>
  <c r="AE804" i="1" s="1"/>
  <c r="AD804" i="1"/>
  <c r="BK383" i="1"/>
  <c r="AD382" i="1" s="1"/>
  <c r="BK382" i="1"/>
  <c r="AD379" i="1" s="1"/>
  <c r="BH94" i="1"/>
  <c r="BH99" i="1"/>
  <c r="J193" i="1"/>
  <c r="K193" i="1"/>
  <c r="J850" i="1"/>
  <c r="J517" i="1"/>
  <c r="K517" i="1"/>
  <c r="J240" i="1"/>
  <c r="T257" i="1" s="1"/>
  <c r="K240" i="1"/>
  <c r="T258" i="1" s="1"/>
  <c r="J848" i="1"/>
  <c r="J677" i="1"/>
  <c r="J180" i="1"/>
  <c r="T213" i="1" s="1"/>
  <c r="K180" i="1"/>
  <c r="T214" i="1" s="1"/>
  <c r="BK281" i="1"/>
  <c r="AD280" i="1" s="1"/>
  <c r="BK869" i="2"/>
  <c r="AD866" i="2" s="1"/>
  <c r="J889" i="2"/>
  <c r="T942" i="2" s="1"/>
  <c r="K889" i="2"/>
  <c r="J514" i="2"/>
  <c r="K514" i="2"/>
  <c r="BH46" i="1"/>
  <c r="BH41" i="1"/>
  <c r="BL66" i="1"/>
  <c r="BK65" i="1" s="1"/>
  <c r="AD62" i="1" s="1"/>
  <c r="AD597" i="1"/>
  <c r="BL594" i="1"/>
  <c r="BK596" i="1" s="1"/>
  <c r="BK594" i="1"/>
  <c r="AD591" i="1" s="1"/>
  <c r="AC591" i="1"/>
  <c r="BL371" i="1"/>
  <c r="BK371" i="1" s="1"/>
  <c r="AD368" i="1" s="1"/>
  <c r="J304" i="1"/>
  <c r="K191" i="1"/>
  <c r="T218" i="1" s="1"/>
  <c r="J242" i="1"/>
  <c r="K242" i="1"/>
  <c r="BK153" i="1"/>
  <c r="AD154" i="1" s="1"/>
  <c r="BK968" i="2"/>
  <c r="AD969" i="2" s="1"/>
  <c r="BK813" i="2"/>
  <c r="AD814" i="2" s="1"/>
  <c r="D553" i="2"/>
  <c r="V554" i="2"/>
  <c r="K323" i="2"/>
  <c r="BK120" i="1"/>
  <c r="AD121" i="1" s="1"/>
  <c r="E714" i="1"/>
  <c r="V716" i="1"/>
  <c r="K313" i="1"/>
  <c r="BK979" i="2"/>
  <c r="AD980" i="2" s="1"/>
  <c r="J891" i="2"/>
  <c r="K688" i="1"/>
  <c r="J690" i="1"/>
  <c r="J685" i="2"/>
  <c r="B734" i="2"/>
  <c r="V733" i="2"/>
  <c r="V836" i="2"/>
  <c r="B837" i="2"/>
  <c r="V557" i="2"/>
  <c r="B557" i="2"/>
  <c r="J904" i="2"/>
  <c r="K904" i="2"/>
  <c r="BK780" i="2"/>
  <c r="AD781" i="2" s="1"/>
  <c r="E841" i="2"/>
  <c r="V843" i="2"/>
  <c r="V630" i="1"/>
  <c r="B630" i="1"/>
  <c r="K515" i="1"/>
  <c r="J769" i="2"/>
  <c r="J893" i="2"/>
  <c r="B738" i="2"/>
  <c r="V737" i="2"/>
  <c r="BK706" i="2"/>
  <c r="AD705" i="2" s="1"/>
  <c r="K614" i="2"/>
  <c r="BK362" i="1"/>
  <c r="AD363" i="1" s="1"/>
  <c r="K184" i="1"/>
  <c r="J246" i="1"/>
  <c r="J737" i="1"/>
  <c r="K737" i="1"/>
  <c r="J572" i="1"/>
  <c r="K572" i="1"/>
  <c r="J448" i="2"/>
  <c r="K448" i="2"/>
  <c r="BK404" i="1"/>
  <c r="AD401" i="1" s="1"/>
  <c r="BK405" i="1"/>
  <c r="AD404" i="1" s="1"/>
  <c r="K291" i="1"/>
  <c r="J291" i="1"/>
  <c r="B280" i="3"/>
  <c r="Q278" i="3"/>
  <c r="N286" i="3"/>
  <c r="M291" i="3"/>
  <c r="N291" i="3" s="1"/>
  <c r="M287" i="3"/>
  <c r="N287" i="3" s="1"/>
  <c r="M290" i="3"/>
  <c r="N290" i="3" s="1"/>
  <c r="BL627" i="2"/>
  <c r="BK627" i="2" s="1"/>
  <c r="AD628" i="2" s="1"/>
  <c r="J592" i="2"/>
  <c r="K592" i="2"/>
  <c r="K404" i="2"/>
  <c r="BK81" i="2"/>
  <c r="AD82" i="2" s="1"/>
  <c r="BL81" i="2"/>
  <c r="K616" i="2"/>
  <c r="J616" i="2"/>
  <c r="K118" i="1"/>
  <c r="K519" i="1"/>
  <c r="J519" i="1"/>
  <c r="BH628" i="2"/>
  <c r="BH623" i="2"/>
  <c r="BL626" i="2"/>
  <c r="BK625" i="2" s="1"/>
  <c r="AD622" i="2" s="1"/>
  <c r="BK572" i="2"/>
  <c r="AD573" i="2" s="1"/>
  <c r="BL168" i="2"/>
  <c r="BK167" i="2" s="1"/>
  <c r="AD166" i="2" s="1"/>
  <c r="BK168" i="2"/>
  <c r="AD169" i="2" s="1"/>
  <c r="BK58" i="2"/>
  <c r="AD57" i="2" s="1"/>
  <c r="K681" i="2"/>
  <c r="T736" i="2" s="1"/>
  <c r="J681" i="2"/>
  <c r="T735" i="2" s="1"/>
  <c r="K179" i="2"/>
  <c r="BL48" i="2"/>
  <c r="BK46" i="2" s="1"/>
  <c r="AD43" i="2" s="1"/>
  <c r="BK48" i="2"/>
  <c r="AD49" i="2" s="1"/>
  <c r="B29" i="3"/>
  <c r="O29" i="3"/>
  <c r="M33" i="3"/>
  <c r="N33" i="3" s="1"/>
  <c r="K336" i="2"/>
  <c r="J336" i="2"/>
  <c r="J466" i="2"/>
  <c r="T550" i="2" s="1"/>
  <c r="K466" i="2"/>
  <c r="K977" i="2"/>
  <c r="J977" i="2"/>
  <c r="K223" i="2"/>
  <c r="J223" i="2"/>
  <c r="J696" i="2"/>
  <c r="K696" i="2"/>
  <c r="BL859" i="1"/>
  <c r="BH862" i="1"/>
  <c r="BH857" i="1"/>
  <c r="Q562" i="2"/>
  <c r="AD547" i="1"/>
  <c r="BL550" i="1"/>
  <c r="BK550" i="1"/>
  <c r="BH553" i="1"/>
  <c r="BH548" i="1"/>
  <c r="BK450" i="1"/>
  <c r="J228" i="1"/>
  <c r="K228" i="1"/>
  <c r="K733" i="1"/>
  <c r="T783" i="1" s="1"/>
  <c r="J733" i="1"/>
  <c r="T782" i="1" s="1"/>
  <c r="Q347" i="1"/>
  <c r="BK131" i="1"/>
  <c r="AD132" i="1" s="1"/>
  <c r="BK130" i="1"/>
  <c r="AD129" i="1" s="1"/>
  <c r="J107" i="1"/>
  <c r="K107" i="1"/>
  <c r="J735" i="1"/>
  <c r="BH71" i="2"/>
  <c r="BH66" i="2"/>
  <c r="AB65" i="2"/>
  <c r="BK70" i="2"/>
  <c r="AD71" i="2" s="1"/>
  <c r="BL70" i="2"/>
  <c r="BK68" i="2" s="1"/>
  <c r="AD65" i="2" s="1"/>
  <c r="AC71" i="2"/>
  <c r="BH427" i="2"/>
  <c r="BH422" i="2"/>
  <c r="BK102" i="2"/>
  <c r="AE101" i="2" s="1"/>
  <c r="BH49" i="2"/>
  <c r="BH44" i="2"/>
  <c r="AB46" i="2"/>
  <c r="BH33" i="2"/>
  <c r="BH38" i="2"/>
  <c r="N164" i="3"/>
  <c r="M165" i="3"/>
  <c r="N165" i="3" s="1"/>
  <c r="J525" i="2"/>
  <c r="K525" i="2"/>
  <c r="J811" i="2"/>
  <c r="K811" i="2"/>
  <c r="J911" i="2"/>
  <c r="T946" i="2" s="1"/>
  <c r="K911" i="2"/>
  <c r="K964" i="2"/>
  <c r="J964" i="2"/>
  <c r="T999" i="2" s="1"/>
  <c r="K503" i="2"/>
  <c r="J503" i="2"/>
  <c r="BK822" i="2"/>
  <c r="AD819" i="2" s="1"/>
  <c r="BK824" i="2"/>
  <c r="AD825" i="2" s="1"/>
  <c r="J325" i="2"/>
  <c r="K325" i="2"/>
  <c r="J288" i="2"/>
  <c r="T361" i="2" s="1"/>
  <c r="K288" i="2"/>
  <c r="T362" i="2" s="1"/>
  <c r="K510" i="2"/>
  <c r="J510" i="2"/>
  <c r="T558" i="2" s="1"/>
  <c r="B640" i="2"/>
  <c r="V639" i="2"/>
  <c r="BK448" i="1"/>
  <c r="BL448" i="1"/>
  <c r="BK449" i="1" s="1"/>
  <c r="AD448" i="1" s="1"/>
  <c r="AD451" i="1"/>
  <c r="AD445" i="1"/>
  <c r="BH451" i="1"/>
  <c r="BH446" i="1"/>
  <c r="AB445" i="1"/>
  <c r="BL21" i="1"/>
  <c r="BK23" i="1" s="1"/>
  <c r="AD24" i="1" s="1"/>
  <c r="BK21" i="1"/>
  <c r="AD18" i="1" s="1"/>
  <c r="BH24" i="1"/>
  <c r="BH19" i="1"/>
  <c r="BL67" i="1"/>
  <c r="BK66" i="1" s="1"/>
  <c r="AD65" i="1" s="1"/>
  <c r="BK759" i="1"/>
  <c r="AD760" i="1" s="1"/>
  <c r="BK725" i="1"/>
  <c r="AD724" i="1" s="1"/>
  <c r="BH413" i="1"/>
  <c r="BH418" i="1"/>
  <c r="AD412" i="1"/>
  <c r="BL415" i="1"/>
  <c r="BK415" i="1"/>
  <c r="BH396" i="1"/>
  <c r="BH391" i="1"/>
  <c r="Q170" i="1"/>
  <c r="T170" i="1"/>
  <c r="BK747" i="1"/>
  <c r="AD746" i="1" s="1"/>
  <c r="Q642" i="1"/>
  <c r="T642" i="1"/>
  <c r="J563" i="1"/>
  <c r="K563" i="1"/>
  <c r="K541" i="1"/>
  <c r="J541" i="1"/>
  <c r="J293" i="1"/>
  <c r="K293" i="1"/>
  <c r="J109" i="1"/>
  <c r="BK496" i="1"/>
  <c r="AD495" i="1" s="1"/>
  <c r="BK497" i="1"/>
  <c r="AD498" i="1" s="1"/>
  <c r="K302" i="1"/>
  <c r="J302" i="1"/>
  <c r="BK479" i="2"/>
  <c r="AD476" i="2" s="1"/>
  <c r="V255" i="2"/>
  <c r="C255" i="2"/>
  <c r="J605" i="2"/>
  <c r="K605" i="2"/>
  <c r="J290" i="2"/>
  <c r="K290" i="2"/>
  <c r="V644" i="2"/>
  <c r="C644" i="2"/>
  <c r="BL11" i="1"/>
  <c r="BK10" i="1" s="1"/>
  <c r="AD7" i="1" s="1"/>
  <c r="BK11" i="1"/>
  <c r="AD10" i="1" s="1"/>
  <c r="AC754" i="1"/>
  <c r="K195" i="1"/>
  <c r="J195" i="1"/>
  <c r="K226" i="1"/>
  <c r="T256" i="1" s="1"/>
  <c r="J226" i="1"/>
  <c r="T255" i="1" s="1"/>
  <c r="J679" i="1"/>
  <c r="K679" i="1"/>
  <c r="J581" i="1"/>
  <c r="K581" i="1"/>
  <c r="O351" i="1"/>
  <c r="K142" i="1"/>
  <c r="J142" i="1"/>
  <c r="J665" i="1"/>
  <c r="K665" i="1"/>
  <c r="BL660" i="2"/>
  <c r="BK660" i="2"/>
  <c r="BL392" i="2"/>
  <c r="BK392" i="2"/>
  <c r="AD391" i="2"/>
  <c r="BL435" i="2"/>
  <c r="BK436" i="2" s="1"/>
  <c r="AD435" i="2" s="1"/>
  <c r="AD421" i="2"/>
  <c r="BK426" i="2"/>
  <c r="AD427" i="2" s="1"/>
  <c r="BK346" i="2"/>
  <c r="AE345" i="2" s="1"/>
  <c r="BL346" i="2"/>
  <c r="AD345" i="2"/>
  <c r="BL314" i="2"/>
  <c r="BK313" i="2" s="1"/>
  <c r="AD312" i="2" s="1"/>
  <c r="BK314" i="2"/>
  <c r="AD315" i="2" s="1"/>
  <c r="AC315" i="2"/>
  <c r="BK312" i="2"/>
  <c r="AD309" i="2" s="1"/>
  <c r="BK266" i="2"/>
  <c r="AE265" i="2" s="1"/>
  <c r="BL211" i="2"/>
  <c r="BK210" i="2" s="1"/>
  <c r="AD207" i="2" s="1"/>
  <c r="BL189" i="2"/>
  <c r="BK190" i="2" s="1"/>
  <c r="AD191" i="2" s="1"/>
  <c r="BH186" i="2"/>
  <c r="BH191" i="2"/>
  <c r="BL11" i="2"/>
  <c r="BK10" i="2" s="1"/>
  <c r="AE7" i="2" s="1"/>
  <c r="BK11" i="2"/>
  <c r="AE10" i="2" s="1"/>
  <c r="AE13" i="2"/>
  <c r="BK12" i="2"/>
  <c r="J279" i="2"/>
  <c r="K279" i="2"/>
  <c r="J332" i="2"/>
  <c r="T369" i="2" s="1"/>
  <c r="K776" i="2"/>
  <c r="T839" i="2" s="1"/>
  <c r="J776" i="2"/>
  <c r="T838" i="2" s="1"/>
  <c r="BK989" i="2"/>
  <c r="AD988" i="2" s="1"/>
  <c r="C251" i="2"/>
  <c r="V251" i="2"/>
  <c r="BH760" i="1"/>
  <c r="BH755" i="1"/>
  <c r="BH727" i="1"/>
  <c r="BH722" i="1"/>
  <c r="K663" i="1"/>
  <c r="K583" i="1"/>
  <c r="BL955" i="2"/>
  <c r="BK956" i="2" s="1"/>
  <c r="AD955" i="2" s="1"/>
  <c r="BK955" i="2"/>
  <c r="AD952" i="2"/>
  <c r="BH573" i="2"/>
  <c r="BH568" i="2"/>
  <c r="BL92" i="2"/>
  <c r="BK90" i="2" s="1"/>
  <c r="AD87" i="2" s="1"/>
  <c r="BK92" i="2"/>
  <c r="AD93" i="2" s="1"/>
  <c r="AC93" i="2"/>
  <c r="BL348" i="2"/>
  <c r="BK348" i="2"/>
  <c r="AE351" i="2" s="1"/>
  <c r="BK177" i="2"/>
  <c r="AD174" i="2" s="1"/>
  <c r="BI156" i="2"/>
  <c r="BL152" i="2"/>
  <c r="BK152" i="2"/>
  <c r="AE149" i="2"/>
  <c r="BK101" i="2"/>
  <c r="AE98" i="2" s="1"/>
  <c r="BH82" i="2"/>
  <c r="BH77" i="2"/>
  <c r="AB76" i="2"/>
  <c r="AD21" i="2"/>
  <c r="BL25" i="2"/>
  <c r="BK24" i="2" s="1"/>
  <c r="BK25" i="2"/>
  <c r="AD24" i="2"/>
  <c r="AC24" i="2"/>
  <c r="K468" i="2"/>
  <c r="J468" i="2"/>
  <c r="BK925" i="2"/>
  <c r="AD924" i="2" s="1"/>
  <c r="AE661" i="2"/>
  <c r="BI662" i="2"/>
  <c r="V363" i="2"/>
  <c r="D362" i="2"/>
  <c r="J459" i="2"/>
  <c r="K446" i="2"/>
  <c r="J446" i="2"/>
  <c r="BK618" i="1"/>
  <c r="AD619" i="1" s="1"/>
  <c r="BK616" i="1"/>
  <c r="AD613" i="1" s="1"/>
  <c r="BL96" i="1"/>
  <c r="BK96" i="1"/>
  <c r="AD93" i="1" s="1"/>
  <c r="K850" i="1"/>
  <c r="K311" i="1"/>
  <c r="T348" i="1" s="1"/>
  <c r="J311" i="1"/>
  <c r="T347" i="1" s="1"/>
  <c r="K848" i="1"/>
  <c r="K677" i="1"/>
  <c r="J182" i="1"/>
  <c r="K182" i="1"/>
  <c r="K512" i="2"/>
  <c r="J512" i="2"/>
  <c r="BL44" i="1"/>
  <c r="BK45" i="1" s="1"/>
  <c r="AD46" i="1" s="1"/>
  <c r="BK44" i="1"/>
  <c r="AD43" i="1" s="1"/>
  <c r="BL768" i="1"/>
  <c r="BK770" i="1" s="1"/>
  <c r="AD771" i="1" s="1"/>
  <c r="BK768" i="1"/>
  <c r="AD765" i="1" s="1"/>
  <c r="BH771" i="1"/>
  <c r="BH766" i="1"/>
  <c r="BH592" i="1"/>
  <c r="BH597" i="1"/>
  <c r="BH369" i="1"/>
  <c r="BH374" i="1"/>
  <c r="BL205" i="1"/>
  <c r="BK204" i="1" s="1"/>
  <c r="BK205" i="1"/>
  <c r="AD201" i="1"/>
  <c r="AD204" i="1"/>
  <c r="BH207" i="1"/>
  <c r="BH202" i="1"/>
  <c r="K304" i="1"/>
  <c r="J191" i="1"/>
  <c r="T217" i="1" s="1"/>
  <c r="K813" i="1"/>
  <c r="T874" i="1" s="1"/>
  <c r="J813" i="1"/>
  <c r="T873" i="1" s="1"/>
  <c r="BK151" i="1"/>
  <c r="AD148" i="1" s="1"/>
  <c r="B638" i="1"/>
  <c r="V638" i="1"/>
  <c r="J470" i="2"/>
  <c r="J323" i="2"/>
  <c r="D714" i="1"/>
  <c r="V715" i="1"/>
  <c r="J313" i="1"/>
  <c r="K315" i="1"/>
  <c r="K292" i="2"/>
  <c r="K891" i="2"/>
  <c r="K694" i="2"/>
  <c r="K501" i="2"/>
  <c r="O174" i="1"/>
  <c r="J688" i="1"/>
  <c r="K690" i="1"/>
  <c r="K685" i="2"/>
  <c r="BK402" i="2"/>
  <c r="AD399" i="2" s="1"/>
  <c r="C734" i="2"/>
  <c r="V734" i="2"/>
  <c r="C837" i="2"/>
  <c r="V837" i="2"/>
  <c r="J902" i="2"/>
  <c r="K902" i="2"/>
  <c r="D841" i="2"/>
  <c r="V842" i="2"/>
  <c r="K683" i="2"/>
  <c r="J515" i="1"/>
  <c r="T631" i="1" s="1"/>
  <c r="K769" i="2"/>
  <c r="K893" i="2"/>
  <c r="C738" i="2"/>
  <c r="V738" i="2"/>
  <c r="BK870" i="2"/>
  <c r="AD869" i="2" s="1"/>
  <c r="J614" i="2"/>
  <c r="BK280" i="1"/>
  <c r="AD277" i="1" s="1"/>
  <c r="J184" i="1"/>
  <c r="K246" i="1"/>
  <c r="BK118" i="1"/>
  <c r="AD115" i="1" s="1"/>
  <c r="D346" i="1" l="1"/>
  <c r="V347" i="1"/>
  <c r="K955" i="2"/>
  <c r="J955" i="2"/>
  <c r="K8" i="2"/>
  <c r="T114" i="2" s="1"/>
  <c r="J8" i="2"/>
  <c r="T113" i="2" s="1"/>
  <c r="J314" i="2"/>
  <c r="K314" i="2"/>
  <c r="K8" i="1"/>
  <c r="J8" i="1"/>
  <c r="T75" i="1" s="1"/>
  <c r="J19" i="1"/>
  <c r="T79" i="1" s="1"/>
  <c r="K19" i="1"/>
  <c r="K101" i="2"/>
  <c r="J101" i="2"/>
  <c r="J66" i="2"/>
  <c r="T131" i="2" s="1"/>
  <c r="K66" i="2"/>
  <c r="T132" i="2" s="1"/>
  <c r="J63" i="1"/>
  <c r="T88" i="1" s="1"/>
  <c r="K63" i="1"/>
  <c r="K105" i="2"/>
  <c r="J105" i="2"/>
  <c r="K722" i="1"/>
  <c r="T779" i="1" s="1"/>
  <c r="J722" i="1"/>
  <c r="T778" i="1" s="1"/>
  <c r="J837" i="1"/>
  <c r="K837" i="1"/>
  <c r="J267" i="2"/>
  <c r="K267" i="2"/>
  <c r="J55" i="2"/>
  <c r="T129" i="2" s="1"/>
  <c r="K55" i="2"/>
  <c r="T130" i="2" s="1"/>
  <c r="D642" i="1"/>
  <c r="V643" i="1"/>
  <c r="J770" i="1"/>
  <c r="K770" i="1"/>
  <c r="V348" i="1"/>
  <c r="E346" i="1"/>
  <c r="J94" i="1"/>
  <c r="T161" i="1" s="1"/>
  <c r="K94" i="1"/>
  <c r="K99" i="2"/>
  <c r="T144" i="2" s="1"/>
  <c r="J99" i="2"/>
  <c r="T143" i="2" s="1"/>
  <c r="J265" i="2"/>
  <c r="K265" i="2"/>
  <c r="J312" i="2"/>
  <c r="K312" i="2"/>
  <c r="J426" i="2"/>
  <c r="K426" i="2"/>
  <c r="J65" i="1"/>
  <c r="K65" i="1"/>
  <c r="J448" i="1"/>
  <c r="K448" i="1"/>
  <c r="J57" i="2"/>
  <c r="K57" i="2"/>
  <c r="J592" i="1"/>
  <c r="K592" i="1"/>
  <c r="K103" i="2"/>
  <c r="J103" i="2"/>
  <c r="J853" i="2"/>
  <c r="T934" i="2" s="1"/>
  <c r="K853" i="2"/>
  <c r="K266" i="1"/>
  <c r="J266" i="1"/>
  <c r="J391" i="1"/>
  <c r="T470" i="1" s="1"/>
  <c r="K391" i="1"/>
  <c r="K278" i="1"/>
  <c r="T342" i="1" s="1"/>
  <c r="J278" i="1"/>
  <c r="T341" i="1" s="1"/>
  <c r="K869" i="2"/>
  <c r="J869" i="2"/>
  <c r="J149" i="1"/>
  <c r="K149" i="1"/>
  <c r="C874" i="1"/>
  <c r="V874" i="1"/>
  <c r="J871" i="2"/>
  <c r="J614" i="1"/>
  <c r="K614" i="1"/>
  <c r="K924" i="2"/>
  <c r="J924" i="2"/>
  <c r="J24" i="2"/>
  <c r="K24" i="2"/>
  <c r="K22" i="2"/>
  <c r="T118" i="2" s="1"/>
  <c r="J22" i="2"/>
  <c r="T117" i="2" s="1"/>
  <c r="J953" i="2"/>
  <c r="T998" i="2" s="1"/>
  <c r="K953" i="2"/>
  <c r="V838" i="2"/>
  <c r="D837" i="2"/>
  <c r="V369" i="2"/>
  <c r="B370" i="2"/>
  <c r="K926" i="2"/>
  <c r="J12" i="2"/>
  <c r="K12" i="2"/>
  <c r="J208" i="2"/>
  <c r="T252" i="2" s="1"/>
  <c r="K208" i="2"/>
  <c r="T253" i="2" s="1"/>
  <c r="K310" i="2"/>
  <c r="T366" i="2" s="1"/>
  <c r="J310" i="2"/>
  <c r="T365" i="2" s="1"/>
  <c r="J422" i="2"/>
  <c r="T542" i="2" s="1"/>
  <c r="K422" i="2"/>
  <c r="Q351" i="1"/>
  <c r="V256" i="1"/>
  <c r="C256" i="1"/>
  <c r="J497" i="1"/>
  <c r="K497" i="1"/>
  <c r="B642" i="1"/>
  <c r="V642" i="1"/>
  <c r="J746" i="1"/>
  <c r="K746" i="1"/>
  <c r="K151" i="1"/>
  <c r="J413" i="1"/>
  <c r="T475" i="1" s="1"/>
  <c r="K413" i="1"/>
  <c r="J446" i="1"/>
  <c r="T487" i="1" s="1"/>
  <c r="K446" i="1"/>
  <c r="K450" i="1"/>
  <c r="J450" i="1"/>
  <c r="B362" i="2"/>
  <c r="V361" i="2"/>
  <c r="K820" i="2"/>
  <c r="T847" i="2" s="1"/>
  <c r="J820" i="2"/>
  <c r="T846" i="2" s="1"/>
  <c r="B946" i="2"/>
  <c r="V946" i="2"/>
  <c r="D164" i="3"/>
  <c r="O165" i="3"/>
  <c r="O164" i="3"/>
  <c r="B164" i="3"/>
  <c r="K131" i="1"/>
  <c r="J131" i="1"/>
  <c r="V782" i="1"/>
  <c r="X782" i="1"/>
  <c r="B783" i="1"/>
  <c r="F783" i="1" s="1"/>
  <c r="D781" i="1" s="1"/>
  <c r="J548" i="1"/>
  <c r="T639" i="1" s="1"/>
  <c r="K548" i="1"/>
  <c r="BK860" i="1"/>
  <c r="AD859" i="1" s="1"/>
  <c r="BK861" i="1"/>
  <c r="AD862" i="1" s="1"/>
  <c r="V735" i="2"/>
  <c r="D734" i="2"/>
  <c r="J572" i="2"/>
  <c r="K572" i="2"/>
  <c r="D290" i="3"/>
  <c r="O291" i="3"/>
  <c r="J116" i="1"/>
  <c r="T166" i="1" s="1"/>
  <c r="K116" i="1"/>
  <c r="D630" i="1"/>
  <c r="V631" i="1"/>
  <c r="K400" i="2"/>
  <c r="J400" i="2"/>
  <c r="T538" i="2" s="1"/>
  <c r="Q174" i="1"/>
  <c r="T174" i="1"/>
  <c r="B874" i="1"/>
  <c r="V873" i="1"/>
  <c r="B218" i="1"/>
  <c r="V217" i="1"/>
  <c r="J202" i="1"/>
  <c r="T219" i="1" s="1"/>
  <c r="K202" i="1"/>
  <c r="T220" i="1" s="1"/>
  <c r="K871" i="2"/>
  <c r="BK97" i="1"/>
  <c r="AD96" i="1" s="1"/>
  <c r="BK98" i="1"/>
  <c r="AD99" i="1" s="1"/>
  <c r="K618" i="1"/>
  <c r="J618" i="1"/>
  <c r="J150" i="2"/>
  <c r="T242" i="2" s="1"/>
  <c r="K150" i="2"/>
  <c r="T243" i="2" s="1"/>
  <c r="BK155" i="2"/>
  <c r="AE158" i="2" s="1"/>
  <c r="BK153" i="2"/>
  <c r="AE152" i="2" s="1"/>
  <c r="BK154" i="2"/>
  <c r="AE155" i="2" s="1"/>
  <c r="J175" i="2"/>
  <c r="T246" i="2" s="1"/>
  <c r="K175" i="2"/>
  <c r="T247" i="2" s="1"/>
  <c r="K988" i="2"/>
  <c r="J988" i="2"/>
  <c r="V839" i="2"/>
  <c r="E837" i="2"/>
  <c r="J926" i="2"/>
  <c r="BK189" i="2"/>
  <c r="AD188" i="2" s="1"/>
  <c r="BK211" i="2"/>
  <c r="AD210" i="2" s="1"/>
  <c r="BK345" i="2"/>
  <c r="AE342" i="2" s="1"/>
  <c r="BK435" i="2"/>
  <c r="AD432" i="2" s="1"/>
  <c r="K435" i="2" s="1"/>
  <c r="J391" i="2"/>
  <c r="BK393" i="2"/>
  <c r="AD394" i="2" s="1"/>
  <c r="BK391" i="2"/>
  <c r="AD388" i="2" s="1"/>
  <c r="BK659" i="2"/>
  <c r="AE658" i="2" s="1"/>
  <c r="BK658" i="2"/>
  <c r="AE655" i="2" s="1"/>
  <c r="K660" i="2" s="1"/>
  <c r="B256" i="1"/>
  <c r="V255" i="1"/>
  <c r="J477" i="2"/>
  <c r="T553" i="2" s="1"/>
  <c r="K477" i="2"/>
  <c r="K495" i="1"/>
  <c r="J495" i="1"/>
  <c r="D169" i="1"/>
  <c r="V170" i="1"/>
  <c r="J151" i="1"/>
  <c r="BK416" i="1"/>
  <c r="AD415" i="1" s="1"/>
  <c r="BK417" i="1"/>
  <c r="AD418" i="1" s="1"/>
  <c r="BK67" i="1"/>
  <c r="AD68" i="1" s="1"/>
  <c r="V558" i="2"/>
  <c r="D557" i="2"/>
  <c r="V362" i="2"/>
  <c r="C362" i="2"/>
  <c r="K824" i="2"/>
  <c r="J824" i="2"/>
  <c r="D998" i="2"/>
  <c r="V999" i="2"/>
  <c r="BK212" i="2"/>
  <c r="AD213" i="2" s="1"/>
  <c r="K129" i="1"/>
  <c r="J129" i="1"/>
  <c r="C783" i="1"/>
  <c r="G783" i="1" s="1"/>
  <c r="E781" i="1" s="1"/>
  <c r="V783" i="1"/>
  <c r="X783" i="1"/>
  <c r="BK552" i="1"/>
  <c r="AD553" i="1" s="1"/>
  <c r="BK551" i="1"/>
  <c r="AD550" i="1" s="1"/>
  <c r="BK859" i="1"/>
  <c r="AD856" i="1" s="1"/>
  <c r="D549" i="2"/>
  <c r="V550" i="2"/>
  <c r="B33" i="3"/>
  <c r="O33" i="3"/>
  <c r="J179" i="2"/>
  <c r="E734" i="2"/>
  <c r="V736" i="2"/>
  <c r="BK91" i="2"/>
  <c r="AD90" i="2" s="1"/>
  <c r="BK626" i="2"/>
  <c r="AD625" i="2" s="1"/>
  <c r="K627" i="2" s="1"/>
  <c r="J118" i="1"/>
  <c r="J404" i="2"/>
  <c r="M294" i="3"/>
  <c r="B290" i="3"/>
  <c r="O290" i="3"/>
  <c r="D286" i="3"/>
  <c r="O287" i="3"/>
  <c r="B286" i="3"/>
  <c r="O286" i="3"/>
  <c r="J402" i="1"/>
  <c r="T474" i="1" s="1"/>
  <c r="K402" i="1"/>
  <c r="J979" i="2"/>
  <c r="K979" i="2"/>
  <c r="J120" i="1"/>
  <c r="K120" i="1"/>
  <c r="K813" i="2"/>
  <c r="J813" i="2"/>
  <c r="J153" i="1"/>
  <c r="K153" i="1"/>
  <c r="BK47" i="2"/>
  <c r="AD46" i="2" s="1"/>
  <c r="K48" i="2" s="1"/>
  <c r="V942" i="2"/>
  <c r="B942" i="2"/>
  <c r="K280" i="1"/>
  <c r="J280" i="1"/>
  <c r="V213" i="1"/>
  <c r="X213" i="1"/>
  <c r="B214" i="1"/>
  <c r="F214" i="1" s="1"/>
  <c r="B216" i="1" s="1"/>
  <c r="D256" i="1"/>
  <c r="V257" i="1"/>
  <c r="J380" i="1"/>
  <c r="T466" i="1" s="1"/>
  <c r="K380" i="1"/>
  <c r="D545" i="2"/>
  <c r="V546" i="2"/>
  <c r="J378" i="2"/>
  <c r="T533" i="2" s="1"/>
  <c r="K378" i="2"/>
  <c r="J878" i="2"/>
  <c r="T939" i="2" s="1"/>
  <c r="K878" i="2"/>
  <c r="K523" i="2"/>
  <c r="J523" i="2"/>
  <c r="M37" i="3"/>
  <c r="N37" i="3" s="1"/>
  <c r="BK232" i="2"/>
  <c r="AD229" i="2" s="1"/>
  <c r="K568" i="2"/>
  <c r="T636" i="2" s="1"/>
  <c r="J568" i="2"/>
  <c r="T635" i="2" s="1"/>
  <c r="BK726" i="1"/>
  <c r="AD727" i="1" s="1"/>
  <c r="K724" i="1" s="1"/>
  <c r="BK438" i="1"/>
  <c r="AD437" i="1" s="1"/>
  <c r="BK439" i="1"/>
  <c r="AD440" i="1" s="1"/>
  <c r="K789" i="2"/>
  <c r="J789" i="2"/>
  <c r="K778" i="2"/>
  <c r="J778" i="2"/>
  <c r="V360" i="2"/>
  <c r="E358" i="2"/>
  <c r="K263" i="2"/>
  <c r="T358" i="2" s="1"/>
  <c r="J263" i="2"/>
  <c r="T357" i="2" s="1"/>
  <c r="K59" i="2"/>
  <c r="J59" i="2"/>
  <c r="K384" i="1"/>
  <c r="D710" i="1"/>
  <c r="V711" i="1"/>
  <c r="K232" i="1"/>
  <c r="J232" i="1"/>
  <c r="K530" i="1"/>
  <c r="J530" i="1"/>
  <c r="J30" i="1"/>
  <c r="T80" i="1" s="1"/>
  <c r="K30" i="1"/>
  <c r="J360" i="1"/>
  <c r="K360" i="1"/>
  <c r="V709" i="1"/>
  <c r="B710" i="1"/>
  <c r="C714" i="1"/>
  <c r="V714" i="1"/>
  <c r="E342" i="1"/>
  <c r="V344" i="1"/>
  <c r="B346" i="1"/>
  <c r="V345" i="1"/>
  <c r="T647" i="1"/>
  <c r="Q647" i="1"/>
  <c r="K828" i="1"/>
  <c r="J828" i="1"/>
  <c r="K824" i="1"/>
  <c r="T876" i="1" s="1"/>
  <c r="J824" i="1"/>
  <c r="T875" i="1" s="1"/>
  <c r="J282" i="1"/>
  <c r="K264" i="1"/>
  <c r="T338" i="1" s="1"/>
  <c r="J264" i="1"/>
  <c r="T337" i="1" s="1"/>
  <c r="BK394" i="1"/>
  <c r="AD393" i="1" s="1"/>
  <c r="BK395" i="1"/>
  <c r="AD396" i="1" s="1"/>
  <c r="K52" i="1"/>
  <c r="V943" i="2"/>
  <c r="D942" i="2"/>
  <c r="J402" i="2"/>
  <c r="K402" i="2"/>
  <c r="D366" i="2"/>
  <c r="V367" i="2"/>
  <c r="K966" i="2"/>
  <c r="J966" i="2"/>
  <c r="K915" i="2"/>
  <c r="J915" i="2"/>
  <c r="M168" i="3"/>
  <c r="BK35" i="2"/>
  <c r="AD32" i="2" s="1"/>
  <c r="BK37" i="2"/>
  <c r="AD38" i="2" s="1"/>
  <c r="BK188" i="2"/>
  <c r="AD185" i="2" s="1"/>
  <c r="J190" i="2" s="1"/>
  <c r="J479" i="2"/>
  <c r="J590" i="2"/>
  <c r="T641" i="2" s="1"/>
  <c r="K590" i="2"/>
  <c r="T642" i="2" s="1"/>
  <c r="B165" i="1"/>
  <c r="V165" i="1"/>
  <c r="V880" i="1"/>
  <c r="E878" i="1"/>
  <c r="K616" i="1"/>
  <c r="BK758" i="1"/>
  <c r="AD757" i="1" s="1"/>
  <c r="BK34" i="1"/>
  <c r="AD35" i="1" s="1"/>
  <c r="BK858" i="2"/>
  <c r="AE861" i="2" s="1"/>
  <c r="BK856" i="2"/>
  <c r="AE855" i="2" s="1"/>
  <c r="V646" i="2"/>
  <c r="E644" i="2"/>
  <c r="J594" i="2"/>
  <c r="K594" i="2"/>
  <c r="M34" i="3"/>
  <c r="K882" i="2"/>
  <c r="BK26" i="2"/>
  <c r="AD27" i="2" s="1"/>
  <c r="J177" i="2"/>
  <c r="J880" i="2"/>
  <c r="BK166" i="2"/>
  <c r="AD163" i="2" s="1"/>
  <c r="K168" i="2" s="1"/>
  <c r="K526" i="1"/>
  <c r="J744" i="1"/>
  <c r="T786" i="1" s="1"/>
  <c r="BK206" i="1"/>
  <c r="AD207" i="1" s="1"/>
  <c r="J204" i="1" s="1"/>
  <c r="BK56" i="1"/>
  <c r="AD57" i="1" s="1"/>
  <c r="X832" i="2"/>
  <c r="B833" i="2"/>
  <c r="F833" i="2" s="1"/>
  <c r="B835" i="2" s="1"/>
  <c r="V832" i="2"/>
  <c r="K748" i="1"/>
  <c r="BK12" i="1"/>
  <c r="AD13" i="1" s="1"/>
  <c r="K10" i="1" s="1"/>
  <c r="J382" i="2"/>
  <c r="BK802" i="1"/>
  <c r="AE801" i="1" s="1"/>
  <c r="V739" i="2"/>
  <c r="D738" i="2"/>
  <c r="K714" i="2"/>
  <c r="T744" i="2" s="1"/>
  <c r="BK957" i="2"/>
  <c r="AD958" i="2" s="1"/>
  <c r="C841" i="2"/>
  <c r="V841" i="2"/>
  <c r="BK268" i="1"/>
  <c r="AE269" i="1" s="1"/>
  <c r="BK769" i="1"/>
  <c r="AD768" i="1" s="1"/>
  <c r="K766" i="1" s="1"/>
  <c r="T793" i="1" s="1"/>
  <c r="J822" i="2"/>
  <c r="V845" i="2"/>
  <c r="C845" i="2"/>
  <c r="J404" i="1"/>
  <c r="K404" i="1"/>
  <c r="K362" i="1"/>
  <c r="J362" i="1"/>
  <c r="K705" i="2"/>
  <c r="J705" i="2"/>
  <c r="K780" i="2"/>
  <c r="J780" i="2"/>
  <c r="K968" i="2"/>
  <c r="J968" i="2"/>
  <c r="V218" i="1"/>
  <c r="C218" i="1"/>
  <c r="BK372" i="1"/>
  <c r="AD371" i="1" s="1"/>
  <c r="BK373" i="1"/>
  <c r="AD374" i="1" s="1"/>
  <c r="J596" i="1"/>
  <c r="J867" i="2"/>
  <c r="T938" i="2" s="1"/>
  <c r="K867" i="2"/>
  <c r="V214" i="1"/>
  <c r="C214" i="1"/>
  <c r="G214" i="1" s="1"/>
  <c r="C216" i="1" s="1"/>
  <c r="X214" i="1"/>
  <c r="V258" i="1"/>
  <c r="E256" i="1"/>
  <c r="J382" i="1"/>
  <c r="K382" i="1"/>
  <c r="K380" i="2"/>
  <c r="J380" i="2"/>
  <c r="J716" i="2"/>
  <c r="K716" i="2"/>
  <c r="K481" i="2"/>
  <c r="J481" i="2"/>
  <c r="K521" i="2"/>
  <c r="J521" i="2"/>
  <c r="T562" i="2" s="1"/>
  <c r="D29" i="3"/>
  <c r="O30" i="3"/>
  <c r="D21" i="3"/>
  <c r="O22" i="3"/>
  <c r="BK80" i="2"/>
  <c r="AD79" i="2" s="1"/>
  <c r="J234" i="2"/>
  <c r="BK347" i="2"/>
  <c r="AE348" i="2" s="1"/>
  <c r="J570" i="2"/>
  <c r="K570" i="2"/>
  <c r="BK661" i="2"/>
  <c r="AE664" i="2" s="1"/>
  <c r="K857" i="2"/>
  <c r="J574" i="1"/>
  <c r="K574" i="1"/>
  <c r="BK326" i="1"/>
  <c r="AE327" i="1" s="1"/>
  <c r="BK324" i="1"/>
  <c r="AE321" i="1" s="1"/>
  <c r="BK327" i="1"/>
  <c r="AE330" i="1" s="1"/>
  <c r="J435" i="1"/>
  <c r="T483" i="1" s="1"/>
  <c r="K435" i="1"/>
  <c r="J791" i="2"/>
  <c r="K791" i="2"/>
  <c r="D358" i="2"/>
  <c r="V359" i="2"/>
  <c r="J922" i="2"/>
  <c r="T947" i="2" s="1"/>
  <c r="K922" i="2"/>
  <c r="J424" i="2"/>
  <c r="K424" i="2"/>
  <c r="BK437" i="2"/>
  <c r="AD438" i="2" s="1"/>
  <c r="J384" i="1"/>
  <c r="E710" i="1"/>
  <c r="V712" i="1"/>
  <c r="K426" i="1"/>
  <c r="J426" i="1"/>
  <c r="K406" i="1"/>
  <c r="J406" i="1"/>
  <c r="K835" i="1"/>
  <c r="T878" i="1" s="1"/>
  <c r="J835" i="1"/>
  <c r="T877" i="1" s="1"/>
  <c r="J839" i="1"/>
  <c r="K839" i="1"/>
  <c r="BK43" i="1"/>
  <c r="AD40" i="1" s="1"/>
  <c r="J32" i="1"/>
  <c r="K32" i="1"/>
  <c r="J358" i="1"/>
  <c r="T458" i="1" s="1"/>
  <c r="K358" i="1"/>
  <c r="V710" i="1"/>
  <c r="C710" i="1"/>
  <c r="B714" i="1"/>
  <c r="V713" i="1"/>
  <c r="V343" i="1"/>
  <c r="D342" i="1"/>
  <c r="C346" i="1"/>
  <c r="V346" i="1"/>
  <c r="O650" i="1"/>
  <c r="J826" i="1"/>
  <c r="K826" i="1"/>
  <c r="J230" i="1"/>
  <c r="K230" i="1"/>
  <c r="K282" i="1"/>
  <c r="BK55" i="1"/>
  <c r="AD54" i="1" s="1"/>
  <c r="J755" i="2"/>
  <c r="K755" i="2"/>
  <c r="V368" i="2"/>
  <c r="E366" i="2"/>
  <c r="J986" i="2"/>
  <c r="T1003" i="2" s="1"/>
  <c r="K986" i="2"/>
  <c r="K913" i="2"/>
  <c r="J913" i="2"/>
  <c r="BK13" i="2"/>
  <c r="AE16" i="2" s="1"/>
  <c r="J10" i="2" s="1"/>
  <c r="BK36" i="2"/>
  <c r="AD35" i="2" s="1"/>
  <c r="BK268" i="2"/>
  <c r="AE271" i="2" s="1"/>
  <c r="K479" i="2"/>
  <c r="BK69" i="2"/>
  <c r="AD68" i="2" s="1"/>
  <c r="K70" i="2" s="1"/>
  <c r="V879" i="1"/>
  <c r="D878" i="1"/>
  <c r="J428" i="1"/>
  <c r="J616" i="1"/>
  <c r="BK757" i="1"/>
  <c r="AD754" i="1" s="1"/>
  <c r="J759" i="1" s="1"/>
  <c r="BK801" i="1"/>
  <c r="AE798" i="1" s="1"/>
  <c r="K805" i="1" s="1"/>
  <c r="V549" i="2"/>
  <c r="B549" i="2"/>
  <c r="J707" i="2"/>
  <c r="K707" i="2"/>
  <c r="D644" i="2"/>
  <c r="V645" i="2"/>
  <c r="B1002" i="2"/>
  <c r="V1002" i="2"/>
  <c r="B27" i="3"/>
  <c r="Q25" i="3"/>
  <c r="J882" i="2"/>
  <c r="K177" i="2"/>
  <c r="K880" i="2"/>
  <c r="D478" i="1"/>
  <c r="F478" i="1" s="1"/>
  <c r="D476" i="1" s="1"/>
  <c r="V479" i="1"/>
  <c r="X478" i="1"/>
  <c r="J526" i="1"/>
  <c r="T634" i="1" s="1"/>
  <c r="K744" i="1"/>
  <c r="T787" i="1" s="1"/>
  <c r="BK22" i="1"/>
  <c r="AD21" i="1" s="1"/>
  <c r="J23" i="1" s="1"/>
  <c r="C833" i="2"/>
  <c r="G833" i="2" s="1"/>
  <c r="C835" i="2" s="1"/>
  <c r="X833" i="2"/>
  <c r="V833" i="2"/>
  <c r="V169" i="1"/>
  <c r="B169" i="1"/>
  <c r="J748" i="1"/>
  <c r="K382" i="2"/>
  <c r="BK269" i="1"/>
  <c r="AE272" i="1" s="1"/>
  <c r="E738" i="2"/>
  <c r="V740" i="2"/>
  <c r="J714" i="2"/>
  <c r="T743" i="2" s="1"/>
  <c r="B841" i="2"/>
  <c r="V840" i="2"/>
  <c r="K720" i="2"/>
  <c r="V626" i="1"/>
  <c r="B626" i="1"/>
  <c r="F626" i="1" s="1"/>
  <c r="B628" i="1" s="1"/>
  <c r="X626" i="1"/>
  <c r="BK595" i="1"/>
  <c r="AD594" i="1" s="1"/>
  <c r="K990" i="2"/>
  <c r="K822" i="2"/>
  <c r="V844" i="2"/>
  <c r="B845" i="2"/>
  <c r="K757" i="2"/>
  <c r="E791" i="1" l="1"/>
  <c r="G791" i="1" s="1"/>
  <c r="E789" i="1" s="1"/>
  <c r="V793" i="1"/>
  <c r="X791" i="1"/>
  <c r="V743" i="2"/>
  <c r="D742" i="2"/>
  <c r="F742" i="2" s="1"/>
  <c r="D740" i="2" s="1"/>
  <c r="X741" i="2"/>
  <c r="C787" i="1"/>
  <c r="V787" i="1"/>
  <c r="J35" i="2"/>
  <c r="K35" i="2"/>
  <c r="D1002" i="2"/>
  <c r="V1003" i="2"/>
  <c r="J41" i="1"/>
  <c r="T83" i="1" s="1"/>
  <c r="K41" i="1"/>
  <c r="V947" i="2"/>
  <c r="D946" i="2"/>
  <c r="K322" i="1"/>
  <c r="T352" i="1" s="1"/>
  <c r="J322" i="1"/>
  <c r="T351" i="1" s="1"/>
  <c r="K662" i="2"/>
  <c r="J662" i="2"/>
  <c r="J79" i="2"/>
  <c r="K79" i="2"/>
  <c r="V938" i="2"/>
  <c r="B938" i="2"/>
  <c r="K371" i="1"/>
  <c r="J371" i="1"/>
  <c r="E742" i="2"/>
  <c r="G742" i="2" s="1"/>
  <c r="E740" i="2" s="1"/>
  <c r="V744" i="2"/>
  <c r="X742" i="2"/>
  <c r="J859" i="2"/>
  <c r="K859" i="2"/>
  <c r="K757" i="1"/>
  <c r="J757" i="1"/>
  <c r="V642" i="2"/>
  <c r="E640" i="2"/>
  <c r="K37" i="2"/>
  <c r="J37" i="2"/>
  <c r="N168" i="3"/>
  <c r="C358" i="2"/>
  <c r="V358" i="2"/>
  <c r="K437" i="1"/>
  <c r="J437" i="1"/>
  <c r="X635" i="2"/>
  <c r="B636" i="2"/>
  <c r="F636" i="2" s="1"/>
  <c r="B638" i="2" s="1"/>
  <c r="V635" i="2"/>
  <c r="K230" i="2"/>
  <c r="T257" i="2" s="1"/>
  <c r="J230" i="2"/>
  <c r="T256" i="2" s="1"/>
  <c r="B37" i="3"/>
  <c r="O37" i="3"/>
  <c r="K90" i="2"/>
  <c r="J90" i="2"/>
  <c r="K550" i="1"/>
  <c r="J550" i="1"/>
  <c r="M172" i="3"/>
  <c r="N172" i="3" s="1"/>
  <c r="J417" i="1"/>
  <c r="K417" i="1"/>
  <c r="B553" i="2"/>
  <c r="V553" i="2"/>
  <c r="K658" i="2"/>
  <c r="J658" i="2"/>
  <c r="K393" i="2"/>
  <c r="J393" i="2"/>
  <c r="K343" i="2"/>
  <c r="T372" i="2" s="1"/>
  <c r="J343" i="2"/>
  <c r="T371" i="2" s="1"/>
  <c r="J188" i="2"/>
  <c r="K188" i="2"/>
  <c r="C247" i="2"/>
  <c r="V247" i="2"/>
  <c r="K154" i="2"/>
  <c r="J154" i="2"/>
  <c r="J156" i="2"/>
  <c r="K156" i="2"/>
  <c r="V242" i="2"/>
  <c r="B243" i="2"/>
  <c r="J96" i="1"/>
  <c r="K96" i="1"/>
  <c r="V220" i="1"/>
  <c r="E218" i="1"/>
  <c r="V174" i="1"/>
  <c r="D173" i="1"/>
  <c r="F173" i="1" s="1"/>
  <c r="D171" i="1" s="1"/>
  <c r="X173" i="1"/>
  <c r="D537" i="2"/>
  <c r="V538" i="2"/>
  <c r="J861" i="1"/>
  <c r="K861" i="1"/>
  <c r="V846" i="2"/>
  <c r="D845" i="2"/>
  <c r="B366" i="2"/>
  <c r="V365" i="2"/>
  <c r="V253" i="2"/>
  <c r="E251" i="2"/>
  <c r="B998" i="2"/>
  <c r="V998" i="2"/>
  <c r="C118" i="2"/>
  <c r="G118" i="2" s="1"/>
  <c r="E116" i="2" s="1"/>
  <c r="V118" i="2"/>
  <c r="X118" i="2"/>
  <c r="B342" i="1"/>
  <c r="V341" i="1"/>
  <c r="J77" i="2"/>
  <c r="T135" i="2" s="1"/>
  <c r="K803" i="1"/>
  <c r="K369" i="1"/>
  <c r="K623" i="2"/>
  <c r="T650" i="2" s="1"/>
  <c r="K166" i="2"/>
  <c r="K44" i="2"/>
  <c r="T126" i="2" s="1"/>
  <c r="K88" i="2"/>
  <c r="T140" i="2" s="1"/>
  <c r="J349" i="2"/>
  <c r="V143" i="2"/>
  <c r="D142" i="2"/>
  <c r="F142" i="2" s="1"/>
  <c r="D140" i="2" s="1"/>
  <c r="X141" i="2"/>
  <c r="K45" i="1"/>
  <c r="K43" i="1"/>
  <c r="V130" i="2"/>
  <c r="C130" i="2"/>
  <c r="K324" i="1"/>
  <c r="V778" i="1"/>
  <c r="X778" i="1"/>
  <c r="B779" i="1"/>
  <c r="F779" i="1" s="1"/>
  <c r="B781" i="1" s="1"/>
  <c r="J232" i="2"/>
  <c r="J81" i="2"/>
  <c r="E130" i="2"/>
  <c r="V132" i="2"/>
  <c r="V75" i="1"/>
  <c r="X75" i="1"/>
  <c r="B75" i="1"/>
  <c r="F75" i="1" s="1"/>
  <c r="B77" i="1" s="1"/>
  <c r="J345" i="2"/>
  <c r="V113" i="2"/>
  <c r="B114" i="2"/>
  <c r="F114" i="2" s="1"/>
  <c r="J92" i="2"/>
  <c r="K755" i="1"/>
  <c r="T789" i="1" s="1"/>
  <c r="J755" i="1"/>
  <c r="T788" i="1" s="1"/>
  <c r="C878" i="1"/>
  <c r="V878" i="1"/>
  <c r="J437" i="2"/>
  <c r="K437" i="2"/>
  <c r="D482" i="1"/>
  <c r="F482" i="1" s="1"/>
  <c r="B484" i="1" s="1"/>
  <c r="V483" i="1"/>
  <c r="X482" i="1"/>
  <c r="V562" i="2"/>
  <c r="D561" i="2"/>
  <c r="F561" i="2" s="1"/>
  <c r="D559" i="2" s="1"/>
  <c r="X561" i="2"/>
  <c r="K268" i="1"/>
  <c r="J268" i="1"/>
  <c r="K56" i="1"/>
  <c r="J56" i="1"/>
  <c r="V786" i="1"/>
  <c r="B787" i="1"/>
  <c r="J164" i="2"/>
  <c r="T244" i="2" s="1"/>
  <c r="K164" i="2"/>
  <c r="T245" i="2" s="1"/>
  <c r="J393" i="1"/>
  <c r="K393" i="1"/>
  <c r="V338" i="1"/>
  <c r="X338" i="1"/>
  <c r="C338" i="1"/>
  <c r="G338" i="1" s="1"/>
  <c r="C340" i="1" s="1"/>
  <c r="D874" i="1"/>
  <c r="V875" i="1"/>
  <c r="J594" i="1"/>
  <c r="K594" i="1"/>
  <c r="K270" i="1"/>
  <c r="J270" i="1"/>
  <c r="K21" i="1"/>
  <c r="J21" i="1"/>
  <c r="X634" i="1"/>
  <c r="B634" i="1"/>
  <c r="F634" i="1" s="1"/>
  <c r="B636" i="1" s="1"/>
  <c r="V634" i="1"/>
  <c r="K799" i="1"/>
  <c r="T870" i="1" s="1"/>
  <c r="J799" i="1"/>
  <c r="T869" i="1" s="1"/>
  <c r="K68" i="2"/>
  <c r="J68" i="2"/>
  <c r="J269" i="2"/>
  <c r="K269" i="2"/>
  <c r="K14" i="2"/>
  <c r="J14" i="2"/>
  <c r="K54" i="1"/>
  <c r="J54" i="1"/>
  <c r="Q650" i="1"/>
  <c r="T650" i="1"/>
  <c r="O651" i="1"/>
  <c r="X458" i="1"/>
  <c r="B458" i="1"/>
  <c r="F458" i="1" s="1"/>
  <c r="B460" i="1" s="1"/>
  <c r="V458" i="1"/>
  <c r="V877" i="1"/>
  <c r="B878" i="1"/>
  <c r="J328" i="1"/>
  <c r="K328" i="1"/>
  <c r="K326" i="1"/>
  <c r="J326" i="1"/>
  <c r="J857" i="2"/>
  <c r="K347" i="2"/>
  <c r="J347" i="2"/>
  <c r="K234" i="2"/>
  <c r="K596" i="1"/>
  <c r="J373" i="1"/>
  <c r="K373" i="1"/>
  <c r="J768" i="1"/>
  <c r="K768" i="1"/>
  <c r="J957" i="2"/>
  <c r="K957" i="2"/>
  <c r="J801" i="1"/>
  <c r="K801" i="1"/>
  <c r="K12" i="1"/>
  <c r="J12" i="1"/>
  <c r="J206" i="1"/>
  <c r="K206" i="1"/>
  <c r="K26" i="2"/>
  <c r="J26" i="2"/>
  <c r="N34" i="3"/>
  <c r="J855" i="2"/>
  <c r="K855" i="2"/>
  <c r="J34" i="1"/>
  <c r="K34" i="1"/>
  <c r="D640" i="2"/>
  <c r="V641" i="2"/>
  <c r="K186" i="2"/>
  <c r="T249" i="2" s="1"/>
  <c r="J186" i="2"/>
  <c r="T248" i="2" s="1"/>
  <c r="J33" i="2"/>
  <c r="T121" i="2" s="1"/>
  <c r="K33" i="2"/>
  <c r="T122" i="2" s="1"/>
  <c r="M173" i="3"/>
  <c r="N173" i="3" s="1"/>
  <c r="J52" i="1"/>
  <c r="T84" i="1" s="1"/>
  <c r="J395" i="1"/>
  <c r="K395" i="1"/>
  <c r="X337" i="1"/>
  <c r="B338" i="1"/>
  <c r="F338" i="1" s="1"/>
  <c r="B340" i="1" s="1"/>
  <c r="V337" i="1"/>
  <c r="E874" i="1"/>
  <c r="V876" i="1"/>
  <c r="D646" i="1"/>
  <c r="F646" i="1" s="1"/>
  <c r="D644" i="1" s="1"/>
  <c r="X646" i="1"/>
  <c r="V647" i="1"/>
  <c r="V80" i="1"/>
  <c r="D79" i="1"/>
  <c r="B358" i="2"/>
  <c r="V357" i="2"/>
  <c r="K439" i="1"/>
  <c r="J439" i="1"/>
  <c r="J726" i="1"/>
  <c r="K726" i="1"/>
  <c r="C636" i="2"/>
  <c r="G636" i="2" s="1"/>
  <c r="C638" i="2" s="1"/>
  <c r="V636" i="2"/>
  <c r="X636" i="2"/>
  <c r="M38" i="3"/>
  <c r="D938" i="2"/>
  <c r="V939" i="2"/>
  <c r="B533" i="2"/>
  <c r="F533" i="2" s="1"/>
  <c r="B535" i="2" s="1"/>
  <c r="V533" i="2"/>
  <c r="X533" i="2"/>
  <c r="B466" i="1"/>
  <c r="F466" i="1" s="1"/>
  <c r="B468" i="1" s="1"/>
  <c r="V466" i="1"/>
  <c r="X466" i="1"/>
  <c r="J46" i="2"/>
  <c r="K46" i="2"/>
  <c r="V474" i="1"/>
  <c r="B474" i="1"/>
  <c r="N294" i="3"/>
  <c r="M303" i="3"/>
  <c r="N303" i="3" s="1"/>
  <c r="M306" i="3"/>
  <c r="N306" i="3" s="1"/>
  <c r="M298" i="3"/>
  <c r="M302" i="3"/>
  <c r="N302" i="3" s="1"/>
  <c r="J625" i="2"/>
  <c r="K625" i="2"/>
  <c r="J857" i="1"/>
  <c r="T883" i="1" s="1"/>
  <c r="K857" i="1"/>
  <c r="T884" i="1" s="1"/>
  <c r="J552" i="1"/>
  <c r="K552" i="1"/>
  <c r="J212" i="2"/>
  <c r="K212" i="2"/>
  <c r="M169" i="3"/>
  <c r="K67" i="1"/>
  <c r="J67" i="1"/>
  <c r="J415" i="1"/>
  <c r="K415" i="1"/>
  <c r="J656" i="2"/>
  <c r="T729" i="2" s="1"/>
  <c r="K656" i="2"/>
  <c r="T730" i="2" s="1"/>
  <c r="K389" i="2"/>
  <c r="J389" i="2"/>
  <c r="T537" i="2" s="1"/>
  <c r="K391" i="2"/>
  <c r="J433" i="2"/>
  <c r="T545" i="2" s="1"/>
  <c r="K433" i="2"/>
  <c r="J210" i="2"/>
  <c r="K210" i="2"/>
  <c r="B247" i="2"/>
  <c r="V246" i="2"/>
  <c r="K152" i="2"/>
  <c r="J152" i="2"/>
  <c r="C243" i="2"/>
  <c r="V243" i="2"/>
  <c r="J98" i="1"/>
  <c r="K98" i="1"/>
  <c r="D218" i="1"/>
  <c r="V219" i="1"/>
  <c r="V166" i="1"/>
  <c r="D165" i="1"/>
  <c r="K859" i="1"/>
  <c r="J859" i="1"/>
  <c r="V639" i="1"/>
  <c r="D638" i="1"/>
  <c r="E845" i="2"/>
  <c r="V847" i="2"/>
  <c r="V487" i="1"/>
  <c r="D486" i="1"/>
  <c r="F486" i="1" s="1"/>
  <c r="D484" i="1" s="1"/>
  <c r="X486" i="1"/>
  <c r="J724" i="1"/>
  <c r="V475" i="1"/>
  <c r="D474" i="1"/>
  <c r="J10" i="1"/>
  <c r="D541" i="2"/>
  <c r="V542" i="2"/>
  <c r="V366" i="2"/>
  <c r="C366" i="2"/>
  <c r="D251" i="2"/>
  <c r="V252" i="2"/>
  <c r="B118" i="2"/>
  <c r="F118" i="2" s="1"/>
  <c r="D116" i="2" s="1"/>
  <c r="X117" i="2"/>
  <c r="V117" i="2"/>
  <c r="J660" i="2"/>
  <c r="K204" i="1"/>
  <c r="C342" i="1"/>
  <c r="V342" i="1"/>
  <c r="B470" i="1"/>
  <c r="F470" i="1" s="1"/>
  <c r="D468" i="1" s="1"/>
  <c r="V470" i="1"/>
  <c r="X470" i="1"/>
  <c r="B934" i="2"/>
  <c r="F934" i="2" s="1"/>
  <c r="B936" i="2" s="1"/>
  <c r="X934" i="2"/>
  <c r="V934" i="2"/>
  <c r="K77" i="2"/>
  <c r="T136" i="2" s="1"/>
  <c r="J803" i="1"/>
  <c r="J369" i="1"/>
  <c r="T462" i="1" s="1"/>
  <c r="J623" i="2"/>
  <c r="T649" i="2" s="1"/>
  <c r="J166" i="2"/>
  <c r="J44" i="2"/>
  <c r="T125" i="2" s="1"/>
  <c r="J70" i="2"/>
  <c r="K23" i="1"/>
  <c r="J435" i="2"/>
  <c r="K190" i="2"/>
  <c r="K10" i="2"/>
  <c r="J88" i="2"/>
  <c r="T139" i="2" s="1"/>
  <c r="K349" i="2"/>
  <c r="E142" i="2"/>
  <c r="G142" i="2" s="1"/>
  <c r="E140" i="2" s="1"/>
  <c r="V144" i="2"/>
  <c r="X142" i="2"/>
  <c r="X161" i="1"/>
  <c r="B161" i="1"/>
  <c r="F161" i="1" s="1"/>
  <c r="B163" i="1" s="1"/>
  <c r="V161" i="1"/>
  <c r="J45" i="1"/>
  <c r="J43" i="1"/>
  <c r="J766" i="1"/>
  <c r="T792" i="1" s="1"/>
  <c r="J805" i="1"/>
  <c r="V129" i="2"/>
  <c r="B130" i="2"/>
  <c r="J324" i="1"/>
  <c r="C779" i="1"/>
  <c r="G779" i="1" s="1"/>
  <c r="C781" i="1" s="1"/>
  <c r="V779" i="1"/>
  <c r="X779" i="1"/>
  <c r="K232" i="2"/>
  <c r="V88" i="1"/>
  <c r="D87" i="1"/>
  <c r="F87" i="1" s="1"/>
  <c r="D85" i="1" s="1"/>
  <c r="X87" i="1"/>
  <c r="J627" i="2"/>
  <c r="K81" i="2"/>
  <c r="J168" i="2"/>
  <c r="J48" i="2"/>
  <c r="D130" i="2"/>
  <c r="V131" i="2"/>
  <c r="B79" i="1"/>
  <c r="V79" i="1"/>
  <c r="K759" i="1"/>
  <c r="K345" i="2"/>
  <c r="C114" i="2"/>
  <c r="G114" i="2" s="1"/>
  <c r="V114" i="2"/>
  <c r="K92" i="2"/>
  <c r="M176" i="3" l="1"/>
  <c r="C116" i="2"/>
  <c r="X114" i="2"/>
  <c r="D791" i="1"/>
  <c r="F791" i="1" s="1"/>
  <c r="D789" i="1" s="1"/>
  <c r="X790" i="1"/>
  <c r="V792" i="1"/>
  <c r="D138" i="2"/>
  <c r="F138" i="2" s="1"/>
  <c r="B140" i="2" s="1"/>
  <c r="V139" i="2"/>
  <c r="X137" i="2"/>
  <c r="X125" i="2"/>
  <c r="V125" i="2"/>
  <c r="B126" i="2"/>
  <c r="F126" i="2" s="1"/>
  <c r="D124" i="2" s="1"/>
  <c r="V649" i="2"/>
  <c r="X647" i="2"/>
  <c r="D648" i="2"/>
  <c r="F648" i="2" s="1"/>
  <c r="D646" i="2" s="1"/>
  <c r="B462" i="1"/>
  <c r="F462" i="1" s="1"/>
  <c r="D460" i="1" s="1"/>
  <c r="V462" i="1"/>
  <c r="X462" i="1"/>
  <c r="E134" i="2"/>
  <c r="G134" i="2" s="1"/>
  <c r="E132" i="2" s="1"/>
  <c r="X134" i="2"/>
  <c r="V136" i="2"/>
  <c r="B545" i="2"/>
  <c r="V545" i="2"/>
  <c r="V537" i="2"/>
  <c r="B537" i="2"/>
  <c r="C730" i="2"/>
  <c r="G730" i="2" s="1"/>
  <c r="C732" i="2" s="1"/>
  <c r="V730" i="2"/>
  <c r="X730" i="2"/>
  <c r="B730" i="2"/>
  <c r="F730" i="2" s="1"/>
  <c r="B732" i="2" s="1"/>
  <c r="V729" i="2"/>
  <c r="X729" i="2"/>
  <c r="N169" i="3"/>
  <c r="V884" i="1"/>
  <c r="E882" i="1"/>
  <c r="G882" i="1" s="1"/>
  <c r="E880" i="1" s="1"/>
  <c r="X882" i="1"/>
  <c r="V883" i="1"/>
  <c r="D882" i="1"/>
  <c r="F882" i="1" s="1"/>
  <c r="D880" i="1" s="1"/>
  <c r="X881" i="1"/>
  <c r="B302" i="3"/>
  <c r="O302" i="3"/>
  <c r="N298" i="3"/>
  <c r="M307" i="3"/>
  <c r="B306" i="3"/>
  <c r="O306" i="3"/>
  <c r="O303" i="3"/>
  <c r="D302" i="3"/>
  <c r="O294" i="3"/>
  <c r="B294" i="3"/>
  <c r="F294" i="3" s="1"/>
  <c r="N38" i="3"/>
  <c r="M41" i="3"/>
  <c r="D83" i="1"/>
  <c r="V84" i="1"/>
  <c r="D172" i="3"/>
  <c r="O173" i="3"/>
  <c r="X122" i="2"/>
  <c r="V122" i="2"/>
  <c r="C122" i="2"/>
  <c r="G122" i="2" s="1"/>
  <c r="C124" i="2" s="1"/>
  <c r="B122" i="2"/>
  <c r="F122" i="2" s="1"/>
  <c r="B124" i="2" s="1"/>
  <c r="X121" i="2"/>
  <c r="V121" i="2"/>
  <c r="D247" i="2"/>
  <c r="V248" i="2"/>
  <c r="V249" i="2"/>
  <c r="E247" i="2"/>
  <c r="D33" i="3"/>
  <c r="O34" i="3"/>
  <c r="T651" i="1"/>
  <c r="Q651" i="1"/>
  <c r="O655" i="1"/>
  <c r="V650" i="1"/>
  <c r="B650" i="1"/>
  <c r="X869" i="1"/>
  <c r="B870" i="1"/>
  <c r="F870" i="1" s="1"/>
  <c r="B872" i="1" s="1"/>
  <c r="V869" i="1"/>
  <c r="V870" i="1"/>
  <c r="X870" i="1"/>
  <c r="C870" i="1"/>
  <c r="G870" i="1" s="1"/>
  <c r="C872" i="1" s="1"/>
  <c r="E243" i="2"/>
  <c r="V245" i="2"/>
  <c r="V244" i="2"/>
  <c r="D243" i="2"/>
  <c r="D787" i="1"/>
  <c r="V788" i="1"/>
  <c r="V789" i="1"/>
  <c r="E787" i="1"/>
  <c r="X113" i="2"/>
  <c r="B116" i="2"/>
  <c r="V140" i="2"/>
  <c r="E138" i="2"/>
  <c r="G138" i="2" s="1"/>
  <c r="C140" i="2" s="1"/>
  <c r="X138" i="2"/>
  <c r="X126" i="2"/>
  <c r="V126" i="2"/>
  <c r="C126" i="2"/>
  <c r="G126" i="2" s="1"/>
  <c r="E124" i="2" s="1"/>
  <c r="E648" i="2"/>
  <c r="G648" i="2" s="1"/>
  <c r="E646" i="2" s="1"/>
  <c r="V650" i="2"/>
  <c r="X648" i="2"/>
  <c r="D134" i="2"/>
  <c r="F134" i="2" s="1"/>
  <c r="D132" i="2" s="1"/>
  <c r="V135" i="2"/>
  <c r="X133" i="2"/>
  <c r="D370" i="2"/>
  <c r="V371" i="2"/>
  <c r="V372" i="2"/>
  <c r="E370" i="2"/>
  <c r="O172" i="3"/>
  <c r="B172" i="3"/>
  <c r="V256" i="2"/>
  <c r="D255" i="2"/>
  <c r="V257" i="2"/>
  <c r="E255" i="2"/>
  <c r="O168" i="3"/>
  <c r="B168" i="3"/>
  <c r="D350" i="1"/>
  <c r="F350" i="1" s="1"/>
  <c r="D348" i="1" s="1"/>
  <c r="V351" i="1"/>
  <c r="X349" i="1"/>
  <c r="E350" i="1"/>
  <c r="G350" i="1" s="1"/>
  <c r="E348" i="1" s="1"/>
  <c r="V352" i="1"/>
  <c r="X350" i="1"/>
  <c r="V83" i="1"/>
  <c r="B83" i="1"/>
  <c r="N307" i="3" l="1"/>
  <c r="M310" i="3"/>
  <c r="N310" i="3" s="1"/>
  <c r="N41" i="3"/>
  <c r="M45" i="3"/>
  <c r="N176" i="3"/>
  <c r="M180" i="3"/>
  <c r="M314" i="3"/>
  <c r="N314" i="3" s="1"/>
  <c r="Q655" i="1"/>
  <c r="T655" i="1"/>
  <c r="V651" i="1"/>
  <c r="D650" i="1"/>
  <c r="O41" i="3"/>
  <c r="B41" i="3"/>
  <c r="F41" i="3" s="1"/>
  <c r="D37" i="3"/>
  <c r="O38" i="3"/>
  <c r="Q294" i="3"/>
  <c r="B296" i="3"/>
  <c r="D306" i="3"/>
  <c r="O307" i="3"/>
  <c r="O298" i="3"/>
  <c r="B298" i="3"/>
  <c r="F298" i="3" s="1"/>
  <c r="O169" i="3"/>
  <c r="D168" i="3"/>
  <c r="O314" i="3" l="1"/>
  <c r="B314" i="3"/>
  <c r="F314" i="3" s="1"/>
  <c r="M184" i="3"/>
  <c r="M185" i="3"/>
  <c r="N185" i="3" s="1"/>
  <c r="B176" i="3"/>
  <c r="F176" i="3" s="1"/>
  <c r="O176" i="3"/>
  <c r="N45" i="3"/>
  <c r="M46" i="3"/>
  <c r="M318" i="3"/>
  <c r="N318" i="3" s="1"/>
  <c r="N180" i="3"/>
  <c r="M188" i="3"/>
  <c r="N188" i="3" s="1"/>
  <c r="M319" i="3"/>
  <c r="N319" i="3" s="1"/>
  <c r="B310" i="3"/>
  <c r="F310" i="3" s="1"/>
  <c r="O310" i="3"/>
  <c r="M322" i="3"/>
  <c r="N322" i="3" s="1"/>
  <c r="Q298" i="3"/>
  <c r="D296" i="3"/>
  <c r="Q41" i="3"/>
  <c r="B43" i="3"/>
  <c r="D654" i="1"/>
  <c r="F654" i="1" s="1"/>
  <c r="D652" i="1" s="1"/>
  <c r="X654" i="1"/>
  <c r="V655" i="1"/>
  <c r="B180" i="3" l="1"/>
  <c r="F180" i="3" s="1"/>
  <c r="O180" i="3"/>
  <c r="M323" i="3"/>
  <c r="N323" i="3" s="1"/>
  <c r="M49" i="3"/>
  <c r="O45" i="3"/>
  <c r="B45" i="3"/>
  <c r="Q176" i="3"/>
  <c r="B178" i="3"/>
  <c r="O185" i="3"/>
  <c r="D184" i="3"/>
  <c r="B322" i="3"/>
  <c r="O322" i="3"/>
  <c r="B312" i="3"/>
  <c r="Q310" i="3"/>
  <c r="O319" i="3"/>
  <c r="D318" i="3"/>
  <c r="B188" i="3"/>
  <c r="O188" i="3"/>
  <c r="M189" i="3"/>
  <c r="B318" i="3"/>
  <c r="O318" i="3"/>
  <c r="N46" i="3"/>
  <c r="M50" i="3"/>
  <c r="N50" i="3" s="1"/>
  <c r="N184" i="3"/>
  <c r="Q314" i="3"/>
  <c r="D312" i="3"/>
  <c r="D49" i="3" l="1"/>
  <c r="O50" i="3"/>
  <c r="N189" i="3"/>
  <c r="N49" i="3"/>
  <c r="M54" i="3"/>
  <c r="N54" i="3" s="1"/>
  <c r="D322" i="3"/>
  <c r="O323" i="3"/>
  <c r="D178" i="3"/>
  <c r="Q180" i="3"/>
  <c r="M196" i="3"/>
  <c r="N196" i="3" s="1"/>
  <c r="B184" i="3"/>
  <c r="O184" i="3"/>
  <c r="M53" i="3"/>
  <c r="O46" i="3"/>
  <c r="D45" i="3"/>
  <c r="M326" i="3"/>
  <c r="M197" i="3"/>
  <c r="N197" i="3" s="1"/>
  <c r="M192" i="3"/>
  <c r="O197" i="3" l="1"/>
  <c r="D196" i="3"/>
  <c r="N326" i="3"/>
  <c r="M334" i="3"/>
  <c r="N334" i="3" s="1"/>
  <c r="M335" i="3"/>
  <c r="N335" i="3" s="1"/>
  <c r="B196" i="3"/>
  <c r="O196" i="3"/>
  <c r="O54" i="3"/>
  <c r="D53" i="3"/>
  <c r="N192" i="3"/>
  <c r="M330" i="3"/>
  <c r="N53" i="3"/>
  <c r="M57" i="3"/>
  <c r="M58" i="3"/>
  <c r="N58" i="3" s="1"/>
  <c r="M61" i="3"/>
  <c r="N61" i="3" s="1"/>
  <c r="M200" i="3"/>
  <c r="O49" i="3"/>
  <c r="B49" i="3"/>
  <c r="M201" i="3"/>
  <c r="N201" i="3" s="1"/>
  <c r="D188" i="3"/>
  <c r="O189" i="3"/>
  <c r="D200" i="3" l="1"/>
  <c r="O201" i="3"/>
  <c r="N200" i="3"/>
  <c r="O61" i="3"/>
  <c r="B61" i="3"/>
  <c r="D57" i="3"/>
  <c r="O58" i="3"/>
  <c r="N57" i="3"/>
  <c r="M62" i="3"/>
  <c r="B53" i="3"/>
  <c r="O53" i="3"/>
  <c r="B192" i="3"/>
  <c r="F192" i="3" s="1"/>
  <c r="O192" i="3"/>
  <c r="O335" i="3"/>
  <c r="D334" i="3"/>
  <c r="M338" i="3"/>
  <c r="B334" i="3"/>
  <c r="O334" i="3"/>
  <c r="N330" i="3"/>
  <c r="M204" i="3"/>
  <c r="B326" i="3"/>
  <c r="F326" i="3" s="1"/>
  <c r="O326" i="3"/>
  <c r="Q326" i="3" l="1"/>
  <c r="B328" i="3"/>
  <c r="N204" i="3"/>
  <c r="M205" i="3"/>
  <c r="B330" i="3"/>
  <c r="F330" i="3" s="1"/>
  <c r="O330" i="3"/>
  <c r="N338" i="3"/>
  <c r="M339" i="3"/>
  <c r="Q192" i="3"/>
  <c r="B194" i="3"/>
  <c r="N62" i="3"/>
  <c r="B57" i="3"/>
  <c r="O57" i="3"/>
  <c r="M65" i="3"/>
  <c r="O200" i="3"/>
  <c r="B200" i="3"/>
  <c r="N339" i="3" l="1"/>
  <c r="M344" i="3"/>
  <c r="N65" i="3"/>
  <c r="B204" i="3"/>
  <c r="O204" i="3"/>
  <c r="D61" i="3"/>
  <c r="O62" i="3"/>
  <c r="B338" i="3"/>
  <c r="O338" i="3"/>
  <c r="D328" i="3"/>
  <c r="Q330" i="3"/>
  <c r="M66" i="3"/>
  <c r="N205" i="3"/>
  <c r="M210" i="3"/>
  <c r="N210" i="3" l="1"/>
  <c r="M211" i="3"/>
  <c r="N66" i="3"/>
  <c r="M69" i="3"/>
  <c r="N344" i="3"/>
  <c r="M345" i="3"/>
  <c r="D204" i="3"/>
  <c r="O205" i="3"/>
  <c r="O65" i="3"/>
  <c r="B65" i="3"/>
  <c r="D338" i="3"/>
  <c r="O339" i="3"/>
  <c r="N345" i="3" l="1"/>
  <c r="M348" i="3"/>
  <c r="N69" i="3"/>
  <c r="M70" i="3"/>
  <c r="N211" i="3"/>
  <c r="M214" i="3"/>
  <c r="O344" i="3"/>
  <c r="B344" i="3"/>
  <c r="O66" i="3"/>
  <c r="D65" i="3"/>
  <c r="B210" i="3"/>
  <c r="O210" i="3"/>
  <c r="N214" i="3" l="1"/>
  <c r="M215" i="3"/>
  <c r="N70" i="3"/>
  <c r="M75" i="3"/>
  <c r="N348" i="3"/>
  <c r="M349" i="3"/>
  <c r="D210" i="3"/>
  <c r="O211" i="3"/>
  <c r="O69" i="3"/>
  <c r="B69" i="3"/>
  <c r="O345" i="3"/>
  <c r="D344" i="3"/>
  <c r="N349" i="3" l="1"/>
  <c r="M352" i="3"/>
  <c r="N75" i="3"/>
  <c r="M76" i="3"/>
  <c r="N215" i="3"/>
  <c r="M218" i="3"/>
  <c r="O348" i="3"/>
  <c r="B348" i="3"/>
  <c r="O70" i="3"/>
  <c r="D69" i="3"/>
  <c r="B214" i="3"/>
  <c r="O214" i="3"/>
  <c r="D214" i="3" l="1"/>
  <c r="O215" i="3"/>
  <c r="B75" i="3"/>
  <c r="O75" i="3"/>
  <c r="D348" i="3"/>
  <c r="O349" i="3"/>
  <c r="N218" i="3"/>
  <c r="M219" i="3"/>
  <c r="N76" i="3"/>
  <c r="M79" i="3"/>
  <c r="N352" i="3"/>
  <c r="M353" i="3"/>
  <c r="B352" i="3" l="1"/>
  <c r="O352" i="3"/>
  <c r="D75" i="3"/>
  <c r="O76" i="3"/>
  <c r="B218" i="3"/>
  <c r="O218" i="3"/>
  <c r="N353" i="3"/>
  <c r="M357" i="3"/>
  <c r="N79" i="3"/>
  <c r="M80" i="3"/>
  <c r="N219" i="3"/>
  <c r="M223" i="3"/>
  <c r="D218" i="3" l="1"/>
  <c r="O219" i="3"/>
  <c r="B79" i="3"/>
  <c r="O79" i="3"/>
  <c r="O353" i="3"/>
  <c r="D352" i="3"/>
  <c r="N223" i="3"/>
  <c r="M226" i="3"/>
  <c r="N80" i="3"/>
  <c r="M83" i="3"/>
  <c r="N357" i="3"/>
  <c r="M360" i="3"/>
  <c r="N360" i="3" l="1"/>
  <c r="M361" i="3"/>
  <c r="N83" i="3"/>
  <c r="M84" i="3"/>
  <c r="N226" i="3"/>
  <c r="M227" i="3"/>
  <c r="D356" i="3"/>
  <c r="F356" i="3" s="1"/>
  <c r="O357" i="3"/>
  <c r="O80" i="3"/>
  <c r="D79" i="3"/>
  <c r="D222" i="3"/>
  <c r="F222" i="3" s="1"/>
  <c r="O223" i="3"/>
  <c r="N227" i="3" l="1"/>
  <c r="M230" i="3"/>
  <c r="N84" i="3"/>
  <c r="M87" i="3"/>
  <c r="N361" i="3"/>
  <c r="M364" i="3"/>
  <c r="Q222" i="3"/>
  <c r="D220" i="3"/>
  <c r="D354" i="3"/>
  <c r="Q356" i="3"/>
  <c r="B226" i="3"/>
  <c r="O226" i="3"/>
  <c r="B83" i="3"/>
  <c r="O83" i="3"/>
  <c r="O360" i="3"/>
  <c r="B360" i="3"/>
  <c r="N364" i="3" l="1"/>
  <c r="M365" i="3"/>
  <c r="N87" i="3"/>
  <c r="M88" i="3"/>
  <c r="N230" i="3"/>
  <c r="M231" i="3"/>
  <c r="O361" i="3"/>
  <c r="D360" i="3"/>
  <c r="D83" i="3"/>
  <c r="O84" i="3"/>
  <c r="O227" i="3"/>
  <c r="D226" i="3"/>
  <c r="N231" i="3" l="1"/>
  <c r="M235" i="3"/>
  <c r="N88" i="3"/>
  <c r="M91" i="3"/>
  <c r="N365" i="3"/>
  <c r="M369" i="3"/>
  <c r="O230" i="3"/>
  <c r="B230" i="3"/>
  <c r="B87" i="3"/>
  <c r="O87" i="3"/>
  <c r="B364" i="3"/>
  <c r="O364" i="3"/>
  <c r="N369" i="3" l="1"/>
  <c r="M373" i="3"/>
  <c r="N91" i="3"/>
  <c r="M92" i="3"/>
  <c r="N235" i="3"/>
  <c r="M239" i="3"/>
  <c r="D364" i="3"/>
  <c r="O365" i="3"/>
  <c r="D87" i="3"/>
  <c r="O88" i="3"/>
  <c r="D230" i="3"/>
  <c r="O231" i="3"/>
  <c r="N239" i="3" l="1"/>
  <c r="M242" i="3"/>
  <c r="N92" i="3"/>
  <c r="M95" i="3"/>
  <c r="N373" i="3"/>
  <c r="M376" i="3"/>
  <c r="D234" i="3"/>
  <c r="F234" i="3" s="1"/>
  <c r="O235" i="3"/>
  <c r="O91" i="3"/>
  <c r="B91" i="3"/>
  <c r="D368" i="3"/>
  <c r="F368" i="3" s="1"/>
  <c r="O369" i="3"/>
  <c r="N376" i="3" l="1"/>
  <c r="M377" i="3"/>
  <c r="N95" i="3"/>
  <c r="M96" i="3"/>
  <c r="N242" i="3"/>
  <c r="M243" i="3"/>
  <c r="Q368" i="3"/>
  <c r="B370" i="3"/>
  <c r="Q234" i="3"/>
  <c r="B236" i="3"/>
  <c r="D372" i="3"/>
  <c r="F372" i="3" s="1"/>
  <c r="O373" i="3"/>
  <c r="D91" i="3"/>
  <c r="O92" i="3"/>
  <c r="O239" i="3"/>
  <c r="D238" i="3"/>
  <c r="F238" i="3" s="1"/>
  <c r="N243" i="3" l="1"/>
  <c r="M246" i="3"/>
  <c r="N96" i="3"/>
  <c r="M99" i="3"/>
  <c r="N377" i="3"/>
  <c r="M380" i="3"/>
  <c r="Q238" i="3"/>
  <c r="D236" i="3"/>
  <c r="Q372" i="3"/>
  <c r="D370" i="3"/>
  <c r="O242" i="3"/>
  <c r="B242" i="3"/>
  <c r="O95" i="3"/>
  <c r="B95" i="3"/>
  <c r="O376" i="3"/>
  <c r="B376" i="3"/>
  <c r="N380" i="3" l="1"/>
  <c r="M381" i="3"/>
  <c r="N99" i="3"/>
  <c r="M100" i="3"/>
  <c r="N246" i="3"/>
  <c r="M247" i="3"/>
  <c r="O377" i="3"/>
  <c r="D376" i="3"/>
  <c r="O96" i="3"/>
  <c r="D95" i="3"/>
  <c r="O243" i="3"/>
  <c r="D242" i="3"/>
  <c r="N247" i="3" l="1"/>
  <c r="M250" i="3"/>
  <c r="N100" i="3"/>
  <c r="M104" i="3"/>
  <c r="N381" i="3"/>
  <c r="M385" i="3"/>
  <c r="B246" i="3"/>
  <c r="O246" i="3"/>
  <c r="B99" i="3"/>
  <c r="O99" i="3"/>
  <c r="B380" i="3"/>
  <c r="O380" i="3"/>
  <c r="N385" i="3" l="1"/>
  <c r="M389" i="3"/>
  <c r="N104" i="3"/>
  <c r="M107" i="3"/>
  <c r="N250" i="3"/>
  <c r="M251" i="3"/>
  <c r="O381" i="3"/>
  <c r="D380" i="3"/>
  <c r="D99" i="3"/>
  <c r="O100" i="3"/>
  <c r="O247" i="3"/>
  <c r="D246" i="3"/>
  <c r="N251" i="3" l="1"/>
  <c r="M255" i="3"/>
  <c r="N107" i="3"/>
  <c r="M108" i="3"/>
  <c r="N389" i="3"/>
  <c r="M392" i="3"/>
  <c r="B250" i="3"/>
  <c r="O250" i="3"/>
  <c r="O104" i="3"/>
  <c r="D103" i="3"/>
  <c r="F103" i="3" s="1"/>
  <c r="D384" i="3"/>
  <c r="F384" i="3" s="1"/>
  <c r="O385" i="3"/>
  <c r="B386" i="3" l="1"/>
  <c r="Q384" i="3"/>
  <c r="D101" i="3"/>
  <c r="Q103" i="3"/>
  <c r="N392" i="3"/>
  <c r="M393" i="3"/>
  <c r="N108" i="3"/>
  <c r="M111" i="3"/>
  <c r="N255" i="3"/>
  <c r="M258" i="3"/>
  <c r="O389" i="3"/>
  <c r="D388" i="3"/>
  <c r="F388" i="3" s="1"/>
  <c r="O107" i="3"/>
  <c r="B107" i="3"/>
  <c r="D250" i="3"/>
  <c r="O251" i="3"/>
  <c r="Q388" i="3" l="1"/>
  <c r="D386" i="3"/>
  <c r="N258" i="3"/>
  <c r="M259" i="3"/>
  <c r="N111" i="3"/>
  <c r="M112" i="3"/>
  <c r="N393" i="3"/>
  <c r="M396" i="3"/>
  <c r="D254" i="3"/>
  <c r="F254" i="3" s="1"/>
  <c r="O255" i="3"/>
  <c r="O108" i="3"/>
  <c r="D107" i="3"/>
  <c r="B392" i="3"/>
  <c r="O392" i="3"/>
  <c r="N396" i="3" l="1"/>
  <c r="M397" i="3"/>
  <c r="N112" i="3"/>
  <c r="M115" i="3"/>
  <c r="N259" i="3"/>
  <c r="M262" i="3"/>
  <c r="Q254" i="3"/>
  <c r="D252" i="3"/>
  <c r="D392" i="3"/>
  <c r="O393" i="3"/>
  <c r="B111" i="3"/>
  <c r="O111" i="3"/>
  <c r="B258" i="3"/>
  <c r="O258" i="3"/>
  <c r="N262" i="3" l="1"/>
  <c r="M263" i="3"/>
  <c r="N115" i="3"/>
  <c r="M116" i="3"/>
  <c r="N397" i="3"/>
  <c r="M401" i="3"/>
  <c r="O259" i="3"/>
  <c r="D258" i="3"/>
  <c r="D111" i="3"/>
  <c r="O112" i="3"/>
  <c r="O396" i="3"/>
  <c r="B396" i="3"/>
  <c r="N401" i="3" l="1"/>
  <c r="M405" i="3"/>
  <c r="N405" i="3" s="1"/>
  <c r="N116" i="3"/>
  <c r="M119" i="3"/>
  <c r="N263" i="3"/>
  <c r="M267" i="3"/>
  <c r="D396" i="3"/>
  <c r="O397" i="3"/>
  <c r="O115" i="3"/>
  <c r="B115" i="3"/>
  <c r="O262" i="3"/>
  <c r="B262" i="3"/>
  <c r="N267" i="3" l="1"/>
  <c r="M271" i="3"/>
  <c r="N271" i="3" s="1"/>
  <c r="N119" i="3"/>
  <c r="M120" i="3"/>
  <c r="O405" i="3"/>
  <c r="D404" i="3"/>
  <c r="F404" i="3" s="1"/>
  <c r="O263" i="3"/>
  <c r="D262" i="3"/>
  <c r="D115" i="3"/>
  <c r="O116" i="3"/>
  <c r="O401" i="3"/>
  <c r="D400" i="3"/>
  <c r="F400" i="3" s="1"/>
  <c r="Q400" i="3" l="1"/>
  <c r="B402" i="3"/>
  <c r="Q404" i="3"/>
  <c r="D402" i="3"/>
  <c r="N120" i="3"/>
  <c r="M123" i="3"/>
  <c r="D270" i="3"/>
  <c r="F270" i="3" s="1"/>
  <c r="O271" i="3"/>
  <c r="B119" i="3"/>
  <c r="O119" i="3"/>
  <c r="D266" i="3"/>
  <c r="F266" i="3" s="1"/>
  <c r="O267" i="3"/>
  <c r="N123" i="3" l="1"/>
  <c r="M124" i="3"/>
  <c r="Q266" i="3"/>
  <c r="B268" i="3"/>
  <c r="D268" i="3"/>
  <c r="Q270" i="3"/>
  <c r="O120" i="3"/>
  <c r="D119" i="3"/>
  <c r="N124" i="3" l="1"/>
  <c r="M127" i="3"/>
  <c r="O123" i="3"/>
  <c r="B123" i="3"/>
  <c r="N127" i="3" l="1"/>
  <c r="M128" i="3"/>
  <c r="D123" i="3"/>
  <c r="O124" i="3"/>
  <c r="N128" i="3" l="1"/>
  <c r="M131" i="3"/>
  <c r="O127" i="3"/>
  <c r="B127" i="3"/>
  <c r="N131" i="3" l="1"/>
  <c r="M132" i="3"/>
  <c r="O128" i="3"/>
  <c r="D127" i="3"/>
  <c r="N132" i="3" l="1"/>
  <c r="M136" i="3"/>
  <c r="N136" i="3" s="1"/>
  <c r="O131" i="3"/>
  <c r="B131" i="3"/>
  <c r="D135" i="3" l="1"/>
  <c r="F135" i="3" s="1"/>
  <c r="O136" i="3"/>
  <c r="D131" i="3"/>
  <c r="O132" i="3"/>
  <c r="D133" i="3" l="1"/>
  <c r="Q135" i="3"/>
</calcChain>
</file>

<file path=xl/comments1.xml><?xml version="1.0" encoding="utf-8"?>
<comments xmlns="http://schemas.openxmlformats.org/spreadsheetml/2006/main">
  <authors>
    <author>Marek Łysakowski</author>
  </authors>
  <commentList>
    <comment ref="O6" authorId="0">
      <text>
        <r>
          <rPr>
            <b/>
            <sz val="10"/>
            <color indexed="81"/>
            <rFont val="Times New Roman CE"/>
            <family val="1"/>
            <charset val="238"/>
          </rPr>
          <t>Wpisz nr grupy.</t>
        </r>
        <r>
          <rPr>
            <sz val="8"/>
            <color indexed="81"/>
            <rFont val="Tahoma"/>
            <family val="2"/>
            <charset val="238"/>
          </rPr>
          <t xml:space="preserve">
</t>
        </r>
      </text>
    </comment>
    <comment ref="S10" authorId="0">
      <text>
        <r>
          <rPr>
            <b/>
            <sz val="14"/>
            <color indexed="81"/>
            <rFont val="Times New Roman"/>
            <family val="1"/>
          </rPr>
          <t xml:space="preserve">wpisz nr gry
</t>
        </r>
        <r>
          <rPr>
            <sz val="8"/>
            <color indexed="81"/>
            <rFont val="Tahoma"/>
            <family val="2"/>
            <charset val="238"/>
          </rPr>
          <t xml:space="preserve">
</t>
        </r>
      </text>
    </comment>
    <comment ref="S11" authorId="0">
      <text>
        <r>
          <rPr>
            <b/>
            <sz val="14"/>
            <color indexed="81"/>
            <rFont val="Times New Roman"/>
            <family val="1"/>
          </rPr>
          <t xml:space="preserve">wpisz nr gry
</t>
        </r>
        <r>
          <rPr>
            <sz val="8"/>
            <color indexed="81"/>
            <rFont val="Tahoma"/>
            <family val="2"/>
            <charset val="238"/>
          </rPr>
          <t xml:space="preserve">
</t>
        </r>
      </text>
    </comment>
    <comment ref="S12" authorId="0">
      <text>
        <r>
          <rPr>
            <b/>
            <sz val="14"/>
            <color indexed="81"/>
            <rFont val="Times New Roman"/>
            <family val="1"/>
          </rPr>
          <t xml:space="preserve">wpisz nr gry
</t>
        </r>
        <r>
          <rPr>
            <sz val="8"/>
            <color indexed="81"/>
            <rFont val="Tahoma"/>
            <family val="2"/>
            <charset val="238"/>
          </rPr>
          <t xml:space="preserve">
</t>
        </r>
      </text>
    </comment>
    <comment ref="O17" authorId="0">
      <text>
        <r>
          <rPr>
            <b/>
            <sz val="10"/>
            <color indexed="81"/>
            <rFont val="Times New Roman CE"/>
            <family val="1"/>
            <charset val="238"/>
          </rPr>
          <t>Wpisz nr grupy.</t>
        </r>
        <r>
          <rPr>
            <sz val="8"/>
            <color indexed="81"/>
            <rFont val="Tahoma"/>
            <family val="2"/>
            <charset val="238"/>
          </rPr>
          <t xml:space="preserve">
</t>
        </r>
      </text>
    </comment>
    <comment ref="S21" authorId="0">
      <text>
        <r>
          <rPr>
            <b/>
            <sz val="14"/>
            <color indexed="81"/>
            <rFont val="Times New Roman"/>
            <family val="1"/>
          </rPr>
          <t xml:space="preserve">wpisz nr gry
</t>
        </r>
        <r>
          <rPr>
            <sz val="8"/>
            <color indexed="81"/>
            <rFont val="Tahoma"/>
            <family val="2"/>
            <charset val="238"/>
          </rPr>
          <t xml:space="preserve">
</t>
        </r>
      </text>
    </comment>
    <comment ref="S22" authorId="0">
      <text>
        <r>
          <rPr>
            <b/>
            <sz val="14"/>
            <color indexed="81"/>
            <rFont val="Times New Roman"/>
            <family val="1"/>
          </rPr>
          <t xml:space="preserve">wpisz nr gry
</t>
        </r>
        <r>
          <rPr>
            <sz val="8"/>
            <color indexed="81"/>
            <rFont val="Tahoma"/>
            <family val="2"/>
            <charset val="238"/>
          </rPr>
          <t xml:space="preserve">
</t>
        </r>
      </text>
    </comment>
    <comment ref="S23" authorId="0">
      <text>
        <r>
          <rPr>
            <b/>
            <sz val="14"/>
            <color indexed="81"/>
            <rFont val="Times New Roman"/>
            <family val="1"/>
          </rPr>
          <t xml:space="preserve">wpisz nr gry
</t>
        </r>
        <r>
          <rPr>
            <sz val="8"/>
            <color indexed="81"/>
            <rFont val="Tahoma"/>
            <family val="2"/>
            <charset val="238"/>
          </rPr>
          <t xml:space="preserve">
</t>
        </r>
      </text>
    </comment>
    <comment ref="O28" authorId="0">
      <text>
        <r>
          <rPr>
            <b/>
            <sz val="10"/>
            <color indexed="81"/>
            <rFont val="Times New Roman CE"/>
            <family val="1"/>
            <charset val="238"/>
          </rPr>
          <t>Wpisz nr grupy.</t>
        </r>
        <r>
          <rPr>
            <sz val="8"/>
            <color indexed="81"/>
            <rFont val="Tahoma"/>
            <family val="2"/>
            <charset val="238"/>
          </rPr>
          <t xml:space="preserve">
</t>
        </r>
      </text>
    </comment>
    <comment ref="S32" authorId="0">
      <text>
        <r>
          <rPr>
            <b/>
            <sz val="14"/>
            <color indexed="81"/>
            <rFont val="Times New Roman"/>
            <family val="1"/>
          </rPr>
          <t xml:space="preserve">wpisz nr gry
</t>
        </r>
        <r>
          <rPr>
            <sz val="8"/>
            <color indexed="81"/>
            <rFont val="Tahoma"/>
            <family val="2"/>
            <charset val="238"/>
          </rPr>
          <t xml:space="preserve">
</t>
        </r>
      </text>
    </comment>
    <comment ref="S33" authorId="0">
      <text>
        <r>
          <rPr>
            <b/>
            <sz val="14"/>
            <color indexed="81"/>
            <rFont val="Times New Roman"/>
            <family val="1"/>
          </rPr>
          <t xml:space="preserve">wpisz nr gry
</t>
        </r>
        <r>
          <rPr>
            <sz val="8"/>
            <color indexed="81"/>
            <rFont val="Tahoma"/>
            <family val="2"/>
            <charset val="238"/>
          </rPr>
          <t xml:space="preserve">
</t>
        </r>
      </text>
    </comment>
    <comment ref="S34" authorId="0">
      <text>
        <r>
          <rPr>
            <b/>
            <sz val="14"/>
            <color indexed="81"/>
            <rFont val="Times New Roman"/>
            <family val="1"/>
          </rPr>
          <t xml:space="preserve">wpisz nr gry
</t>
        </r>
        <r>
          <rPr>
            <sz val="8"/>
            <color indexed="81"/>
            <rFont val="Tahoma"/>
            <family val="2"/>
            <charset val="238"/>
          </rPr>
          <t xml:space="preserve">
</t>
        </r>
      </text>
    </comment>
    <comment ref="O39" authorId="0">
      <text>
        <r>
          <rPr>
            <b/>
            <sz val="10"/>
            <color indexed="81"/>
            <rFont val="Times New Roman CE"/>
            <family val="1"/>
            <charset val="238"/>
          </rPr>
          <t>Wpisz nr grupy.</t>
        </r>
        <r>
          <rPr>
            <sz val="8"/>
            <color indexed="81"/>
            <rFont val="Tahoma"/>
            <family val="2"/>
            <charset val="238"/>
          </rPr>
          <t xml:space="preserve">
</t>
        </r>
      </text>
    </comment>
    <comment ref="S43" authorId="0">
      <text>
        <r>
          <rPr>
            <b/>
            <sz val="14"/>
            <color indexed="81"/>
            <rFont val="Times New Roman"/>
            <family val="1"/>
          </rPr>
          <t xml:space="preserve">wpisz nr gry
</t>
        </r>
        <r>
          <rPr>
            <sz val="8"/>
            <color indexed="81"/>
            <rFont val="Tahoma"/>
            <family val="2"/>
            <charset val="238"/>
          </rPr>
          <t xml:space="preserve">
</t>
        </r>
      </text>
    </comment>
    <comment ref="S44" authorId="0">
      <text>
        <r>
          <rPr>
            <b/>
            <sz val="14"/>
            <color indexed="81"/>
            <rFont val="Times New Roman"/>
            <family val="1"/>
          </rPr>
          <t xml:space="preserve">wpisz nr gry
</t>
        </r>
        <r>
          <rPr>
            <sz val="8"/>
            <color indexed="81"/>
            <rFont val="Tahoma"/>
            <family val="2"/>
            <charset val="238"/>
          </rPr>
          <t xml:space="preserve">
</t>
        </r>
      </text>
    </comment>
    <comment ref="S45" authorId="0">
      <text>
        <r>
          <rPr>
            <b/>
            <sz val="14"/>
            <color indexed="81"/>
            <rFont val="Times New Roman"/>
            <family val="1"/>
          </rPr>
          <t xml:space="preserve">wpisz nr gry
</t>
        </r>
        <r>
          <rPr>
            <sz val="8"/>
            <color indexed="81"/>
            <rFont val="Tahoma"/>
            <family val="2"/>
            <charset val="238"/>
          </rPr>
          <t xml:space="preserve">
</t>
        </r>
      </text>
    </comment>
    <comment ref="O50" authorId="0">
      <text>
        <r>
          <rPr>
            <b/>
            <sz val="10"/>
            <color indexed="81"/>
            <rFont val="Times New Roman CE"/>
            <family val="1"/>
            <charset val="238"/>
          </rPr>
          <t>Wpisz nr grupy.</t>
        </r>
        <r>
          <rPr>
            <sz val="8"/>
            <color indexed="81"/>
            <rFont val="Tahoma"/>
            <family val="2"/>
            <charset val="238"/>
          </rPr>
          <t xml:space="preserve">
</t>
        </r>
      </text>
    </comment>
    <comment ref="S54" authorId="0">
      <text>
        <r>
          <rPr>
            <b/>
            <sz val="14"/>
            <color indexed="81"/>
            <rFont val="Times New Roman"/>
            <family val="1"/>
          </rPr>
          <t xml:space="preserve">wpisz nr gry
</t>
        </r>
        <r>
          <rPr>
            <sz val="8"/>
            <color indexed="81"/>
            <rFont val="Tahoma"/>
            <family val="2"/>
            <charset val="238"/>
          </rPr>
          <t xml:space="preserve">
</t>
        </r>
      </text>
    </comment>
    <comment ref="S55" authorId="0">
      <text>
        <r>
          <rPr>
            <b/>
            <sz val="14"/>
            <color indexed="81"/>
            <rFont val="Times New Roman"/>
            <family val="1"/>
          </rPr>
          <t xml:space="preserve">wpisz nr gry
</t>
        </r>
        <r>
          <rPr>
            <sz val="8"/>
            <color indexed="81"/>
            <rFont val="Tahoma"/>
            <family val="2"/>
            <charset val="238"/>
          </rPr>
          <t xml:space="preserve">
</t>
        </r>
      </text>
    </comment>
    <comment ref="S56" authorId="0">
      <text>
        <r>
          <rPr>
            <b/>
            <sz val="14"/>
            <color indexed="81"/>
            <rFont val="Times New Roman"/>
            <family val="1"/>
          </rPr>
          <t xml:space="preserve">wpisz nr gry
</t>
        </r>
        <r>
          <rPr>
            <sz val="8"/>
            <color indexed="81"/>
            <rFont val="Tahoma"/>
            <family val="2"/>
            <charset val="238"/>
          </rPr>
          <t xml:space="preserve">
</t>
        </r>
      </text>
    </comment>
    <comment ref="O61" authorId="0">
      <text>
        <r>
          <rPr>
            <b/>
            <sz val="10"/>
            <color indexed="81"/>
            <rFont val="Times New Roman CE"/>
            <family val="1"/>
            <charset val="238"/>
          </rPr>
          <t>Wpisz nr grupy.</t>
        </r>
        <r>
          <rPr>
            <sz val="8"/>
            <color indexed="81"/>
            <rFont val="Tahoma"/>
            <family val="2"/>
            <charset val="238"/>
          </rPr>
          <t xml:space="preserve">
</t>
        </r>
      </text>
    </comment>
    <comment ref="S65" authorId="0">
      <text>
        <r>
          <rPr>
            <b/>
            <sz val="14"/>
            <color indexed="81"/>
            <rFont val="Times New Roman"/>
            <family val="1"/>
          </rPr>
          <t xml:space="preserve">wpisz nr gry
</t>
        </r>
        <r>
          <rPr>
            <sz val="8"/>
            <color indexed="81"/>
            <rFont val="Tahoma"/>
            <family val="2"/>
            <charset val="238"/>
          </rPr>
          <t xml:space="preserve">
</t>
        </r>
      </text>
    </comment>
    <comment ref="S66" authorId="0">
      <text>
        <r>
          <rPr>
            <b/>
            <sz val="14"/>
            <color indexed="81"/>
            <rFont val="Times New Roman"/>
            <family val="1"/>
          </rPr>
          <t xml:space="preserve">wpisz nr gry
</t>
        </r>
        <r>
          <rPr>
            <sz val="8"/>
            <color indexed="81"/>
            <rFont val="Tahoma"/>
            <family val="2"/>
            <charset val="238"/>
          </rPr>
          <t xml:space="preserve">
</t>
        </r>
      </text>
    </comment>
    <comment ref="S67" authorId="0">
      <text>
        <r>
          <rPr>
            <b/>
            <sz val="14"/>
            <color indexed="81"/>
            <rFont val="Times New Roman"/>
            <family val="1"/>
          </rPr>
          <t xml:space="preserve">wpisz nr gry
</t>
        </r>
        <r>
          <rPr>
            <sz val="8"/>
            <color indexed="81"/>
            <rFont val="Tahoma"/>
            <family val="2"/>
            <charset val="238"/>
          </rPr>
          <t xml:space="preserve">
</t>
        </r>
      </text>
    </comment>
    <comment ref="N73" authorId="0">
      <text>
        <r>
          <rPr>
            <b/>
            <sz val="10"/>
            <color indexed="81"/>
            <rFont val="Times New Roman CE"/>
            <family val="1"/>
            <charset val="238"/>
          </rPr>
          <t>Dla systemu grupowo-pucharowego wpisz miejsce w grupie.</t>
        </r>
      </text>
    </comment>
    <comment ref="O73" authorId="0">
      <text>
        <r>
          <rPr>
            <b/>
            <sz val="10"/>
            <color indexed="81"/>
            <rFont val="Times New Roman CE"/>
            <family val="1"/>
            <charset val="238"/>
          </rPr>
          <t>Dla systemu pucharowego wpisz ilość zawodników.
Dla systemu grupowo-pucharowego wpisz ilość grup.</t>
        </r>
      </text>
    </comment>
    <comment ref="W75" authorId="0">
      <text>
        <r>
          <rPr>
            <b/>
            <sz val="14"/>
            <color indexed="81"/>
            <rFont val="Times New Roman"/>
            <family val="1"/>
          </rPr>
          <t xml:space="preserve">wpisz nr gry
</t>
        </r>
        <r>
          <rPr>
            <sz val="8"/>
            <color indexed="81"/>
            <rFont val="Tahoma"/>
            <family val="2"/>
            <charset val="238"/>
          </rPr>
          <t xml:space="preserve">
</t>
        </r>
      </text>
    </comment>
    <comment ref="Z77" authorId="0">
      <text>
        <r>
          <rPr>
            <b/>
            <sz val="14"/>
            <color indexed="81"/>
            <rFont val="Times New Roman"/>
            <family val="1"/>
          </rPr>
          <t xml:space="preserve">wpisz nr gry
</t>
        </r>
        <r>
          <rPr>
            <sz val="8"/>
            <color indexed="81"/>
            <rFont val="Tahoma"/>
            <family val="2"/>
            <charset val="238"/>
          </rPr>
          <t xml:space="preserve">
</t>
        </r>
      </text>
    </comment>
    <comment ref="W79" authorId="0">
      <text>
        <r>
          <rPr>
            <b/>
            <sz val="14"/>
            <color indexed="81"/>
            <rFont val="Times New Roman"/>
            <family val="1"/>
          </rPr>
          <t xml:space="preserve">wpisz nr gry
</t>
        </r>
        <r>
          <rPr>
            <sz val="8"/>
            <color indexed="81"/>
            <rFont val="Tahoma"/>
            <family val="2"/>
            <charset val="238"/>
          </rPr>
          <t xml:space="preserve">
</t>
        </r>
      </text>
    </comment>
    <comment ref="AC81" authorId="0">
      <text>
        <r>
          <rPr>
            <b/>
            <sz val="14"/>
            <color indexed="81"/>
            <rFont val="Times New Roman"/>
            <family val="1"/>
          </rPr>
          <t xml:space="preserve">wpisz nr gry
</t>
        </r>
        <r>
          <rPr>
            <sz val="8"/>
            <color indexed="81"/>
            <rFont val="Tahoma"/>
            <family val="2"/>
            <charset val="238"/>
          </rPr>
          <t xml:space="preserve">
</t>
        </r>
      </text>
    </comment>
    <comment ref="W83" authorId="0">
      <text>
        <r>
          <rPr>
            <b/>
            <sz val="14"/>
            <color indexed="81"/>
            <rFont val="Times New Roman"/>
            <family val="1"/>
          </rPr>
          <t xml:space="preserve">wpisz nr gry
</t>
        </r>
        <r>
          <rPr>
            <sz val="8"/>
            <color indexed="81"/>
            <rFont val="Tahoma"/>
            <family val="2"/>
            <charset val="238"/>
          </rPr>
          <t xml:space="preserve">
</t>
        </r>
      </text>
    </comment>
    <comment ref="Z85" authorId="0">
      <text>
        <r>
          <rPr>
            <b/>
            <sz val="14"/>
            <color indexed="81"/>
            <rFont val="Times New Roman"/>
            <family val="1"/>
          </rPr>
          <t xml:space="preserve">wpisz nr gry
</t>
        </r>
        <r>
          <rPr>
            <sz val="8"/>
            <color indexed="81"/>
            <rFont val="Tahoma"/>
            <family val="2"/>
            <charset val="238"/>
          </rPr>
          <t xml:space="preserve">
</t>
        </r>
      </text>
    </comment>
    <comment ref="W87" authorId="0">
      <text>
        <r>
          <rPr>
            <b/>
            <sz val="14"/>
            <color indexed="81"/>
            <rFont val="Times New Roman"/>
            <family val="1"/>
          </rPr>
          <t xml:space="preserve">wpisz nr gry
</t>
        </r>
        <r>
          <rPr>
            <sz val="8"/>
            <color indexed="81"/>
            <rFont val="Tahoma"/>
            <family val="2"/>
            <charset val="238"/>
          </rPr>
          <t xml:space="preserve">
</t>
        </r>
      </text>
    </comment>
    <comment ref="O92" authorId="0">
      <text>
        <r>
          <rPr>
            <b/>
            <sz val="10"/>
            <color indexed="81"/>
            <rFont val="Times New Roman CE"/>
            <family val="1"/>
            <charset val="238"/>
          </rPr>
          <t>Wpisz nr grupy.</t>
        </r>
        <r>
          <rPr>
            <sz val="8"/>
            <color indexed="81"/>
            <rFont val="Tahoma"/>
            <family val="2"/>
            <charset val="238"/>
          </rPr>
          <t xml:space="preserve">
</t>
        </r>
      </text>
    </comment>
    <comment ref="S96" authorId="0">
      <text>
        <r>
          <rPr>
            <b/>
            <sz val="14"/>
            <color indexed="81"/>
            <rFont val="Times New Roman"/>
            <family val="1"/>
          </rPr>
          <t xml:space="preserve">wpisz nr gry
</t>
        </r>
        <r>
          <rPr>
            <sz val="8"/>
            <color indexed="81"/>
            <rFont val="Tahoma"/>
            <family val="2"/>
            <charset val="238"/>
          </rPr>
          <t xml:space="preserve">
</t>
        </r>
      </text>
    </comment>
    <comment ref="S97" authorId="0">
      <text>
        <r>
          <rPr>
            <b/>
            <sz val="14"/>
            <color indexed="81"/>
            <rFont val="Times New Roman"/>
            <family val="1"/>
          </rPr>
          <t xml:space="preserve">wpisz nr gry
</t>
        </r>
        <r>
          <rPr>
            <sz val="8"/>
            <color indexed="81"/>
            <rFont val="Tahoma"/>
            <family val="2"/>
            <charset val="238"/>
          </rPr>
          <t xml:space="preserve">
</t>
        </r>
      </text>
    </comment>
    <comment ref="S98" authorId="0">
      <text>
        <r>
          <rPr>
            <b/>
            <sz val="14"/>
            <color indexed="81"/>
            <rFont val="Times New Roman"/>
            <family val="1"/>
          </rPr>
          <t xml:space="preserve">wpisz nr gry
</t>
        </r>
        <r>
          <rPr>
            <sz val="8"/>
            <color indexed="81"/>
            <rFont val="Tahoma"/>
            <family val="2"/>
            <charset val="238"/>
          </rPr>
          <t xml:space="preserve">
</t>
        </r>
      </text>
    </comment>
    <comment ref="O103" authorId="0">
      <text>
        <r>
          <rPr>
            <b/>
            <sz val="10"/>
            <color indexed="81"/>
            <rFont val="Times New Roman CE"/>
            <family val="1"/>
            <charset val="238"/>
          </rPr>
          <t>Wpisz nr grupy.</t>
        </r>
        <r>
          <rPr>
            <sz val="8"/>
            <color indexed="81"/>
            <rFont val="Tahoma"/>
            <family val="2"/>
            <charset val="238"/>
          </rPr>
          <t xml:space="preserve">
</t>
        </r>
      </text>
    </comment>
    <comment ref="S107" authorId="0">
      <text>
        <r>
          <rPr>
            <b/>
            <sz val="14"/>
            <color indexed="81"/>
            <rFont val="Times New Roman"/>
            <family val="1"/>
          </rPr>
          <t xml:space="preserve">wpisz nr gry
</t>
        </r>
        <r>
          <rPr>
            <sz val="8"/>
            <color indexed="81"/>
            <rFont val="Tahoma"/>
            <family val="2"/>
            <charset val="238"/>
          </rPr>
          <t xml:space="preserve">
</t>
        </r>
      </text>
    </comment>
    <comment ref="S108" authorId="0">
      <text>
        <r>
          <rPr>
            <b/>
            <sz val="14"/>
            <color indexed="81"/>
            <rFont val="Times New Roman"/>
            <family val="1"/>
          </rPr>
          <t xml:space="preserve">wpisz nr gry
</t>
        </r>
        <r>
          <rPr>
            <sz val="8"/>
            <color indexed="81"/>
            <rFont val="Tahoma"/>
            <family val="2"/>
            <charset val="238"/>
          </rPr>
          <t xml:space="preserve">
</t>
        </r>
      </text>
    </comment>
    <comment ref="S109" authorId="0">
      <text>
        <r>
          <rPr>
            <b/>
            <sz val="14"/>
            <color indexed="81"/>
            <rFont val="Times New Roman"/>
            <family val="1"/>
          </rPr>
          <t xml:space="preserve">wpisz nr gry
</t>
        </r>
        <r>
          <rPr>
            <sz val="8"/>
            <color indexed="81"/>
            <rFont val="Tahoma"/>
            <family val="2"/>
            <charset val="238"/>
          </rPr>
          <t xml:space="preserve">
</t>
        </r>
      </text>
    </comment>
    <comment ref="O114" authorId="0">
      <text>
        <r>
          <rPr>
            <b/>
            <sz val="10"/>
            <color indexed="81"/>
            <rFont val="Times New Roman CE"/>
            <family val="1"/>
            <charset val="238"/>
          </rPr>
          <t>Wpisz nr grupy.</t>
        </r>
        <r>
          <rPr>
            <sz val="8"/>
            <color indexed="81"/>
            <rFont val="Tahoma"/>
            <family val="2"/>
            <charset val="238"/>
          </rPr>
          <t xml:space="preserve">
</t>
        </r>
      </text>
    </comment>
    <comment ref="S118" authorId="0">
      <text>
        <r>
          <rPr>
            <b/>
            <sz val="14"/>
            <color indexed="81"/>
            <rFont val="Times New Roman"/>
            <family val="1"/>
          </rPr>
          <t xml:space="preserve">wpisz nr gry
</t>
        </r>
        <r>
          <rPr>
            <sz val="8"/>
            <color indexed="81"/>
            <rFont val="Tahoma"/>
            <family val="2"/>
            <charset val="238"/>
          </rPr>
          <t xml:space="preserve">
</t>
        </r>
      </text>
    </comment>
    <comment ref="S119" authorId="0">
      <text>
        <r>
          <rPr>
            <b/>
            <sz val="14"/>
            <color indexed="81"/>
            <rFont val="Times New Roman"/>
            <family val="1"/>
          </rPr>
          <t xml:space="preserve">wpisz nr gry
</t>
        </r>
        <r>
          <rPr>
            <sz val="8"/>
            <color indexed="81"/>
            <rFont val="Tahoma"/>
            <family val="2"/>
            <charset val="238"/>
          </rPr>
          <t xml:space="preserve">
</t>
        </r>
      </text>
    </comment>
    <comment ref="S120" authorId="0">
      <text>
        <r>
          <rPr>
            <b/>
            <sz val="14"/>
            <color indexed="81"/>
            <rFont val="Times New Roman"/>
            <family val="1"/>
          </rPr>
          <t xml:space="preserve">wpisz nr gry
</t>
        </r>
        <r>
          <rPr>
            <sz val="8"/>
            <color indexed="81"/>
            <rFont val="Tahoma"/>
            <family val="2"/>
            <charset val="238"/>
          </rPr>
          <t xml:space="preserve">
</t>
        </r>
      </text>
    </comment>
    <comment ref="O125" authorId="0">
      <text>
        <r>
          <rPr>
            <b/>
            <sz val="10"/>
            <color indexed="81"/>
            <rFont val="Times New Roman CE"/>
            <family val="1"/>
            <charset val="238"/>
          </rPr>
          <t>Wpisz nr grupy.</t>
        </r>
        <r>
          <rPr>
            <sz val="8"/>
            <color indexed="81"/>
            <rFont val="Tahoma"/>
            <family val="2"/>
            <charset val="238"/>
          </rPr>
          <t xml:space="preserve">
</t>
        </r>
      </text>
    </comment>
    <comment ref="S129" authorId="0">
      <text>
        <r>
          <rPr>
            <b/>
            <sz val="14"/>
            <color indexed="81"/>
            <rFont val="Times New Roman"/>
            <family val="1"/>
          </rPr>
          <t xml:space="preserve">wpisz nr gry
</t>
        </r>
        <r>
          <rPr>
            <sz val="8"/>
            <color indexed="81"/>
            <rFont val="Tahoma"/>
            <family val="2"/>
            <charset val="238"/>
          </rPr>
          <t xml:space="preserve">
</t>
        </r>
      </text>
    </comment>
    <comment ref="S130" authorId="0">
      <text>
        <r>
          <rPr>
            <b/>
            <sz val="14"/>
            <color indexed="81"/>
            <rFont val="Times New Roman"/>
            <family val="1"/>
          </rPr>
          <t xml:space="preserve">wpisz nr gry
</t>
        </r>
        <r>
          <rPr>
            <sz val="8"/>
            <color indexed="81"/>
            <rFont val="Tahoma"/>
            <family val="2"/>
            <charset val="238"/>
          </rPr>
          <t xml:space="preserve">
</t>
        </r>
      </text>
    </comment>
    <comment ref="S131" authorId="0">
      <text>
        <r>
          <rPr>
            <b/>
            <sz val="14"/>
            <color indexed="81"/>
            <rFont val="Times New Roman"/>
            <family val="1"/>
          </rPr>
          <t xml:space="preserve">wpisz nr gry
</t>
        </r>
        <r>
          <rPr>
            <sz val="8"/>
            <color indexed="81"/>
            <rFont val="Tahoma"/>
            <family val="2"/>
            <charset val="238"/>
          </rPr>
          <t xml:space="preserve">
</t>
        </r>
      </text>
    </comment>
    <comment ref="O136" authorId="0">
      <text>
        <r>
          <rPr>
            <b/>
            <sz val="10"/>
            <color indexed="81"/>
            <rFont val="Times New Roman CE"/>
            <family val="1"/>
            <charset val="238"/>
          </rPr>
          <t>Wpisz nr grupy.</t>
        </r>
        <r>
          <rPr>
            <sz val="8"/>
            <color indexed="81"/>
            <rFont val="Tahoma"/>
            <family val="2"/>
            <charset val="238"/>
          </rPr>
          <t xml:space="preserve">
</t>
        </r>
      </text>
    </comment>
    <comment ref="S140" authorId="0">
      <text>
        <r>
          <rPr>
            <b/>
            <sz val="14"/>
            <color indexed="81"/>
            <rFont val="Times New Roman"/>
            <family val="1"/>
          </rPr>
          <t xml:space="preserve">wpisz nr gry
</t>
        </r>
        <r>
          <rPr>
            <sz val="8"/>
            <color indexed="81"/>
            <rFont val="Tahoma"/>
            <family val="2"/>
            <charset val="238"/>
          </rPr>
          <t xml:space="preserve">
</t>
        </r>
      </text>
    </comment>
    <comment ref="S141" authorId="0">
      <text>
        <r>
          <rPr>
            <b/>
            <sz val="14"/>
            <color indexed="81"/>
            <rFont val="Times New Roman"/>
            <family val="1"/>
          </rPr>
          <t xml:space="preserve">wpisz nr gry
</t>
        </r>
        <r>
          <rPr>
            <sz val="8"/>
            <color indexed="81"/>
            <rFont val="Tahoma"/>
            <family val="2"/>
            <charset val="238"/>
          </rPr>
          <t xml:space="preserve">
</t>
        </r>
      </text>
    </comment>
    <comment ref="S142" authorId="0">
      <text>
        <r>
          <rPr>
            <b/>
            <sz val="14"/>
            <color indexed="81"/>
            <rFont val="Times New Roman"/>
            <family val="1"/>
          </rPr>
          <t xml:space="preserve">wpisz nr gry
</t>
        </r>
        <r>
          <rPr>
            <sz val="8"/>
            <color indexed="81"/>
            <rFont val="Tahoma"/>
            <family val="2"/>
            <charset val="238"/>
          </rPr>
          <t xml:space="preserve">
</t>
        </r>
      </text>
    </comment>
    <comment ref="O147" authorId="0">
      <text>
        <r>
          <rPr>
            <b/>
            <sz val="10"/>
            <color indexed="81"/>
            <rFont val="Times New Roman CE"/>
            <family val="1"/>
            <charset val="238"/>
          </rPr>
          <t>Wpisz nr grupy.</t>
        </r>
        <r>
          <rPr>
            <sz val="8"/>
            <color indexed="81"/>
            <rFont val="Tahoma"/>
            <family val="2"/>
            <charset val="238"/>
          </rPr>
          <t xml:space="preserve">
</t>
        </r>
      </text>
    </comment>
    <comment ref="S151" authorId="0">
      <text>
        <r>
          <rPr>
            <b/>
            <sz val="14"/>
            <color indexed="81"/>
            <rFont val="Times New Roman"/>
            <family val="1"/>
          </rPr>
          <t xml:space="preserve">wpisz nr gry
</t>
        </r>
        <r>
          <rPr>
            <sz val="8"/>
            <color indexed="81"/>
            <rFont val="Tahoma"/>
            <family val="2"/>
            <charset val="238"/>
          </rPr>
          <t xml:space="preserve">
</t>
        </r>
      </text>
    </comment>
    <comment ref="S152" authorId="0">
      <text>
        <r>
          <rPr>
            <b/>
            <sz val="14"/>
            <color indexed="81"/>
            <rFont val="Times New Roman"/>
            <family val="1"/>
          </rPr>
          <t xml:space="preserve">wpisz nr gry
</t>
        </r>
        <r>
          <rPr>
            <sz val="8"/>
            <color indexed="81"/>
            <rFont val="Tahoma"/>
            <family val="2"/>
            <charset val="238"/>
          </rPr>
          <t xml:space="preserve">
</t>
        </r>
      </text>
    </comment>
    <comment ref="S153" authorId="0">
      <text>
        <r>
          <rPr>
            <b/>
            <sz val="14"/>
            <color indexed="81"/>
            <rFont val="Times New Roman"/>
            <family val="1"/>
          </rPr>
          <t xml:space="preserve">wpisz nr gry
</t>
        </r>
        <r>
          <rPr>
            <sz val="8"/>
            <color indexed="81"/>
            <rFont val="Tahoma"/>
            <family val="2"/>
            <charset val="238"/>
          </rPr>
          <t xml:space="preserve">
</t>
        </r>
      </text>
    </comment>
    <comment ref="N159" authorId="0">
      <text>
        <r>
          <rPr>
            <b/>
            <sz val="10"/>
            <color indexed="81"/>
            <rFont val="Times New Roman CE"/>
            <family val="1"/>
            <charset val="238"/>
          </rPr>
          <t>Dla systemu grupowo-pucharowego wpisz miejsce w grupie.</t>
        </r>
      </text>
    </comment>
    <comment ref="O159" authorId="0">
      <text>
        <r>
          <rPr>
            <b/>
            <sz val="10"/>
            <color indexed="81"/>
            <rFont val="Times New Roman CE"/>
            <family val="1"/>
            <charset val="238"/>
          </rPr>
          <t>Dla systemu pucharowego wpisz ilość zawodników.
Dla systemu grupowo-pucharowego wpisz ilość grup.</t>
        </r>
      </text>
    </comment>
    <comment ref="W161" authorId="0">
      <text>
        <r>
          <rPr>
            <b/>
            <sz val="14"/>
            <color indexed="81"/>
            <rFont val="Times New Roman"/>
            <family val="1"/>
          </rPr>
          <t xml:space="preserve">wpisz nr gry
</t>
        </r>
        <r>
          <rPr>
            <sz val="8"/>
            <color indexed="81"/>
            <rFont val="Tahoma"/>
            <family val="2"/>
            <charset val="238"/>
          </rPr>
          <t xml:space="preserve">
</t>
        </r>
      </text>
    </comment>
    <comment ref="Z163" authorId="0">
      <text>
        <r>
          <rPr>
            <b/>
            <sz val="14"/>
            <color indexed="81"/>
            <rFont val="Times New Roman"/>
            <family val="1"/>
          </rPr>
          <t xml:space="preserve">wpisz nr gry
</t>
        </r>
        <r>
          <rPr>
            <sz val="8"/>
            <color indexed="81"/>
            <rFont val="Tahoma"/>
            <family val="2"/>
            <charset val="238"/>
          </rPr>
          <t xml:space="preserve">
</t>
        </r>
      </text>
    </comment>
    <comment ref="W165" authorId="0">
      <text>
        <r>
          <rPr>
            <b/>
            <sz val="14"/>
            <color indexed="81"/>
            <rFont val="Times New Roman"/>
            <family val="1"/>
          </rPr>
          <t xml:space="preserve">wpisz nr gry
</t>
        </r>
        <r>
          <rPr>
            <sz val="8"/>
            <color indexed="81"/>
            <rFont val="Tahoma"/>
            <family val="2"/>
            <charset val="238"/>
          </rPr>
          <t xml:space="preserve">
</t>
        </r>
      </text>
    </comment>
    <comment ref="AC167" authorId="0">
      <text>
        <r>
          <rPr>
            <b/>
            <sz val="14"/>
            <color indexed="81"/>
            <rFont val="Times New Roman"/>
            <family val="1"/>
          </rPr>
          <t xml:space="preserve">wpisz nr gry
</t>
        </r>
        <r>
          <rPr>
            <sz val="8"/>
            <color indexed="81"/>
            <rFont val="Tahoma"/>
            <family val="2"/>
            <charset val="238"/>
          </rPr>
          <t xml:space="preserve">
</t>
        </r>
      </text>
    </comment>
    <comment ref="W169" authorId="0">
      <text>
        <r>
          <rPr>
            <b/>
            <sz val="14"/>
            <color indexed="81"/>
            <rFont val="Times New Roman"/>
            <family val="1"/>
          </rPr>
          <t xml:space="preserve">wpisz nr gry
</t>
        </r>
        <r>
          <rPr>
            <sz val="8"/>
            <color indexed="81"/>
            <rFont val="Tahoma"/>
            <family val="2"/>
            <charset val="238"/>
          </rPr>
          <t xml:space="preserve">
</t>
        </r>
      </text>
    </comment>
    <comment ref="Z171" authorId="0">
      <text>
        <r>
          <rPr>
            <b/>
            <sz val="14"/>
            <color indexed="81"/>
            <rFont val="Times New Roman"/>
            <family val="1"/>
          </rPr>
          <t xml:space="preserve">wpisz nr gry
</t>
        </r>
        <r>
          <rPr>
            <sz val="8"/>
            <color indexed="81"/>
            <rFont val="Tahoma"/>
            <family val="2"/>
            <charset val="238"/>
          </rPr>
          <t xml:space="preserve">
</t>
        </r>
      </text>
    </comment>
    <comment ref="W173" authorId="0">
      <text>
        <r>
          <rPr>
            <b/>
            <sz val="14"/>
            <color indexed="81"/>
            <rFont val="Times New Roman"/>
            <family val="1"/>
          </rPr>
          <t xml:space="preserve">wpisz nr gry
</t>
        </r>
        <r>
          <rPr>
            <sz val="8"/>
            <color indexed="81"/>
            <rFont val="Tahoma"/>
            <family val="2"/>
            <charset val="238"/>
          </rPr>
          <t xml:space="preserve">
</t>
        </r>
      </text>
    </comment>
    <comment ref="O178" authorId="0">
      <text>
        <r>
          <rPr>
            <b/>
            <sz val="10"/>
            <color indexed="81"/>
            <rFont val="Times New Roman CE"/>
            <family val="1"/>
            <charset val="238"/>
          </rPr>
          <t>Wpisz nr grupy.</t>
        </r>
        <r>
          <rPr>
            <sz val="8"/>
            <color indexed="81"/>
            <rFont val="Tahoma"/>
            <family val="2"/>
            <charset val="238"/>
          </rPr>
          <t xml:space="preserve">
</t>
        </r>
      </text>
    </comment>
    <comment ref="S182" authorId="0">
      <text>
        <r>
          <rPr>
            <b/>
            <sz val="14"/>
            <color indexed="81"/>
            <rFont val="Times New Roman"/>
            <family val="1"/>
          </rPr>
          <t xml:space="preserve">wpisz nr gry
</t>
        </r>
        <r>
          <rPr>
            <sz val="8"/>
            <color indexed="81"/>
            <rFont val="Tahoma"/>
            <family val="2"/>
            <charset val="238"/>
          </rPr>
          <t xml:space="preserve">
</t>
        </r>
      </text>
    </comment>
    <comment ref="S183" authorId="0">
      <text>
        <r>
          <rPr>
            <b/>
            <sz val="14"/>
            <color indexed="81"/>
            <rFont val="Times New Roman"/>
            <family val="1"/>
          </rPr>
          <t xml:space="preserve">wpisz nr gry
</t>
        </r>
        <r>
          <rPr>
            <sz val="8"/>
            <color indexed="81"/>
            <rFont val="Tahoma"/>
            <family val="2"/>
            <charset val="238"/>
          </rPr>
          <t xml:space="preserve">
</t>
        </r>
      </text>
    </comment>
    <comment ref="S184" authorId="0">
      <text>
        <r>
          <rPr>
            <b/>
            <sz val="14"/>
            <color indexed="81"/>
            <rFont val="Times New Roman"/>
            <family val="1"/>
          </rPr>
          <t xml:space="preserve">wpisz nr gry
</t>
        </r>
        <r>
          <rPr>
            <sz val="8"/>
            <color indexed="81"/>
            <rFont val="Tahoma"/>
            <family val="2"/>
            <charset val="238"/>
          </rPr>
          <t xml:space="preserve">
</t>
        </r>
      </text>
    </comment>
    <comment ref="O189" authorId="0">
      <text>
        <r>
          <rPr>
            <b/>
            <sz val="10"/>
            <color indexed="81"/>
            <rFont val="Times New Roman CE"/>
            <family val="1"/>
            <charset val="238"/>
          </rPr>
          <t>Wpisz nr grupy.</t>
        </r>
        <r>
          <rPr>
            <sz val="8"/>
            <color indexed="81"/>
            <rFont val="Tahoma"/>
            <family val="2"/>
            <charset val="238"/>
          </rPr>
          <t xml:space="preserve">
</t>
        </r>
      </text>
    </comment>
    <comment ref="S193" authorId="0">
      <text>
        <r>
          <rPr>
            <b/>
            <sz val="14"/>
            <color indexed="81"/>
            <rFont val="Times New Roman"/>
            <family val="1"/>
          </rPr>
          <t xml:space="preserve">wpisz nr gry
</t>
        </r>
        <r>
          <rPr>
            <sz val="8"/>
            <color indexed="81"/>
            <rFont val="Tahoma"/>
            <family val="2"/>
            <charset val="238"/>
          </rPr>
          <t xml:space="preserve">
</t>
        </r>
      </text>
    </comment>
    <comment ref="S194" authorId="0">
      <text>
        <r>
          <rPr>
            <b/>
            <sz val="14"/>
            <color indexed="81"/>
            <rFont val="Times New Roman"/>
            <family val="1"/>
          </rPr>
          <t xml:space="preserve">wpisz nr gry
</t>
        </r>
        <r>
          <rPr>
            <sz val="8"/>
            <color indexed="81"/>
            <rFont val="Tahoma"/>
            <family val="2"/>
            <charset val="238"/>
          </rPr>
          <t xml:space="preserve">
</t>
        </r>
      </text>
    </comment>
    <comment ref="S195" authorId="0">
      <text>
        <r>
          <rPr>
            <b/>
            <sz val="14"/>
            <color indexed="81"/>
            <rFont val="Times New Roman"/>
            <family val="1"/>
          </rPr>
          <t xml:space="preserve">wpisz nr gry
</t>
        </r>
        <r>
          <rPr>
            <sz val="8"/>
            <color indexed="81"/>
            <rFont val="Tahoma"/>
            <family val="2"/>
            <charset val="238"/>
          </rPr>
          <t xml:space="preserve">
</t>
        </r>
      </text>
    </comment>
    <comment ref="O200" authorId="0">
      <text>
        <r>
          <rPr>
            <b/>
            <sz val="10"/>
            <color indexed="81"/>
            <rFont val="Times New Roman CE"/>
            <family val="1"/>
            <charset val="238"/>
          </rPr>
          <t>Wpisz nr grupy.</t>
        </r>
        <r>
          <rPr>
            <sz val="8"/>
            <color indexed="81"/>
            <rFont val="Tahoma"/>
            <family val="2"/>
            <charset val="238"/>
          </rPr>
          <t xml:space="preserve">
</t>
        </r>
      </text>
    </comment>
    <comment ref="S204" authorId="0">
      <text>
        <r>
          <rPr>
            <b/>
            <sz val="14"/>
            <color indexed="81"/>
            <rFont val="Times New Roman"/>
            <family val="1"/>
          </rPr>
          <t xml:space="preserve">wpisz nr gry
</t>
        </r>
        <r>
          <rPr>
            <sz val="8"/>
            <color indexed="81"/>
            <rFont val="Tahoma"/>
            <family val="2"/>
            <charset val="238"/>
          </rPr>
          <t xml:space="preserve">
</t>
        </r>
      </text>
    </comment>
    <comment ref="S205" authorId="0">
      <text>
        <r>
          <rPr>
            <b/>
            <sz val="14"/>
            <color indexed="81"/>
            <rFont val="Times New Roman"/>
            <family val="1"/>
          </rPr>
          <t xml:space="preserve">wpisz nr gry
</t>
        </r>
        <r>
          <rPr>
            <sz val="8"/>
            <color indexed="81"/>
            <rFont val="Tahoma"/>
            <family val="2"/>
            <charset val="238"/>
          </rPr>
          <t xml:space="preserve">
</t>
        </r>
      </text>
    </comment>
    <comment ref="S206" authorId="0">
      <text>
        <r>
          <rPr>
            <b/>
            <sz val="14"/>
            <color indexed="81"/>
            <rFont val="Times New Roman"/>
            <family val="1"/>
          </rPr>
          <t xml:space="preserve">wpisz nr gry
</t>
        </r>
        <r>
          <rPr>
            <sz val="8"/>
            <color indexed="81"/>
            <rFont val="Tahoma"/>
            <family val="2"/>
            <charset val="238"/>
          </rPr>
          <t xml:space="preserve">
</t>
        </r>
      </text>
    </comment>
    <comment ref="N211" authorId="0">
      <text>
        <r>
          <rPr>
            <b/>
            <sz val="10"/>
            <color indexed="81"/>
            <rFont val="Times New Roman CE"/>
            <family val="1"/>
            <charset val="238"/>
          </rPr>
          <t>Dla systemu grupowo-pucharowego wpisz miejsce w grupie.</t>
        </r>
      </text>
    </comment>
    <comment ref="O211" authorId="0">
      <text>
        <r>
          <rPr>
            <b/>
            <sz val="10"/>
            <color indexed="81"/>
            <rFont val="Times New Roman CE"/>
            <family val="1"/>
            <charset val="238"/>
          </rPr>
          <t>Dla systemu pucharowego wpisz ilość zawodników.
Dla systemu grupowo-pucharowego wpisz ilość grup.</t>
        </r>
      </text>
    </comment>
    <comment ref="W214" authorId="0">
      <text>
        <r>
          <rPr>
            <b/>
            <sz val="14"/>
            <color indexed="81"/>
            <rFont val="Times New Roman"/>
            <family val="1"/>
          </rPr>
          <t xml:space="preserve">wpisz nr gry
</t>
        </r>
        <r>
          <rPr>
            <sz val="8"/>
            <color indexed="81"/>
            <rFont val="Tahoma"/>
            <family val="2"/>
            <charset val="238"/>
          </rPr>
          <t xml:space="preserve">
</t>
        </r>
      </text>
    </comment>
    <comment ref="Z216" authorId="0">
      <text>
        <r>
          <rPr>
            <b/>
            <sz val="14"/>
            <color indexed="81"/>
            <rFont val="Times New Roman"/>
            <family val="1"/>
          </rPr>
          <t xml:space="preserve">wpisz nr gry
</t>
        </r>
        <r>
          <rPr>
            <sz val="8"/>
            <color indexed="81"/>
            <rFont val="Tahoma"/>
            <family val="2"/>
            <charset val="238"/>
          </rPr>
          <t xml:space="preserve">
</t>
        </r>
      </text>
    </comment>
    <comment ref="W218" authorId="0">
      <text>
        <r>
          <rPr>
            <b/>
            <sz val="14"/>
            <color indexed="81"/>
            <rFont val="Times New Roman"/>
            <family val="1"/>
          </rPr>
          <t xml:space="preserve">wpisz nr gry
</t>
        </r>
        <r>
          <rPr>
            <sz val="8"/>
            <color indexed="81"/>
            <rFont val="Tahoma"/>
            <family val="2"/>
            <charset val="238"/>
          </rPr>
          <t xml:space="preserve">
</t>
        </r>
      </text>
    </comment>
    <comment ref="O224" authorId="0">
      <text>
        <r>
          <rPr>
            <b/>
            <sz val="10"/>
            <color indexed="81"/>
            <rFont val="Times New Roman CE"/>
            <family val="1"/>
            <charset val="238"/>
          </rPr>
          <t>Wpisz nr grupy.</t>
        </r>
        <r>
          <rPr>
            <sz val="8"/>
            <color indexed="81"/>
            <rFont val="Tahoma"/>
            <family val="2"/>
            <charset val="238"/>
          </rPr>
          <t xml:space="preserve">
</t>
        </r>
      </text>
    </comment>
    <comment ref="S228" authorId="0">
      <text>
        <r>
          <rPr>
            <b/>
            <sz val="14"/>
            <color indexed="81"/>
            <rFont val="Times New Roman"/>
            <family val="1"/>
          </rPr>
          <t xml:space="preserve">wpisz nr gry
</t>
        </r>
        <r>
          <rPr>
            <sz val="8"/>
            <color indexed="81"/>
            <rFont val="Tahoma"/>
            <family val="2"/>
            <charset val="238"/>
          </rPr>
          <t xml:space="preserve">
</t>
        </r>
      </text>
    </comment>
    <comment ref="S229" authorId="0">
      <text>
        <r>
          <rPr>
            <b/>
            <sz val="14"/>
            <color indexed="81"/>
            <rFont val="Times New Roman"/>
            <family val="1"/>
          </rPr>
          <t xml:space="preserve">wpisz nr gry
</t>
        </r>
        <r>
          <rPr>
            <sz val="8"/>
            <color indexed="81"/>
            <rFont val="Tahoma"/>
            <family val="2"/>
            <charset val="238"/>
          </rPr>
          <t xml:space="preserve">
</t>
        </r>
      </text>
    </comment>
    <comment ref="S230" authorId="0">
      <text>
        <r>
          <rPr>
            <b/>
            <sz val="14"/>
            <color indexed="81"/>
            <rFont val="Times New Roman"/>
            <family val="1"/>
          </rPr>
          <t xml:space="preserve">wpisz nr gry
</t>
        </r>
        <r>
          <rPr>
            <sz val="8"/>
            <color indexed="81"/>
            <rFont val="Tahoma"/>
            <family val="2"/>
            <charset val="238"/>
          </rPr>
          <t xml:space="preserve">
</t>
        </r>
      </text>
    </comment>
    <comment ref="S231" authorId="0">
      <text>
        <r>
          <rPr>
            <b/>
            <sz val="14"/>
            <color indexed="81"/>
            <rFont val="Times New Roman"/>
            <family val="1"/>
          </rPr>
          <t xml:space="preserve">wpisz nr gry
</t>
        </r>
        <r>
          <rPr>
            <sz val="8"/>
            <color indexed="81"/>
            <rFont val="Tahoma"/>
            <family val="2"/>
            <charset val="238"/>
          </rPr>
          <t xml:space="preserve">
</t>
        </r>
      </text>
    </comment>
    <comment ref="S232" authorId="0">
      <text>
        <r>
          <rPr>
            <b/>
            <sz val="14"/>
            <color indexed="81"/>
            <rFont val="Times New Roman"/>
            <family val="1"/>
          </rPr>
          <t xml:space="preserve">wpisz nr gry
</t>
        </r>
        <r>
          <rPr>
            <sz val="8"/>
            <color indexed="81"/>
            <rFont val="Tahoma"/>
            <family val="2"/>
            <charset val="238"/>
          </rPr>
          <t xml:space="preserve">
</t>
        </r>
      </text>
    </comment>
    <comment ref="S233" authorId="0">
      <text>
        <r>
          <rPr>
            <b/>
            <sz val="14"/>
            <color indexed="81"/>
            <rFont val="Times New Roman"/>
            <family val="1"/>
          </rPr>
          <t xml:space="preserve">wpisz nr gry
</t>
        </r>
        <r>
          <rPr>
            <sz val="8"/>
            <color indexed="81"/>
            <rFont val="Tahoma"/>
            <family val="2"/>
            <charset val="238"/>
          </rPr>
          <t xml:space="preserve">
</t>
        </r>
      </text>
    </comment>
    <comment ref="O238" authorId="0">
      <text>
        <r>
          <rPr>
            <b/>
            <sz val="10"/>
            <color indexed="81"/>
            <rFont val="Times New Roman CE"/>
            <family val="1"/>
            <charset val="238"/>
          </rPr>
          <t>Wpisz nr grupy.</t>
        </r>
        <r>
          <rPr>
            <sz val="8"/>
            <color indexed="81"/>
            <rFont val="Tahoma"/>
            <family val="2"/>
            <charset val="238"/>
          </rPr>
          <t xml:space="preserve">
</t>
        </r>
      </text>
    </comment>
    <comment ref="S242" authorId="0">
      <text>
        <r>
          <rPr>
            <b/>
            <sz val="14"/>
            <color indexed="81"/>
            <rFont val="Times New Roman"/>
            <family val="1"/>
          </rPr>
          <t xml:space="preserve">wpisz nr gry
</t>
        </r>
        <r>
          <rPr>
            <sz val="8"/>
            <color indexed="81"/>
            <rFont val="Tahoma"/>
            <family val="2"/>
            <charset val="238"/>
          </rPr>
          <t xml:space="preserve">
</t>
        </r>
      </text>
    </comment>
    <comment ref="S243" authorId="0">
      <text>
        <r>
          <rPr>
            <b/>
            <sz val="14"/>
            <color indexed="81"/>
            <rFont val="Times New Roman"/>
            <family val="1"/>
          </rPr>
          <t xml:space="preserve">wpisz nr gry
</t>
        </r>
        <r>
          <rPr>
            <sz val="8"/>
            <color indexed="81"/>
            <rFont val="Tahoma"/>
            <family val="2"/>
            <charset val="238"/>
          </rPr>
          <t xml:space="preserve">
</t>
        </r>
      </text>
    </comment>
    <comment ref="S244" authorId="0">
      <text>
        <r>
          <rPr>
            <b/>
            <sz val="14"/>
            <color indexed="81"/>
            <rFont val="Times New Roman"/>
            <family val="1"/>
          </rPr>
          <t xml:space="preserve">wpisz nr gry
</t>
        </r>
        <r>
          <rPr>
            <sz val="8"/>
            <color indexed="81"/>
            <rFont val="Tahoma"/>
            <family val="2"/>
            <charset val="238"/>
          </rPr>
          <t xml:space="preserve">
</t>
        </r>
      </text>
    </comment>
    <comment ref="S245" authorId="0">
      <text>
        <r>
          <rPr>
            <b/>
            <sz val="14"/>
            <color indexed="81"/>
            <rFont val="Times New Roman"/>
            <family val="1"/>
          </rPr>
          <t xml:space="preserve">wpisz nr gry
</t>
        </r>
        <r>
          <rPr>
            <sz val="8"/>
            <color indexed="81"/>
            <rFont val="Tahoma"/>
            <family val="2"/>
            <charset val="238"/>
          </rPr>
          <t xml:space="preserve">
</t>
        </r>
      </text>
    </comment>
    <comment ref="S246" authorId="0">
      <text>
        <r>
          <rPr>
            <b/>
            <sz val="14"/>
            <color indexed="81"/>
            <rFont val="Times New Roman"/>
            <family val="1"/>
          </rPr>
          <t xml:space="preserve">wpisz nr gry
</t>
        </r>
        <r>
          <rPr>
            <sz val="8"/>
            <color indexed="81"/>
            <rFont val="Tahoma"/>
            <family val="2"/>
            <charset val="238"/>
          </rPr>
          <t xml:space="preserve">
</t>
        </r>
      </text>
    </comment>
    <comment ref="S247" authorId="0">
      <text>
        <r>
          <rPr>
            <b/>
            <sz val="14"/>
            <color indexed="81"/>
            <rFont val="Times New Roman"/>
            <family val="1"/>
          </rPr>
          <t xml:space="preserve">wpisz nr gry
</t>
        </r>
        <r>
          <rPr>
            <sz val="8"/>
            <color indexed="81"/>
            <rFont val="Tahoma"/>
            <family val="2"/>
            <charset val="238"/>
          </rPr>
          <t xml:space="preserve">
</t>
        </r>
      </text>
    </comment>
    <comment ref="N253" authorId="0">
      <text>
        <r>
          <rPr>
            <b/>
            <sz val="10"/>
            <color indexed="81"/>
            <rFont val="Times New Roman CE"/>
            <family val="1"/>
            <charset val="238"/>
          </rPr>
          <t>Dla systemu grupowo-pucharowego wpisz miejsce w grupie.</t>
        </r>
      </text>
    </comment>
    <comment ref="W256" authorId="0">
      <text>
        <r>
          <rPr>
            <b/>
            <sz val="14"/>
            <color indexed="81"/>
            <rFont val="Times New Roman"/>
            <family val="1"/>
          </rPr>
          <t xml:space="preserve">wpisz nr gry
</t>
        </r>
        <r>
          <rPr>
            <sz val="8"/>
            <color indexed="81"/>
            <rFont val="Tahoma"/>
            <family val="2"/>
            <charset val="238"/>
          </rPr>
          <t xml:space="preserve">
</t>
        </r>
      </text>
    </comment>
    <comment ref="O262" authorId="0">
      <text>
        <r>
          <rPr>
            <b/>
            <sz val="10"/>
            <color indexed="81"/>
            <rFont val="Times New Roman CE"/>
            <family val="1"/>
            <charset val="238"/>
          </rPr>
          <t>Wpisz nr grupy.</t>
        </r>
        <r>
          <rPr>
            <sz val="8"/>
            <color indexed="81"/>
            <rFont val="Tahoma"/>
            <family val="2"/>
            <charset val="238"/>
          </rPr>
          <t xml:space="preserve">
</t>
        </r>
      </text>
    </comment>
    <comment ref="S266" authorId="0">
      <text>
        <r>
          <rPr>
            <b/>
            <sz val="14"/>
            <color indexed="81"/>
            <rFont val="Times New Roman"/>
            <family val="1"/>
          </rPr>
          <t xml:space="preserve">wpisz nr gry
</t>
        </r>
        <r>
          <rPr>
            <sz val="8"/>
            <color indexed="81"/>
            <rFont val="Tahoma"/>
            <family val="2"/>
            <charset val="238"/>
          </rPr>
          <t xml:space="preserve">
</t>
        </r>
      </text>
    </comment>
    <comment ref="S267" authorId="0">
      <text>
        <r>
          <rPr>
            <b/>
            <sz val="14"/>
            <color indexed="81"/>
            <rFont val="Times New Roman"/>
            <family val="1"/>
          </rPr>
          <t xml:space="preserve">wpisz nr gry
</t>
        </r>
        <r>
          <rPr>
            <sz val="8"/>
            <color indexed="81"/>
            <rFont val="Tahoma"/>
            <family val="2"/>
            <charset val="238"/>
          </rPr>
          <t xml:space="preserve">
</t>
        </r>
      </text>
    </comment>
    <comment ref="S268" authorId="0">
      <text>
        <r>
          <rPr>
            <b/>
            <sz val="14"/>
            <color indexed="81"/>
            <rFont val="Times New Roman"/>
            <family val="1"/>
          </rPr>
          <t xml:space="preserve">wpisz nr gry
</t>
        </r>
        <r>
          <rPr>
            <sz val="8"/>
            <color indexed="81"/>
            <rFont val="Tahoma"/>
            <family val="2"/>
            <charset val="238"/>
          </rPr>
          <t xml:space="preserve">
</t>
        </r>
      </text>
    </comment>
    <comment ref="S269" authorId="0">
      <text>
        <r>
          <rPr>
            <b/>
            <sz val="14"/>
            <color indexed="81"/>
            <rFont val="Times New Roman"/>
            <family val="1"/>
          </rPr>
          <t xml:space="preserve">wpisz nr gry
</t>
        </r>
        <r>
          <rPr>
            <sz val="8"/>
            <color indexed="81"/>
            <rFont val="Tahoma"/>
            <family val="2"/>
            <charset val="238"/>
          </rPr>
          <t xml:space="preserve">
</t>
        </r>
      </text>
    </comment>
    <comment ref="S270" authorId="0">
      <text>
        <r>
          <rPr>
            <b/>
            <sz val="14"/>
            <color indexed="81"/>
            <rFont val="Times New Roman"/>
            <family val="1"/>
          </rPr>
          <t xml:space="preserve">wpisz nr gry
</t>
        </r>
        <r>
          <rPr>
            <sz val="8"/>
            <color indexed="81"/>
            <rFont val="Tahoma"/>
            <family val="2"/>
            <charset val="238"/>
          </rPr>
          <t xml:space="preserve">
</t>
        </r>
      </text>
    </comment>
    <comment ref="S271" authorId="0">
      <text>
        <r>
          <rPr>
            <b/>
            <sz val="14"/>
            <color indexed="81"/>
            <rFont val="Times New Roman"/>
            <family val="1"/>
          </rPr>
          <t xml:space="preserve">wpisz nr gry
</t>
        </r>
        <r>
          <rPr>
            <sz val="8"/>
            <color indexed="81"/>
            <rFont val="Tahoma"/>
            <family val="2"/>
            <charset val="238"/>
          </rPr>
          <t xml:space="preserve">
</t>
        </r>
      </text>
    </comment>
    <comment ref="O276" authorId="0">
      <text>
        <r>
          <rPr>
            <b/>
            <sz val="10"/>
            <color indexed="81"/>
            <rFont val="Times New Roman CE"/>
            <family val="1"/>
            <charset val="238"/>
          </rPr>
          <t>Wpisz nr grupy.</t>
        </r>
        <r>
          <rPr>
            <sz val="8"/>
            <color indexed="81"/>
            <rFont val="Tahoma"/>
            <family val="2"/>
            <charset val="238"/>
          </rPr>
          <t xml:space="preserve">
</t>
        </r>
      </text>
    </comment>
    <comment ref="S280" authorId="0">
      <text>
        <r>
          <rPr>
            <b/>
            <sz val="14"/>
            <color indexed="81"/>
            <rFont val="Times New Roman"/>
            <family val="1"/>
          </rPr>
          <t xml:space="preserve">wpisz nr gry
</t>
        </r>
        <r>
          <rPr>
            <sz val="8"/>
            <color indexed="81"/>
            <rFont val="Tahoma"/>
            <family val="2"/>
            <charset val="238"/>
          </rPr>
          <t xml:space="preserve">
</t>
        </r>
      </text>
    </comment>
    <comment ref="S281" authorId="0">
      <text>
        <r>
          <rPr>
            <b/>
            <sz val="14"/>
            <color indexed="81"/>
            <rFont val="Times New Roman"/>
            <family val="1"/>
          </rPr>
          <t xml:space="preserve">wpisz nr gry
</t>
        </r>
        <r>
          <rPr>
            <sz val="8"/>
            <color indexed="81"/>
            <rFont val="Tahoma"/>
            <family val="2"/>
            <charset val="238"/>
          </rPr>
          <t xml:space="preserve">
</t>
        </r>
      </text>
    </comment>
    <comment ref="S282" authorId="0">
      <text>
        <r>
          <rPr>
            <b/>
            <sz val="14"/>
            <color indexed="81"/>
            <rFont val="Times New Roman"/>
            <family val="1"/>
          </rPr>
          <t xml:space="preserve">wpisz nr gry
</t>
        </r>
        <r>
          <rPr>
            <sz val="8"/>
            <color indexed="81"/>
            <rFont val="Tahoma"/>
            <family val="2"/>
            <charset val="238"/>
          </rPr>
          <t xml:space="preserve">
</t>
        </r>
      </text>
    </comment>
    <comment ref="O287" authorId="0">
      <text>
        <r>
          <rPr>
            <b/>
            <sz val="10"/>
            <color indexed="81"/>
            <rFont val="Times New Roman CE"/>
            <family val="1"/>
            <charset val="238"/>
          </rPr>
          <t>Wpisz nr grupy.</t>
        </r>
        <r>
          <rPr>
            <sz val="8"/>
            <color indexed="81"/>
            <rFont val="Tahoma"/>
            <family val="2"/>
            <charset val="238"/>
          </rPr>
          <t xml:space="preserve">
</t>
        </r>
      </text>
    </comment>
    <comment ref="S291" authorId="0">
      <text>
        <r>
          <rPr>
            <b/>
            <sz val="14"/>
            <color indexed="81"/>
            <rFont val="Times New Roman"/>
            <family val="1"/>
          </rPr>
          <t xml:space="preserve">wpisz nr gry
</t>
        </r>
        <r>
          <rPr>
            <sz val="8"/>
            <color indexed="81"/>
            <rFont val="Tahoma"/>
            <family val="2"/>
            <charset val="238"/>
          </rPr>
          <t xml:space="preserve">
</t>
        </r>
      </text>
    </comment>
    <comment ref="S292" authorId="0">
      <text>
        <r>
          <rPr>
            <b/>
            <sz val="14"/>
            <color indexed="81"/>
            <rFont val="Times New Roman"/>
            <family val="1"/>
          </rPr>
          <t xml:space="preserve">wpisz nr gry
</t>
        </r>
        <r>
          <rPr>
            <sz val="8"/>
            <color indexed="81"/>
            <rFont val="Tahoma"/>
            <family val="2"/>
            <charset val="238"/>
          </rPr>
          <t xml:space="preserve">
</t>
        </r>
      </text>
    </comment>
    <comment ref="S293" authorId="0">
      <text>
        <r>
          <rPr>
            <b/>
            <sz val="14"/>
            <color indexed="81"/>
            <rFont val="Times New Roman"/>
            <family val="1"/>
          </rPr>
          <t xml:space="preserve">wpisz nr gry
</t>
        </r>
        <r>
          <rPr>
            <sz val="8"/>
            <color indexed="81"/>
            <rFont val="Tahoma"/>
            <family val="2"/>
            <charset val="238"/>
          </rPr>
          <t xml:space="preserve">
</t>
        </r>
      </text>
    </comment>
    <comment ref="O298" authorId="0">
      <text>
        <r>
          <rPr>
            <b/>
            <sz val="10"/>
            <color indexed="81"/>
            <rFont val="Times New Roman CE"/>
            <family val="1"/>
            <charset val="238"/>
          </rPr>
          <t>Wpisz nr grupy.</t>
        </r>
        <r>
          <rPr>
            <sz val="8"/>
            <color indexed="81"/>
            <rFont val="Tahoma"/>
            <family val="2"/>
            <charset val="238"/>
          </rPr>
          <t xml:space="preserve">
</t>
        </r>
      </text>
    </comment>
    <comment ref="S302" authorId="0">
      <text>
        <r>
          <rPr>
            <b/>
            <sz val="14"/>
            <color indexed="81"/>
            <rFont val="Times New Roman"/>
            <family val="1"/>
          </rPr>
          <t xml:space="preserve">wpisz nr gry
</t>
        </r>
        <r>
          <rPr>
            <sz val="8"/>
            <color indexed="81"/>
            <rFont val="Tahoma"/>
            <family val="2"/>
            <charset val="238"/>
          </rPr>
          <t xml:space="preserve">
</t>
        </r>
      </text>
    </comment>
    <comment ref="S303" authorId="0">
      <text>
        <r>
          <rPr>
            <b/>
            <sz val="14"/>
            <color indexed="81"/>
            <rFont val="Times New Roman"/>
            <family val="1"/>
          </rPr>
          <t xml:space="preserve">wpisz nr gry
</t>
        </r>
        <r>
          <rPr>
            <sz val="8"/>
            <color indexed="81"/>
            <rFont val="Tahoma"/>
            <family val="2"/>
            <charset val="238"/>
          </rPr>
          <t xml:space="preserve">
</t>
        </r>
      </text>
    </comment>
    <comment ref="S304" authorId="0">
      <text>
        <r>
          <rPr>
            <b/>
            <sz val="14"/>
            <color indexed="81"/>
            <rFont val="Times New Roman"/>
            <family val="1"/>
          </rPr>
          <t xml:space="preserve">wpisz nr gry
</t>
        </r>
        <r>
          <rPr>
            <sz val="8"/>
            <color indexed="81"/>
            <rFont val="Tahoma"/>
            <family val="2"/>
            <charset val="238"/>
          </rPr>
          <t xml:space="preserve">
</t>
        </r>
      </text>
    </comment>
    <comment ref="O309" authorId="0">
      <text>
        <r>
          <rPr>
            <b/>
            <sz val="10"/>
            <color indexed="81"/>
            <rFont val="Times New Roman CE"/>
            <family val="1"/>
            <charset val="238"/>
          </rPr>
          <t>Wpisz nr grupy.</t>
        </r>
        <r>
          <rPr>
            <sz val="8"/>
            <color indexed="81"/>
            <rFont val="Tahoma"/>
            <family val="2"/>
            <charset val="238"/>
          </rPr>
          <t xml:space="preserve">
</t>
        </r>
      </text>
    </comment>
    <comment ref="S313" authorId="0">
      <text>
        <r>
          <rPr>
            <b/>
            <sz val="14"/>
            <color indexed="81"/>
            <rFont val="Times New Roman"/>
            <family val="1"/>
          </rPr>
          <t xml:space="preserve">wpisz nr gry
</t>
        </r>
        <r>
          <rPr>
            <sz val="8"/>
            <color indexed="81"/>
            <rFont val="Tahoma"/>
            <family val="2"/>
            <charset val="238"/>
          </rPr>
          <t xml:space="preserve">
</t>
        </r>
      </text>
    </comment>
    <comment ref="S314" authorId="0">
      <text>
        <r>
          <rPr>
            <b/>
            <sz val="14"/>
            <color indexed="81"/>
            <rFont val="Times New Roman"/>
            <family val="1"/>
          </rPr>
          <t xml:space="preserve">wpisz nr gry
</t>
        </r>
        <r>
          <rPr>
            <sz val="8"/>
            <color indexed="81"/>
            <rFont val="Tahoma"/>
            <family val="2"/>
            <charset val="238"/>
          </rPr>
          <t xml:space="preserve">
</t>
        </r>
      </text>
    </comment>
    <comment ref="S315" authorId="0">
      <text>
        <r>
          <rPr>
            <b/>
            <sz val="14"/>
            <color indexed="81"/>
            <rFont val="Times New Roman"/>
            <family val="1"/>
          </rPr>
          <t xml:space="preserve">wpisz nr gry
</t>
        </r>
        <r>
          <rPr>
            <sz val="8"/>
            <color indexed="81"/>
            <rFont val="Tahoma"/>
            <family val="2"/>
            <charset val="238"/>
          </rPr>
          <t xml:space="preserve">
</t>
        </r>
      </text>
    </comment>
    <comment ref="O320" authorId="0">
      <text>
        <r>
          <rPr>
            <b/>
            <sz val="10"/>
            <color indexed="81"/>
            <rFont val="Times New Roman CE"/>
            <family val="1"/>
            <charset val="238"/>
          </rPr>
          <t>Wpisz nr grupy.</t>
        </r>
        <r>
          <rPr>
            <sz val="8"/>
            <color indexed="81"/>
            <rFont val="Tahoma"/>
            <family val="2"/>
            <charset val="238"/>
          </rPr>
          <t xml:space="preserve">
</t>
        </r>
      </text>
    </comment>
    <comment ref="S324" authorId="0">
      <text>
        <r>
          <rPr>
            <b/>
            <sz val="14"/>
            <color indexed="81"/>
            <rFont val="Times New Roman"/>
            <family val="1"/>
          </rPr>
          <t xml:space="preserve">wpisz nr gry
</t>
        </r>
        <r>
          <rPr>
            <sz val="8"/>
            <color indexed="81"/>
            <rFont val="Tahoma"/>
            <family val="2"/>
            <charset val="238"/>
          </rPr>
          <t xml:space="preserve">
</t>
        </r>
      </text>
    </comment>
    <comment ref="S325" authorId="0">
      <text>
        <r>
          <rPr>
            <b/>
            <sz val="14"/>
            <color indexed="81"/>
            <rFont val="Times New Roman"/>
            <family val="1"/>
          </rPr>
          <t xml:space="preserve">wpisz nr gry
</t>
        </r>
        <r>
          <rPr>
            <sz val="8"/>
            <color indexed="81"/>
            <rFont val="Tahoma"/>
            <family val="2"/>
            <charset val="238"/>
          </rPr>
          <t xml:space="preserve">
</t>
        </r>
      </text>
    </comment>
    <comment ref="S326" authorId="0">
      <text>
        <r>
          <rPr>
            <b/>
            <sz val="14"/>
            <color indexed="81"/>
            <rFont val="Times New Roman"/>
            <family val="1"/>
          </rPr>
          <t xml:space="preserve">wpisz nr gry
</t>
        </r>
        <r>
          <rPr>
            <sz val="8"/>
            <color indexed="81"/>
            <rFont val="Tahoma"/>
            <family val="2"/>
            <charset val="238"/>
          </rPr>
          <t xml:space="preserve">
</t>
        </r>
      </text>
    </comment>
    <comment ref="S327" authorId="0">
      <text>
        <r>
          <rPr>
            <b/>
            <sz val="14"/>
            <color indexed="81"/>
            <rFont val="Times New Roman"/>
            <family val="1"/>
          </rPr>
          <t xml:space="preserve">wpisz nr gry
</t>
        </r>
        <r>
          <rPr>
            <sz val="8"/>
            <color indexed="81"/>
            <rFont val="Tahoma"/>
            <family val="2"/>
            <charset val="238"/>
          </rPr>
          <t xml:space="preserve">
</t>
        </r>
      </text>
    </comment>
    <comment ref="S328" authorId="0">
      <text>
        <r>
          <rPr>
            <b/>
            <sz val="14"/>
            <color indexed="81"/>
            <rFont val="Times New Roman"/>
            <family val="1"/>
          </rPr>
          <t xml:space="preserve">wpisz nr gry
</t>
        </r>
        <r>
          <rPr>
            <sz val="8"/>
            <color indexed="81"/>
            <rFont val="Tahoma"/>
            <family val="2"/>
            <charset val="238"/>
          </rPr>
          <t xml:space="preserve">
</t>
        </r>
      </text>
    </comment>
    <comment ref="S329" authorId="0">
      <text>
        <r>
          <rPr>
            <b/>
            <sz val="14"/>
            <color indexed="81"/>
            <rFont val="Times New Roman"/>
            <family val="1"/>
          </rPr>
          <t xml:space="preserve">wpisz nr gry
</t>
        </r>
        <r>
          <rPr>
            <sz val="8"/>
            <color indexed="81"/>
            <rFont val="Tahoma"/>
            <family val="2"/>
            <charset val="238"/>
          </rPr>
          <t xml:space="preserve">
</t>
        </r>
      </text>
    </comment>
    <comment ref="N335" authorId="0">
      <text>
        <r>
          <rPr>
            <b/>
            <sz val="10"/>
            <color indexed="81"/>
            <rFont val="Times New Roman CE"/>
            <family val="1"/>
            <charset val="238"/>
          </rPr>
          <t>Dla systemu grupowo-pucharowego wpisz miejsce w grupie.</t>
        </r>
      </text>
    </comment>
    <comment ref="O335" authorId="0">
      <text>
        <r>
          <rPr>
            <b/>
            <sz val="10"/>
            <color indexed="81"/>
            <rFont val="Times New Roman CE"/>
            <family val="1"/>
            <charset val="238"/>
          </rPr>
          <t>Dla systemu pucharowego wpisz ilość zawodników.
Dla systemu grupowo-pucharowego wpisz ilość grup.</t>
        </r>
      </text>
    </comment>
    <comment ref="W338" authorId="0">
      <text>
        <r>
          <rPr>
            <b/>
            <sz val="14"/>
            <color indexed="81"/>
            <rFont val="Times New Roman"/>
            <family val="1"/>
          </rPr>
          <t xml:space="preserve">wpisz nr gry
</t>
        </r>
        <r>
          <rPr>
            <sz val="8"/>
            <color indexed="81"/>
            <rFont val="Tahoma"/>
            <family val="2"/>
            <charset val="238"/>
          </rPr>
          <t xml:space="preserve">
</t>
        </r>
      </text>
    </comment>
    <comment ref="Z340" authorId="0">
      <text>
        <r>
          <rPr>
            <b/>
            <sz val="14"/>
            <color indexed="81"/>
            <rFont val="Times New Roman"/>
            <family val="1"/>
          </rPr>
          <t xml:space="preserve">wpisz nr gry
</t>
        </r>
        <r>
          <rPr>
            <sz val="8"/>
            <color indexed="81"/>
            <rFont val="Tahoma"/>
            <family val="2"/>
            <charset val="238"/>
          </rPr>
          <t xml:space="preserve">
</t>
        </r>
      </text>
    </comment>
    <comment ref="W342" authorId="0">
      <text>
        <r>
          <rPr>
            <b/>
            <sz val="14"/>
            <color indexed="81"/>
            <rFont val="Times New Roman"/>
            <family val="1"/>
          </rPr>
          <t xml:space="preserve">wpisz nr gry
</t>
        </r>
        <r>
          <rPr>
            <sz val="8"/>
            <color indexed="81"/>
            <rFont val="Tahoma"/>
            <family val="2"/>
            <charset val="238"/>
          </rPr>
          <t xml:space="preserve">
</t>
        </r>
      </text>
    </comment>
    <comment ref="AC344" authorId="0">
      <text>
        <r>
          <rPr>
            <b/>
            <sz val="14"/>
            <color indexed="81"/>
            <rFont val="Times New Roman"/>
            <family val="1"/>
          </rPr>
          <t xml:space="preserve">wpisz nr gry
</t>
        </r>
        <r>
          <rPr>
            <sz val="8"/>
            <color indexed="81"/>
            <rFont val="Tahoma"/>
            <family val="2"/>
            <charset val="238"/>
          </rPr>
          <t xml:space="preserve">
</t>
        </r>
      </text>
    </comment>
    <comment ref="W346" authorId="0">
      <text>
        <r>
          <rPr>
            <b/>
            <sz val="14"/>
            <color indexed="81"/>
            <rFont val="Times New Roman"/>
            <family val="1"/>
          </rPr>
          <t xml:space="preserve">wpisz nr gry
</t>
        </r>
        <r>
          <rPr>
            <sz val="8"/>
            <color indexed="81"/>
            <rFont val="Tahoma"/>
            <family val="2"/>
            <charset val="238"/>
          </rPr>
          <t xml:space="preserve">
</t>
        </r>
      </text>
    </comment>
    <comment ref="Z348" authorId="0">
      <text>
        <r>
          <rPr>
            <b/>
            <sz val="14"/>
            <color indexed="81"/>
            <rFont val="Times New Roman"/>
            <family val="1"/>
          </rPr>
          <t xml:space="preserve">wpisz nr gry
</t>
        </r>
        <r>
          <rPr>
            <sz val="8"/>
            <color indexed="81"/>
            <rFont val="Tahoma"/>
            <family val="2"/>
            <charset val="238"/>
          </rPr>
          <t xml:space="preserve">
</t>
        </r>
      </text>
    </comment>
    <comment ref="W350" authorId="0">
      <text>
        <r>
          <rPr>
            <b/>
            <sz val="14"/>
            <color indexed="81"/>
            <rFont val="Times New Roman"/>
            <family val="1"/>
          </rPr>
          <t xml:space="preserve">wpisz nr gry
</t>
        </r>
        <r>
          <rPr>
            <sz val="8"/>
            <color indexed="81"/>
            <rFont val="Tahoma"/>
            <family val="2"/>
            <charset val="238"/>
          </rPr>
          <t xml:space="preserve">
</t>
        </r>
      </text>
    </comment>
    <comment ref="O356" authorId="0">
      <text>
        <r>
          <rPr>
            <b/>
            <sz val="10"/>
            <color indexed="81"/>
            <rFont val="Times New Roman CE"/>
            <family val="1"/>
            <charset val="238"/>
          </rPr>
          <t>Wpisz nr grupy.</t>
        </r>
        <r>
          <rPr>
            <sz val="8"/>
            <color indexed="81"/>
            <rFont val="Tahoma"/>
            <family val="2"/>
            <charset val="238"/>
          </rPr>
          <t xml:space="preserve">
</t>
        </r>
      </text>
    </comment>
    <comment ref="S360" authorId="0">
      <text>
        <r>
          <rPr>
            <b/>
            <sz val="14"/>
            <color indexed="81"/>
            <rFont val="Times New Roman"/>
            <family val="1"/>
          </rPr>
          <t xml:space="preserve">wpisz nr gry
</t>
        </r>
        <r>
          <rPr>
            <sz val="8"/>
            <color indexed="81"/>
            <rFont val="Tahoma"/>
            <family val="2"/>
            <charset val="238"/>
          </rPr>
          <t xml:space="preserve">
</t>
        </r>
      </text>
    </comment>
    <comment ref="S361" authorId="0">
      <text>
        <r>
          <rPr>
            <b/>
            <sz val="14"/>
            <color indexed="81"/>
            <rFont val="Times New Roman"/>
            <family val="1"/>
          </rPr>
          <t xml:space="preserve">wpisz nr gry
</t>
        </r>
        <r>
          <rPr>
            <sz val="8"/>
            <color indexed="81"/>
            <rFont val="Tahoma"/>
            <family val="2"/>
            <charset val="238"/>
          </rPr>
          <t xml:space="preserve">
</t>
        </r>
      </text>
    </comment>
    <comment ref="S362" authorId="0">
      <text>
        <r>
          <rPr>
            <b/>
            <sz val="14"/>
            <color indexed="81"/>
            <rFont val="Times New Roman"/>
            <family val="1"/>
          </rPr>
          <t xml:space="preserve">wpisz nr gry
</t>
        </r>
        <r>
          <rPr>
            <sz val="8"/>
            <color indexed="81"/>
            <rFont val="Tahoma"/>
            <family val="2"/>
            <charset val="238"/>
          </rPr>
          <t xml:space="preserve">
</t>
        </r>
      </text>
    </comment>
    <comment ref="O367" authorId="0">
      <text>
        <r>
          <rPr>
            <b/>
            <sz val="10"/>
            <color indexed="81"/>
            <rFont val="Times New Roman CE"/>
            <family val="1"/>
            <charset val="238"/>
          </rPr>
          <t>Wpisz nr grupy.</t>
        </r>
        <r>
          <rPr>
            <sz val="8"/>
            <color indexed="81"/>
            <rFont val="Tahoma"/>
            <family val="2"/>
            <charset val="238"/>
          </rPr>
          <t xml:space="preserve">
</t>
        </r>
      </text>
    </comment>
    <comment ref="S371" authorId="0">
      <text>
        <r>
          <rPr>
            <b/>
            <sz val="14"/>
            <color indexed="81"/>
            <rFont val="Times New Roman"/>
            <family val="1"/>
          </rPr>
          <t xml:space="preserve">wpisz nr gry
</t>
        </r>
        <r>
          <rPr>
            <sz val="8"/>
            <color indexed="81"/>
            <rFont val="Tahoma"/>
            <family val="2"/>
            <charset val="238"/>
          </rPr>
          <t xml:space="preserve">
</t>
        </r>
      </text>
    </comment>
    <comment ref="S372" authorId="0">
      <text>
        <r>
          <rPr>
            <b/>
            <sz val="14"/>
            <color indexed="81"/>
            <rFont val="Times New Roman"/>
            <family val="1"/>
          </rPr>
          <t xml:space="preserve">wpisz nr gry
</t>
        </r>
        <r>
          <rPr>
            <sz val="8"/>
            <color indexed="81"/>
            <rFont val="Tahoma"/>
            <family val="2"/>
            <charset val="238"/>
          </rPr>
          <t xml:space="preserve">
</t>
        </r>
      </text>
    </comment>
    <comment ref="S373" authorId="0">
      <text>
        <r>
          <rPr>
            <b/>
            <sz val="14"/>
            <color indexed="81"/>
            <rFont val="Times New Roman"/>
            <family val="1"/>
          </rPr>
          <t xml:space="preserve">wpisz nr gry
</t>
        </r>
        <r>
          <rPr>
            <sz val="8"/>
            <color indexed="81"/>
            <rFont val="Tahoma"/>
            <family val="2"/>
            <charset val="238"/>
          </rPr>
          <t xml:space="preserve">
</t>
        </r>
      </text>
    </comment>
    <comment ref="O378" authorId="0">
      <text>
        <r>
          <rPr>
            <b/>
            <sz val="10"/>
            <color indexed="81"/>
            <rFont val="Times New Roman CE"/>
            <family val="1"/>
            <charset val="238"/>
          </rPr>
          <t>Wpisz nr grupy.</t>
        </r>
        <r>
          <rPr>
            <sz val="8"/>
            <color indexed="81"/>
            <rFont val="Tahoma"/>
            <family val="2"/>
            <charset val="238"/>
          </rPr>
          <t xml:space="preserve">
</t>
        </r>
      </text>
    </comment>
    <comment ref="S382" authorId="0">
      <text>
        <r>
          <rPr>
            <b/>
            <sz val="14"/>
            <color indexed="81"/>
            <rFont val="Times New Roman"/>
            <family val="1"/>
          </rPr>
          <t xml:space="preserve">wpisz nr gry
</t>
        </r>
        <r>
          <rPr>
            <sz val="8"/>
            <color indexed="81"/>
            <rFont val="Tahoma"/>
            <family val="2"/>
            <charset val="238"/>
          </rPr>
          <t xml:space="preserve">
</t>
        </r>
      </text>
    </comment>
    <comment ref="S383" authorId="0">
      <text>
        <r>
          <rPr>
            <b/>
            <sz val="14"/>
            <color indexed="81"/>
            <rFont val="Times New Roman"/>
            <family val="1"/>
          </rPr>
          <t xml:space="preserve">wpisz nr gry
</t>
        </r>
        <r>
          <rPr>
            <sz val="8"/>
            <color indexed="81"/>
            <rFont val="Tahoma"/>
            <family val="2"/>
            <charset val="238"/>
          </rPr>
          <t xml:space="preserve">
</t>
        </r>
      </text>
    </comment>
    <comment ref="S384" authorId="0">
      <text>
        <r>
          <rPr>
            <b/>
            <sz val="14"/>
            <color indexed="81"/>
            <rFont val="Times New Roman"/>
            <family val="1"/>
          </rPr>
          <t xml:space="preserve">wpisz nr gry
</t>
        </r>
        <r>
          <rPr>
            <sz val="8"/>
            <color indexed="81"/>
            <rFont val="Tahoma"/>
            <family val="2"/>
            <charset val="238"/>
          </rPr>
          <t xml:space="preserve">
</t>
        </r>
      </text>
    </comment>
    <comment ref="O389" authorId="0">
      <text>
        <r>
          <rPr>
            <b/>
            <sz val="10"/>
            <color indexed="81"/>
            <rFont val="Times New Roman CE"/>
            <family val="1"/>
            <charset val="238"/>
          </rPr>
          <t>Wpisz nr grupy.</t>
        </r>
        <r>
          <rPr>
            <sz val="8"/>
            <color indexed="81"/>
            <rFont val="Tahoma"/>
            <family val="2"/>
            <charset val="238"/>
          </rPr>
          <t xml:space="preserve">
</t>
        </r>
      </text>
    </comment>
    <comment ref="S393" authorId="0">
      <text>
        <r>
          <rPr>
            <b/>
            <sz val="14"/>
            <color indexed="81"/>
            <rFont val="Times New Roman"/>
            <family val="1"/>
          </rPr>
          <t xml:space="preserve">wpisz nr gry
</t>
        </r>
        <r>
          <rPr>
            <sz val="8"/>
            <color indexed="81"/>
            <rFont val="Tahoma"/>
            <family val="2"/>
            <charset val="238"/>
          </rPr>
          <t xml:space="preserve">
</t>
        </r>
      </text>
    </comment>
    <comment ref="S394" authorId="0">
      <text>
        <r>
          <rPr>
            <b/>
            <sz val="14"/>
            <color indexed="81"/>
            <rFont val="Times New Roman"/>
            <family val="1"/>
          </rPr>
          <t xml:space="preserve">wpisz nr gry
</t>
        </r>
        <r>
          <rPr>
            <sz val="8"/>
            <color indexed="81"/>
            <rFont val="Tahoma"/>
            <family val="2"/>
            <charset val="238"/>
          </rPr>
          <t xml:space="preserve">
</t>
        </r>
      </text>
    </comment>
    <comment ref="S395" authorId="0">
      <text>
        <r>
          <rPr>
            <b/>
            <sz val="14"/>
            <color indexed="81"/>
            <rFont val="Times New Roman"/>
            <family val="1"/>
          </rPr>
          <t xml:space="preserve">wpisz nr gry
</t>
        </r>
        <r>
          <rPr>
            <sz val="8"/>
            <color indexed="81"/>
            <rFont val="Tahoma"/>
            <family val="2"/>
            <charset val="238"/>
          </rPr>
          <t xml:space="preserve">
</t>
        </r>
      </text>
    </comment>
    <comment ref="O400" authorId="0">
      <text>
        <r>
          <rPr>
            <b/>
            <sz val="10"/>
            <color indexed="81"/>
            <rFont val="Times New Roman CE"/>
            <family val="1"/>
            <charset val="238"/>
          </rPr>
          <t>Wpisz nr grupy.</t>
        </r>
        <r>
          <rPr>
            <sz val="8"/>
            <color indexed="81"/>
            <rFont val="Tahoma"/>
            <family val="2"/>
            <charset val="238"/>
          </rPr>
          <t xml:space="preserve">
</t>
        </r>
      </text>
    </comment>
    <comment ref="S404" authorId="0">
      <text>
        <r>
          <rPr>
            <b/>
            <sz val="14"/>
            <color indexed="81"/>
            <rFont val="Times New Roman"/>
            <family val="1"/>
          </rPr>
          <t xml:space="preserve">wpisz nr gry
</t>
        </r>
        <r>
          <rPr>
            <sz val="8"/>
            <color indexed="81"/>
            <rFont val="Tahoma"/>
            <family val="2"/>
            <charset val="238"/>
          </rPr>
          <t xml:space="preserve">
</t>
        </r>
      </text>
    </comment>
    <comment ref="S405" authorId="0">
      <text>
        <r>
          <rPr>
            <b/>
            <sz val="14"/>
            <color indexed="81"/>
            <rFont val="Times New Roman"/>
            <family val="1"/>
          </rPr>
          <t xml:space="preserve">wpisz nr gry
</t>
        </r>
        <r>
          <rPr>
            <sz val="8"/>
            <color indexed="81"/>
            <rFont val="Tahoma"/>
            <family val="2"/>
            <charset val="238"/>
          </rPr>
          <t xml:space="preserve">
</t>
        </r>
      </text>
    </comment>
    <comment ref="S406" authorId="0">
      <text>
        <r>
          <rPr>
            <b/>
            <sz val="14"/>
            <color indexed="81"/>
            <rFont val="Times New Roman"/>
            <family val="1"/>
          </rPr>
          <t xml:space="preserve">wpisz nr gry
</t>
        </r>
        <r>
          <rPr>
            <sz val="8"/>
            <color indexed="81"/>
            <rFont val="Tahoma"/>
            <family val="2"/>
            <charset val="238"/>
          </rPr>
          <t xml:space="preserve">
</t>
        </r>
      </text>
    </comment>
    <comment ref="O411" authorId="0">
      <text>
        <r>
          <rPr>
            <b/>
            <sz val="10"/>
            <color indexed="81"/>
            <rFont val="Times New Roman CE"/>
            <family val="1"/>
            <charset val="238"/>
          </rPr>
          <t>Wpisz nr grupy.</t>
        </r>
        <r>
          <rPr>
            <sz val="8"/>
            <color indexed="81"/>
            <rFont val="Tahoma"/>
            <family val="2"/>
            <charset val="238"/>
          </rPr>
          <t xml:space="preserve">
</t>
        </r>
      </text>
    </comment>
    <comment ref="S415" authorId="0">
      <text>
        <r>
          <rPr>
            <b/>
            <sz val="14"/>
            <color indexed="81"/>
            <rFont val="Times New Roman"/>
            <family val="1"/>
          </rPr>
          <t xml:space="preserve">wpisz nr gry
</t>
        </r>
        <r>
          <rPr>
            <sz val="8"/>
            <color indexed="81"/>
            <rFont val="Tahoma"/>
            <family val="2"/>
            <charset val="238"/>
          </rPr>
          <t xml:space="preserve">
</t>
        </r>
      </text>
    </comment>
    <comment ref="S416" authorId="0">
      <text>
        <r>
          <rPr>
            <b/>
            <sz val="14"/>
            <color indexed="81"/>
            <rFont val="Times New Roman"/>
            <family val="1"/>
          </rPr>
          <t xml:space="preserve">wpisz nr gry
</t>
        </r>
        <r>
          <rPr>
            <sz val="8"/>
            <color indexed="81"/>
            <rFont val="Tahoma"/>
            <family val="2"/>
            <charset val="238"/>
          </rPr>
          <t xml:space="preserve">
</t>
        </r>
      </text>
    </comment>
    <comment ref="S417" authorId="0">
      <text>
        <r>
          <rPr>
            <b/>
            <sz val="14"/>
            <color indexed="81"/>
            <rFont val="Times New Roman"/>
            <family val="1"/>
          </rPr>
          <t xml:space="preserve">wpisz nr gry
</t>
        </r>
        <r>
          <rPr>
            <sz val="8"/>
            <color indexed="81"/>
            <rFont val="Tahoma"/>
            <family val="2"/>
            <charset val="238"/>
          </rPr>
          <t xml:space="preserve">
</t>
        </r>
      </text>
    </comment>
    <comment ref="O422" authorId="0">
      <text>
        <r>
          <rPr>
            <b/>
            <sz val="10"/>
            <color indexed="81"/>
            <rFont val="Times New Roman CE"/>
            <family val="1"/>
            <charset val="238"/>
          </rPr>
          <t>Wpisz nr grupy.</t>
        </r>
        <r>
          <rPr>
            <sz val="8"/>
            <color indexed="81"/>
            <rFont val="Tahoma"/>
            <family val="2"/>
            <charset val="238"/>
          </rPr>
          <t xml:space="preserve">
</t>
        </r>
      </text>
    </comment>
    <comment ref="S426" authorId="0">
      <text>
        <r>
          <rPr>
            <b/>
            <sz val="14"/>
            <color indexed="81"/>
            <rFont val="Times New Roman"/>
            <family val="1"/>
          </rPr>
          <t xml:space="preserve">wpisz nr gry
</t>
        </r>
        <r>
          <rPr>
            <sz val="8"/>
            <color indexed="81"/>
            <rFont val="Tahoma"/>
            <family val="2"/>
            <charset val="238"/>
          </rPr>
          <t xml:space="preserve">
</t>
        </r>
      </text>
    </comment>
    <comment ref="S427" authorId="0">
      <text>
        <r>
          <rPr>
            <b/>
            <sz val="14"/>
            <color indexed="81"/>
            <rFont val="Times New Roman"/>
            <family val="1"/>
          </rPr>
          <t xml:space="preserve">wpisz nr gry
</t>
        </r>
        <r>
          <rPr>
            <sz val="8"/>
            <color indexed="81"/>
            <rFont val="Tahoma"/>
            <family val="2"/>
            <charset val="238"/>
          </rPr>
          <t xml:space="preserve">
</t>
        </r>
      </text>
    </comment>
    <comment ref="S428" authorId="0">
      <text>
        <r>
          <rPr>
            <b/>
            <sz val="14"/>
            <color indexed="81"/>
            <rFont val="Times New Roman"/>
            <family val="1"/>
          </rPr>
          <t xml:space="preserve">wpisz nr gry
</t>
        </r>
        <r>
          <rPr>
            <sz val="8"/>
            <color indexed="81"/>
            <rFont val="Tahoma"/>
            <family val="2"/>
            <charset val="238"/>
          </rPr>
          <t xml:space="preserve">
</t>
        </r>
      </text>
    </comment>
    <comment ref="O433" authorId="0">
      <text>
        <r>
          <rPr>
            <b/>
            <sz val="10"/>
            <color indexed="81"/>
            <rFont val="Times New Roman CE"/>
            <family val="1"/>
            <charset val="238"/>
          </rPr>
          <t>Wpisz nr grupy.</t>
        </r>
        <r>
          <rPr>
            <sz val="8"/>
            <color indexed="81"/>
            <rFont val="Tahoma"/>
            <family val="2"/>
            <charset val="238"/>
          </rPr>
          <t xml:space="preserve">
</t>
        </r>
      </text>
    </comment>
    <comment ref="S437" authorId="0">
      <text>
        <r>
          <rPr>
            <b/>
            <sz val="14"/>
            <color indexed="81"/>
            <rFont val="Times New Roman"/>
            <family val="1"/>
          </rPr>
          <t xml:space="preserve">wpisz nr gry
</t>
        </r>
        <r>
          <rPr>
            <sz val="8"/>
            <color indexed="81"/>
            <rFont val="Tahoma"/>
            <family val="2"/>
            <charset val="238"/>
          </rPr>
          <t xml:space="preserve">
</t>
        </r>
      </text>
    </comment>
    <comment ref="S438" authorId="0">
      <text>
        <r>
          <rPr>
            <b/>
            <sz val="14"/>
            <color indexed="81"/>
            <rFont val="Times New Roman"/>
            <family val="1"/>
          </rPr>
          <t xml:space="preserve">wpisz nr gry
</t>
        </r>
        <r>
          <rPr>
            <sz val="8"/>
            <color indexed="81"/>
            <rFont val="Tahoma"/>
            <family val="2"/>
            <charset val="238"/>
          </rPr>
          <t xml:space="preserve">
</t>
        </r>
      </text>
    </comment>
    <comment ref="S439" authorId="0">
      <text>
        <r>
          <rPr>
            <b/>
            <sz val="14"/>
            <color indexed="81"/>
            <rFont val="Times New Roman"/>
            <family val="1"/>
          </rPr>
          <t xml:space="preserve">wpisz nr gry
</t>
        </r>
        <r>
          <rPr>
            <sz val="8"/>
            <color indexed="81"/>
            <rFont val="Tahoma"/>
            <family val="2"/>
            <charset val="238"/>
          </rPr>
          <t xml:space="preserve">
</t>
        </r>
      </text>
    </comment>
    <comment ref="O444" authorId="0">
      <text>
        <r>
          <rPr>
            <b/>
            <sz val="10"/>
            <color indexed="81"/>
            <rFont val="Times New Roman CE"/>
            <family val="1"/>
            <charset val="238"/>
          </rPr>
          <t>Wpisz nr grupy.</t>
        </r>
        <r>
          <rPr>
            <sz val="8"/>
            <color indexed="81"/>
            <rFont val="Tahoma"/>
            <family val="2"/>
            <charset val="238"/>
          </rPr>
          <t xml:space="preserve">
</t>
        </r>
      </text>
    </comment>
    <comment ref="S448" authorId="0">
      <text>
        <r>
          <rPr>
            <b/>
            <sz val="14"/>
            <color indexed="81"/>
            <rFont val="Times New Roman"/>
            <family val="1"/>
          </rPr>
          <t xml:space="preserve">wpisz nr gry
</t>
        </r>
        <r>
          <rPr>
            <sz val="8"/>
            <color indexed="81"/>
            <rFont val="Tahoma"/>
            <family val="2"/>
            <charset val="238"/>
          </rPr>
          <t xml:space="preserve">
</t>
        </r>
      </text>
    </comment>
    <comment ref="S449" authorId="0">
      <text>
        <r>
          <rPr>
            <b/>
            <sz val="14"/>
            <color indexed="81"/>
            <rFont val="Times New Roman"/>
            <family val="1"/>
          </rPr>
          <t xml:space="preserve">wpisz nr gry
</t>
        </r>
        <r>
          <rPr>
            <sz val="8"/>
            <color indexed="81"/>
            <rFont val="Tahoma"/>
            <family val="2"/>
            <charset val="238"/>
          </rPr>
          <t xml:space="preserve">
</t>
        </r>
      </text>
    </comment>
    <comment ref="S450" authorId="0">
      <text>
        <r>
          <rPr>
            <b/>
            <sz val="14"/>
            <color indexed="81"/>
            <rFont val="Times New Roman"/>
            <family val="1"/>
          </rPr>
          <t xml:space="preserve">wpisz nr gry
</t>
        </r>
        <r>
          <rPr>
            <sz val="8"/>
            <color indexed="81"/>
            <rFont val="Tahoma"/>
            <family val="2"/>
            <charset val="238"/>
          </rPr>
          <t xml:space="preserve">
</t>
        </r>
      </text>
    </comment>
    <comment ref="N456" authorId="0">
      <text>
        <r>
          <rPr>
            <b/>
            <sz val="10"/>
            <color indexed="81"/>
            <rFont val="Times New Roman CE"/>
            <family val="1"/>
            <charset val="238"/>
          </rPr>
          <t>Dla systemu grupowo-pucharowego wpisz miejsce w grupie.</t>
        </r>
      </text>
    </comment>
    <comment ref="O456" authorId="0">
      <text>
        <r>
          <rPr>
            <b/>
            <sz val="10"/>
            <color indexed="81"/>
            <rFont val="Times New Roman CE"/>
            <family val="1"/>
            <charset val="238"/>
          </rPr>
          <t>Dla systemu pucharowego wpisz ilość zawodników.
Dla systemu grupowo-pucharowego wpisz ilość grup.</t>
        </r>
      </text>
    </comment>
    <comment ref="W458" authorId="0">
      <text>
        <r>
          <rPr>
            <b/>
            <sz val="14"/>
            <color indexed="81"/>
            <rFont val="Times New Roman"/>
            <family val="1"/>
          </rPr>
          <t xml:space="preserve">wpisz nr gry
</t>
        </r>
        <r>
          <rPr>
            <sz val="8"/>
            <color indexed="81"/>
            <rFont val="Tahoma"/>
            <family val="2"/>
            <charset val="238"/>
          </rPr>
          <t xml:space="preserve">
</t>
        </r>
      </text>
    </comment>
    <comment ref="Z460" authorId="0">
      <text>
        <r>
          <rPr>
            <b/>
            <sz val="14"/>
            <color indexed="81"/>
            <rFont val="Times New Roman"/>
            <family val="1"/>
          </rPr>
          <t xml:space="preserve">wpisz nr gry
</t>
        </r>
        <r>
          <rPr>
            <sz val="8"/>
            <color indexed="81"/>
            <rFont val="Tahoma"/>
            <family val="2"/>
            <charset val="238"/>
          </rPr>
          <t xml:space="preserve">
</t>
        </r>
      </text>
    </comment>
    <comment ref="W462" authorId="0">
      <text>
        <r>
          <rPr>
            <b/>
            <sz val="14"/>
            <color indexed="81"/>
            <rFont val="Times New Roman"/>
            <family val="1"/>
          </rPr>
          <t xml:space="preserve">wpisz nr gry
</t>
        </r>
        <r>
          <rPr>
            <sz val="8"/>
            <color indexed="81"/>
            <rFont val="Tahoma"/>
            <family val="2"/>
            <charset val="238"/>
          </rPr>
          <t xml:space="preserve">
</t>
        </r>
      </text>
    </comment>
    <comment ref="AC464" authorId="0">
      <text>
        <r>
          <rPr>
            <b/>
            <sz val="14"/>
            <color indexed="81"/>
            <rFont val="Times New Roman"/>
            <family val="1"/>
          </rPr>
          <t xml:space="preserve">wpisz nr gry
</t>
        </r>
        <r>
          <rPr>
            <sz val="8"/>
            <color indexed="81"/>
            <rFont val="Tahoma"/>
            <family val="2"/>
            <charset val="238"/>
          </rPr>
          <t xml:space="preserve">
</t>
        </r>
      </text>
    </comment>
    <comment ref="W466" authorId="0">
      <text>
        <r>
          <rPr>
            <b/>
            <sz val="14"/>
            <color indexed="81"/>
            <rFont val="Times New Roman"/>
            <family val="1"/>
          </rPr>
          <t xml:space="preserve">wpisz nr gry
</t>
        </r>
        <r>
          <rPr>
            <sz val="8"/>
            <color indexed="81"/>
            <rFont val="Tahoma"/>
            <family val="2"/>
            <charset val="238"/>
          </rPr>
          <t xml:space="preserve">
</t>
        </r>
      </text>
    </comment>
    <comment ref="Z468" authorId="0">
      <text>
        <r>
          <rPr>
            <b/>
            <sz val="14"/>
            <color indexed="81"/>
            <rFont val="Times New Roman"/>
            <family val="1"/>
          </rPr>
          <t xml:space="preserve">wpisz nr gry
</t>
        </r>
        <r>
          <rPr>
            <sz val="8"/>
            <color indexed="81"/>
            <rFont val="Tahoma"/>
            <family val="2"/>
            <charset val="238"/>
          </rPr>
          <t xml:space="preserve">
</t>
        </r>
      </text>
    </comment>
    <comment ref="W470" authorId="0">
      <text>
        <r>
          <rPr>
            <b/>
            <sz val="14"/>
            <color indexed="81"/>
            <rFont val="Times New Roman"/>
            <family val="1"/>
          </rPr>
          <t xml:space="preserve">wpisz nr gry
</t>
        </r>
        <r>
          <rPr>
            <sz val="8"/>
            <color indexed="81"/>
            <rFont val="Tahoma"/>
            <family val="2"/>
            <charset val="238"/>
          </rPr>
          <t xml:space="preserve">
</t>
        </r>
      </text>
    </comment>
    <comment ref="AC472" authorId="0">
      <text>
        <r>
          <rPr>
            <b/>
            <sz val="14"/>
            <color indexed="81"/>
            <rFont val="Times New Roman"/>
            <family val="1"/>
          </rPr>
          <t xml:space="preserve">wpisz nr gry
</t>
        </r>
        <r>
          <rPr>
            <sz val="8"/>
            <color indexed="81"/>
            <rFont val="Tahoma"/>
            <family val="2"/>
            <charset val="238"/>
          </rPr>
          <t xml:space="preserve">
</t>
        </r>
      </text>
    </comment>
    <comment ref="W474" authorId="0">
      <text>
        <r>
          <rPr>
            <b/>
            <sz val="14"/>
            <color indexed="81"/>
            <rFont val="Times New Roman"/>
            <family val="1"/>
          </rPr>
          <t xml:space="preserve">wpisz nr gry
</t>
        </r>
        <r>
          <rPr>
            <sz val="8"/>
            <color indexed="81"/>
            <rFont val="Tahoma"/>
            <family val="2"/>
            <charset val="238"/>
          </rPr>
          <t xml:space="preserve">
</t>
        </r>
      </text>
    </comment>
    <comment ref="Z476" authorId="0">
      <text>
        <r>
          <rPr>
            <b/>
            <sz val="14"/>
            <color indexed="81"/>
            <rFont val="Times New Roman"/>
            <family val="1"/>
          </rPr>
          <t xml:space="preserve">wpisz nr gry
</t>
        </r>
        <r>
          <rPr>
            <sz val="8"/>
            <color indexed="81"/>
            <rFont val="Tahoma"/>
            <family val="2"/>
            <charset val="238"/>
          </rPr>
          <t xml:space="preserve">
</t>
        </r>
      </text>
    </comment>
    <comment ref="W478" authorId="0">
      <text>
        <r>
          <rPr>
            <b/>
            <sz val="14"/>
            <color indexed="81"/>
            <rFont val="Times New Roman"/>
            <family val="1"/>
          </rPr>
          <t xml:space="preserve">wpisz nr gry
</t>
        </r>
        <r>
          <rPr>
            <sz val="8"/>
            <color indexed="81"/>
            <rFont val="Tahoma"/>
            <family val="2"/>
            <charset val="238"/>
          </rPr>
          <t xml:space="preserve">
</t>
        </r>
      </text>
    </comment>
    <comment ref="AC480" authorId="0">
      <text>
        <r>
          <rPr>
            <b/>
            <sz val="14"/>
            <color indexed="81"/>
            <rFont val="Times New Roman"/>
            <family val="1"/>
          </rPr>
          <t xml:space="preserve">wpisz nr gry
</t>
        </r>
        <r>
          <rPr>
            <sz val="8"/>
            <color indexed="81"/>
            <rFont val="Tahoma"/>
            <family val="2"/>
            <charset val="238"/>
          </rPr>
          <t xml:space="preserve">
</t>
        </r>
      </text>
    </comment>
    <comment ref="W482" authorId="0">
      <text>
        <r>
          <rPr>
            <b/>
            <sz val="14"/>
            <color indexed="81"/>
            <rFont val="Times New Roman"/>
            <family val="1"/>
          </rPr>
          <t xml:space="preserve">wpisz nr gry
</t>
        </r>
        <r>
          <rPr>
            <sz val="8"/>
            <color indexed="81"/>
            <rFont val="Tahoma"/>
            <family val="2"/>
            <charset val="238"/>
          </rPr>
          <t xml:space="preserve">
</t>
        </r>
      </text>
    </comment>
    <comment ref="Z484" authorId="0">
      <text>
        <r>
          <rPr>
            <b/>
            <sz val="14"/>
            <color indexed="81"/>
            <rFont val="Times New Roman"/>
            <family val="1"/>
          </rPr>
          <t xml:space="preserve">wpisz nr gry
</t>
        </r>
        <r>
          <rPr>
            <sz val="8"/>
            <color indexed="81"/>
            <rFont val="Tahoma"/>
            <family val="2"/>
            <charset val="238"/>
          </rPr>
          <t xml:space="preserve">
</t>
        </r>
      </text>
    </comment>
    <comment ref="W486" authorId="0">
      <text>
        <r>
          <rPr>
            <b/>
            <sz val="14"/>
            <color indexed="81"/>
            <rFont val="Times New Roman"/>
            <family val="1"/>
          </rPr>
          <t xml:space="preserve">wpisz nr gry
</t>
        </r>
        <r>
          <rPr>
            <sz val="8"/>
            <color indexed="81"/>
            <rFont val="Tahoma"/>
            <family val="2"/>
            <charset val="238"/>
          </rPr>
          <t xml:space="preserve">
</t>
        </r>
      </text>
    </comment>
    <comment ref="O491" authorId="0">
      <text>
        <r>
          <rPr>
            <b/>
            <sz val="10"/>
            <color indexed="81"/>
            <rFont val="Times New Roman CE"/>
            <family val="1"/>
            <charset val="238"/>
          </rPr>
          <t>Wpisz nr grupy.</t>
        </r>
        <r>
          <rPr>
            <sz val="8"/>
            <color indexed="81"/>
            <rFont val="Tahoma"/>
            <family val="2"/>
            <charset val="238"/>
          </rPr>
          <t xml:space="preserve">
</t>
        </r>
      </text>
    </comment>
    <comment ref="S495" authorId="0">
      <text>
        <r>
          <rPr>
            <b/>
            <sz val="14"/>
            <color indexed="81"/>
            <rFont val="Times New Roman"/>
            <family val="1"/>
          </rPr>
          <t xml:space="preserve">wpisz nr gry
</t>
        </r>
        <r>
          <rPr>
            <sz val="8"/>
            <color indexed="81"/>
            <rFont val="Tahoma"/>
            <family val="2"/>
            <charset val="238"/>
          </rPr>
          <t xml:space="preserve">
</t>
        </r>
      </text>
    </comment>
    <comment ref="S496" authorId="0">
      <text>
        <r>
          <rPr>
            <b/>
            <sz val="14"/>
            <color indexed="81"/>
            <rFont val="Times New Roman"/>
            <family val="1"/>
          </rPr>
          <t xml:space="preserve">wpisz nr gry
</t>
        </r>
        <r>
          <rPr>
            <sz val="8"/>
            <color indexed="81"/>
            <rFont val="Tahoma"/>
            <family val="2"/>
            <charset val="238"/>
          </rPr>
          <t xml:space="preserve">
</t>
        </r>
      </text>
    </comment>
    <comment ref="S497" authorId="0">
      <text>
        <r>
          <rPr>
            <b/>
            <sz val="14"/>
            <color indexed="81"/>
            <rFont val="Times New Roman"/>
            <family val="1"/>
          </rPr>
          <t xml:space="preserve">wpisz nr gry
</t>
        </r>
        <r>
          <rPr>
            <sz val="8"/>
            <color indexed="81"/>
            <rFont val="Tahoma"/>
            <family val="2"/>
            <charset val="238"/>
          </rPr>
          <t xml:space="preserve">
</t>
        </r>
      </text>
    </comment>
    <comment ref="O502" authorId="0">
      <text>
        <r>
          <rPr>
            <b/>
            <sz val="10"/>
            <color indexed="81"/>
            <rFont val="Times New Roman CE"/>
            <family val="1"/>
            <charset val="238"/>
          </rPr>
          <t>Wpisz nr grupy.</t>
        </r>
        <r>
          <rPr>
            <sz val="8"/>
            <color indexed="81"/>
            <rFont val="Tahoma"/>
            <family val="2"/>
            <charset val="238"/>
          </rPr>
          <t xml:space="preserve">
</t>
        </r>
      </text>
    </comment>
    <comment ref="S506" authorId="0">
      <text>
        <r>
          <rPr>
            <b/>
            <sz val="14"/>
            <color indexed="81"/>
            <rFont val="Times New Roman"/>
            <family val="1"/>
          </rPr>
          <t xml:space="preserve">wpisz nr gry
</t>
        </r>
        <r>
          <rPr>
            <sz val="8"/>
            <color indexed="81"/>
            <rFont val="Tahoma"/>
            <family val="2"/>
            <charset val="238"/>
          </rPr>
          <t xml:space="preserve">
</t>
        </r>
      </text>
    </comment>
    <comment ref="S507" authorId="0">
      <text>
        <r>
          <rPr>
            <b/>
            <sz val="14"/>
            <color indexed="81"/>
            <rFont val="Times New Roman"/>
            <family val="1"/>
          </rPr>
          <t xml:space="preserve">wpisz nr gry
</t>
        </r>
        <r>
          <rPr>
            <sz val="8"/>
            <color indexed="81"/>
            <rFont val="Tahoma"/>
            <family val="2"/>
            <charset val="238"/>
          </rPr>
          <t xml:space="preserve">
</t>
        </r>
      </text>
    </comment>
    <comment ref="S508" authorId="0">
      <text>
        <r>
          <rPr>
            <b/>
            <sz val="14"/>
            <color indexed="81"/>
            <rFont val="Times New Roman"/>
            <family val="1"/>
          </rPr>
          <t xml:space="preserve">wpisz nr gry
</t>
        </r>
        <r>
          <rPr>
            <sz val="8"/>
            <color indexed="81"/>
            <rFont val="Tahoma"/>
            <family val="2"/>
            <charset val="238"/>
          </rPr>
          <t xml:space="preserve">
</t>
        </r>
      </text>
    </comment>
    <comment ref="O513" authorId="0">
      <text>
        <r>
          <rPr>
            <b/>
            <sz val="10"/>
            <color indexed="81"/>
            <rFont val="Times New Roman CE"/>
            <family val="1"/>
            <charset val="238"/>
          </rPr>
          <t>Wpisz nr grupy.</t>
        </r>
        <r>
          <rPr>
            <sz val="8"/>
            <color indexed="81"/>
            <rFont val="Tahoma"/>
            <family val="2"/>
            <charset val="238"/>
          </rPr>
          <t xml:space="preserve">
</t>
        </r>
      </text>
    </comment>
    <comment ref="S517" authorId="0">
      <text>
        <r>
          <rPr>
            <b/>
            <sz val="14"/>
            <color indexed="81"/>
            <rFont val="Times New Roman"/>
            <family val="1"/>
          </rPr>
          <t xml:space="preserve">wpisz nr gry
</t>
        </r>
        <r>
          <rPr>
            <sz val="8"/>
            <color indexed="81"/>
            <rFont val="Tahoma"/>
            <family val="2"/>
            <charset val="238"/>
          </rPr>
          <t xml:space="preserve">
</t>
        </r>
      </text>
    </comment>
    <comment ref="S518" authorId="0">
      <text>
        <r>
          <rPr>
            <b/>
            <sz val="14"/>
            <color indexed="81"/>
            <rFont val="Times New Roman"/>
            <family val="1"/>
          </rPr>
          <t xml:space="preserve">wpisz nr gry
</t>
        </r>
        <r>
          <rPr>
            <sz val="8"/>
            <color indexed="81"/>
            <rFont val="Tahoma"/>
            <family val="2"/>
            <charset val="238"/>
          </rPr>
          <t xml:space="preserve">
</t>
        </r>
      </text>
    </comment>
    <comment ref="S519" authorId="0">
      <text>
        <r>
          <rPr>
            <b/>
            <sz val="14"/>
            <color indexed="81"/>
            <rFont val="Times New Roman"/>
            <family val="1"/>
          </rPr>
          <t xml:space="preserve">wpisz nr gry
</t>
        </r>
        <r>
          <rPr>
            <sz val="8"/>
            <color indexed="81"/>
            <rFont val="Tahoma"/>
            <family val="2"/>
            <charset val="238"/>
          </rPr>
          <t xml:space="preserve">
</t>
        </r>
      </text>
    </comment>
    <comment ref="O524" authorId="0">
      <text>
        <r>
          <rPr>
            <b/>
            <sz val="10"/>
            <color indexed="81"/>
            <rFont val="Times New Roman CE"/>
            <family val="1"/>
            <charset val="238"/>
          </rPr>
          <t>Wpisz nr grupy.</t>
        </r>
        <r>
          <rPr>
            <sz val="8"/>
            <color indexed="81"/>
            <rFont val="Tahoma"/>
            <family val="2"/>
            <charset val="238"/>
          </rPr>
          <t xml:space="preserve">
</t>
        </r>
      </text>
    </comment>
    <comment ref="S528" authorId="0">
      <text>
        <r>
          <rPr>
            <b/>
            <sz val="14"/>
            <color indexed="81"/>
            <rFont val="Times New Roman"/>
            <family val="1"/>
          </rPr>
          <t xml:space="preserve">wpisz nr gry
</t>
        </r>
        <r>
          <rPr>
            <sz val="8"/>
            <color indexed="81"/>
            <rFont val="Tahoma"/>
            <family val="2"/>
            <charset val="238"/>
          </rPr>
          <t xml:space="preserve">
</t>
        </r>
      </text>
    </comment>
    <comment ref="S529" authorId="0">
      <text>
        <r>
          <rPr>
            <b/>
            <sz val="14"/>
            <color indexed="81"/>
            <rFont val="Times New Roman"/>
            <family val="1"/>
          </rPr>
          <t xml:space="preserve">wpisz nr gry
</t>
        </r>
        <r>
          <rPr>
            <sz val="8"/>
            <color indexed="81"/>
            <rFont val="Tahoma"/>
            <family val="2"/>
            <charset val="238"/>
          </rPr>
          <t xml:space="preserve">
</t>
        </r>
      </text>
    </comment>
    <comment ref="S530" authorId="0">
      <text>
        <r>
          <rPr>
            <b/>
            <sz val="14"/>
            <color indexed="81"/>
            <rFont val="Times New Roman"/>
            <family val="1"/>
          </rPr>
          <t xml:space="preserve">wpisz nr gry
</t>
        </r>
        <r>
          <rPr>
            <sz val="8"/>
            <color indexed="81"/>
            <rFont val="Tahoma"/>
            <family val="2"/>
            <charset val="238"/>
          </rPr>
          <t xml:space="preserve">
</t>
        </r>
      </text>
    </comment>
    <comment ref="O535" authorId="0">
      <text>
        <r>
          <rPr>
            <b/>
            <sz val="10"/>
            <color indexed="81"/>
            <rFont val="Times New Roman CE"/>
            <family val="1"/>
            <charset val="238"/>
          </rPr>
          <t>Wpisz nr grupy.</t>
        </r>
        <r>
          <rPr>
            <sz val="8"/>
            <color indexed="81"/>
            <rFont val="Tahoma"/>
            <family val="2"/>
            <charset val="238"/>
          </rPr>
          <t xml:space="preserve">
</t>
        </r>
      </text>
    </comment>
    <comment ref="S539" authorId="0">
      <text>
        <r>
          <rPr>
            <b/>
            <sz val="14"/>
            <color indexed="81"/>
            <rFont val="Times New Roman"/>
            <family val="1"/>
          </rPr>
          <t xml:space="preserve">wpisz nr gry
</t>
        </r>
        <r>
          <rPr>
            <sz val="8"/>
            <color indexed="81"/>
            <rFont val="Tahoma"/>
            <family val="2"/>
            <charset val="238"/>
          </rPr>
          <t xml:space="preserve">
</t>
        </r>
      </text>
    </comment>
    <comment ref="S540" authorId="0">
      <text>
        <r>
          <rPr>
            <b/>
            <sz val="14"/>
            <color indexed="81"/>
            <rFont val="Times New Roman"/>
            <family val="1"/>
          </rPr>
          <t xml:space="preserve">wpisz nr gry
</t>
        </r>
        <r>
          <rPr>
            <sz val="8"/>
            <color indexed="81"/>
            <rFont val="Tahoma"/>
            <family val="2"/>
            <charset val="238"/>
          </rPr>
          <t xml:space="preserve">
</t>
        </r>
      </text>
    </comment>
    <comment ref="S541" authorId="0">
      <text>
        <r>
          <rPr>
            <b/>
            <sz val="14"/>
            <color indexed="81"/>
            <rFont val="Times New Roman"/>
            <family val="1"/>
          </rPr>
          <t xml:space="preserve">wpisz nr gry
</t>
        </r>
        <r>
          <rPr>
            <sz val="8"/>
            <color indexed="81"/>
            <rFont val="Tahoma"/>
            <family val="2"/>
            <charset val="238"/>
          </rPr>
          <t xml:space="preserve">
</t>
        </r>
      </text>
    </comment>
    <comment ref="O546" authorId="0">
      <text>
        <r>
          <rPr>
            <b/>
            <sz val="10"/>
            <color indexed="81"/>
            <rFont val="Times New Roman CE"/>
            <family val="1"/>
            <charset val="238"/>
          </rPr>
          <t>Wpisz nr grupy.</t>
        </r>
        <r>
          <rPr>
            <sz val="8"/>
            <color indexed="81"/>
            <rFont val="Tahoma"/>
            <family val="2"/>
            <charset val="238"/>
          </rPr>
          <t xml:space="preserve">
</t>
        </r>
      </text>
    </comment>
    <comment ref="S550" authorId="0">
      <text>
        <r>
          <rPr>
            <b/>
            <sz val="14"/>
            <color indexed="81"/>
            <rFont val="Times New Roman"/>
            <family val="1"/>
          </rPr>
          <t xml:space="preserve">wpisz nr gry
</t>
        </r>
        <r>
          <rPr>
            <sz val="8"/>
            <color indexed="81"/>
            <rFont val="Tahoma"/>
            <family val="2"/>
            <charset val="238"/>
          </rPr>
          <t xml:space="preserve">
</t>
        </r>
      </text>
    </comment>
    <comment ref="S551" authorId="0">
      <text>
        <r>
          <rPr>
            <b/>
            <sz val="14"/>
            <color indexed="81"/>
            <rFont val="Times New Roman"/>
            <family val="1"/>
          </rPr>
          <t xml:space="preserve">wpisz nr gry
</t>
        </r>
        <r>
          <rPr>
            <sz val="8"/>
            <color indexed="81"/>
            <rFont val="Tahoma"/>
            <family val="2"/>
            <charset val="238"/>
          </rPr>
          <t xml:space="preserve">
</t>
        </r>
      </text>
    </comment>
    <comment ref="S552" authorId="0">
      <text>
        <r>
          <rPr>
            <b/>
            <sz val="14"/>
            <color indexed="81"/>
            <rFont val="Times New Roman"/>
            <family val="1"/>
          </rPr>
          <t xml:space="preserve">wpisz nr gry
</t>
        </r>
        <r>
          <rPr>
            <sz val="8"/>
            <color indexed="81"/>
            <rFont val="Tahoma"/>
            <family val="2"/>
            <charset val="238"/>
          </rPr>
          <t xml:space="preserve">
</t>
        </r>
      </text>
    </comment>
    <comment ref="O557" authorId="0">
      <text>
        <r>
          <rPr>
            <b/>
            <sz val="10"/>
            <color indexed="81"/>
            <rFont val="Times New Roman CE"/>
            <family val="1"/>
            <charset val="238"/>
          </rPr>
          <t>Wpisz nr grupy.</t>
        </r>
        <r>
          <rPr>
            <sz val="8"/>
            <color indexed="81"/>
            <rFont val="Tahoma"/>
            <family val="2"/>
            <charset val="238"/>
          </rPr>
          <t xml:space="preserve">
</t>
        </r>
      </text>
    </comment>
    <comment ref="S561" authorId="0">
      <text>
        <r>
          <rPr>
            <b/>
            <sz val="14"/>
            <color indexed="81"/>
            <rFont val="Times New Roman"/>
            <family val="1"/>
          </rPr>
          <t xml:space="preserve">wpisz nr gry
</t>
        </r>
        <r>
          <rPr>
            <sz val="8"/>
            <color indexed="81"/>
            <rFont val="Tahoma"/>
            <family val="2"/>
            <charset val="238"/>
          </rPr>
          <t xml:space="preserve">
</t>
        </r>
      </text>
    </comment>
    <comment ref="S562" authorId="0">
      <text>
        <r>
          <rPr>
            <b/>
            <sz val="14"/>
            <color indexed="81"/>
            <rFont val="Times New Roman"/>
            <family val="1"/>
          </rPr>
          <t xml:space="preserve">wpisz nr gry
</t>
        </r>
        <r>
          <rPr>
            <sz val="8"/>
            <color indexed="81"/>
            <rFont val="Tahoma"/>
            <family val="2"/>
            <charset val="238"/>
          </rPr>
          <t xml:space="preserve">
</t>
        </r>
      </text>
    </comment>
    <comment ref="S563" authorId="0">
      <text>
        <r>
          <rPr>
            <b/>
            <sz val="14"/>
            <color indexed="81"/>
            <rFont val="Times New Roman"/>
            <family val="1"/>
          </rPr>
          <t xml:space="preserve">wpisz nr gry
</t>
        </r>
        <r>
          <rPr>
            <sz val="8"/>
            <color indexed="81"/>
            <rFont val="Tahoma"/>
            <family val="2"/>
            <charset val="238"/>
          </rPr>
          <t xml:space="preserve">
</t>
        </r>
      </text>
    </comment>
    <comment ref="O568" authorId="0">
      <text>
        <r>
          <rPr>
            <b/>
            <sz val="10"/>
            <color indexed="81"/>
            <rFont val="Times New Roman CE"/>
            <family val="1"/>
            <charset val="238"/>
          </rPr>
          <t>Wpisz nr grupy.</t>
        </r>
        <r>
          <rPr>
            <sz val="8"/>
            <color indexed="81"/>
            <rFont val="Tahoma"/>
            <family val="2"/>
            <charset val="238"/>
          </rPr>
          <t xml:space="preserve">
</t>
        </r>
      </text>
    </comment>
    <comment ref="S572" authorId="0">
      <text>
        <r>
          <rPr>
            <b/>
            <sz val="14"/>
            <color indexed="81"/>
            <rFont val="Times New Roman"/>
            <family val="1"/>
          </rPr>
          <t xml:space="preserve">wpisz nr gry
</t>
        </r>
        <r>
          <rPr>
            <sz val="8"/>
            <color indexed="81"/>
            <rFont val="Tahoma"/>
            <family val="2"/>
            <charset val="238"/>
          </rPr>
          <t xml:space="preserve">
</t>
        </r>
      </text>
    </comment>
    <comment ref="S573" authorId="0">
      <text>
        <r>
          <rPr>
            <b/>
            <sz val="14"/>
            <color indexed="81"/>
            <rFont val="Times New Roman"/>
            <family val="1"/>
          </rPr>
          <t xml:space="preserve">wpisz nr gry
</t>
        </r>
        <r>
          <rPr>
            <sz val="8"/>
            <color indexed="81"/>
            <rFont val="Tahoma"/>
            <family val="2"/>
            <charset val="238"/>
          </rPr>
          <t xml:space="preserve">
</t>
        </r>
      </text>
    </comment>
    <comment ref="S574" authorId="0">
      <text>
        <r>
          <rPr>
            <b/>
            <sz val="14"/>
            <color indexed="81"/>
            <rFont val="Times New Roman"/>
            <family val="1"/>
          </rPr>
          <t xml:space="preserve">wpisz nr gry
</t>
        </r>
        <r>
          <rPr>
            <sz val="8"/>
            <color indexed="81"/>
            <rFont val="Tahoma"/>
            <family val="2"/>
            <charset val="238"/>
          </rPr>
          <t xml:space="preserve">
</t>
        </r>
      </text>
    </comment>
    <comment ref="O579" authorId="0">
      <text>
        <r>
          <rPr>
            <b/>
            <sz val="10"/>
            <color indexed="81"/>
            <rFont val="Times New Roman CE"/>
            <family val="1"/>
            <charset val="238"/>
          </rPr>
          <t>Wpisz nr grupy.</t>
        </r>
        <r>
          <rPr>
            <sz val="8"/>
            <color indexed="81"/>
            <rFont val="Tahoma"/>
            <family val="2"/>
            <charset val="238"/>
          </rPr>
          <t xml:space="preserve">
</t>
        </r>
      </text>
    </comment>
    <comment ref="S583" authorId="0">
      <text>
        <r>
          <rPr>
            <b/>
            <sz val="14"/>
            <color indexed="81"/>
            <rFont val="Times New Roman"/>
            <family val="1"/>
          </rPr>
          <t xml:space="preserve">wpisz nr gry
</t>
        </r>
        <r>
          <rPr>
            <sz val="8"/>
            <color indexed="81"/>
            <rFont val="Tahoma"/>
            <family val="2"/>
            <charset val="238"/>
          </rPr>
          <t xml:space="preserve">
</t>
        </r>
      </text>
    </comment>
    <comment ref="S584" authorId="0">
      <text>
        <r>
          <rPr>
            <b/>
            <sz val="14"/>
            <color indexed="81"/>
            <rFont val="Times New Roman"/>
            <family val="1"/>
          </rPr>
          <t xml:space="preserve">wpisz nr gry
</t>
        </r>
        <r>
          <rPr>
            <sz val="8"/>
            <color indexed="81"/>
            <rFont val="Tahoma"/>
            <family val="2"/>
            <charset val="238"/>
          </rPr>
          <t xml:space="preserve">
</t>
        </r>
      </text>
    </comment>
    <comment ref="S585" authorId="0">
      <text>
        <r>
          <rPr>
            <b/>
            <sz val="14"/>
            <color indexed="81"/>
            <rFont val="Times New Roman"/>
            <family val="1"/>
          </rPr>
          <t xml:space="preserve">wpisz nr gry
</t>
        </r>
        <r>
          <rPr>
            <sz val="8"/>
            <color indexed="81"/>
            <rFont val="Tahoma"/>
            <family val="2"/>
            <charset val="238"/>
          </rPr>
          <t xml:space="preserve">
</t>
        </r>
      </text>
    </comment>
    <comment ref="O590" authorId="0">
      <text>
        <r>
          <rPr>
            <b/>
            <sz val="10"/>
            <color indexed="81"/>
            <rFont val="Times New Roman CE"/>
            <family val="1"/>
            <charset val="238"/>
          </rPr>
          <t>Wpisz nr grupy.</t>
        </r>
        <r>
          <rPr>
            <sz val="8"/>
            <color indexed="81"/>
            <rFont val="Tahoma"/>
            <family val="2"/>
            <charset val="238"/>
          </rPr>
          <t xml:space="preserve">
</t>
        </r>
      </text>
    </comment>
    <comment ref="S594" authorId="0">
      <text>
        <r>
          <rPr>
            <b/>
            <sz val="14"/>
            <color indexed="81"/>
            <rFont val="Times New Roman"/>
            <family val="1"/>
          </rPr>
          <t xml:space="preserve">wpisz nr gry
</t>
        </r>
        <r>
          <rPr>
            <sz val="8"/>
            <color indexed="81"/>
            <rFont val="Tahoma"/>
            <family val="2"/>
            <charset val="238"/>
          </rPr>
          <t xml:space="preserve">
</t>
        </r>
      </text>
    </comment>
    <comment ref="S595" authorId="0">
      <text>
        <r>
          <rPr>
            <b/>
            <sz val="14"/>
            <color indexed="81"/>
            <rFont val="Times New Roman"/>
            <family val="1"/>
          </rPr>
          <t xml:space="preserve">wpisz nr gry
</t>
        </r>
        <r>
          <rPr>
            <sz val="8"/>
            <color indexed="81"/>
            <rFont val="Tahoma"/>
            <family val="2"/>
            <charset val="238"/>
          </rPr>
          <t xml:space="preserve">
</t>
        </r>
      </text>
    </comment>
    <comment ref="S596" authorId="0">
      <text>
        <r>
          <rPr>
            <b/>
            <sz val="14"/>
            <color indexed="81"/>
            <rFont val="Times New Roman"/>
            <family val="1"/>
          </rPr>
          <t xml:space="preserve">wpisz nr gry
</t>
        </r>
        <r>
          <rPr>
            <sz val="8"/>
            <color indexed="81"/>
            <rFont val="Tahoma"/>
            <family val="2"/>
            <charset val="238"/>
          </rPr>
          <t xml:space="preserve">
</t>
        </r>
      </text>
    </comment>
    <comment ref="O601" authorId="0">
      <text>
        <r>
          <rPr>
            <b/>
            <sz val="10"/>
            <color indexed="81"/>
            <rFont val="Times New Roman CE"/>
            <family val="1"/>
            <charset val="238"/>
          </rPr>
          <t>Wpisz nr grupy.</t>
        </r>
        <r>
          <rPr>
            <sz val="8"/>
            <color indexed="81"/>
            <rFont val="Tahoma"/>
            <family val="2"/>
            <charset val="238"/>
          </rPr>
          <t xml:space="preserve">
</t>
        </r>
      </text>
    </comment>
    <comment ref="S605" authorId="0">
      <text>
        <r>
          <rPr>
            <b/>
            <sz val="14"/>
            <color indexed="81"/>
            <rFont val="Times New Roman"/>
            <family val="1"/>
          </rPr>
          <t xml:space="preserve">wpisz nr gry
</t>
        </r>
        <r>
          <rPr>
            <sz val="8"/>
            <color indexed="81"/>
            <rFont val="Tahoma"/>
            <family val="2"/>
            <charset val="238"/>
          </rPr>
          <t xml:space="preserve">
</t>
        </r>
      </text>
    </comment>
    <comment ref="S606" authorId="0">
      <text>
        <r>
          <rPr>
            <b/>
            <sz val="14"/>
            <color indexed="81"/>
            <rFont val="Times New Roman"/>
            <family val="1"/>
          </rPr>
          <t xml:space="preserve">wpisz nr gry
</t>
        </r>
        <r>
          <rPr>
            <sz val="8"/>
            <color indexed="81"/>
            <rFont val="Tahoma"/>
            <family val="2"/>
            <charset val="238"/>
          </rPr>
          <t xml:space="preserve">
</t>
        </r>
      </text>
    </comment>
    <comment ref="S607" authorId="0">
      <text>
        <r>
          <rPr>
            <b/>
            <sz val="14"/>
            <color indexed="81"/>
            <rFont val="Times New Roman"/>
            <family val="1"/>
          </rPr>
          <t xml:space="preserve">wpisz nr gry
</t>
        </r>
        <r>
          <rPr>
            <sz val="8"/>
            <color indexed="81"/>
            <rFont val="Tahoma"/>
            <family val="2"/>
            <charset val="238"/>
          </rPr>
          <t xml:space="preserve">
</t>
        </r>
      </text>
    </comment>
    <comment ref="O612" authorId="0">
      <text>
        <r>
          <rPr>
            <b/>
            <sz val="10"/>
            <color indexed="81"/>
            <rFont val="Times New Roman CE"/>
            <family val="1"/>
            <charset val="238"/>
          </rPr>
          <t>Wpisz nr grupy.</t>
        </r>
        <r>
          <rPr>
            <sz val="8"/>
            <color indexed="81"/>
            <rFont val="Tahoma"/>
            <family val="2"/>
            <charset val="238"/>
          </rPr>
          <t xml:space="preserve">
</t>
        </r>
      </text>
    </comment>
    <comment ref="S616" authorId="0">
      <text>
        <r>
          <rPr>
            <b/>
            <sz val="14"/>
            <color indexed="81"/>
            <rFont val="Times New Roman"/>
            <family val="1"/>
          </rPr>
          <t xml:space="preserve">wpisz nr gry
</t>
        </r>
        <r>
          <rPr>
            <sz val="8"/>
            <color indexed="81"/>
            <rFont val="Tahoma"/>
            <family val="2"/>
            <charset val="238"/>
          </rPr>
          <t xml:space="preserve">
</t>
        </r>
      </text>
    </comment>
    <comment ref="S617" authorId="0">
      <text>
        <r>
          <rPr>
            <b/>
            <sz val="14"/>
            <color indexed="81"/>
            <rFont val="Times New Roman"/>
            <family val="1"/>
          </rPr>
          <t xml:space="preserve">wpisz nr gry
</t>
        </r>
        <r>
          <rPr>
            <sz val="8"/>
            <color indexed="81"/>
            <rFont val="Tahoma"/>
            <family val="2"/>
            <charset val="238"/>
          </rPr>
          <t xml:space="preserve">
</t>
        </r>
      </text>
    </comment>
    <comment ref="S618" authorId="0">
      <text>
        <r>
          <rPr>
            <b/>
            <sz val="14"/>
            <color indexed="81"/>
            <rFont val="Times New Roman"/>
            <family val="1"/>
          </rPr>
          <t xml:space="preserve">wpisz nr gry
</t>
        </r>
        <r>
          <rPr>
            <sz val="8"/>
            <color indexed="81"/>
            <rFont val="Tahoma"/>
            <family val="2"/>
            <charset val="238"/>
          </rPr>
          <t xml:space="preserve">
</t>
        </r>
      </text>
    </comment>
    <comment ref="N624" authorId="0">
      <text>
        <r>
          <rPr>
            <b/>
            <sz val="10"/>
            <color indexed="81"/>
            <rFont val="Times New Roman CE"/>
            <family val="1"/>
            <charset val="238"/>
          </rPr>
          <t>Dla systemu grupowo-pucharowego wpisz miejsce w grupie.</t>
        </r>
      </text>
    </comment>
    <comment ref="O624" authorId="0">
      <text>
        <r>
          <rPr>
            <b/>
            <sz val="10"/>
            <color indexed="81"/>
            <rFont val="Times New Roman CE"/>
            <family val="1"/>
            <charset val="238"/>
          </rPr>
          <t>Dla systemu pucharowego wpisz ilość zawodników.
Dla systemu grupowo-pucharowego wpisz ilość grup.</t>
        </r>
      </text>
    </comment>
    <comment ref="W626" authorId="0">
      <text>
        <r>
          <rPr>
            <b/>
            <sz val="14"/>
            <color indexed="81"/>
            <rFont val="Times New Roman"/>
            <family val="1"/>
          </rPr>
          <t xml:space="preserve">wpisz nr gry
</t>
        </r>
        <r>
          <rPr>
            <sz val="8"/>
            <color indexed="81"/>
            <rFont val="Tahoma"/>
            <family val="2"/>
            <charset val="238"/>
          </rPr>
          <t xml:space="preserve">
</t>
        </r>
      </text>
    </comment>
    <comment ref="Z628" authorId="0">
      <text>
        <r>
          <rPr>
            <b/>
            <sz val="14"/>
            <color indexed="81"/>
            <rFont val="Times New Roman"/>
            <family val="1"/>
          </rPr>
          <t xml:space="preserve">wpisz nr gry
</t>
        </r>
        <r>
          <rPr>
            <sz val="8"/>
            <color indexed="81"/>
            <rFont val="Tahoma"/>
            <family val="2"/>
            <charset val="238"/>
          </rPr>
          <t xml:space="preserve">
</t>
        </r>
      </text>
    </comment>
    <comment ref="W630" authorId="0">
      <text>
        <r>
          <rPr>
            <b/>
            <sz val="14"/>
            <color indexed="81"/>
            <rFont val="Times New Roman"/>
            <family val="1"/>
          </rPr>
          <t xml:space="preserve">wpisz nr gry
</t>
        </r>
        <r>
          <rPr>
            <sz val="8"/>
            <color indexed="81"/>
            <rFont val="Tahoma"/>
            <family val="2"/>
            <charset val="238"/>
          </rPr>
          <t xml:space="preserve">
</t>
        </r>
      </text>
    </comment>
    <comment ref="AC632" authorId="0">
      <text>
        <r>
          <rPr>
            <b/>
            <sz val="14"/>
            <color indexed="81"/>
            <rFont val="Times New Roman"/>
            <family val="1"/>
          </rPr>
          <t xml:space="preserve">wpisz nr gry
</t>
        </r>
        <r>
          <rPr>
            <sz val="8"/>
            <color indexed="81"/>
            <rFont val="Tahoma"/>
            <family val="2"/>
            <charset val="238"/>
          </rPr>
          <t xml:space="preserve">
</t>
        </r>
      </text>
    </comment>
    <comment ref="W634" authorId="0">
      <text>
        <r>
          <rPr>
            <b/>
            <sz val="14"/>
            <color indexed="81"/>
            <rFont val="Times New Roman"/>
            <family val="1"/>
          </rPr>
          <t xml:space="preserve">wpisz nr gry
</t>
        </r>
        <r>
          <rPr>
            <sz val="8"/>
            <color indexed="81"/>
            <rFont val="Tahoma"/>
            <family val="2"/>
            <charset val="238"/>
          </rPr>
          <t xml:space="preserve">
</t>
        </r>
      </text>
    </comment>
    <comment ref="Z636" authorId="0">
      <text>
        <r>
          <rPr>
            <b/>
            <sz val="14"/>
            <color indexed="81"/>
            <rFont val="Times New Roman"/>
            <family val="1"/>
          </rPr>
          <t xml:space="preserve">wpisz nr gry
</t>
        </r>
        <r>
          <rPr>
            <sz val="8"/>
            <color indexed="81"/>
            <rFont val="Tahoma"/>
            <family val="2"/>
            <charset val="238"/>
          </rPr>
          <t xml:space="preserve">
</t>
        </r>
      </text>
    </comment>
    <comment ref="W638" authorId="0">
      <text>
        <r>
          <rPr>
            <b/>
            <sz val="14"/>
            <color indexed="81"/>
            <rFont val="Times New Roman"/>
            <family val="1"/>
          </rPr>
          <t xml:space="preserve">wpisz nr gry
</t>
        </r>
        <r>
          <rPr>
            <sz val="8"/>
            <color indexed="81"/>
            <rFont val="Tahoma"/>
            <family val="2"/>
            <charset val="238"/>
          </rPr>
          <t xml:space="preserve">
</t>
        </r>
      </text>
    </comment>
    <comment ref="AC640" authorId="0">
      <text>
        <r>
          <rPr>
            <b/>
            <sz val="14"/>
            <color indexed="81"/>
            <rFont val="Times New Roman"/>
            <family val="1"/>
          </rPr>
          <t xml:space="preserve">wpisz nr gry
</t>
        </r>
        <r>
          <rPr>
            <sz val="8"/>
            <color indexed="81"/>
            <rFont val="Tahoma"/>
            <family val="2"/>
            <charset val="238"/>
          </rPr>
          <t xml:space="preserve">
</t>
        </r>
      </text>
    </comment>
    <comment ref="W642" authorId="0">
      <text>
        <r>
          <rPr>
            <b/>
            <sz val="14"/>
            <color indexed="81"/>
            <rFont val="Times New Roman"/>
            <family val="1"/>
          </rPr>
          <t xml:space="preserve">wpisz nr gry
</t>
        </r>
        <r>
          <rPr>
            <sz val="8"/>
            <color indexed="81"/>
            <rFont val="Tahoma"/>
            <family val="2"/>
            <charset val="238"/>
          </rPr>
          <t xml:space="preserve">
</t>
        </r>
      </text>
    </comment>
    <comment ref="Z644" authorId="0">
      <text>
        <r>
          <rPr>
            <b/>
            <sz val="14"/>
            <color indexed="81"/>
            <rFont val="Times New Roman"/>
            <family val="1"/>
          </rPr>
          <t xml:space="preserve">wpisz nr gry
</t>
        </r>
        <r>
          <rPr>
            <sz val="8"/>
            <color indexed="81"/>
            <rFont val="Tahoma"/>
            <family val="2"/>
            <charset val="238"/>
          </rPr>
          <t xml:space="preserve">
</t>
        </r>
      </text>
    </comment>
    <comment ref="W646" authorId="0">
      <text>
        <r>
          <rPr>
            <b/>
            <sz val="14"/>
            <color indexed="81"/>
            <rFont val="Times New Roman"/>
            <family val="1"/>
          </rPr>
          <t xml:space="preserve">wpisz nr gry
</t>
        </r>
        <r>
          <rPr>
            <sz val="8"/>
            <color indexed="81"/>
            <rFont val="Tahoma"/>
            <family val="2"/>
            <charset val="238"/>
          </rPr>
          <t xml:space="preserve">
</t>
        </r>
      </text>
    </comment>
    <comment ref="AC648" authorId="0">
      <text>
        <r>
          <rPr>
            <b/>
            <sz val="14"/>
            <color indexed="81"/>
            <rFont val="Times New Roman"/>
            <family val="1"/>
          </rPr>
          <t xml:space="preserve">wpisz nr gry
</t>
        </r>
        <r>
          <rPr>
            <sz val="8"/>
            <color indexed="81"/>
            <rFont val="Tahoma"/>
            <family val="2"/>
            <charset val="238"/>
          </rPr>
          <t xml:space="preserve">
</t>
        </r>
      </text>
    </comment>
    <comment ref="W650" authorId="0">
      <text>
        <r>
          <rPr>
            <b/>
            <sz val="14"/>
            <color indexed="81"/>
            <rFont val="Times New Roman"/>
            <family val="1"/>
          </rPr>
          <t xml:space="preserve">wpisz nr gry
</t>
        </r>
        <r>
          <rPr>
            <sz val="8"/>
            <color indexed="81"/>
            <rFont val="Tahoma"/>
            <family val="2"/>
            <charset val="238"/>
          </rPr>
          <t xml:space="preserve">
</t>
        </r>
      </text>
    </comment>
    <comment ref="Z652" authorId="0">
      <text>
        <r>
          <rPr>
            <b/>
            <sz val="14"/>
            <color indexed="81"/>
            <rFont val="Times New Roman"/>
            <family val="1"/>
          </rPr>
          <t xml:space="preserve">wpisz nr gry
</t>
        </r>
        <r>
          <rPr>
            <sz val="8"/>
            <color indexed="81"/>
            <rFont val="Tahoma"/>
            <family val="2"/>
            <charset val="238"/>
          </rPr>
          <t xml:space="preserve">
</t>
        </r>
      </text>
    </comment>
    <comment ref="W654" authorId="0">
      <text>
        <r>
          <rPr>
            <b/>
            <sz val="14"/>
            <color indexed="81"/>
            <rFont val="Times New Roman"/>
            <family val="1"/>
          </rPr>
          <t xml:space="preserve">wpisz nr gry
</t>
        </r>
        <r>
          <rPr>
            <sz val="8"/>
            <color indexed="81"/>
            <rFont val="Tahoma"/>
            <family val="2"/>
            <charset val="238"/>
          </rPr>
          <t xml:space="preserve">
</t>
        </r>
      </text>
    </comment>
    <comment ref="O659" authorId="0">
      <text>
        <r>
          <rPr>
            <b/>
            <sz val="10"/>
            <color indexed="81"/>
            <rFont val="Times New Roman CE"/>
            <family val="1"/>
            <charset val="238"/>
          </rPr>
          <t>Wpisz nr grupy.</t>
        </r>
        <r>
          <rPr>
            <sz val="8"/>
            <color indexed="81"/>
            <rFont val="Tahoma"/>
            <family val="2"/>
            <charset val="238"/>
          </rPr>
          <t xml:space="preserve">
</t>
        </r>
      </text>
    </comment>
    <comment ref="S663" authorId="0">
      <text>
        <r>
          <rPr>
            <b/>
            <sz val="14"/>
            <color indexed="81"/>
            <rFont val="Times New Roman"/>
            <family val="1"/>
          </rPr>
          <t xml:space="preserve">wpisz nr gry
</t>
        </r>
        <r>
          <rPr>
            <sz val="8"/>
            <color indexed="81"/>
            <rFont val="Tahoma"/>
            <family val="2"/>
            <charset val="238"/>
          </rPr>
          <t xml:space="preserve">
</t>
        </r>
      </text>
    </comment>
    <comment ref="S664" authorId="0">
      <text>
        <r>
          <rPr>
            <b/>
            <sz val="14"/>
            <color indexed="81"/>
            <rFont val="Times New Roman"/>
            <family val="1"/>
          </rPr>
          <t xml:space="preserve">wpisz nr gry
</t>
        </r>
        <r>
          <rPr>
            <sz val="8"/>
            <color indexed="81"/>
            <rFont val="Tahoma"/>
            <family val="2"/>
            <charset val="238"/>
          </rPr>
          <t xml:space="preserve">
</t>
        </r>
      </text>
    </comment>
    <comment ref="S665" authorId="0">
      <text>
        <r>
          <rPr>
            <b/>
            <sz val="14"/>
            <color indexed="81"/>
            <rFont val="Times New Roman"/>
            <family val="1"/>
          </rPr>
          <t xml:space="preserve">wpisz nr gry
</t>
        </r>
        <r>
          <rPr>
            <sz val="8"/>
            <color indexed="81"/>
            <rFont val="Tahoma"/>
            <family val="2"/>
            <charset val="238"/>
          </rPr>
          <t xml:space="preserve">
</t>
        </r>
      </text>
    </comment>
    <comment ref="S666" authorId="0">
      <text>
        <r>
          <rPr>
            <b/>
            <sz val="14"/>
            <color indexed="81"/>
            <rFont val="Times New Roman"/>
            <family val="1"/>
          </rPr>
          <t xml:space="preserve">wpisz nr gry
</t>
        </r>
        <r>
          <rPr>
            <sz val="8"/>
            <color indexed="81"/>
            <rFont val="Tahoma"/>
            <family val="2"/>
            <charset val="238"/>
          </rPr>
          <t xml:space="preserve">
</t>
        </r>
      </text>
    </comment>
    <comment ref="S667" authorId="0">
      <text>
        <r>
          <rPr>
            <b/>
            <sz val="14"/>
            <color indexed="81"/>
            <rFont val="Times New Roman"/>
            <family val="1"/>
          </rPr>
          <t xml:space="preserve">wpisz nr gry
</t>
        </r>
        <r>
          <rPr>
            <sz val="8"/>
            <color indexed="81"/>
            <rFont val="Tahoma"/>
            <family val="2"/>
            <charset val="238"/>
          </rPr>
          <t xml:space="preserve">
</t>
        </r>
      </text>
    </comment>
    <comment ref="S668" authorId="0">
      <text>
        <r>
          <rPr>
            <b/>
            <sz val="14"/>
            <color indexed="81"/>
            <rFont val="Times New Roman"/>
            <family val="1"/>
          </rPr>
          <t xml:space="preserve">wpisz nr gry
</t>
        </r>
        <r>
          <rPr>
            <sz val="8"/>
            <color indexed="81"/>
            <rFont val="Tahoma"/>
            <family val="2"/>
            <charset val="238"/>
          </rPr>
          <t xml:space="preserve">
</t>
        </r>
      </text>
    </comment>
    <comment ref="O673" authorId="0">
      <text>
        <r>
          <rPr>
            <b/>
            <sz val="10"/>
            <color indexed="81"/>
            <rFont val="Times New Roman CE"/>
            <family val="1"/>
            <charset val="238"/>
          </rPr>
          <t>Wpisz nr grupy.</t>
        </r>
        <r>
          <rPr>
            <sz val="8"/>
            <color indexed="81"/>
            <rFont val="Tahoma"/>
            <family val="2"/>
            <charset val="238"/>
          </rPr>
          <t xml:space="preserve">
</t>
        </r>
      </text>
    </comment>
    <comment ref="S677" authorId="0">
      <text>
        <r>
          <rPr>
            <b/>
            <sz val="14"/>
            <color indexed="81"/>
            <rFont val="Times New Roman"/>
            <family val="1"/>
          </rPr>
          <t xml:space="preserve">wpisz nr gry
</t>
        </r>
        <r>
          <rPr>
            <sz val="8"/>
            <color indexed="81"/>
            <rFont val="Tahoma"/>
            <family val="2"/>
            <charset val="238"/>
          </rPr>
          <t xml:space="preserve">
</t>
        </r>
      </text>
    </comment>
    <comment ref="S678" authorId="0">
      <text>
        <r>
          <rPr>
            <b/>
            <sz val="14"/>
            <color indexed="81"/>
            <rFont val="Times New Roman"/>
            <family val="1"/>
          </rPr>
          <t xml:space="preserve">wpisz nr gry
</t>
        </r>
        <r>
          <rPr>
            <sz val="8"/>
            <color indexed="81"/>
            <rFont val="Tahoma"/>
            <family val="2"/>
            <charset val="238"/>
          </rPr>
          <t xml:space="preserve">
</t>
        </r>
      </text>
    </comment>
    <comment ref="S679" authorId="0">
      <text>
        <r>
          <rPr>
            <b/>
            <sz val="14"/>
            <color indexed="81"/>
            <rFont val="Times New Roman"/>
            <family val="1"/>
          </rPr>
          <t xml:space="preserve">wpisz nr gry
</t>
        </r>
        <r>
          <rPr>
            <sz val="8"/>
            <color indexed="81"/>
            <rFont val="Tahoma"/>
            <family val="2"/>
            <charset val="238"/>
          </rPr>
          <t xml:space="preserve">
</t>
        </r>
      </text>
    </comment>
    <comment ref="O684" authorId="0">
      <text>
        <r>
          <rPr>
            <b/>
            <sz val="10"/>
            <color indexed="81"/>
            <rFont val="Times New Roman CE"/>
            <family val="1"/>
            <charset val="238"/>
          </rPr>
          <t>Wpisz nr grupy.</t>
        </r>
        <r>
          <rPr>
            <sz val="8"/>
            <color indexed="81"/>
            <rFont val="Tahoma"/>
            <family val="2"/>
            <charset val="238"/>
          </rPr>
          <t xml:space="preserve">
</t>
        </r>
      </text>
    </comment>
    <comment ref="S688" authorId="0">
      <text>
        <r>
          <rPr>
            <b/>
            <sz val="14"/>
            <color indexed="81"/>
            <rFont val="Times New Roman"/>
            <family val="1"/>
          </rPr>
          <t xml:space="preserve">wpisz nr gry
</t>
        </r>
        <r>
          <rPr>
            <sz val="8"/>
            <color indexed="81"/>
            <rFont val="Tahoma"/>
            <family val="2"/>
            <charset val="238"/>
          </rPr>
          <t xml:space="preserve">
</t>
        </r>
      </text>
    </comment>
    <comment ref="S689" authorId="0">
      <text>
        <r>
          <rPr>
            <b/>
            <sz val="14"/>
            <color indexed="81"/>
            <rFont val="Times New Roman"/>
            <family val="1"/>
          </rPr>
          <t xml:space="preserve">wpisz nr gry
</t>
        </r>
        <r>
          <rPr>
            <sz val="8"/>
            <color indexed="81"/>
            <rFont val="Tahoma"/>
            <family val="2"/>
            <charset val="238"/>
          </rPr>
          <t xml:space="preserve">
</t>
        </r>
      </text>
    </comment>
    <comment ref="S690" authorId="0">
      <text>
        <r>
          <rPr>
            <b/>
            <sz val="14"/>
            <color indexed="81"/>
            <rFont val="Times New Roman"/>
            <family val="1"/>
          </rPr>
          <t xml:space="preserve">wpisz nr gry
</t>
        </r>
        <r>
          <rPr>
            <sz val="8"/>
            <color indexed="81"/>
            <rFont val="Tahoma"/>
            <family val="2"/>
            <charset val="238"/>
          </rPr>
          <t xml:space="preserve">
</t>
        </r>
      </text>
    </comment>
    <comment ref="O695" authorId="0">
      <text>
        <r>
          <rPr>
            <b/>
            <sz val="10"/>
            <color indexed="81"/>
            <rFont val="Times New Roman CE"/>
            <family val="1"/>
            <charset val="238"/>
          </rPr>
          <t>Wpisz nr grupy.</t>
        </r>
        <r>
          <rPr>
            <sz val="8"/>
            <color indexed="81"/>
            <rFont val="Tahoma"/>
            <family val="2"/>
            <charset val="238"/>
          </rPr>
          <t xml:space="preserve">
</t>
        </r>
      </text>
    </comment>
    <comment ref="S699" authorId="0">
      <text>
        <r>
          <rPr>
            <b/>
            <sz val="14"/>
            <color indexed="81"/>
            <rFont val="Times New Roman"/>
            <family val="1"/>
          </rPr>
          <t xml:space="preserve">wpisz nr gry
</t>
        </r>
        <r>
          <rPr>
            <sz val="8"/>
            <color indexed="81"/>
            <rFont val="Tahoma"/>
            <family val="2"/>
            <charset val="238"/>
          </rPr>
          <t xml:space="preserve">
</t>
        </r>
      </text>
    </comment>
    <comment ref="S700" authorId="0">
      <text>
        <r>
          <rPr>
            <b/>
            <sz val="14"/>
            <color indexed="81"/>
            <rFont val="Times New Roman"/>
            <family val="1"/>
          </rPr>
          <t xml:space="preserve">wpisz nr gry
</t>
        </r>
        <r>
          <rPr>
            <sz val="8"/>
            <color indexed="81"/>
            <rFont val="Tahoma"/>
            <family val="2"/>
            <charset val="238"/>
          </rPr>
          <t xml:space="preserve">
</t>
        </r>
      </text>
    </comment>
    <comment ref="S701" authorId="0">
      <text>
        <r>
          <rPr>
            <b/>
            <sz val="14"/>
            <color indexed="81"/>
            <rFont val="Times New Roman"/>
            <family val="1"/>
          </rPr>
          <t xml:space="preserve">wpisz nr gry
</t>
        </r>
        <r>
          <rPr>
            <sz val="8"/>
            <color indexed="81"/>
            <rFont val="Tahoma"/>
            <family val="2"/>
            <charset val="238"/>
          </rPr>
          <t xml:space="preserve">
</t>
        </r>
      </text>
    </comment>
    <comment ref="N707" authorId="0">
      <text>
        <r>
          <rPr>
            <b/>
            <sz val="10"/>
            <color indexed="81"/>
            <rFont val="Times New Roman CE"/>
            <family val="1"/>
            <charset val="238"/>
          </rPr>
          <t>Dla systemu grupowo-pucharowego wpisz miejsce w grupie.</t>
        </r>
      </text>
    </comment>
    <comment ref="O707" authorId="0">
      <text>
        <r>
          <rPr>
            <b/>
            <sz val="10"/>
            <color indexed="81"/>
            <rFont val="Times New Roman CE"/>
            <family val="1"/>
            <charset val="238"/>
          </rPr>
          <t>Dla systemu pucharowego wpisz ilość zawodników.
Dla systemu grupowo-pucharowego wpisz ilość grup.</t>
        </r>
      </text>
    </comment>
    <comment ref="W710" authorId="0">
      <text>
        <r>
          <rPr>
            <b/>
            <sz val="14"/>
            <color indexed="81"/>
            <rFont val="Times New Roman"/>
            <family val="1"/>
          </rPr>
          <t xml:space="preserve">wpisz nr gry
</t>
        </r>
        <r>
          <rPr>
            <sz val="8"/>
            <color indexed="81"/>
            <rFont val="Tahoma"/>
            <family val="2"/>
            <charset val="238"/>
          </rPr>
          <t xml:space="preserve">
</t>
        </r>
      </text>
    </comment>
    <comment ref="Z712" authorId="0">
      <text>
        <r>
          <rPr>
            <b/>
            <sz val="14"/>
            <color indexed="81"/>
            <rFont val="Times New Roman"/>
            <family val="1"/>
          </rPr>
          <t xml:space="preserve">wpisz nr gry
</t>
        </r>
        <r>
          <rPr>
            <sz val="8"/>
            <color indexed="81"/>
            <rFont val="Tahoma"/>
            <family val="2"/>
            <charset val="238"/>
          </rPr>
          <t xml:space="preserve">
</t>
        </r>
      </text>
    </comment>
    <comment ref="W714" authorId="0">
      <text>
        <r>
          <rPr>
            <b/>
            <sz val="14"/>
            <color indexed="81"/>
            <rFont val="Times New Roman"/>
            <family val="1"/>
          </rPr>
          <t xml:space="preserve">wpisz nr gry
</t>
        </r>
        <r>
          <rPr>
            <sz val="8"/>
            <color indexed="81"/>
            <rFont val="Tahoma"/>
            <family val="2"/>
            <charset val="238"/>
          </rPr>
          <t xml:space="preserve">
</t>
        </r>
      </text>
    </comment>
    <comment ref="O720" authorId="0">
      <text>
        <r>
          <rPr>
            <b/>
            <sz val="10"/>
            <color indexed="81"/>
            <rFont val="Times New Roman CE"/>
            <family val="1"/>
            <charset val="238"/>
          </rPr>
          <t>Wpisz nr grupy.</t>
        </r>
        <r>
          <rPr>
            <sz val="8"/>
            <color indexed="81"/>
            <rFont val="Tahoma"/>
            <family val="2"/>
            <charset val="238"/>
          </rPr>
          <t xml:space="preserve">
</t>
        </r>
      </text>
    </comment>
    <comment ref="S724" authorId="0">
      <text>
        <r>
          <rPr>
            <b/>
            <sz val="14"/>
            <color indexed="81"/>
            <rFont val="Times New Roman"/>
            <family val="1"/>
          </rPr>
          <t xml:space="preserve">wpisz nr gry
</t>
        </r>
        <r>
          <rPr>
            <sz val="8"/>
            <color indexed="81"/>
            <rFont val="Tahoma"/>
            <family val="2"/>
            <charset val="238"/>
          </rPr>
          <t xml:space="preserve">
</t>
        </r>
      </text>
    </comment>
    <comment ref="S725" authorId="0">
      <text>
        <r>
          <rPr>
            <b/>
            <sz val="14"/>
            <color indexed="81"/>
            <rFont val="Times New Roman"/>
            <family val="1"/>
          </rPr>
          <t xml:space="preserve">wpisz nr gry
</t>
        </r>
        <r>
          <rPr>
            <sz val="8"/>
            <color indexed="81"/>
            <rFont val="Tahoma"/>
            <family val="2"/>
            <charset val="238"/>
          </rPr>
          <t xml:space="preserve">
</t>
        </r>
      </text>
    </comment>
    <comment ref="S726" authorId="0">
      <text>
        <r>
          <rPr>
            <b/>
            <sz val="14"/>
            <color indexed="81"/>
            <rFont val="Times New Roman"/>
            <family val="1"/>
          </rPr>
          <t xml:space="preserve">wpisz nr gry
</t>
        </r>
        <r>
          <rPr>
            <sz val="8"/>
            <color indexed="81"/>
            <rFont val="Tahoma"/>
            <family val="2"/>
            <charset val="238"/>
          </rPr>
          <t xml:space="preserve">
</t>
        </r>
      </text>
    </comment>
    <comment ref="O731" authorId="0">
      <text>
        <r>
          <rPr>
            <b/>
            <sz val="10"/>
            <color indexed="81"/>
            <rFont val="Times New Roman CE"/>
            <family val="1"/>
            <charset val="238"/>
          </rPr>
          <t>Wpisz nr grupy.</t>
        </r>
        <r>
          <rPr>
            <sz val="8"/>
            <color indexed="81"/>
            <rFont val="Tahoma"/>
            <family val="2"/>
            <charset val="238"/>
          </rPr>
          <t xml:space="preserve">
</t>
        </r>
      </text>
    </comment>
    <comment ref="S735" authorId="0">
      <text>
        <r>
          <rPr>
            <b/>
            <sz val="14"/>
            <color indexed="81"/>
            <rFont val="Times New Roman"/>
            <family val="1"/>
          </rPr>
          <t xml:space="preserve">wpisz nr gry
</t>
        </r>
        <r>
          <rPr>
            <sz val="8"/>
            <color indexed="81"/>
            <rFont val="Tahoma"/>
            <family val="2"/>
            <charset val="238"/>
          </rPr>
          <t xml:space="preserve">
</t>
        </r>
      </text>
    </comment>
    <comment ref="S736" authorId="0">
      <text>
        <r>
          <rPr>
            <b/>
            <sz val="14"/>
            <color indexed="81"/>
            <rFont val="Times New Roman"/>
            <family val="1"/>
          </rPr>
          <t xml:space="preserve">wpisz nr gry
</t>
        </r>
        <r>
          <rPr>
            <sz val="8"/>
            <color indexed="81"/>
            <rFont val="Tahoma"/>
            <family val="2"/>
            <charset val="238"/>
          </rPr>
          <t xml:space="preserve">
</t>
        </r>
      </text>
    </comment>
    <comment ref="S737" authorId="0">
      <text>
        <r>
          <rPr>
            <b/>
            <sz val="14"/>
            <color indexed="81"/>
            <rFont val="Times New Roman"/>
            <family val="1"/>
          </rPr>
          <t xml:space="preserve">wpisz nr gry
</t>
        </r>
        <r>
          <rPr>
            <sz val="8"/>
            <color indexed="81"/>
            <rFont val="Tahoma"/>
            <family val="2"/>
            <charset val="238"/>
          </rPr>
          <t xml:space="preserve">
</t>
        </r>
      </text>
    </comment>
    <comment ref="O742" authorId="0">
      <text>
        <r>
          <rPr>
            <b/>
            <sz val="10"/>
            <color indexed="81"/>
            <rFont val="Times New Roman CE"/>
            <family val="1"/>
            <charset val="238"/>
          </rPr>
          <t>Wpisz nr grupy.</t>
        </r>
        <r>
          <rPr>
            <sz val="8"/>
            <color indexed="81"/>
            <rFont val="Tahoma"/>
            <family val="2"/>
            <charset val="238"/>
          </rPr>
          <t xml:space="preserve">
</t>
        </r>
      </text>
    </comment>
    <comment ref="S746" authorId="0">
      <text>
        <r>
          <rPr>
            <b/>
            <sz val="14"/>
            <color indexed="81"/>
            <rFont val="Times New Roman"/>
            <family val="1"/>
          </rPr>
          <t xml:space="preserve">wpisz nr gry
</t>
        </r>
        <r>
          <rPr>
            <sz val="8"/>
            <color indexed="81"/>
            <rFont val="Tahoma"/>
            <family val="2"/>
            <charset val="238"/>
          </rPr>
          <t xml:space="preserve">
</t>
        </r>
      </text>
    </comment>
    <comment ref="S747" authorId="0">
      <text>
        <r>
          <rPr>
            <b/>
            <sz val="14"/>
            <color indexed="81"/>
            <rFont val="Times New Roman"/>
            <family val="1"/>
          </rPr>
          <t xml:space="preserve">wpisz nr gry
</t>
        </r>
        <r>
          <rPr>
            <sz val="8"/>
            <color indexed="81"/>
            <rFont val="Tahoma"/>
            <family val="2"/>
            <charset val="238"/>
          </rPr>
          <t xml:space="preserve">
</t>
        </r>
      </text>
    </comment>
    <comment ref="S748" authorId="0">
      <text>
        <r>
          <rPr>
            <b/>
            <sz val="14"/>
            <color indexed="81"/>
            <rFont val="Times New Roman"/>
            <family val="1"/>
          </rPr>
          <t xml:space="preserve">wpisz nr gry
</t>
        </r>
        <r>
          <rPr>
            <sz val="8"/>
            <color indexed="81"/>
            <rFont val="Tahoma"/>
            <family val="2"/>
            <charset val="238"/>
          </rPr>
          <t xml:space="preserve">
</t>
        </r>
      </text>
    </comment>
    <comment ref="O753" authorId="0">
      <text>
        <r>
          <rPr>
            <b/>
            <sz val="10"/>
            <color indexed="81"/>
            <rFont val="Times New Roman CE"/>
            <family val="1"/>
            <charset val="238"/>
          </rPr>
          <t>Wpisz nr grupy.</t>
        </r>
        <r>
          <rPr>
            <sz val="8"/>
            <color indexed="81"/>
            <rFont val="Tahoma"/>
            <family val="2"/>
            <charset val="238"/>
          </rPr>
          <t xml:space="preserve">
</t>
        </r>
      </text>
    </comment>
    <comment ref="S757" authorId="0">
      <text>
        <r>
          <rPr>
            <b/>
            <sz val="14"/>
            <color indexed="81"/>
            <rFont val="Times New Roman"/>
            <family val="1"/>
          </rPr>
          <t xml:space="preserve">wpisz nr gry
</t>
        </r>
        <r>
          <rPr>
            <sz val="8"/>
            <color indexed="81"/>
            <rFont val="Tahoma"/>
            <family val="2"/>
            <charset val="238"/>
          </rPr>
          <t xml:space="preserve">
</t>
        </r>
      </text>
    </comment>
    <comment ref="S758" authorId="0">
      <text>
        <r>
          <rPr>
            <b/>
            <sz val="14"/>
            <color indexed="81"/>
            <rFont val="Times New Roman"/>
            <family val="1"/>
          </rPr>
          <t xml:space="preserve">wpisz nr gry
</t>
        </r>
        <r>
          <rPr>
            <sz val="8"/>
            <color indexed="81"/>
            <rFont val="Tahoma"/>
            <family val="2"/>
            <charset val="238"/>
          </rPr>
          <t xml:space="preserve">
</t>
        </r>
      </text>
    </comment>
    <comment ref="S759" authorId="0">
      <text>
        <r>
          <rPr>
            <b/>
            <sz val="14"/>
            <color indexed="81"/>
            <rFont val="Times New Roman"/>
            <family val="1"/>
          </rPr>
          <t xml:space="preserve">wpisz nr gry
</t>
        </r>
        <r>
          <rPr>
            <sz val="8"/>
            <color indexed="81"/>
            <rFont val="Tahoma"/>
            <family val="2"/>
            <charset val="238"/>
          </rPr>
          <t xml:space="preserve">
</t>
        </r>
      </text>
    </comment>
    <comment ref="O764" authorId="0">
      <text>
        <r>
          <rPr>
            <b/>
            <sz val="10"/>
            <color indexed="81"/>
            <rFont val="Times New Roman CE"/>
            <family val="1"/>
            <charset val="238"/>
          </rPr>
          <t>Wpisz nr grupy.</t>
        </r>
        <r>
          <rPr>
            <sz val="8"/>
            <color indexed="81"/>
            <rFont val="Tahoma"/>
            <family val="2"/>
            <charset val="238"/>
          </rPr>
          <t xml:space="preserve">
</t>
        </r>
      </text>
    </comment>
    <comment ref="S768" authorId="0">
      <text>
        <r>
          <rPr>
            <b/>
            <sz val="14"/>
            <color indexed="81"/>
            <rFont val="Times New Roman"/>
            <family val="1"/>
          </rPr>
          <t xml:space="preserve">wpisz nr gry
</t>
        </r>
        <r>
          <rPr>
            <sz val="8"/>
            <color indexed="81"/>
            <rFont val="Tahoma"/>
            <family val="2"/>
            <charset val="238"/>
          </rPr>
          <t xml:space="preserve">
</t>
        </r>
      </text>
    </comment>
    <comment ref="S769" authorId="0">
      <text>
        <r>
          <rPr>
            <b/>
            <sz val="14"/>
            <color indexed="81"/>
            <rFont val="Times New Roman"/>
            <family val="1"/>
          </rPr>
          <t xml:space="preserve">wpisz nr gry
</t>
        </r>
        <r>
          <rPr>
            <sz val="8"/>
            <color indexed="81"/>
            <rFont val="Tahoma"/>
            <family val="2"/>
            <charset val="238"/>
          </rPr>
          <t xml:space="preserve">
</t>
        </r>
      </text>
    </comment>
    <comment ref="S770" authorId="0">
      <text>
        <r>
          <rPr>
            <b/>
            <sz val="14"/>
            <color indexed="81"/>
            <rFont val="Times New Roman"/>
            <family val="1"/>
          </rPr>
          <t xml:space="preserve">wpisz nr gry
</t>
        </r>
        <r>
          <rPr>
            <sz val="8"/>
            <color indexed="81"/>
            <rFont val="Tahoma"/>
            <family val="2"/>
            <charset val="238"/>
          </rPr>
          <t xml:space="preserve">
</t>
        </r>
      </text>
    </comment>
    <comment ref="N776" authorId="0">
      <text>
        <r>
          <rPr>
            <b/>
            <sz val="10"/>
            <color indexed="81"/>
            <rFont val="Times New Roman CE"/>
            <family val="1"/>
            <charset val="238"/>
          </rPr>
          <t>Dla systemu grupowo-pucharowego wpisz miejsce w grupie.</t>
        </r>
      </text>
    </comment>
    <comment ref="O776" authorId="0">
      <text>
        <r>
          <rPr>
            <b/>
            <sz val="10"/>
            <color indexed="81"/>
            <rFont val="Times New Roman CE"/>
            <family val="1"/>
            <charset val="238"/>
          </rPr>
          <t>Dla systemu pucharowego wpisz ilość zawodników.
Dla systemu grupowo-pucharowego wpisz ilość grup.</t>
        </r>
      </text>
    </comment>
    <comment ref="W779" authorId="0">
      <text>
        <r>
          <rPr>
            <b/>
            <sz val="14"/>
            <color indexed="81"/>
            <rFont val="Times New Roman"/>
            <family val="1"/>
          </rPr>
          <t xml:space="preserve">wpisz nr gry
</t>
        </r>
        <r>
          <rPr>
            <sz val="8"/>
            <color indexed="81"/>
            <rFont val="Tahoma"/>
            <family val="2"/>
            <charset val="238"/>
          </rPr>
          <t xml:space="preserve">
</t>
        </r>
      </text>
    </comment>
    <comment ref="Z781" authorId="0">
      <text>
        <r>
          <rPr>
            <b/>
            <sz val="14"/>
            <color indexed="81"/>
            <rFont val="Times New Roman"/>
            <family val="1"/>
          </rPr>
          <t xml:space="preserve">wpisz nr gry
</t>
        </r>
        <r>
          <rPr>
            <sz val="8"/>
            <color indexed="81"/>
            <rFont val="Tahoma"/>
            <family val="2"/>
            <charset val="238"/>
          </rPr>
          <t xml:space="preserve">
</t>
        </r>
      </text>
    </comment>
    <comment ref="W783" authorId="0">
      <text>
        <r>
          <rPr>
            <b/>
            <sz val="14"/>
            <color indexed="81"/>
            <rFont val="Times New Roman"/>
            <family val="1"/>
          </rPr>
          <t xml:space="preserve">wpisz nr gry
</t>
        </r>
        <r>
          <rPr>
            <sz val="8"/>
            <color indexed="81"/>
            <rFont val="Tahoma"/>
            <family val="2"/>
            <charset val="238"/>
          </rPr>
          <t xml:space="preserve">
</t>
        </r>
      </text>
    </comment>
    <comment ref="AC785" authorId="0">
      <text>
        <r>
          <rPr>
            <b/>
            <sz val="14"/>
            <color indexed="81"/>
            <rFont val="Times New Roman"/>
            <family val="1"/>
          </rPr>
          <t xml:space="preserve">wpisz nr gry
</t>
        </r>
        <r>
          <rPr>
            <sz val="8"/>
            <color indexed="81"/>
            <rFont val="Tahoma"/>
            <family val="2"/>
            <charset val="238"/>
          </rPr>
          <t xml:space="preserve">
</t>
        </r>
      </text>
    </comment>
    <comment ref="W787" authorId="0">
      <text>
        <r>
          <rPr>
            <b/>
            <sz val="14"/>
            <color indexed="81"/>
            <rFont val="Times New Roman"/>
            <family val="1"/>
          </rPr>
          <t xml:space="preserve">wpisz nr gry
</t>
        </r>
        <r>
          <rPr>
            <sz val="8"/>
            <color indexed="81"/>
            <rFont val="Tahoma"/>
            <family val="2"/>
            <charset val="238"/>
          </rPr>
          <t xml:space="preserve">
</t>
        </r>
      </text>
    </comment>
    <comment ref="Z789" authorId="0">
      <text>
        <r>
          <rPr>
            <b/>
            <sz val="14"/>
            <color indexed="81"/>
            <rFont val="Times New Roman"/>
            <family val="1"/>
          </rPr>
          <t xml:space="preserve">wpisz nr gry
</t>
        </r>
        <r>
          <rPr>
            <sz val="8"/>
            <color indexed="81"/>
            <rFont val="Tahoma"/>
            <family val="2"/>
            <charset val="238"/>
          </rPr>
          <t xml:space="preserve">
</t>
        </r>
      </text>
    </comment>
    <comment ref="W791" authorId="0">
      <text>
        <r>
          <rPr>
            <b/>
            <sz val="14"/>
            <color indexed="81"/>
            <rFont val="Times New Roman"/>
            <family val="1"/>
          </rPr>
          <t xml:space="preserve">wpisz nr gry
</t>
        </r>
        <r>
          <rPr>
            <sz val="8"/>
            <color indexed="81"/>
            <rFont val="Tahoma"/>
            <family val="2"/>
            <charset val="238"/>
          </rPr>
          <t xml:space="preserve">
</t>
        </r>
      </text>
    </comment>
    <comment ref="O797" authorId="0">
      <text>
        <r>
          <rPr>
            <b/>
            <sz val="10"/>
            <color indexed="81"/>
            <rFont val="Times New Roman CE"/>
            <family val="1"/>
            <charset val="238"/>
          </rPr>
          <t>Wpisz nr grupy.</t>
        </r>
        <r>
          <rPr>
            <sz val="8"/>
            <color indexed="81"/>
            <rFont val="Tahoma"/>
            <family val="2"/>
            <charset val="238"/>
          </rPr>
          <t xml:space="preserve">
</t>
        </r>
      </text>
    </comment>
    <comment ref="S801" authorId="0">
      <text>
        <r>
          <rPr>
            <b/>
            <sz val="14"/>
            <color indexed="81"/>
            <rFont val="Times New Roman"/>
            <family val="1"/>
          </rPr>
          <t xml:space="preserve">wpisz nr gry
</t>
        </r>
        <r>
          <rPr>
            <sz val="8"/>
            <color indexed="81"/>
            <rFont val="Tahoma"/>
            <family val="2"/>
            <charset val="238"/>
          </rPr>
          <t xml:space="preserve">
</t>
        </r>
      </text>
    </comment>
    <comment ref="S802" authorId="0">
      <text>
        <r>
          <rPr>
            <b/>
            <sz val="14"/>
            <color indexed="81"/>
            <rFont val="Times New Roman"/>
            <family val="1"/>
          </rPr>
          <t xml:space="preserve">wpisz nr gry
</t>
        </r>
        <r>
          <rPr>
            <sz val="8"/>
            <color indexed="81"/>
            <rFont val="Tahoma"/>
            <family val="2"/>
            <charset val="238"/>
          </rPr>
          <t xml:space="preserve">
</t>
        </r>
      </text>
    </comment>
    <comment ref="S803" authorId="0">
      <text>
        <r>
          <rPr>
            <b/>
            <sz val="14"/>
            <color indexed="81"/>
            <rFont val="Times New Roman"/>
            <family val="1"/>
          </rPr>
          <t xml:space="preserve">wpisz nr gry
</t>
        </r>
        <r>
          <rPr>
            <sz val="8"/>
            <color indexed="81"/>
            <rFont val="Tahoma"/>
            <family val="2"/>
            <charset val="238"/>
          </rPr>
          <t xml:space="preserve">
</t>
        </r>
      </text>
    </comment>
    <comment ref="S804" authorId="0">
      <text>
        <r>
          <rPr>
            <b/>
            <sz val="14"/>
            <color indexed="81"/>
            <rFont val="Times New Roman"/>
            <family val="1"/>
          </rPr>
          <t xml:space="preserve">wpisz nr gry
</t>
        </r>
        <r>
          <rPr>
            <sz val="8"/>
            <color indexed="81"/>
            <rFont val="Tahoma"/>
            <family val="2"/>
            <charset val="238"/>
          </rPr>
          <t xml:space="preserve">
</t>
        </r>
      </text>
    </comment>
    <comment ref="S805" authorId="0">
      <text>
        <r>
          <rPr>
            <b/>
            <sz val="14"/>
            <color indexed="81"/>
            <rFont val="Times New Roman"/>
            <family val="1"/>
          </rPr>
          <t xml:space="preserve">wpisz nr gry
</t>
        </r>
        <r>
          <rPr>
            <sz val="8"/>
            <color indexed="81"/>
            <rFont val="Tahoma"/>
            <family val="2"/>
            <charset val="238"/>
          </rPr>
          <t xml:space="preserve">
</t>
        </r>
      </text>
    </comment>
    <comment ref="S806" authorId="0">
      <text>
        <r>
          <rPr>
            <b/>
            <sz val="14"/>
            <color indexed="81"/>
            <rFont val="Times New Roman"/>
            <family val="1"/>
          </rPr>
          <t xml:space="preserve">wpisz nr gry
</t>
        </r>
        <r>
          <rPr>
            <sz val="8"/>
            <color indexed="81"/>
            <rFont val="Tahoma"/>
            <family val="2"/>
            <charset val="238"/>
          </rPr>
          <t xml:space="preserve">
</t>
        </r>
      </text>
    </comment>
    <comment ref="O811" authorId="0">
      <text>
        <r>
          <rPr>
            <b/>
            <sz val="10"/>
            <color indexed="81"/>
            <rFont val="Times New Roman CE"/>
            <family val="1"/>
            <charset val="238"/>
          </rPr>
          <t>Wpisz nr grupy.</t>
        </r>
        <r>
          <rPr>
            <sz val="8"/>
            <color indexed="81"/>
            <rFont val="Tahoma"/>
            <family val="2"/>
            <charset val="238"/>
          </rPr>
          <t xml:space="preserve">
</t>
        </r>
      </text>
    </comment>
    <comment ref="S815" authorId="0">
      <text>
        <r>
          <rPr>
            <b/>
            <sz val="14"/>
            <color indexed="81"/>
            <rFont val="Times New Roman"/>
            <family val="1"/>
          </rPr>
          <t xml:space="preserve">wpisz nr gry
</t>
        </r>
        <r>
          <rPr>
            <sz val="8"/>
            <color indexed="81"/>
            <rFont val="Tahoma"/>
            <family val="2"/>
            <charset val="238"/>
          </rPr>
          <t xml:space="preserve">
</t>
        </r>
      </text>
    </comment>
    <comment ref="S816" authorId="0">
      <text>
        <r>
          <rPr>
            <b/>
            <sz val="14"/>
            <color indexed="81"/>
            <rFont val="Times New Roman"/>
            <family val="1"/>
          </rPr>
          <t xml:space="preserve">wpisz nr gry
</t>
        </r>
        <r>
          <rPr>
            <sz val="8"/>
            <color indexed="81"/>
            <rFont val="Tahoma"/>
            <family val="2"/>
            <charset val="238"/>
          </rPr>
          <t xml:space="preserve">
</t>
        </r>
      </text>
    </comment>
    <comment ref="S817" authorId="0">
      <text>
        <r>
          <rPr>
            <b/>
            <sz val="14"/>
            <color indexed="81"/>
            <rFont val="Times New Roman"/>
            <family val="1"/>
          </rPr>
          <t xml:space="preserve">wpisz nr gry
</t>
        </r>
        <r>
          <rPr>
            <sz val="8"/>
            <color indexed="81"/>
            <rFont val="Tahoma"/>
            <family val="2"/>
            <charset val="238"/>
          </rPr>
          <t xml:space="preserve">
</t>
        </r>
      </text>
    </comment>
    <comment ref="O822" authorId="0">
      <text>
        <r>
          <rPr>
            <b/>
            <sz val="10"/>
            <color indexed="81"/>
            <rFont val="Times New Roman CE"/>
            <family val="1"/>
            <charset val="238"/>
          </rPr>
          <t>Wpisz nr grupy.</t>
        </r>
        <r>
          <rPr>
            <sz val="8"/>
            <color indexed="81"/>
            <rFont val="Tahoma"/>
            <family val="2"/>
            <charset val="238"/>
          </rPr>
          <t xml:space="preserve">
</t>
        </r>
      </text>
    </comment>
    <comment ref="S826" authorId="0">
      <text>
        <r>
          <rPr>
            <b/>
            <sz val="14"/>
            <color indexed="81"/>
            <rFont val="Times New Roman"/>
            <family val="1"/>
          </rPr>
          <t xml:space="preserve">wpisz nr gry
</t>
        </r>
        <r>
          <rPr>
            <sz val="8"/>
            <color indexed="81"/>
            <rFont val="Tahoma"/>
            <family val="2"/>
            <charset val="238"/>
          </rPr>
          <t xml:space="preserve">
</t>
        </r>
      </text>
    </comment>
    <comment ref="S827" authorId="0">
      <text>
        <r>
          <rPr>
            <b/>
            <sz val="14"/>
            <color indexed="81"/>
            <rFont val="Times New Roman"/>
            <family val="1"/>
          </rPr>
          <t xml:space="preserve">wpisz nr gry
</t>
        </r>
        <r>
          <rPr>
            <sz val="8"/>
            <color indexed="81"/>
            <rFont val="Tahoma"/>
            <family val="2"/>
            <charset val="238"/>
          </rPr>
          <t xml:space="preserve">
</t>
        </r>
      </text>
    </comment>
    <comment ref="S828" authorId="0">
      <text>
        <r>
          <rPr>
            <b/>
            <sz val="14"/>
            <color indexed="81"/>
            <rFont val="Times New Roman"/>
            <family val="1"/>
          </rPr>
          <t xml:space="preserve">wpisz nr gry
</t>
        </r>
        <r>
          <rPr>
            <sz val="8"/>
            <color indexed="81"/>
            <rFont val="Tahoma"/>
            <family val="2"/>
            <charset val="238"/>
          </rPr>
          <t xml:space="preserve">
</t>
        </r>
      </text>
    </comment>
    <comment ref="O833" authorId="0">
      <text>
        <r>
          <rPr>
            <b/>
            <sz val="10"/>
            <color indexed="81"/>
            <rFont val="Times New Roman CE"/>
            <family val="1"/>
            <charset val="238"/>
          </rPr>
          <t>Wpisz nr grupy.</t>
        </r>
        <r>
          <rPr>
            <sz val="8"/>
            <color indexed="81"/>
            <rFont val="Tahoma"/>
            <family val="2"/>
            <charset val="238"/>
          </rPr>
          <t xml:space="preserve">
</t>
        </r>
      </text>
    </comment>
    <comment ref="S837" authorId="0">
      <text>
        <r>
          <rPr>
            <b/>
            <sz val="14"/>
            <color indexed="81"/>
            <rFont val="Times New Roman"/>
            <family val="1"/>
          </rPr>
          <t xml:space="preserve">wpisz nr gry
</t>
        </r>
        <r>
          <rPr>
            <sz val="8"/>
            <color indexed="81"/>
            <rFont val="Tahoma"/>
            <family val="2"/>
            <charset val="238"/>
          </rPr>
          <t xml:space="preserve">
</t>
        </r>
      </text>
    </comment>
    <comment ref="S838" authorId="0">
      <text>
        <r>
          <rPr>
            <b/>
            <sz val="14"/>
            <color indexed="81"/>
            <rFont val="Times New Roman"/>
            <family val="1"/>
          </rPr>
          <t xml:space="preserve">wpisz nr gry
</t>
        </r>
        <r>
          <rPr>
            <sz val="8"/>
            <color indexed="81"/>
            <rFont val="Tahoma"/>
            <family val="2"/>
            <charset val="238"/>
          </rPr>
          <t xml:space="preserve">
</t>
        </r>
      </text>
    </comment>
    <comment ref="S839" authorId="0">
      <text>
        <r>
          <rPr>
            <b/>
            <sz val="14"/>
            <color indexed="81"/>
            <rFont val="Times New Roman"/>
            <family val="1"/>
          </rPr>
          <t xml:space="preserve">wpisz nr gry
</t>
        </r>
        <r>
          <rPr>
            <sz val="8"/>
            <color indexed="81"/>
            <rFont val="Tahoma"/>
            <family val="2"/>
            <charset val="238"/>
          </rPr>
          <t xml:space="preserve">
</t>
        </r>
      </text>
    </comment>
    <comment ref="O844" authorId="0">
      <text>
        <r>
          <rPr>
            <b/>
            <sz val="10"/>
            <color indexed="81"/>
            <rFont val="Times New Roman CE"/>
            <family val="1"/>
            <charset val="238"/>
          </rPr>
          <t>Wpisz nr grupy.</t>
        </r>
        <r>
          <rPr>
            <sz val="8"/>
            <color indexed="81"/>
            <rFont val="Tahoma"/>
            <family val="2"/>
            <charset val="238"/>
          </rPr>
          <t xml:space="preserve">
</t>
        </r>
      </text>
    </comment>
    <comment ref="S848" authorId="0">
      <text>
        <r>
          <rPr>
            <b/>
            <sz val="14"/>
            <color indexed="81"/>
            <rFont val="Times New Roman"/>
            <family val="1"/>
          </rPr>
          <t xml:space="preserve">wpisz nr gry
</t>
        </r>
        <r>
          <rPr>
            <sz val="8"/>
            <color indexed="81"/>
            <rFont val="Tahoma"/>
            <family val="2"/>
            <charset val="238"/>
          </rPr>
          <t xml:space="preserve">
</t>
        </r>
      </text>
    </comment>
    <comment ref="S849" authorId="0">
      <text>
        <r>
          <rPr>
            <b/>
            <sz val="14"/>
            <color indexed="81"/>
            <rFont val="Times New Roman"/>
            <family val="1"/>
          </rPr>
          <t xml:space="preserve">wpisz nr gry
</t>
        </r>
        <r>
          <rPr>
            <sz val="8"/>
            <color indexed="81"/>
            <rFont val="Tahoma"/>
            <family val="2"/>
            <charset val="238"/>
          </rPr>
          <t xml:space="preserve">
</t>
        </r>
      </text>
    </comment>
    <comment ref="S850" authorId="0">
      <text>
        <r>
          <rPr>
            <b/>
            <sz val="14"/>
            <color indexed="81"/>
            <rFont val="Times New Roman"/>
            <family val="1"/>
          </rPr>
          <t xml:space="preserve">wpisz nr gry
</t>
        </r>
        <r>
          <rPr>
            <sz val="8"/>
            <color indexed="81"/>
            <rFont val="Tahoma"/>
            <family val="2"/>
            <charset val="238"/>
          </rPr>
          <t xml:space="preserve">
</t>
        </r>
      </text>
    </comment>
    <comment ref="O855" authorId="0">
      <text>
        <r>
          <rPr>
            <b/>
            <sz val="10"/>
            <color indexed="81"/>
            <rFont val="Times New Roman CE"/>
            <family val="1"/>
            <charset val="238"/>
          </rPr>
          <t>Wpisz nr grupy.</t>
        </r>
        <r>
          <rPr>
            <sz val="8"/>
            <color indexed="81"/>
            <rFont val="Tahoma"/>
            <family val="2"/>
            <charset val="238"/>
          </rPr>
          <t xml:space="preserve">
</t>
        </r>
      </text>
    </comment>
    <comment ref="S859" authorId="0">
      <text>
        <r>
          <rPr>
            <b/>
            <sz val="14"/>
            <color indexed="81"/>
            <rFont val="Times New Roman"/>
            <family val="1"/>
          </rPr>
          <t xml:space="preserve">wpisz nr gry
</t>
        </r>
        <r>
          <rPr>
            <sz val="8"/>
            <color indexed="81"/>
            <rFont val="Tahoma"/>
            <family val="2"/>
            <charset val="238"/>
          </rPr>
          <t xml:space="preserve">
</t>
        </r>
      </text>
    </comment>
    <comment ref="S860" authorId="0">
      <text>
        <r>
          <rPr>
            <b/>
            <sz val="14"/>
            <color indexed="81"/>
            <rFont val="Times New Roman"/>
            <family val="1"/>
          </rPr>
          <t xml:space="preserve">wpisz nr gry
</t>
        </r>
        <r>
          <rPr>
            <sz val="8"/>
            <color indexed="81"/>
            <rFont val="Tahoma"/>
            <family val="2"/>
            <charset val="238"/>
          </rPr>
          <t xml:space="preserve">
</t>
        </r>
      </text>
    </comment>
    <comment ref="S861" authorId="0">
      <text>
        <r>
          <rPr>
            <b/>
            <sz val="14"/>
            <color indexed="81"/>
            <rFont val="Times New Roman"/>
            <family val="1"/>
          </rPr>
          <t xml:space="preserve">wpisz nr gry
</t>
        </r>
        <r>
          <rPr>
            <sz val="8"/>
            <color indexed="81"/>
            <rFont val="Tahoma"/>
            <family val="2"/>
            <charset val="238"/>
          </rPr>
          <t xml:space="preserve">
</t>
        </r>
      </text>
    </comment>
    <comment ref="N867" authorId="0">
      <text>
        <r>
          <rPr>
            <b/>
            <sz val="10"/>
            <color indexed="81"/>
            <rFont val="Times New Roman CE"/>
            <family val="1"/>
            <charset val="238"/>
          </rPr>
          <t>Dla systemu grupowo-pucharowego wpisz miejsce w grupie.</t>
        </r>
      </text>
    </comment>
    <comment ref="O867" authorId="0">
      <text>
        <r>
          <rPr>
            <b/>
            <sz val="10"/>
            <color indexed="81"/>
            <rFont val="Times New Roman CE"/>
            <family val="1"/>
            <charset val="238"/>
          </rPr>
          <t>Dla systemu pucharowego wpisz ilość zawodników.
Dla systemu grupowo-pucharowego wpisz ilość grup.</t>
        </r>
      </text>
    </comment>
    <comment ref="W870" authorId="0">
      <text>
        <r>
          <rPr>
            <b/>
            <sz val="14"/>
            <color indexed="81"/>
            <rFont val="Times New Roman"/>
            <family val="1"/>
          </rPr>
          <t xml:space="preserve">wpisz nr gry
</t>
        </r>
        <r>
          <rPr>
            <sz val="8"/>
            <color indexed="81"/>
            <rFont val="Tahoma"/>
            <family val="2"/>
            <charset val="238"/>
          </rPr>
          <t xml:space="preserve">
</t>
        </r>
      </text>
    </comment>
    <comment ref="Z872" authorId="0">
      <text>
        <r>
          <rPr>
            <b/>
            <sz val="14"/>
            <color indexed="81"/>
            <rFont val="Times New Roman"/>
            <family val="1"/>
          </rPr>
          <t xml:space="preserve">wpisz nr gry
</t>
        </r>
        <r>
          <rPr>
            <sz val="8"/>
            <color indexed="81"/>
            <rFont val="Tahoma"/>
            <family val="2"/>
            <charset val="238"/>
          </rPr>
          <t xml:space="preserve">
</t>
        </r>
      </text>
    </comment>
    <comment ref="W874" authorId="0">
      <text>
        <r>
          <rPr>
            <b/>
            <sz val="14"/>
            <color indexed="81"/>
            <rFont val="Times New Roman"/>
            <family val="1"/>
          </rPr>
          <t xml:space="preserve">wpisz nr gry
</t>
        </r>
        <r>
          <rPr>
            <sz val="8"/>
            <color indexed="81"/>
            <rFont val="Tahoma"/>
            <family val="2"/>
            <charset val="238"/>
          </rPr>
          <t xml:space="preserve">
</t>
        </r>
      </text>
    </comment>
    <comment ref="AC876" authorId="0">
      <text>
        <r>
          <rPr>
            <b/>
            <sz val="14"/>
            <color indexed="81"/>
            <rFont val="Times New Roman"/>
            <family val="1"/>
          </rPr>
          <t xml:space="preserve">wpisz nr gry
</t>
        </r>
        <r>
          <rPr>
            <sz val="8"/>
            <color indexed="81"/>
            <rFont val="Tahoma"/>
            <family val="2"/>
            <charset val="238"/>
          </rPr>
          <t xml:space="preserve">
</t>
        </r>
      </text>
    </comment>
    <comment ref="W878" authorId="0">
      <text>
        <r>
          <rPr>
            <b/>
            <sz val="14"/>
            <color indexed="81"/>
            <rFont val="Times New Roman"/>
            <family val="1"/>
          </rPr>
          <t xml:space="preserve">wpisz nr gry
</t>
        </r>
        <r>
          <rPr>
            <sz val="8"/>
            <color indexed="81"/>
            <rFont val="Tahoma"/>
            <family val="2"/>
            <charset val="238"/>
          </rPr>
          <t xml:space="preserve">
</t>
        </r>
      </text>
    </comment>
    <comment ref="Z880" authorId="0">
      <text>
        <r>
          <rPr>
            <b/>
            <sz val="14"/>
            <color indexed="81"/>
            <rFont val="Times New Roman"/>
            <family val="1"/>
          </rPr>
          <t xml:space="preserve">wpisz nr gry
</t>
        </r>
        <r>
          <rPr>
            <sz val="8"/>
            <color indexed="81"/>
            <rFont val="Tahoma"/>
            <family val="2"/>
            <charset val="238"/>
          </rPr>
          <t xml:space="preserve">
</t>
        </r>
      </text>
    </comment>
    <comment ref="W882" authorId="0">
      <text>
        <r>
          <rPr>
            <b/>
            <sz val="14"/>
            <color indexed="81"/>
            <rFont val="Times New Roman"/>
            <family val="1"/>
          </rPr>
          <t xml:space="preserve">wpisz nr gry
</t>
        </r>
        <r>
          <rPr>
            <sz val="8"/>
            <color indexed="81"/>
            <rFont val="Tahoma"/>
            <family val="2"/>
            <charset val="238"/>
          </rPr>
          <t xml:space="preserve">
</t>
        </r>
      </text>
    </comment>
  </commentList>
</comments>
</file>

<file path=xl/comments2.xml><?xml version="1.0" encoding="utf-8"?>
<comments xmlns="http://schemas.openxmlformats.org/spreadsheetml/2006/main">
  <authors>
    <author>Marek Łysakowski</author>
  </authors>
  <commentList>
    <comment ref="O6" authorId="0">
      <text>
        <r>
          <rPr>
            <b/>
            <sz val="10"/>
            <color indexed="81"/>
            <rFont val="Times New Roman CE"/>
            <family val="1"/>
            <charset val="238"/>
          </rPr>
          <t>Wpisz nr grupy.</t>
        </r>
        <r>
          <rPr>
            <sz val="8"/>
            <color indexed="81"/>
            <rFont val="Tahoma"/>
            <family val="2"/>
            <charset val="238"/>
          </rPr>
          <t xml:space="preserve">
</t>
        </r>
      </text>
    </comment>
    <comment ref="S10" authorId="0">
      <text>
        <r>
          <rPr>
            <b/>
            <sz val="14"/>
            <color indexed="81"/>
            <rFont val="Times New Roman"/>
            <family val="1"/>
          </rPr>
          <t xml:space="preserve">wpisz nr gry
</t>
        </r>
        <r>
          <rPr>
            <sz val="8"/>
            <color indexed="81"/>
            <rFont val="Tahoma"/>
            <family val="2"/>
            <charset val="238"/>
          </rPr>
          <t xml:space="preserve">
</t>
        </r>
      </text>
    </comment>
    <comment ref="S11" authorId="0">
      <text>
        <r>
          <rPr>
            <b/>
            <sz val="14"/>
            <color indexed="81"/>
            <rFont val="Times New Roman"/>
            <family val="1"/>
          </rPr>
          <t xml:space="preserve">wpisz nr gry
</t>
        </r>
        <r>
          <rPr>
            <sz val="8"/>
            <color indexed="81"/>
            <rFont val="Tahoma"/>
            <family val="2"/>
            <charset val="238"/>
          </rPr>
          <t xml:space="preserve">
</t>
        </r>
      </text>
    </comment>
    <comment ref="S12" authorId="0">
      <text>
        <r>
          <rPr>
            <b/>
            <sz val="14"/>
            <color indexed="81"/>
            <rFont val="Times New Roman"/>
            <family val="1"/>
          </rPr>
          <t xml:space="preserve">wpisz nr gry
</t>
        </r>
        <r>
          <rPr>
            <sz val="8"/>
            <color indexed="81"/>
            <rFont val="Tahoma"/>
            <family val="2"/>
            <charset val="238"/>
          </rPr>
          <t xml:space="preserve">
</t>
        </r>
      </text>
    </comment>
    <comment ref="S13" authorId="0">
      <text>
        <r>
          <rPr>
            <b/>
            <sz val="14"/>
            <color indexed="81"/>
            <rFont val="Times New Roman"/>
            <family val="1"/>
          </rPr>
          <t xml:space="preserve">wpisz nr gry
</t>
        </r>
        <r>
          <rPr>
            <sz val="8"/>
            <color indexed="81"/>
            <rFont val="Tahoma"/>
            <family val="2"/>
            <charset val="238"/>
          </rPr>
          <t xml:space="preserve">
</t>
        </r>
      </text>
    </comment>
    <comment ref="S14" authorId="0">
      <text>
        <r>
          <rPr>
            <b/>
            <sz val="14"/>
            <color indexed="81"/>
            <rFont val="Times New Roman"/>
            <family val="1"/>
          </rPr>
          <t xml:space="preserve">wpisz nr gry
</t>
        </r>
        <r>
          <rPr>
            <sz val="8"/>
            <color indexed="81"/>
            <rFont val="Tahoma"/>
            <family val="2"/>
            <charset val="238"/>
          </rPr>
          <t xml:space="preserve">
</t>
        </r>
      </text>
    </comment>
    <comment ref="S15" authorId="0">
      <text>
        <r>
          <rPr>
            <b/>
            <sz val="14"/>
            <color indexed="81"/>
            <rFont val="Times New Roman"/>
            <family val="1"/>
          </rPr>
          <t xml:space="preserve">wpisz nr gry
</t>
        </r>
        <r>
          <rPr>
            <sz val="8"/>
            <color indexed="81"/>
            <rFont val="Tahoma"/>
            <family val="2"/>
            <charset val="238"/>
          </rPr>
          <t xml:space="preserve">
</t>
        </r>
      </text>
    </comment>
    <comment ref="O20" authorId="0">
      <text>
        <r>
          <rPr>
            <b/>
            <sz val="10"/>
            <color indexed="81"/>
            <rFont val="Times New Roman CE"/>
            <family val="1"/>
            <charset val="238"/>
          </rPr>
          <t>Wpisz nr grupy.</t>
        </r>
        <r>
          <rPr>
            <sz val="8"/>
            <color indexed="81"/>
            <rFont val="Tahoma"/>
            <family val="2"/>
            <charset val="238"/>
          </rPr>
          <t xml:space="preserve">
</t>
        </r>
      </text>
    </comment>
    <comment ref="S24" authorId="0">
      <text>
        <r>
          <rPr>
            <b/>
            <sz val="14"/>
            <color indexed="81"/>
            <rFont val="Times New Roman"/>
            <family val="1"/>
          </rPr>
          <t xml:space="preserve">wpisz nr gry
</t>
        </r>
        <r>
          <rPr>
            <sz val="8"/>
            <color indexed="81"/>
            <rFont val="Tahoma"/>
            <family val="2"/>
            <charset val="238"/>
          </rPr>
          <t xml:space="preserve">
</t>
        </r>
      </text>
    </comment>
    <comment ref="S25" authorId="0">
      <text>
        <r>
          <rPr>
            <b/>
            <sz val="14"/>
            <color indexed="81"/>
            <rFont val="Times New Roman"/>
            <family val="1"/>
          </rPr>
          <t xml:space="preserve">wpisz nr gry
</t>
        </r>
        <r>
          <rPr>
            <sz val="8"/>
            <color indexed="81"/>
            <rFont val="Tahoma"/>
            <family val="2"/>
            <charset val="238"/>
          </rPr>
          <t xml:space="preserve">
</t>
        </r>
      </text>
    </comment>
    <comment ref="S26" authorId="0">
      <text>
        <r>
          <rPr>
            <b/>
            <sz val="14"/>
            <color indexed="81"/>
            <rFont val="Times New Roman"/>
            <family val="1"/>
          </rPr>
          <t xml:space="preserve">wpisz nr gry
</t>
        </r>
        <r>
          <rPr>
            <sz val="8"/>
            <color indexed="81"/>
            <rFont val="Tahoma"/>
            <family val="2"/>
            <charset val="238"/>
          </rPr>
          <t xml:space="preserve">
</t>
        </r>
      </text>
    </comment>
    <comment ref="O31" authorId="0">
      <text>
        <r>
          <rPr>
            <b/>
            <sz val="10"/>
            <color indexed="81"/>
            <rFont val="Times New Roman CE"/>
            <family val="1"/>
            <charset val="238"/>
          </rPr>
          <t>Wpisz nr grupy.</t>
        </r>
        <r>
          <rPr>
            <sz val="8"/>
            <color indexed="81"/>
            <rFont val="Tahoma"/>
            <family val="2"/>
            <charset val="238"/>
          </rPr>
          <t xml:space="preserve">
</t>
        </r>
      </text>
    </comment>
    <comment ref="S35" authorId="0">
      <text>
        <r>
          <rPr>
            <b/>
            <sz val="14"/>
            <color indexed="81"/>
            <rFont val="Times New Roman"/>
            <family val="1"/>
          </rPr>
          <t xml:space="preserve">wpisz nr gry
</t>
        </r>
        <r>
          <rPr>
            <sz val="8"/>
            <color indexed="81"/>
            <rFont val="Tahoma"/>
            <family val="2"/>
            <charset val="238"/>
          </rPr>
          <t xml:space="preserve">
</t>
        </r>
      </text>
    </comment>
    <comment ref="S36" authorId="0">
      <text>
        <r>
          <rPr>
            <b/>
            <sz val="14"/>
            <color indexed="81"/>
            <rFont val="Times New Roman"/>
            <family val="1"/>
          </rPr>
          <t xml:space="preserve">wpisz nr gry
</t>
        </r>
        <r>
          <rPr>
            <sz val="8"/>
            <color indexed="81"/>
            <rFont val="Tahoma"/>
            <family val="2"/>
            <charset val="238"/>
          </rPr>
          <t xml:space="preserve">
</t>
        </r>
      </text>
    </comment>
    <comment ref="S37" authorId="0">
      <text>
        <r>
          <rPr>
            <b/>
            <sz val="14"/>
            <color indexed="81"/>
            <rFont val="Times New Roman"/>
            <family val="1"/>
          </rPr>
          <t xml:space="preserve">wpisz nr gry
</t>
        </r>
        <r>
          <rPr>
            <sz val="8"/>
            <color indexed="81"/>
            <rFont val="Tahoma"/>
            <family val="2"/>
            <charset val="238"/>
          </rPr>
          <t xml:space="preserve">
</t>
        </r>
      </text>
    </comment>
    <comment ref="O42" authorId="0">
      <text>
        <r>
          <rPr>
            <b/>
            <sz val="10"/>
            <color indexed="81"/>
            <rFont val="Times New Roman CE"/>
            <family val="1"/>
            <charset val="238"/>
          </rPr>
          <t>Wpisz nr grupy.</t>
        </r>
        <r>
          <rPr>
            <sz val="8"/>
            <color indexed="81"/>
            <rFont val="Tahoma"/>
            <family val="2"/>
            <charset val="238"/>
          </rPr>
          <t xml:space="preserve">
</t>
        </r>
      </text>
    </comment>
    <comment ref="S46" authorId="0">
      <text>
        <r>
          <rPr>
            <b/>
            <sz val="14"/>
            <color indexed="81"/>
            <rFont val="Times New Roman"/>
            <family val="1"/>
          </rPr>
          <t xml:space="preserve">wpisz nr gry
</t>
        </r>
        <r>
          <rPr>
            <sz val="8"/>
            <color indexed="81"/>
            <rFont val="Tahoma"/>
            <family val="2"/>
            <charset val="238"/>
          </rPr>
          <t xml:space="preserve">
</t>
        </r>
      </text>
    </comment>
    <comment ref="S47" authorId="0">
      <text>
        <r>
          <rPr>
            <b/>
            <sz val="14"/>
            <color indexed="81"/>
            <rFont val="Times New Roman"/>
            <family val="1"/>
          </rPr>
          <t xml:space="preserve">wpisz nr gry
</t>
        </r>
        <r>
          <rPr>
            <sz val="8"/>
            <color indexed="81"/>
            <rFont val="Tahoma"/>
            <family val="2"/>
            <charset val="238"/>
          </rPr>
          <t xml:space="preserve">
</t>
        </r>
      </text>
    </comment>
    <comment ref="S48" authorId="0">
      <text>
        <r>
          <rPr>
            <b/>
            <sz val="14"/>
            <color indexed="81"/>
            <rFont val="Times New Roman"/>
            <family val="1"/>
          </rPr>
          <t xml:space="preserve">wpisz nr gry
</t>
        </r>
        <r>
          <rPr>
            <sz val="8"/>
            <color indexed="81"/>
            <rFont val="Tahoma"/>
            <family val="2"/>
            <charset val="238"/>
          </rPr>
          <t xml:space="preserve">
</t>
        </r>
      </text>
    </comment>
    <comment ref="O53" authorId="0">
      <text>
        <r>
          <rPr>
            <b/>
            <sz val="10"/>
            <color indexed="81"/>
            <rFont val="Times New Roman CE"/>
            <family val="1"/>
            <charset val="238"/>
          </rPr>
          <t>Wpisz nr grupy.</t>
        </r>
        <r>
          <rPr>
            <sz val="8"/>
            <color indexed="81"/>
            <rFont val="Tahoma"/>
            <family val="2"/>
            <charset val="238"/>
          </rPr>
          <t xml:space="preserve">
</t>
        </r>
      </text>
    </comment>
    <comment ref="S57" authorId="0">
      <text>
        <r>
          <rPr>
            <b/>
            <sz val="14"/>
            <color indexed="81"/>
            <rFont val="Times New Roman"/>
            <family val="1"/>
          </rPr>
          <t xml:space="preserve">wpisz nr gry
</t>
        </r>
        <r>
          <rPr>
            <sz val="8"/>
            <color indexed="81"/>
            <rFont val="Tahoma"/>
            <family val="2"/>
            <charset val="238"/>
          </rPr>
          <t xml:space="preserve">
</t>
        </r>
      </text>
    </comment>
    <comment ref="S58" authorId="0">
      <text>
        <r>
          <rPr>
            <b/>
            <sz val="14"/>
            <color indexed="81"/>
            <rFont val="Times New Roman"/>
            <family val="1"/>
          </rPr>
          <t xml:space="preserve">wpisz nr gry
</t>
        </r>
        <r>
          <rPr>
            <sz val="8"/>
            <color indexed="81"/>
            <rFont val="Tahoma"/>
            <family val="2"/>
            <charset val="238"/>
          </rPr>
          <t xml:space="preserve">
</t>
        </r>
      </text>
    </comment>
    <comment ref="S59" authorId="0">
      <text>
        <r>
          <rPr>
            <b/>
            <sz val="14"/>
            <color indexed="81"/>
            <rFont val="Times New Roman"/>
            <family val="1"/>
          </rPr>
          <t xml:space="preserve">wpisz nr gry
</t>
        </r>
        <r>
          <rPr>
            <sz val="8"/>
            <color indexed="81"/>
            <rFont val="Tahoma"/>
            <family val="2"/>
            <charset val="238"/>
          </rPr>
          <t xml:space="preserve">
</t>
        </r>
      </text>
    </comment>
    <comment ref="O64" authorId="0">
      <text>
        <r>
          <rPr>
            <b/>
            <sz val="10"/>
            <color indexed="81"/>
            <rFont val="Times New Roman CE"/>
            <family val="1"/>
            <charset val="238"/>
          </rPr>
          <t>Wpisz nr grupy.</t>
        </r>
        <r>
          <rPr>
            <sz val="8"/>
            <color indexed="81"/>
            <rFont val="Tahoma"/>
            <family val="2"/>
            <charset val="238"/>
          </rPr>
          <t xml:space="preserve">
</t>
        </r>
      </text>
    </comment>
    <comment ref="S68" authorId="0">
      <text>
        <r>
          <rPr>
            <b/>
            <sz val="14"/>
            <color indexed="81"/>
            <rFont val="Times New Roman"/>
            <family val="1"/>
          </rPr>
          <t xml:space="preserve">wpisz nr gry
</t>
        </r>
        <r>
          <rPr>
            <sz val="8"/>
            <color indexed="81"/>
            <rFont val="Tahoma"/>
            <family val="2"/>
            <charset val="238"/>
          </rPr>
          <t xml:space="preserve">
</t>
        </r>
      </text>
    </comment>
    <comment ref="S69" authorId="0">
      <text>
        <r>
          <rPr>
            <b/>
            <sz val="14"/>
            <color indexed="81"/>
            <rFont val="Times New Roman"/>
            <family val="1"/>
          </rPr>
          <t xml:space="preserve">wpisz nr gry
</t>
        </r>
        <r>
          <rPr>
            <sz val="8"/>
            <color indexed="81"/>
            <rFont val="Tahoma"/>
            <family val="2"/>
            <charset val="238"/>
          </rPr>
          <t xml:space="preserve">
</t>
        </r>
      </text>
    </comment>
    <comment ref="S70" authorId="0">
      <text>
        <r>
          <rPr>
            <b/>
            <sz val="14"/>
            <color indexed="81"/>
            <rFont val="Times New Roman"/>
            <family val="1"/>
          </rPr>
          <t xml:space="preserve">wpisz nr gry
</t>
        </r>
        <r>
          <rPr>
            <sz val="8"/>
            <color indexed="81"/>
            <rFont val="Tahoma"/>
            <family val="2"/>
            <charset val="238"/>
          </rPr>
          <t xml:space="preserve">
</t>
        </r>
      </text>
    </comment>
    <comment ref="O75" authorId="0">
      <text>
        <r>
          <rPr>
            <b/>
            <sz val="10"/>
            <color indexed="81"/>
            <rFont val="Times New Roman CE"/>
            <family val="1"/>
            <charset val="238"/>
          </rPr>
          <t>Wpisz nr grupy.</t>
        </r>
        <r>
          <rPr>
            <sz val="8"/>
            <color indexed="81"/>
            <rFont val="Tahoma"/>
            <family val="2"/>
            <charset val="238"/>
          </rPr>
          <t xml:space="preserve">
</t>
        </r>
      </text>
    </comment>
    <comment ref="S79" authorId="0">
      <text>
        <r>
          <rPr>
            <b/>
            <sz val="14"/>
            <color indexed="81"/>
            <rFont val="Times New Roman"/>
            <family val="1"/>
          </rPr>
          <t xml:space="preserve">wpisz nr gry
</t>
        </r>
        <r>
          <rPr>
            <sz val="8"/>
            <color indexed="81"/>
            <rFont val="Tahoma"/>
            <family val="2"/>
            <charset val="238"/>
          </rPr>
          <t xml:space="preserve">
</t>
        </r>
      </text>
    </comment>
    <comment ref="S80" authorId="0">
      <text>
        <r>
          <rPr>
            <b/>
            <sz val="14"/>
            <color indexed="81"/>
            <rFont val="Times New Roman"/>
            <family val="1"/>
          </rPr>
          <t xml:space="preserve">wpisz nr gry
</t>
        </r>
        <r>
          <rPr>
            <sz val="8"/>
            <color indexed="81"/>
            <rFont val="Tahoma"/>
            <family val="2"/>
            <charset val="238"/>
          </rPr>
          <t xml:space="preserve">
</t>
        </r>
      </text>
    </comment>
    <comment ref="S81" authorId="0">
      <text>
        <r>
          <rPr>
            <b/>
            <sz val="14"/>
            <color indexed="81"/>
            <rFont val="Times New Roman"/>
            <family val="1"/>
          </rPr>
          <t xml:space="preserve">wpisz nr gry
</t>
        </r>
        <r>
          <rPr>
            <sz val="8"/>
            <color indexed="81"/>
            <rFont val="Tahoma"/>
            <family val="2"/>
            <charset val="238"/>
          </rPr>
          <t xml:space="preserve">
</t>
        </r>
      </text>
    </comment>
    <comment ref="O86" authorId="0">
      <text>
        <r>
          <rPr>
            <b/>
            <sz val="10"/>
            <color indexed="81"/>
            <rFont val="Times New Roman CE"/>
            <family val="1"/>
            <charset val="238"/>
          </rPr>
          <t>Wpisz nr grupy.</t>
        </r>
        <r>
          <rPr>
            <sz val="8"/>
            <color indexed="81"/>
            <rFont val="Tahoma"/>
            <family val="2"/>
            <charset val="238"/>
          </rPr>
          <t xml:space="preserve">
</t>
        </r>
      </text>
    </comment>
    <comment ref="S90" authorId="0">
      <text>
        <r>
          <rPr>
            <b/>
            <sz val="14"/>
            <color indexed="81"/>
            <rFont val="Times New Roman"/>
            <family val="1"/>
          </rPr>
          <t xml:space="preserve">wpisz nr gry
</t>
        </r>
        <r>
          <rPr>
            <sz val="8"/>
            <color indexed="81"/>
            <rFont val="Tahoma"/>
            <family val="2"/>
            <charset val="238"/>
          </rPr>
          <t xml:space="preserve">
</t>
        </r>
      </text>
    </comment>
    <comment ref="S91" authorId="0">
      <text>
        <r>
          <rPr>
            <b/>
            <sz val="14"/>
            <color indexed="81"/>
            <rFont val="Times New Roman"/>
            <family val="1"/>
          </rPr>
          <t xml:space="preserve">wpisz nr gry
</t>
        </r>
        <r>
          <rPr>
            <sz val="8"/>
            <color indexed="81"/>
            <rFont val="Tahoma"/>
            <family val="2"/>
            <charset val="238"/>
          </rPr>
          <t xml:space="preserve">
</t>
        </r>
      </text>
    </comment>
    <comment ref="S92" authorId="0">
      <text>
        <r>
          <rPr>
            <b/>
            <sz val="14"/>
            <color indexed="81"/>
            <rFont val="Times New Roman"/>
            <family val="1"/>
          </rPr>
          <t xml:space="preserve">wpisz nr gry
</t>
        </r>
        <r>
          <rPr>
            <sz val="8"/>
            <color indexed="81"/>
            <rFont val="Tahoma"/>
            <family val="2"/>
            <charset val="238"/>
          </rPr>
          <t xml:space="preserve">
</t>
        </r>
      </text>
    </comment>
    <comment ref="O97" authorId="0">
      <text>
        <r>
          <rPr>
            <b/>
            <sz val="10"/>
            <color indexed="81"/>
            <rFont val="Times New Roman CE"/>
            <family val="1"/>
            <charset val="238"/>
          </rPr>
          <t>Wpisz nr grupy.</t>
        </r>
        <r>
          <rPr>
            <sz val="8"/>
            <color indexed="81"/>
            <rFont val="Tahoma"/>
            <family val="2"/>
            <charset val="238"/>
          </rPr>
          <t xml:space="preserve">
</t>
        </r>
      </text>
    </comment>
    <comment ref="S101" authorId="0">
      <text>
        <r>
          <rPr>
            <b/>
            <sz val="14"/>
            <color indexed="81"/>
            <rFont val="Times New Roman"/>
            <family val="1"/>
          </rPr>
          <t xml:space="preserve">wpisz nr gry
</t>
        </r>
        <r>
          <rPr>
            <sz val="8"/>
            <color indexed="81"/>
            <rFont val="Tahoma"/>
            <family val="2"/>
            <charset val="238"/>
          </rPr>
          <t xml:space="preserve">
</t>
        </r>
      </text>
    </comment>
    <comment ref="S102" authorId="0">
      <text>
        <r>
          <rPr>
            <b/>
            <sz val="14"/>
            <color indexed="81"/>
            <rFont val="Times New Roman"/>
            <family val="1"/>
          </rPr>
          <t xml:space="preserve">wpisz nr gry
</t>
        </r>
        <r>
          <rPr>
            <sz val="8"/>
            <color indexed="81"/>
            <rFont val="Tahoma"/>
            <family val="2"/>
            <charset val="238"/>
          </rPr>
          <t xml:space="preserve">
</t>
        </r>
      </text>
    </comment>
    <comment ref="S103" authorId="0">
      <text>
        <r>
          <rPr>
            <b/>
            <sz val="14"/>
            <color indexed="81"/>
            <rFont val="Times New Roman"/>
            <family val="1"/>
          </rPr>
          <t xml:space="preserve">wpisz nr gry
</t>
        </r>
        <r>
          <rPr>
            <sz val="8"/>
            <color indexed="81"/>
            <rFont val="Tahoma"/>
            <family val="2"/>
            <charset val="238"/>
          </rPr>
          <t xml:space="preserve">
</t>
        </r>
      </text>
    </comment>
    <comment ref="S104" authorId="0">
      <text>
        <r>
          <rPr>
            <b/>
            <sz val="14"/>
            <color indexed="81"/>
            <rFont val="Times New Roman"/>
            <family val="1"/>
          </rPr>
          <t xml:space="preserve">wpisz nr gry
</t>
        </r>
        <r>
          <rPr>
            <sz val="8"/>
            <color indexed="81"/>
            <rFont val="Tahoma"/>
            <family val="2"/>
            <charset val="238"/>
          </rPr>
          <t xml:space="preserve">
</t>
        </r>
      </text>
    </comment>
    <comment ref="S105" authorId="0">
      <text>
        <r>
          <rPr>
            <b/>
            <sz val="14"/>
            <color indexed="81"/>
            <rFont val="Times New Roman"/>
            <family val="1"/>
          </rPr>
          <t xml:space="preserve">wpisz nr gry
</t>
        </r>
        <r>
          <rPr>
            <sz val="8"/>
            <color indexed="81"/>
            <rFont val="Tahoma"/>
            <family val="2"/>
            <charset val="238"/>
          </rPr>
          <t xml:space="preserve">
</t>
        </r>
      </text>
    </comment>
    <comment ref="S106" authorId="0">
      <text>
        <r>
          <rPr>
            <b/>
            <sz val="14"/>
            <color indexed="81"/>
            <rFont val="Times New Roman"/>
            <family val="1"/>
          </rPr>
          <t xml:space="preserve">wpisz nr gry
</t>
        </r>
        <r>
          <rPr>
            <sz val="8"/>
            <color indexed="81"/>
            <rFont val="Tahoma"/>
            <family val="2"/>
            <charset val="238"/>
          </rPr>
          <t xml:space="preserve">
</t>
        </r>
      </text>
    </comment>
    <comment ref="N111" authorId="0">
      <text>
        <r>
          <rPr>
            <b/>
            <sz val="10"/>
            <color indexed="81"/>
            <rFont val="Times New Roman CE"/>
            <family val="1"/>
            <charset val="238"/>
          </rPr>
          <t>Dla systemu grupowo-pucharowego wpisz miejsce w grupie.</t>
        </r>
      </text>
    </comment>
    <comment ref="O111" authorId="0">
      <text>
        <r>
          <rPr>
            <b/>
            <sz val="10"/>
            <color indexed="81"/>
            <rFont val="Times New Roman CE"/>
            <family val="1"/>
            <charset val="238"/>
          </rPr>
          <t>Dla systemu pucharowego wpisz ilość zawodników.
Dla systemu grupowo-pucharowego wpisz ilość grup.</t>
        </r>
      </text>
    </comment>
    <comment ref="W114" authorId="0">
      <text>
        <r>
          <rPr>
            <b/>
            <sz val="14"/>
            <color indexed="81"/>
            <rFont val="Times New Roman"/>
            <family val="1"/>
          </rPr>
          <t xml:space="preserve">wpisz nr gry
</t>
        </r>
        <r>
          <rPr>
            <sz val="8"/>
            <color indexed="81"/>
            <rFont val="Tahoma"/>
            <family val="2"/>
            <charset val="238"/>
          </rPr>
          <t xml:space="preserve">
</t>
        </r>
      </text>
    </comment>
    <comment ref="Z116" authorId="0">
      <text>
        <r>
          <rPr>
            <b/>
            <sz val="14"/>
            <color indexed="81"/>
            <rFont val="Times New Roman"/>
            <family val="1"/>
          </rPr>
          <t xml:space="preserve">wpisz nr gry
</t>
        </r>
        <r>
          <rPr>
            <sz val="8"/>
            <color indexed="81"/>
            <rFont val="Tahoma"/>
            <family val="2"/>
            <charset val="238"/>
          </rPr>
          <t xml:space="preserve">
</t>
        </r>
      </text>
    </comment>
    <comment ref="W118" authorId="0">
      <text>
        <r>
          <rPr>
            <b/>
            <sz val="14"/>
            <color indexed="81"/>
            <rFont val="Times New Roman"/>
            <family val="1"/>
          </rPr>
          <t xml:space="preserve">wpisz nr gry
</t>
        </r>
        <r>
          <rPr>
            <sz val="8"/>
            <color indexed="81"/>
            <rFont val="Tahoma"/>
            <family val="2"/>
            <charset val="238"/>
          </rPr>
          <t xml:space="preserve">
</t>
        </r>
      </text>
    </comment>
    <comment ref="AC120" authorId="0">
      <text>
        <r>
          <rPr>
            <b/>
            <sz val="14"/>
            <color indexed="81"/>
            <rFont val="Times New Roman"/>
            <family val="1"/>
          </rPr>
          <t xml:space="preserve">wpisz nr gry
</t>
        </r>
        <r>
          <rPr>
            <sz val="8"/>
            <color indexed="81"/>
            <rFont val="Tahoma"/>
            <family val="2"/>
            <charset val="238"/>
          </rPr>
          <t xml:space="preserve">
</t>
        </r>
      </text>
    </comment>
    <comment ref="W122" authorId="0">
      <text>
        <r>
          <rPr>
            <b/>
            <sz val="14"/>
            <color indexed="81"/>
            <rFont val="Times New Roman"/>
            <family val="1"/>
          </rPr>
          <t xml:space="preserve">wpisz nr gry
</t>
        </r>
        <r>
          <rPr>
            <sz val="8"/>
            <color indexed="81"/>
            <rFont val="Tahoma"/>
            <family val="2"/>
            <charset val="238"/>
          </rPr>
          <t xml:space="preserve">
</t>
        </r>
      </text>
    </comment>
    <comment ref="Z124" authorId="0">
      <text>
        <r>
          <rPr>
            <b/>
            <sz val="14"/>
            <color indexed="81"/>
            <rFont val="Times New Roman"/>
            <family val="1"/>
          </rPr>
          <t xml:space="preserve">wpisz nr gry
</t>
        </r>
        <r>
          <rPr>
            <sz val="8"/>
            <color indexed="81"/>
            <rFont val="Tahoma"/>
            <family val="2"/>
            <charset val="238"/>
          </rPr>
          <t xml:space="preserve">
</t>
        </r>
      </text>
    </comment>
    <comment ref="W126" authorId="0">
      <text>
        <r>
          <rPr>
            <b/>
            <sz val="14"/>
            <color indexed="81"/>
            <rFont val="Times New Roman"/>
            <family val="1"/>
          </rPr>
          <t xml:space="preserve">wpisz nr gry
</t>
        </r>
        <r>
          <rPr>
            <sz val="8"/>
            <color indexed="81"/>
            <rFont val="Tahoma"/>
            <family val="2"/>
            <charset val="238"/>
          </rPr>
          <t xml:space="preserve">
</t>
        </r>
      </text>
    </comment>
    <comment ref="AC128" authorId="0">
      <text>
        <r>
          <rPr>
            <b/>
            <sz val="14"/>
            <color indexed="81"/>
            <rFont val="Times New Roman"/>
            <family val="1"/>
          </rPr>
          <t xml:space="preserve">wpisz nr gry
</t>
        </r>
        <r>
          <rPr>
            <sz val="8"/>
            <color indexed="81"/>
            <rFont val="Tahoma"/>
            <family val="2"/>
            <charset val="238"/>
          </rPr>
          <t xml:space="preserve">
</t>
        </r>
      </text>
    </comment>
    <comment ref="W130" authorId="0">
      <text>
        <r>
          <rPr>
            <b/>
            <sz val="14"/>
            <color indexed="81"/>
            <rFont val="Times New Roman"/>
            <family val="1"/>
          </rPr>
          <t xml:space="preserve">wpisz nr gry
</t>
        </r>
        <r>
          <rPr>
            <sz val="8"/>
            <color indexed="81"/>
            <rFont val="Tahoma"/>
            <family val="2"/>
            <charset val="238"/>
          </rPr>
          <t xml:space="preserve">
</t>
        </r>
      </text>
    </comment>
    <comment ref="Z132" authorId="0">
      <text>
        <r>
          <rPr>
            <b/>
            <sz val="14"/>
            <color indexed="81"/>
            <rFont val="Times New Roman"/>
            <family val="1"/>
          </rPr>
          <t xml:space="preserve">wpisz nr gry
</t>
        </r>
        <r>
          <rPr>
            <sz val="8"/>
            <color indexed="81"/>
            <rFont val="Tahoma"/>
            <family val="2"/>
            <charset val="238"/>
          </rPr>
          <t xml:space="preserve">
</t>
        </r>
      </text>
    </comment>
    <comment ref="W134" authorId="0">
      <text>
        <r>
          <rPr>
            <b/>
            <sz val="14"/>
            <color indexed="81"/>
            <rFont val="Times New Roman"/>
            <family val="1"/>
          </rPr>
          <t xml:space="preserve">wpisz nr gry
</t>
        </r>
        <r>
          <rPr>
            <sz val="8"/>
            <color indexed="81"/>
            <rFont val="Tahoma"/>
            <family val="2"/>
            <charset val="238"/>
          </rPr>
          <t xml:space="preserve">
</t>
        </r>
      </text>
    </comment>
    <comment ref="AC136" authorId="0">
      <text>
        <r>
          <rPr>
            <b/>
            <sz val="14"/>
            <color indexed="81"/>
            <rFont val="Times New Roman"/>
            <family val="1"/>
          </rPr>
          <t xml:space="preserve">wpisz nr gry
</t>
        </r>
        <r>
          <rPr>
            <sz val="8"/>
            <color indexed="81"/>
            <rFont val="Tahoma"/>
            <family val="2"/>
            <charset val="238"/>
          </rPr>
          <t xml:space="preserve">
</t>
        </r>
      </text>
    </comment>
    <comment ref="W138" authorId="0">
      <text>
        <r>
          <rPr>
            <b/>
            <sz val="14"/>
            <color indexed="81"/>
            <rFont val="Times New Roman"/>
            <family val="1"/>
          </rPr>
          <t xml:space="preserve">wpisz nr gry
</t>
        </r>
        <r>
          <rPr>
            <sz val="8"/>
            <color indexed="81"/>
            <rFont val="Tahoma"/>
            <family val="2"/>
            <charset val="238"/>
          </rPr>
          <t xml:space="preserve">
</t>
        </r>
      </text>
    </comment>
    <comment ref="Z140" authorId="0">
      <text>
        <r>
          <rPr>
            <b/>
            <sz val="14"/>
            <color indexed="81"/>
            <rFont val="Times New Roman"/>
            <family val="1"/>
          </rPr>
          <t xml:space="preserve">wpisz nr gry
</t>
        </r>
        <r>
          <rPr>
            <sz val="8"/>
            <color indexed="81"/>
            <rFont val="Tahoma"/>
            <family val="2"/>
            <charset val="238"/>
          </rPr>
          <t xml:space="preserve">
</t>
        </r>
      </text>
    </comment>
    <comment ref="W142" authorId="0">
      <text>
        <r>
          <rPr>
            <b/>
            <sz val="14"/>
            <color indexed="81"/>
            <rFont val="Times New Roman"/>
            <family val="1"/>
          </rPr>
          <t xml:space="preserve">wpisz nr gry
</t>
        </r>
        <r>
          <rPr>
            <sz val="8"/>
            <color indexed="81"/>
            <rFont val="Tahoma"/>
            <family val="2"/>
            <charset val="238"/>
          </rPr>
          <t xml:space="preserve">
</t>
        </r>
      </text>
    </comment>
    <comment ref="O148" authorId="0">
      <text>
        <r>
          <rPr>
            <b/>
            <sz val="10"/>
            <color indexed="81"/>
            <rFont val="Times New Roman CE"/>
            <family val="1"/>
            <charset val="238"/>
          </rPr>
          <t>Wpisz nr grupy.</t>
        </r>
        <r>
          <rPr>
            <sz val="8"/>
            <color indexed="81"/>
            <rFont val="Tahoma"/>
            <family val="2"/>
            <charset val="238"/>
          </rPr>
          <t xml:space="preserve">
</t>
        </r>
      </text>
    </comment>
    <comment ref="S152" authorId="0">
      <text>
        <r>
          <rPr>
            <b/>
            <sz val="14"/>
            <color indexed="81"/>
            <rFont val="Times New Roman"/>
            <family val="1"/>
          </rPr>
          <t xml:space="preserve">wpisz nr gry
</t>
        </r>
        <r>
          <rPr>
            <sz val="8"/>
            <color indexed="81"/>
            <rFont val="Tahoma"/>
            <family val="2"/>
            <charset val="238"/>
          </rPr>
          <t xml:space="preserve">
</t>
        </r>
      </text>
    </comment>
    <comment ref="S153" authorId="0">
      <text>
        <r>
          <rPr>
            <b/>
            <sz val="14"/>
            <color indexed="81"/>
            <rFont val="Times New Roman"/>
            <family val="1"/>
          </rPr>
          <t xml:space="preserve">wpisz nr gry
</t>
        </r>
        <r>
          <rPr>
            <sz val="8"/>
            <color indexed="81"/>
            <rFont val="Tahoma"/>
            <family val="2"/>
            <charset val="238"/>
          </rPr>
          <t xml:space="preserve">
</t>
        </r>
      </text>
    </comment>
    <comment ref="S154" authorId="0">
      <text>
        <r>
          <rPr>
            <b/>
            <sz val="14"/>
            <color indexed="81"/>
            <rFont val="Times New Roman"/>
            <family val="1"/>
          </rPr>
          <t xml:space="preserve">wpisz nr gry
</t>
        </r>
        <r>
          <rPr>
            <sz val="8"/>
            <color indexed="81"/>
            <rFont val="Tahoma"/>
            <family val="2"/>
            <charset val="238"/>
          </rPr>
          <t xml:space="preserve">
</t>
        </r>
      </text>
    </comment>
    <comment ref="S155" authorId="0">
      <text>
        <r>
          <rPr>
            <b/>
            <sz val="14"/>
            <color indexed="81"/>
            <rFont val="Times New Roman"/>
            <family val="1"/>
          </rPr>
          <t xml:space="preserve">wpisz nr gry
</t>
        </r>
        <r>
          <rPr>
            <sz val="8"/>
            <color indexed="81"/>
            <rFont val="Tahoma"/>
            <family val="2"/>
            <charset val="238"/>
          </rPr>
          <t xml:space="preserve">
</t>
        </r>
      </text>
    </comment>
    <comment ref="S156" authorId="0">
      <text>
        <r>
          <rPr>
            <b/>
            <sz val="14"/>
            <color indexed="81"/>
            <rFont val="Times New Roman"/>
            <family val="1"/>
          </rPr>
          <t xml:space="preserve">wpisz nr gry
</t>
        </r>
        <r>
          <rPr>
            <sz val="8"/>
            <color indexed="81"/>
            <rFont val="Tahoma"/>
            <family val="2"/>
            <charset val="238"/>
          </rPr>
          <t xml:space="preserve">
</t>
        </r>
      </text>
    </comment>
    <comment ref="S157" authorId="0">
      <text>
        <r>
          <rPr>
            <b/>
            <sz val="14"/>
            <color indexed="81"/>
            <rFont val="Times New Roman"/>
            <family val="1"/>
          </rPr>
          <t xml:space="preserve">wpisz nr gry
</t>
        </r>
        <r>
          <rPr>
            <sz val="8"/>
            <color indexed="81"/>
            <rFont val="Tahoma"/>
            <family val="2"/>
            <charset val="238"/>
          </rPr>
          <t xml:space="preserve">
</t>
        </r>
      </text>
    </comment>
    <comment ref="O162" authorId="0">
      <text>
        <r>
          <rPr>
            <b/>
            <sz val="10"/>
            <color indexed="81"/>
            <rFont val="Times New Roman CE"/>
            <family val="1"/>
            <charset val="238"/>
          </rPr>
          <t>Wpisz nr grupy.</t>
        </r>
        <r>
          <rPr>
            <sz val="8"/>
            <color indexed="81"/>
            <rFont val="Tahoma"/>
            <family val="2"/>
            <charset val="238"/>
          </rPr>
          <t xml:space="preserve">
</t>
        </r>
      </text>
    </comment>
    <comment ref="S166" authorId="0">
      <text>
        <r>
          <rPr>
            <b/>
            <sz val="14"/>
            <color indexed="81"/>
            <rFont val="Times New Roman"/>
            <family val="1"/>
          </rPr>
          <t xml:space="preserve">wpisz nr gry
</t>
        </r>
        <r>
          <rPr>
            <sz val="8"/>
            <color indexed="81"/>
            <rFont val="Tahoma"/>
            <family val="2"/>
            <charset val="238"/>
          </rPr>
          <t xml:space="preserve">
</t>
        </r>
      </text>
    </comment>
    <comment ref="S167" authorId="0">
      <text>
        <r>
          <rPr>
            <b/>
            <sz val="14"/>
            <color indexed="81"/>
            <rFont val="Times New Roman"/>
            <family val="1"/>
          </rPr>
          <t xml:space="preserve">wpisz nr gry
</t>
        </r>
        <r>
          <rPr>
            <sz val="8"/>
            <color indexed="81"/>
            <rFont val="Tahoma"/>
            <family val="2"/>
            <charset val="238"/>
          </rPr>
          <t xml:space="preserve">
</t>
        </r>
      </text>
    </comment>
    <comment ref="S168" authorId="0">
      <text>
        <r>
          <rPr>
            <b/>
            <sz val="14"/>
            <color indexed="81"/>
            <rFont val="Times New Roman"/>
            <family val="1"/>
          </rPr>
          <t xml:space="preserve">wpisz nr gry
</t>
        </r>
        <r>
          <rPr>
            <sz val="8"/>
            <color indexed="81"/>
            <rFont val="Tahoma"/>
            <family val="2"/>
            <charset val="238"/>
          </rPr>
          <t xml:space="preserve">
</t>
        </r>
      </text>
    </comment>
    <comment ref="O173" authorId="0">
      <text>
        <r>
          <rPr>
            <b/>
            <sz val="10"/>
            <color indexed="81"/>
            <rFont val="Times New Roman CE"/>
            <family val="1"/>
            <charset val="238"/>
          </rPr>
          <t>Wpisz nr grupy.</t>
        </r>
        <r>
          <rPr>
            <sz val="8"/>
            <color indexed="81"/>
            <rFont val="Tahoma"/>
            <family val="2"/>
            <charset val="238"/>
          </rPr>
          <t xml:space="preserve">
</t>
        </r>
      </text>
    </comment>
    <comment ref="S177" authorId="0">
      <text>
        <r>
          <rPr>
            <b/>
            <sz val="14"/>
            <color indexed="81"/>
            <rFont val="Times New Roman"/>
            <family val="1"/>
          </rPr>
          <t xml:space="preserve">wpisz nr gry
</t>
        </r>
        <r>
          <rPr>
            <sz val="8"/>
            <color indexed="81"/>
            <rFont val="Tahoma"/>
            <family val="2"/>
            <charset val="238"/>
          </rPr>
          <t xml:space="preserve">
</t>
        </r>
      </text>
    </comment>
    <comment ref="S178" authorId="0">
      <text>
        <r>
          <rPr>
            <b/>
            <sz val="14"/>
            <color indexed="81"/>
            <rFont val="Times New Roman"/>
            <family val="1"/>
          </rPr>
          <t xml:space="preserve">wpisz nr gry
</t>
        </r>
        <r>
          <rPr>
            <sz val="8"/>
            <color indexed="81"/>
            <rFont val="Tahoma"/>
            <family val="2"/>
            <charset val="238"/>
          </rPr>
          <t xml:space="preserve">
</t>
        </r>
      </text>
    </comment>
    <comment ref="S179" authorId="0">
      <text>
        <r>
          <rPr>
            <b/>
            <sz val="14"/>
            <color indexed="81"/>
            <rFont val="Times New Roman"/>
            <family val="1"/>
          </rPr>
          <t xml:space="preserve">wpisz nr gry
</t>
        </r>
        <r>
          <rPr>
            <sz val="8"/>
            <color indexed="81"/>
            <rFont val="Tahoma"/>
            <family val="2"/>
            <charset val="238"/>
          </rPr>
          <t xml:space="preserve">
</t>
        </r>
      </text>
    </comment>
    <comment ref="O184" authorId="0">
      <text>
        <r>
          <rPr>
            <b/>
            <sz val="10"/>
            <color indexed="81"/>
            <rFont val="Times New Roman CE"/>
            <family val="1"/>
            <charset val="238"/>
          </rPr>
          <t>Wpisz nr grupy.</t>
        </r>
        <r>
          <rPr>
            <sz val="8"/>
            <color indexed="81"/>
            <rFont val="Tahoma"/>
            <family val="2"/>
            <charset val="238"/>
          </rPr>
          <t xml:space="preserve">
</t>
        </r>
      </text>
    </comment>
    <comment ref="S188" authorId="0">
      <text>
        <r>
          <rPr>
            <b/>
            <sz val="14"/>
            <color indexed="81"/>
            <rFont val="Times New Roman"/>
            <family val="1"/>
          </rPr>
          <t xml:space="preserve">wpisz nr gry
</t>
        </r>
        <r>
          <rPr>
            <sz val="8"/>
            <color indexed="81"/>
            <rFont val="Tahoma"/>
            <family val="2"/>
            <charset val="238"/>
          </rPr>
          <t xml:space="preserve">
</t>
        </r>
      </text>
    </comment>
    <comment ref="S189" authorId="0">
      <text>
        <r>
          <rPr>
            <b/>
            <sz val="14"/>
            <color indexed="81"/>
            <rFont val="Times New Roman"/>
            <family val="1"/>
          </rPr>
          <t xml:space="preserve">wpisz nr gry
</t>
        </r>
        <r>
          <rPr>
            <sz val="8"/>
            <color indexed="81"/>
            <rFont val="Tahoma"/>
            <family val="2"/>
            <charset val="238"/>
          </rPr>
          <t xml:space="preserve">
</t>
        </r>
      </text>
    </comment>
    <comment ref="S190" authorId="0">
      <text>
        <r>
          <rPr>
            <b/>
            <sz val="14"/>
            <color indexed="81"/>
            <rFont val="Times New Roman"/>
            <family val="1"/>
          </rPr>
          <t xml:space="preserve">wpisz nr gry
</t>
        </r>
        <r>
          <rPr>
            <sz val="8"/>
            <color indexed="81"/>
            <rFont val="Tahoma"/>
            <family val="2"/>
            <charset val="238"/>
          </rPr>
          <t xml:space="preserve">
</t>
        </r>
      </text>
    </comment>
    <comment ref="O195" authorId="0">
      <text>
        <r>
          <rPr>
            <b/>
            <sz val="10"/>
            <color indexed="81"/>
            <rFont val="Times New Roman CE"/>
            <family val="1"/>
            <charset val="238"/>
          </rPr>
          <t>Wpisz nr grupy.</t>
        </r>
        <r>
          <rPr>
            <sz val="8"/>
            <color indexed="81"/>
            <rFont val="Tahoma"/>
            <family val="2"/>
            <charset val="238"/>
          </rPr>
          <t xml:space="preserve">
</t>
        </r>
      </text>
    </comment>
    <comment ref="S199" authorId="0">
      <text>
        <r>
          <rPr>
            <b/>
            <sz val="14"/>
            <color indexed="81"/>
            <rFont val="Times New Roman"/>
            <family val="1"/>
          </rPr>
          <t xml:space="preserve">wpisz nr gry
</t>
        </r>
        <r>
          <rPr>
            <sz val="8"/>
            <color indexed="81"/>
            <rFont val="Tahoma"/>
            <family val="2"/>
            <charset val="238"/>
          </rPr>
          <t xml:space="preserve">
</t>
        </r>
      </text>
    </comment>
    <comment ref="S200" authorId="0">
      <text>
        <r>
          <rPr>
            <b/>
            <sz val="14"/>
            <color indexed="81"/>
            <rFont val="Times New Roman"/>
            <family val="1"/>
          </rPr>
          <t xml:space="preserve">wpisz nr gry
</t>
        </r>
        <r>
          <rPr>
            <sz val="8"/>
            <color indexed="81"/>
            <rFont val="Tahoma"/>
            <family val="2"/>
            <charset val="238"/>
          </rPr>
          <t xml:space="preserve">
</t>
        </r>
      </text>
    </comment>
    <comment ref="S201" authorId="0">
      <text>
        <r>
          <rPr>
            <b/>
            <sz val="14"/>
            <color indexed="81"/>
            <rFont val="Times New Roman"/>
            <family val="1"/>
          </rPr>
          <t xml:space="preserve">wpisz nr gry
</t>
        </r>
        <r>
          <rPr>
            <sz val="8"/>
            <color indexed="81"/>
            <rFont val="Tahoma"/>
            <family val="2"/>
            <charset val="238"/>
          </rPr>
          <t xml:space="preserve">
</t>
        </r>
      </text>
    </comment>
    <comment ref="O206" authorId="0">
      <text>
        <r>
          <rPr>
            <b/>
            <sz val="10"/>
            <color indexed="81"/>
            <rFont val="Times New Roman CE"/>
            <family val="1"/>
            <charset val="238"/>
          </rPr>
          <t>Wpisz nr grupy.</t>
        </r>
        <r>
          <rPr>
            <sz val="8"/>
            <color indexed="81"/>
            <rFont val="Tahoma"/>
            <family val="2"/>
            <charset val="238"/>
          </rPr>
          <t xml:space="preserve">
</t>
        </r>
      </text>
    </comment>
    <comment ref="S210" authorId="0">
      <text>
        <r>
          <rPr>
            <b/>
            <sz val="14"/>
            <color indexed="81"/>
            <rFont val="Times New Roman"/>
            <family val="1"/>
          </rPr>
          <t xml:space="preserve">wpisz nr gry
</t>
        </r>
        <r>
          <rPr>
            <sz val="8"/>
            <color indexed="81"/>
            <rFont val="Tahoma"/>
            <family val="2"/>
            <charset val="238"/>
          </rPr>
          <t xml:space="preserve">
</t>
        </r>
      </text>
    </comment>
    <comment ref="S211" authorId="0">
      <text>
        <r>
          <rPr>
            <b/>
            <sz val="14"/>
            <color indexed="81"/>
            <rFont val="Times New Roman"/>
            <family val="1"/>
          </rPr>
          <t xml:space="preserve">wpisz nr gry
</t>
        </r>
        <r>
          <rPr>
            <sz val="8"/>
            <color indexed="81"/>
            <rFont val="Tahoma"/>
            <family val="2"/>
            <charset val="238"/>
          </rPr>
          <t xml:space="preserve">
</t>
        </r>
      </text>
    </comment>
    <comment ref="S212" authorId="0">
      <text>
        <r>
          <rPr>
            <b/>
            <sz val="14"/>
            <color indexed="81"/>
            <rFont val="Times New Roman"/>
            <family val="1"/>
          </rPr>
          <t xml:space="preserve">wpisz nr gry
</t>
        </r>
        <r>
          <rPr>
            <sz val="8"/>
            <color indexed="81"/>
            <rFont val="Tahoma"/>
            <family val="2"/>
            <charset val="238"/>
          </rPr>
          <t xml:space="preserve">
</t>
        </r>
      </text>
    </comment>
    <comment ref="O217" authorId="0">
      <text>
        <r>
          <rPr>
            <b/>
            <sz val="10"/>
            <color indexed="81"/>
            <rFont val="Times New Roman CE"/>
            <family val="1"/>
            <charset val="238"/>
          </rPr>
          <t>Wpisz nr grupy.</t>
        </r>
        <r>
          <rPr>
            <sz val="8"/>
            <color indexed="81"/>
            <rFont val="Tahoma"/>
            <family val="2"/>
            <charset val="238"/>
          </rPr>
          <t xml:space="preserve">
</t>
        </r>
      </text>
    </comment>
    <comment ref="S221" authorId="0">
      <text>
        <r>
          <rPr>
            <b/>
            <sz val="14"/>
            <color indexed="81"/>
            <rFont val="Times New Roman"/>
            <family val="1"/>
          </rPr>
          <t xml:space="preserve">wpisz nr gry
</t>
        </r>
        <r>
          <rPr>
            <sz val="8"/>
            <color indexed="81"/>
            <rFont val="Tahoma"/>
            <family val="2"/>
            <charset val="238"/>
          </rPr>
          <t xml:space="preserve">
</t>
        </r>
      </text>
    </comment>
    <comment ref="S222" authorId="0">
      <text>
        <r>
          <rPr>
            <b/>
            <sz val="14"/>
            <color indexed="81"/>
            <rFont val="Times New Roman"/>
            <family val="1"/>
          </rPr>
          <t xml:space="preserve">wpisz nr gry
</t>
        </r>
        <r>
          <rPr>
            <sz val="8"/>
            <color indexed="81"/>
            <rFont val="Tahoma"/>
            <family val="2"/>
            <charset val="238"/>
          </rPr>
          <t xml:space="preserve">
</t>
        </r>
      </text>
    </comment>
    <comment ref="S223" authorId="0">
      <text>
        <r>
          <rPr>
            <b/>
            <sz val="14"/>
            <color indexed="81"/>
            <rFont val="Times New Roman"/>
            <family val="1"/>
          </rPr>
          <t xml:space="preserve">wpisz nr gry
</t>
        </r>
        <r>
          <rPr>
            <sz val="8"/>
            <color indexed="81"/>
            <rFont val="Tahoma"/>
            <family val="2"/>
            <charset val="238"/>
          </rPr>
          <t xml:space="preserve">
</t>
        </r>
      </text>
    </comment>
    <comment ref="O228" authorId="0">
      <text>
        <r>
          <rPr>
            <b/>
            <sz val="10"/>
            <color indexed="81"/>
            <rFont val="Times New Roman CE"/>
            <family val="1"/>
            <charset val="238"/>
          </rPr>
          <t>Wpisz nr grupy.</t>
        </r>
        <r>
          <rPr>
            <sz val="8"/>
            <color indexed="81"/>
            <rFont val="Tahoma"/>
            <family val="2"/>
            <charset val="238"/>
          </rPr>
          <t xml:space="preserve">
</t>
        </r>
      </text>
    </comment>
    <comment ref="S232" authorId="0">
      <text>
        <r>
          <rPr>
            <b/>
            <sz val="14"/>
            <color indexed="81"/>
            <rFont val="Times New Roman"/>
            <family val="1"/>
          </rPr>
          <t xml:space="preserve">wpisz nr gry
</t>
        </r>
        <r>
          <rPr>
            <sz val="8"/>
            <color indexed="81"/>
            <rFont val="Tahoma"/>
            <family val="2"/>
            <charset val="238"/>
          </rPr>
          <t xml:space="preserve">
</t>
        </r>
      </text>
    </comment>
    <comment ref="S233" authorId="0">
      <text>
        <r>
          <rPr>
            <b/>
            <sz val="14"/>
            <color indexed="81"/>
            <rFont val="Times New Roman"/>
            <family val="1"/>
          </rPr>
          <t xml:space="preserve">wpisz nr gry
</t>
        </r>
        <r>
          <rPr>
            <sz val="8"/>
            <color indexed="81"/>
            <rFont val="Tahoma"/>
            <family val="2"/>
            <charset val="238"/>
          </rPr>
          <t xml:space="preserve">
</t>
        </r>
      </text>
    </comment>
    <comment ref="S234" authorId="0">
      <text>
        <r>
          <rPr>
            <b/>
            <sz val="14"/>
            <color indexed="81"/>
            <rFont val="Times New Roman"/>
            <family val="1"/>
          </rPr>
          <t xml:space="preserve">wpisz nr gry
</t>
        </r>
        <r>
          <rPr>
            <sz val="8"/>
            <color indexed="81"/>
            <rFont val="Tahoma"/>
            <family val="2"/>
            <charset val="238"/>
          </rPr>
          <t xml:space="preserve">
</t>
        </r>
      </text>
    </comment>
    <comment ref="N240" authorId="0">
      <text>
        <r>
          <rPr>
            <b/>
            <sz val="10"/>
            <color indexed="81"/>
            <rFont val="Times New Roman CE"/>
            <family val="1"/>
            <charset val="238"/>
          </rPr>
          <t>Dla systemu grupowo-pucharowego wpisz miejsce w grupie.</t>
        </r>
      </text>
    </comment>
    <comment ref="O240" authorId="0">
      <text>
        <r>
          <rPr>
            <b/>
            <sz val="10"/>
            <color indexed="81"/>
            <rFont val="Times New Roman CE"/>
            <family val="1"/>
            <charset val="238"/>
          </rPr>
          <t>Dla systemu pucharowego wpisz ilość zawodników.
Dla systemu grupowo-pucharowego wpisz ilość grup.</t>
        </r>
      </text>
    </comment>
    <comment ref="W243" authorId="0">
      <text>
        <r>
          <rPr>
            <b/>
            <sz val="14"/>
            <color indexed="81"/>
            <rFont val="Times New Roman"/>
            <family val="1"/>
          </rPr>
          <t xml:space="preserve">wpisz nr gry
</t>
        </r>
        <r>
          <rPr>
            <sz val="8"/>
            <color indexed="81"/>
            <rFont val="Tahoma"/>
            <family val="2"/>
            <charset val="238"/>
          </rPr>
          <t xml:space="preserve">
</t>
        </r>
      </text>
    </comment>
    <comment ref="Z245" authorId="0">
      <text>
        <r>
          <rPr>
            <b/>
            <sz val="14"/>
            <color indexed="81"/>
            <rFont val="Times New Roman"/>
            <family val="1"/>
          </rPr>
          <t xml:space="preserve">wpisz nr gry
</t>
        </r>
        <r>
          <rPr>
            <sz val="8"/>
            <color indexed="81"/>
            <rFont val="Tahoma"/>
            <family val="2"/>
            <charset val="238"/>
          </rPr>
          <t xml:space="preserve">
</t>
        </r>
      </text>
    </comment>
    <comment ref="W247" authorId="0">
      <text>
        <r>
          <rPr>
            <b/>
            <sz val="14"/>
            <color indexed="81"/>
            <rFont val="Times New Roman"/>
            <family val="1"/>
          </rPr>
          <t xml:space="preserve">wpisz nr gry
</t>
        </r>
        <r>
          <rPr>
            <sz val="8"/>
            <color indexed="81"/>
            <rFont val="Tahoma"/>
            <family val="2"/>
            <charset val="238"/>
          </rPr>
          <t xml:space="preserve">
</t>
        </r>
      </text>
    </comment>
    <comment ref="AC249" authorId="0">
      <text>
        <r>
          <rPr>
            <b/>
            <sz val="14"/>
            <color indexed="81"/>
            <rFont val="Times New Roman"/>
            <family val="1"/>
          </rPr>
          <t xml:space="preserve">wpisz nr gry
</t>
        </r>
        <r>
          <rPr>
            <sz val="8"/>
            <color indexed="81"/>
            <rFont val="Tahoma"/>
            <family val="2"/>
            <charset val="238"/>
          </rPr>
          <t xml:space="preserve">
</t>
        </r>
      </text>
    </comment>
    <comment ref="W251" authorId="0">
      <text>
        <r>
          <rPr>
            <b/>
            <sz val="14"/>
            <color indexed="81"/>
            <rFont val="Times New Roman"/>
            <family val="1"/>
          </rPr>
          <t xml:space="preserve">wpisz nr gry
</t>
        </r>
        <r>
          <rPr>
            <sz val="8"/>
            <color indexed="81"/>
            <rFont val="Tahoma"/>
            <family val="2"/>
            <charset val="238"/>
          </rPr>
          <t xml:space="preserve">
</t>
        </r>
      </text>
    </comment>
    <comment ref="Z253" authorId="0">
      <text>
        <r>
          <rPr>
            <b/>
            <sz val="14"/>
            <color indexed="81"/>
            <rFont val="Times New Roman"/>
            <family val="1"/>
          </rPr>
          <t xml:space="preserve">wpisz nr gry
</t>
        </r>
        <r>
          <rPr>
            <sz val="8"/>
            <color indexed="81"/>
            <rFont val="Tahoma"/>
            <family val="2"/>
            <charset val="238"/>
          </rPr>
          <t xml:space="preserve">
</t>
        </r>
      </text>
    </comment>
    <comment ref="W255" authorId="0">
      <text>
        <r>
          <rPr>
            <b/>
            <sz val="14"/>
            <color indexed="81"/>
            <rFont val="Times New Roman"/>
            <family val="1"/>
          </rPr>
          <t xml:space="preserve">wpisz nr gry
</t>
        </r>
        <r>
          <rPr>
            <sz val="8"/>
            <color indexed="81"/>
            <rFont val="Tahoma"/>
            <family val="2"/>
            <charset val="238"/>
          </rPr>
          <t xml:space="preserve">
</t>
        </r>
      </text>
    </comment>
    <comment ref="O261" authorId="0">
      <text>
        <r>
          <rPr>
            <b/>
            <sz val="10"/>
            <color indexed="81"/>
            <rFont val="Times New Roman CE"/>
            <family val="1"/>
            <charset val="238"/>
          </rPr>
          <t>Wpisz nr grupy.</t>
        </r>
        <r>
          <rPr>
            <sz val="8"/>
            <color indexed="81"/>
            <rFont val="Tahoma"/>
            <family val="2"/>
            <charset val="238"/>
          </rPr>
          <t xml:space="preserve">
</t>
        </r>
      </text>
    </comment>
    <comment ref="S265" authorId="0">
      <text>
        <r>
          <rPr>
            <b/>
            <sz val="14"/>
            <color indexed="81"/>
            <rFont val="Times New Roman"/>
            <family val="1"/>
          </rPr>
          <t xml:space="preserve">wpisz nr gry
</t>
        </r>
        <r>
          <rPr>
            <sz val="8"/>
            <color indexed="81"/>
            <rFont val="Tahoma"/>
            <family val="2"/>
            <charset val="238"/>
          </rPr>
          <t xml:space="preserve">
</t>
        </r>
      </text>
    </comment>
    <comment ref="S266" authorId="0">
      <text>
        <r>
          <rPr>
            <b/>
            <sz val="14"/>
            <color indexed="81"/>
            <rFont val="Times New Roman"/>
            <family val="1"/>
          </rPr>
          <t xml:space="preserve">wpisz nr gry
</t>
        </r>
        <r>
          <rPr>
            <sz val="8"/>
            <color indexed="81"/>
            <rFont val="Tahoma"/>
            <family val="2"/>
            <charset val="238"/>
          </rPr>
          <t xml:space="preserve">
</t>
        </r>
      </text>
    </comment>
    <comment ref="S267" authorId="0">
      <text>
        <r>
          <rPr>
            <b/>
            <sz val="14"/>
            <color indexed="81"/>
            <rFont val="Times New Roman"/>
            <family val="1"/>
          </rPr>
          <t xml:space="preserve">wpisz nr gry
</t>
        </r>
        <r>
          <rPr>
            <sz val="8"/>
            <color indexed="81"/>
            <rFont val="Tahoma"/>
            <family val="2"/>
            <charset val="238"/>
          </rPr>
          <t xml:space="preserve">
</t>
        </r>
      </text>
    </comment>
    <comment ref="S268" authorId="0">
      <text>
        <r>
          <rPr>
            <b/>
            <sz val="14"/>
            <color indexed="81"/>
            <rFont val="Times New Roman"/>
            <family val="1"/>
          </rPr>
          <t xml:space="preserve">wpisz nr gry
</t>
        </r>
        <r>
          <rPr>
            <sz val="8"/>
            <color indexed="81"/>
            <rFont val="Tahoma"/>
            <family val="2"/>
            <charset val="238"/>
          </rPr>
          <t xml:space="preserve">
</t>
        </r>
      </text>
    </comment>
    <comment ref="S269" authorId="0">
      <text>
        <r>
          <rPr>
            <b/>
            <sz val="14"/>
            <color indexed="81"/>
            <rFont val="Times New Roman"/>
            <family val="1"/>
          </rPr>
          <t xml:space="preserve">wpisz nr gry
</t>
        </r>
        <r>
          <rPr>
            <sz val="8"/>
            <color indexed="81"/>
            <rFont val="Tahoma"/>
            <family val="2"/>
            <charset val="238"/>
          </rPr>
          <t xml:space="preserve">
</t>
        </r>
      </text>
    </comment>
    <comment ref="S270" authorId="0">
      <text>
        <r>
          <rPr>
            <b/>
            <sz val="14"/>
            <color indexed="81"/>
            <rFont val="Times New Roman"/>
            <family val="1"/>
          </rPr>
          <t xml:space="preserve">wpisz nr gry
</t>
        </r>
        <r>
          <rPr>
            <sz val="8"/>
            <color indexed="81"/>
            <rFont val="Tahoma"/>
            <family val="2"/>
            <charset val="238"/>
          </rPr>
          <t xml:space="preserve">
</t>
        </r>
      </text>
    </comment>
    <comment ref="O275" authorId="0">
      <text>
        <r>
          <rPr>
            <b/>
            <sz val="10"/>
            <color indexed="81"/>
            <rFont val="Times New Roman CE"/>
            <family val="1"/>
            <charset val="238"/>
          </rPr>
          <t>Wpisz nr grupy.</t>
        </r>
        <r>
          <rPr>
            <sz val="8"/>
            <color indexed="81"/>
            <rFont val="Tahoma"/>
            <family val="2"/>
            <charset val="238"/>
          </rPr>
          <t xml:space="preserve">
</t>
        </r>
      </text>
    </comment>
    <comment ref="S279" authorId="0">
      <text>
        <r>
          <rPr>
            <b/>
            <sz val="14"/>
            <color indexed="81"/>
            <rFont val="Times New Roman"/>
            <family val="1"/>
          </rPr>
          <t xml:space="preserve">wpisz nr gry
</t>
        </r>
        <r>
          <rPr>
            <sz val="8"/>
            <color indexed="81"/>
            <rFont val="Tahoma"/>
            <family val="2"/>
            <charset val="238"/>
          </rPr>
          <t xml:space="preserve">
</t>
        </r>
      </text>
    </comment>
    <comment ref="S280" authorId="0">
      <text>
        <r>
          <rPr>
            <b/>
            <sz val="14"/>
            <color indexed="81"/>
            <rFont val="Times New Roman"/>
            <family val="1"/>
          </rPr>
          <t xml:space="preserve">wpisz nr gry
</t>
        </r>
        <r>
          <rPr>
            <sz val="8"/>
            <color indexed="81"/>
            <rFont val="Tahoma"/>
            <family val="2"/>
            <charset val="238"/>
          </rPr>
          <t xml:space="preserve">
</t>
        </r>
      </text>
    </comment>
    <comment ref="S281" authorId="0">
      <text>
        <r>
          <rPr>
            <b/>
            <sz val="14"/>
            <color indexed="81"/>
            <rFont val="Times New Roman"/>
            <family val="1"/>
          </rPr>
          <t xml:space="preserve">wpisz nr gry
</t>
        </r>
        <r>
          <rPr>
            <sz val="8"/>
            <color indexed="81"/>
            <rFont val="Tahoma"/>
            <family val="2"/>
            <charset val="238"/>
          </rPr>
          <t xml:space="preserve">
</t>
        </r>
      </text>
    </comment>
    <comment ref="O286" authorId="0">
      <text>
        <r>
          <rPr>
            <b/>
            <sz val="10"/>
            <color indexed="81"/>
            <rFont val="Times New Roman CE"/>
            <family val="1"/>
            <charset val="238"/>
          </rPr>
          <t>Wpisz nr grupy.</t>
        </r>
        <r>
          <rPr>
            <sz val="8"/>
            <color indexed="81"/>
            <rFont val="Tahoma"/>
            <family val="2"/>
            <charset val="238"/>
          </rPr>
          <t xml:space="preserve">
</t>
        </r>
      </text>
    </comment>
    <comment ref="S290" authorId="0">
      <text>
        <r>
          <rPr>
            <b/>
            <sz val="14"/>
            <color indexed="81"/>
            <rFont val="Times New Roman"/>
            <family val="1"/>
          </rPr>
          <t xml:space="preserve">wpisz nr gry
</t>
        </r>
        <r>
          <rPr>
            <sz val="8"/>
            <color indexed="81"/>
            <rFont val="Tahoma"/>
            <family val="2"/>
            <charset val="238"/>
          </rPr>
          <t xml:space="preserve">
</t>
        </r>
      </text>
    </comment>
    <comment ref="S291" authorId="0">
      <text>
        <r>
          <rPr>
            <b/>
            <sz val="14"/>
            <color indexed="81"/>
            <rFont val="Times New Roman"/>
            <family val="1"/>
          </rPr>
          <t xml:space="preserve">wpisz nr gry
</t>
        </r>
        <r>
          <rPr>
            <sz val="8"/>
            <color indexed="81"/>
            <rFont val="Tahoma"/>
            <family val="2"/>
            <charset val="238"/>
          </rPr>
          <t xml:space="preserve">
</t>
        </r>
      </text>
    </comment>
    <comment ref="S292" authorId="0">
      <text>
        <r>
          <rPr>
            <b/>
            <sz val="14"/>
            <color indexed="81"/>
            <rFont val="Times New Roman"/>
            <family val="1"/>
          </rPr>
          <t xml:space="preserve">wpisz nr gry
</t>
        </r>
        <r>
          <rPr>
            <sz val="8"/>
            <color indexed="81"/>
            <rFont val="Tahoma"/>
            <family val="2"/>
            <charset val="238"/>
          </rPr>
          <t xml:space="preserve">
</t>
        </r>
      </text>
    </comment>
    <comment ref="O297" authorId="0">
      <text>
        <r>
          <rPr>
            <b/>
            <sz val="10"/>
            <color indexed="81"/>
            <rFont val="Times New Roman CE"/>
            <family val="1"/>
            <charset val="238"/>
          </rPr>
          <t>Wpisz nr grupy.</t>
        </r>
        <r>
          <rPr>
            <sz val="8"/>
            <color indexed="81"/>
            <rFont val="Tahoma"/>
            <family val="2"/>
            <charset val="238"/>
          </rPr>
          <t xml:space="preserve">
</t>
        </r>
      </text>
    </comment>
    <comment ref="S301" authorId="0">
      <text>
        <r>
          <rPr>
            <b/>
            <sz val="14"/>
            <color indexed="81"/>
            <rFont val="Times New Roman"/>
            <family val="1"/>
          </rPr>
          <t xml:space="preserve">wpisz nr gry
</t>
        </r>
        <r>
          <rPr>
            <sz val="8"/>
            <color indexed="81"/>
            <rFont val="Tahoma"/>
            <family val="2"/>
            <charset val="238"/>
          </rPr>
          <t xml:space="preserve">
</t>
        </r>
      </text>
    </comment>
    <comment ref="S302" authorId="0">
      <text>
        <r>
          <rPr>
            <b/>
            <sz val="14"/>
            <color indexed="81"/>
            <rFont val="Times New Roman"/>
            <family val="1"/>
          </rPr>
          <t xml:space="preserve">wpisz nr gry
</t>
        </r>
        <r>
          <rPr>
            <sz val="8"/>
            <color indexed="81"/>
            <rFont val="Tahoma"/>
            <family val="2"/>
            <charset val="238"/>
          </rPr>
          <t xml:space="preserve">
</t>
        </r>
      </text>
    </comment>
    <comment ref="S303" authorId="0">
      <text>
        <r>
          <rPr>
            <b/>
            <sz val="14"/>
            <color indexed="81"/>
            <rFont val="Times New Roman"/>
            <family val="1"/>
          </rPr>
          <t xml:space="preserve">wpisz nr gry
</t>
        </r>
        <r>
          <rPr>
            <sz val="8"/>
            <color indexed="81"/>
            <rFont val="Tahoma"/>
            <family val="2"/>
            <charset val="238"/>
          </rPr>
          <t xml:space="preserve">
</t>
        </r>
      </text>
    </comment>
    <comment ref="O308" authorId="0">
      <text>
        <r>
          <rPr>
            <b/>
            <sz val="10"/>
            <color indexed="81"/>
            <rFont val="Times New Roman CE"/>
            <family val="1"/>
            <charset val="238"/>
          </rPr>
          <t>Wpisz nr grupy.</t>
        </r>
        <r>
          <rPr>
            <sz val="8"/>
            <color indexed="81"/>
            <rFont val="Tahoma"/>
            <family val="2"/>
            <charset val="238"/>
          </rPr>
          <t xml:space="preserve">
</t>
        </r>
      </text>
    </comment>
    <comment ref="S312" authorId="0">
      <text>
        <r>
          <rPr>
            <b/>
            <sz val="14"/>
            <color indexed="81"/>
            <rFont val="Times New Roman"/>
            <family val="1"/>
          </rPr>
          <t xml:space="preserve">wpisz nr gry
</t>
        </r>
        <r>
          <rPr>
            <sz val="8"/>
            <color indexed="81"/>
            <rFont val="Tahoma"/>
            <family val="2"/>
            <charset val="238"/>
          </rPr>
          <t xml:space="preserve">
</t>
        </r>
      </text>
    </comment>
    <comment ref="S313" authorId="0">
      <text>
        <r>
          <rPr>
            <b/>
            <sz val="14"/>
            <color indexed="81"/>
            <rFont val="Times New Roman"/>
            <family val="1"/>
          </rPr>
          <t xml:space="preserve">wpisz nr gry
</t>
        </r>
        <r>
          <rPr>
            <sz val="8"/>
            <color indexed="81"/>
            <rFont val="Tahoma"/>
            <family val="2"/>
            <charset val="238"/>
          </rPr>
          <t xml:space="preserve">
</t>
        </r>
      </text>
    </comment>
    <comment ref="S314" authorId="0">
      <text>
        <r>
          <rPr>
            <b/>
            <sz val="14"/>
            <color indexed="81"/>
            <rFont val="Times New Roman"/>
            <family val="1"/>
          </rPr>
          <t xml:space="preserve">wpisz nr gry
</t>
        </r>
        <r>
          <rPr>
            <sz val="8"/>
            <color indexed="81"/>
            <rFont val="Tahoma"/>
            <family val="2"/>
            <charset val="238"/>
          </rPr>
          <t xml:space="preserve">
</t>
        </r>
      </text>
    </comment>
    <comment ref="O319" authorId="0">
      <text>
        <r>
          <rPr>
            <b/>
            <sz val="10"/>
            <color indexed="81"/>
            <rFont val="Times New Roman CE"/>
            <family val="1"/>
            <charset val="238"/>
          </rPr>
          <t>Wpisz nr grupy.</t>
        </r>
        <r>
          <rPr>
            <sz val="8"/>
            <color indexed="81"/>
            <rFont val="Tahoma"/>
            <family val="2"/>
            <charset val="238"/>
          </rPr>
          <t xml:space="preserve">
</t>
        </r>
      </text>
    </comment>
    <comment ref="S323" authorId="0">
      <text>
        <r>
          <rPr>
            <b/>
            <sz val="14"/>
            <color indexed="81"/>
            <rFont val="Times New Roman"/>
            <family val="1"/>
          </rPr>
          <t xml:space="preserve">wpisz nr gry
</t>
        </r>
        <r>
          <rPr>
            <sz val="8"/>
            <color indexed="81"/>
            <rFont val="Tahoma"/>
            <family val="2"/>
            <charset val="238"/>
          </rPr>
          <t xml:space="preserve">
</t>
        </r>
      </text>
    </comment>
    <comment ref="S324" authorId="0">
      <text>
        <r>
          <rPr>
            <b/>
            <sz val="14"/>
            <color indexed="81"/>
            <rFont val="Times New Roman"/>
            <family val="1"/>
          </rPr>
          <t xml:space="preserve">wpisz nr gry
</t>
        </r>
        <r>
          <rPr>
            <sz val="8"/>
            <color indexed="81"/>
            <rFont val="Tahoma"/>
            <family val="2"/>
            <charset val="238"/>
          </rPr>
          <t xml:space="preserve">
</t>
        </r>
      </text>
    </comment>
    <comment ref="S325" authorId="0">
      <text>
        <r>
          <rPr>
            <b/>
            <sz val="14"/>
            <color indexed="81"/>
            <rFont val="Times New Roman"/>
            <family val="1"/>
          </rPr>
          <t xml:space="preserve">wpisz nr gry
</t>
        </r>
        <r>
          <rPr>
            <sz val="8"/>
            <color indexed="81"/>
            <rFont val="Tahoma"/>
            <family val="2"/>
            <charset val="238"/>
          </rPr>
          <t xml:space="preserve">
</t>
        </r>
      </text>
    </comment>
    <comment ref="O330" authorId="0">
      <text>
        <r>
          <rPr>
            <b/>
            <sz val="10"/>
            <color indexed="81"/>
            <rFont val="Times New Roman CE"/>
            <family val="1"/>
            <charset val="238"/>
          </rPr>
          <t>Wpisz nr grupy.</t>
        </r>
        <r>
          <rPr>
            <sz val="8"/>
            <color indexed="81"/>
            <rFont val="Tahoma"/>
            <family val="2"/>
            <charset val="238"/>
          </rPr>
          <t xml:space="preserve">
</t>
        </r>
      </text>
    </comment>
    <comment ref="S334" authorId="0">
      <text>
        <r>
          <rPr>
            <b/>
            <sz val="14"/>
            <color indexed="81"/>
            <rFont val="Times New Roman"/>
            <family val="1"/>
          </rPr>
          <t xml:space="preserve">wpisz nr gry
</t>
        </r>
        <r>
          <rPr>
            <sz val="8"/>
            <color indexed="81"/>
            <rFont val="Tahoma"/>
            <family val="2"/>
            <charset val="238"/>
          </rPr>
          <t xml:space="preserve">
</t>
        </r>
      </text>
    </comment>
    <comment ref="S335" authorId="0">
      <text>
        <r>
          <rPr>
            <b/>
            <sz val="14"/>
            <color indexed="81"/>
            <rFont val="Times New Roman"/>
            <family val="1"/>
          </rPr>
          <t xml:space="preserve">wpisz nr gry
</t>
        </r>
        <r>
          <rPr>
            <sz val="8"/>
            <color indexed="81"/>
            <rFont val="Tahoma"/>
            <family val="2"/>
            <charset val="238"/>
          </rPr>
          <t xml:space="preserve">
</t>
        </r>
      </text>
    </comment>
    <comment ref="S336" authorId="0">
      <text>
        <r>
          <rPr>
            <b/>
            <sz val="14"/>
            <color indexed="81"/>
            <rFont val="Times New Roman"/>
            <family val="1"/>
          </rPr>
          <t xml:space="preserve">wpisz nr gry
</t>
        </r>
        <r>
          <rPr>
            <sz val="8"/>
            <color indexed="81"/>
            <rFont val="Tahoma"/>
            <family val="2"/>
            <charset val="238"/>
          </rPr>
          <t xml:space="preserve">
</t>
        </r>
      </text>
    </comment>
    <comment ref="O341" authorId="0">
      <text>
        <r>
          <rPr>
            <b/>
            <sz val="10"/>
            <color indexed="81"/>
            <rFont val="Times New Roman CE"/>
            <family val="1"/>
            <charset val="238"/>
          </rPr>
          <t>Wpisz nr grupy.</t>
        </r>
        <r>
          <rPr>
            <sz val="8"/>
            <color indexed="81"/>
            <rFont val="Tahoma"/>
            <family val="2"/>
            <charset val="238"/>
          </rPr>
          <t xml:space="preserve">
</t>
        </r>
      </text>
    </comment>
    <comment ref="S345" authorId="0">
      <text>
        <r>
          <rPr>
            <b/>
            <sz val="14"/>
            <color indexed="81"/>
            <rFont val="Times New Roman"/>
            <family val="1"/>
          </rPr>
          <t xml:space="preserve">wpisz nr gry
</t>
        </r>
        <r>
          <rPr>
            <sz val="8"/>
            <color indexed="81"/>
            <rFont val="Tahoma"/>
            <family val="2"/>
            <charset val="238"/>
          </rPr>
          <t xml:space="preserve">
</t>
        </r>
      </text>
    </comment>
    <comment ref="S346" authorId="0">
      <text>
        <r>
          <rPr>
            <b/>
            <sz val="14"/>
            <color indexed="81"/>
            <rFont val="Times New Roman"/>
            <family val="1"/>
          </rPr>
          <t xml:space="preserve">wpisz nr gry
</t>
        </r>
        <r>
          <rPr>
            <sz val="8"/>
            <color indexed="81"/>
            <rFont val="Tahoma"/>
            <family val="2"/>
            <charset val="238"/>
          </rPr>
          <t xml:space="preserve">
</t>
        </r>
      </text>
    </comment>
    <comment ref="S347" authorId="0">
      <text>
        <r>
          <rPr>
            <b/>
            <sz val="14"/>
            <color indexed="81"/>
            <rFont val="Times New Roman"/>
            <family val="1"/>
          </rPr>
          <t xml:space="preserve">wpisz nr gry
</t>
        </r>
        <r>
          <rPr>
            <sz val="8"/>
            <color indexed="81"/>
            <rFont val="Tahoma"/>
            <family val="2"/>
            <charset val="238"/>
          </rPr>
          <t xml:space="preserve">
</t>
        </r>
      </text>
    </comment>
    <comment ref="S348" authorId="0">
      <text>
        <r>
          <rPr>
            <b/>
            <sz val="14"/>
            <color indexed="81"/>
            <rFont val="Times New Roman"/>
            <family val="1"/>
          </rPr>
          <t xml:space="preserve">wpisz nr gry
</t>
        </r>
        <r>
          <rPr>
            <sz val="8"/>
            <color indexed="81"/>
            <rFont val="Tahoma"/>
            <family val="2"/>
            <charset val="238"/>
          </rPr>
          <t xml:space="preserve">
</t>
        </r>
      </text>
    </comment>
    <comment ref="S349" authorId="0">
      <text>
        <r>
          <rPr>
            <b/>
            <sz val="14"/>
            <color indexed="81"/>
            <rFont val="Times New Roman"/>
            <family val="1"/>
          </rPr>
          <t xml:space="preserve">wpisz nr gry
</t>
        </r>
        <r>
          <rPr>
            <sz val="8"/>
            <color indexed="81"/>
            <rFont val="Tahoma"/>
            <family val="2"/>
            <charset val="238"/>
          </rPr>
          <t xml:space="preserve">
</t>
        </r>
      </text>
    </comment>
    <comment ref="S350" authorId="0">
      <text>
        <r>
          <rPr>
            <b/>
            <sz val="14"/>
            <color indexed="81"/>
            <rFont val="Times New Roman"/>
            <family val="1"/>
          </rPr>
          <t xml:space="preserve">wpisz nr gry
</t>
        </r>
        <r>
          <rPr>
            <sz val="8"/>
            <color indexed="81"/>
            <rFont val="Tahoma"/>
            <family val="2"/>
            <charset val="238"/>
          </rPr>
          <t xml:space="preserve">
</t>
        </r>
      </text>
    </comment>
    <comment ref="N355" authorId="0">
      <text>
        <r>
          <rPr>
            <b/>
            <sz val="10"/>
            <color indexed="81"/>
            <rFont val="Times New Roman CE"/>
            <family val="1"/>
            <charset val="238"/>
          </rPr>
          <t>Dla systemu grupowo-pucharowego wpisz miejsce w grupie.</t>
        </r>
      </text>
    </comment>
    <comment ref="O355" authorId="0">
      <text>
        <r>
          <rPr>
            <b/>
            <sz val="10"/>
            <color indexed="81"/>
            <rFont val="Times New Roman CE"/>
            <family val="1"/>
            <charset val="238"/>
          </rPr>
          <t>Dla systemu pucharowego wpisz ilość zawodników.
Dla systemu grupowo-pucharowego wpisz ilość grup.</t>
        </r>
      </text>
    </comment>
    <comment ref="W358" authorId="0">
      <text>
        <r>
          <rPr>
            <b/>
            <sz val="14"/>
            <color indexed="81"/>
            <rFont val="Times New Roman"/>
            <family val="1"/>
          </rPr>
          <t xml:space="preserve">wpisz nr gry
</t>
        </r>
        <r>
          <rPr>
            <sz val="8"/>
            <color indexed="81"/>
            <rFont val="Tahoma"/>
            <family val="2"/>
            <charset val="238"/>
          </rPr>
          <t xml:space="preserve">
</t>
        </r>
      </text>
    </comment>
    <comment ref="Z360" authorId="0">
      <text>
        <r>
          <rPr>
            <b/>
            <sz val="14"/>
            <color indexed="81"/>
            <rFont val="Times New Roman"/>
            <family val="1"/>
          </rPr>
          <t xml:space="preserve">wpisz nr gry
</t>
        </r>
        <r>
          <rPr>
            <sz val="8"/>
            <color indexed="81"/>
            <rFont val="Tahoma"/>
            <family val="2"/>
            <charset val="238"/>
          </rPr>
          <t xml:space="preserve">
</t>
        </r>
      </text>
    </comment>
    <comment ref="W362" authorId="0">
      <text>
        <r>
          <rPr>
            <b/>
            <sz val="14"/>
            <color indexed="81"/>
            <rFont val="Times New Roman"/>
            <family val="1"/>
          </rPr>
          <t xml:space="preserve">wpisz nr gry
</t>
        </r>
        <r>
          <rPr>
            <sz val="8"/>
            <color indexed="81"/>
            <rFont val="Tahoma"/>
            <family val="2"/>
            <charset val="238"/>
          </rPr>
          <t xml:space="preserve">
</t>
        </r>
      </text>
    </comment>
    <comment ref="AC364" authorId="0">
      <text>
        <r>
          <rPr>
            <b/>
            <sz val="14"/>
            <color indexed="81"/>
            <rFont val="Times New Roman"/>
            <family val="1"/>
          </rPr>
          <t xml:space="preserve">wpisz nr gry
</t>
        </r>
        <r>
          <rPr>
            <sz val="8"/>
            <color indexed="81"/>
            <rFont val="Tahoma"/>
            <family val="2"/>
            <charset val="238"/>
          </rPr>
          <t xml:space="preserve">
</t>
        </r>
      </text>
    </comment>
    <comment ref="W366" authorId="0">
      <text>
        <r>
          <rPr>
            <b/>
            <sz val="14"/>
            <color indexed="81"/>
            <rFont val="Times New Roman"/>
            <family val="1"/>
          </rPr>
          <t xml:space="preserve">wpisz nr gry
</t>
        </r>
        <r>
          <rPr>
            <sz val="8"/>
            <color indexed="81"/>
            <rFont val="Tahoma"/>
            <family val="2"/>
            <charset val="238"/>
          </rPr>
          <t xml:space="preserve">
</t>
        </r>
      </text>
    </comment>
    <comment ref="Z368" authorId="0">
      <text>
        <r>
          <rPr>
            <b/>
            <sz val="14"/>
            <color indexed="81"/>
            <rFont val="Times New Roman"/>
            <family val="1"/>
          </rPr>
          <t xml:space="preserve">wpisz nr gry
</t>
        </r>
        <r>
          <rPr>
            <sz val="8"/>
            <color indexed="81"/>
            <rFont val="Tahoma"/>
            <family val="2"/>
            <charset val="238"/>
          </rPr>
          <t xml:space="preserve">
</t>
        </r>
      </text>
    </comment>
    <comment ref="W370" authorId="0">
      <text>
        <r>
          <rPr>
            <b/>
            <sz val="14"/>
            <color indexed="81"/>
            <rFont val="Times New Roman"/>
            <family val="1"/>
          </rPr>
          <t xml:space="preserve">wpisz nr gry
</t>
        </r>
        <r>
          <rPr>
            <sz val="8"/>
            <color indexed="81"/>
            <rFont val="Tahoma"/>
            <family val="2"/>
            <charset val="238"/>
          </rPr>
          <t xml:space="preserve">
</t>
        </r>
      </text>
    </comment>
    <comment ref="O376" authorId="0">
      <text>
        <r>
          <rPr>
            <b/>
            <sz val="10"/>
            <color indexed="81"/>
            <rFont val="Times New Roman CE"/>
            <family val="1"/>
            <charset val="238"/>
          </rPr>
          <t>Wpisz nr grupy.</t>
        </r>
        <r>
          <rPr>
            <sz val="8"/>
            <color indexed="81"/>
            <rFont val="Tahoma"/>
            <family val="2"/>
            <charset val="238"/>
          </rPr>
          <t xml:space="preserve">
</t>
        </r>
      </text>
    </comment>
    <comment ref="S380" authorId="0">
      <text>
        <r>
          <rPr>
            <b/>
            <sz val="14"/>
            <color indexed="81"/>
            <rFont val="Times New Roman"/>
            <family val="1"/>
          </rPr>
          <t xml:space="preserve">wpisz nr gry
</t>
        </r>
        <r>
          <rPr>
            <sz val="8"/>
            <color indexed="81"/>
            <rFont val="Tahoma"/>
            <family val="2"/>
            <charset val="238"/>
          </rPr>
          <t xml:space="preserve">
</t>
        </r>
      </text>
    </comment>
    <comment ref="S381" authorId="0">
      <text>
        <r>
          <rPr>
            <b/>
            <sz val="14"/>
            <color indexed="81"/>
            <rFont val="Times New Roman"/>
            <family val="1"/>
          </rPr>
          <t xml:space="preserve">wpisz nr gry
</t>
        </r>
        <r>
          <rPr>
            <sz val="8"/>
            <color indexed="81"/>
            <rFont val="Tahoma"/>
            <family val="2"/>
            <charset val="238"/>
          </rPr>
          <t xml:space="preserve">
</t>
        </r>
      </text>
    </comment>
    <comment ref="S382" authorId="0">
      <text>
        <r>
          <rPr>
            <b/>
            <sz val="14"/>
            <color indexed="81"/>
            <rFont val="Times New Roman"/>
            <family val="1"/>
          </rPr>
          <t xml:space="preserve">wpisz nr gry
</t>
        </r>
        <r>
          <rPr>
            <sz val="8"/>
            <color indexed="81"/>
            <rFont val="Tahoma"/>
            <family val="2"/>
            <charset val="238"/>
          </rPr>
          <t xml:space="preserve">
</t>
        </r>
      </text>
    </comment>
    <comment ref="O387" authorId="0">
      <text>
        <r>
          <rPr>
            <b/>
            <sz val="10"/>
            <color indexed="81"/>
            <rFont val="Times New Roman CE"/>
            <family val="1"/>
            <charset val="238"/>
          </rPr>
          <t>Wpisz nr grupy.</t>
        </r>
        <r>
          <rPr>
            <sz val="8"/>
            <color indexed="81"/>
            <rFont val="Tahoma"/>
            <family val="2"/>
            <charset val="238"/>
          </rPr>
          <t xml:space="preserve">
</t>
        </r>
      </text>
    </comment>
    <comment ref="S391" authorId="0">
      <text>
        <r>
          <rPr>
            <b/>
            <sz val="14"/>
            <color indexed="81"/>
            <rFont val="Times New Roman"/>
            <family val="1"/>
          </rPr>
          <t xml:space="preserve">wpisz nr gry
</t>
        </r>
        <r>
          <rPr>
            <sz val="8"/>
            <color indexed="81"/>
            <rFont val="Tahoma"/>
            <family val="2"/>
            <charset val="238"/>
          </rPr>
          <t xml:space="preserve">
</t>
        </r>
      </text>
    </comment>
    <comment ref="S392" authorId="0">
      <text>
        <r>
          <rPr>
            <b/>
            <sz val="14"/>
            <color indexed="81"/>
            <rFont val="Times New Roman"/>
            <family val="1"/>
          </rPr>
          <t xml:space="preserve">wpisz nr gry
</t>
        </r>
        <r>
          <rPr>
            <sz val="8"/>
            <color indexed="81"/>
            <rFont val="Tahoma"/>
            <family val="2"/>
            <charset val="238"/>
          </rPr>
          <t xml:space="preserve">
</t>
        </r>
      </text>
    </comment>
    <comment ref="S393" authorId="0">
      <text>
        <r>
          <rPr>
            <b/>
            <sz val="14"/>
            <color indexed="81"/>
            <rFont val="Times New Roman"/>
            <family val="1"/>
          </rPr>
          <t xml:space="preserve">wpisz nr gry
</t>
        </r>
        <r>
          <rPr>
            <sz val="8"/>
            <color indexed="81"/>
            <rFont val="Tahoma"/>
            <family val="2"/>
            <charset val="238"/>
          </rPr>
          <t xml:space="preserve">
</t>
        </r>
      </text>
    </comment>
    <comment ref="O398" authorId="0">
      <text>
        <r>
          <rPr>
            <b/>
            <sz val="10"/>
            <color indexed="81"/>
            <rFont val="Times New Roman CE"/>
            <family val="1"/>
            <charset val="238"/>
          </rPr>
          <t>Wpisz nr grupy.</t>
        </r>
        <r>
          <rPr>
            <sz val="8"/>
            <color indexed="81"/>
            <rFont val="Tahoma"/>
            <family val="2"/>
            <charset val="238"/>
          </rPr>
          <t xml:space="preserve">
</t>
        </r>
      </text>
    </comment>
    <comment ref="S402" authorId="0">
      <text>
        <r>
          <rPr>
            <b/>
            <sz val="14"/>
            <color indexed="81"/>
            <rFont val="Times New Roman"/>
            <family val="1"/>
          </rPr>
          <t xml:space="preserve">wpisz nr gry
</t>
        </r>
        <r>
          <rPr>
            <sz val="8"/>
            <color indexed="81"/>
            <rFont val="Tahoma"/>
            <family val="2"/>
            <charset val="238"/>
          </rPr>
          <t xml:space="preserve">
</t>
        </r>
      </text>
    </comment>
    <comment ref="S403" authorId="0">
      <text>
        <r>
          <rPr>
            <b/>
            <sz val="14"/>
            <color indexed="81"/>
            <rFont val="Times New Roman"/>
            <family val="1"/>
          </rPr>
          <t xml:space="preserve">wpisz nr gry
</t>
        </r>
        <r>
          <rPr>
            <sz val="8"/>
            <color indexed="81"/>
            <rFont val="Tahoma"/>
            <family val="2"/>
            <charset val="238"/>
          </rPr>
          <t xml:space="preserve">
</t>
        </r>
      </text>
    </comment>
    <comment ref="S404" authorId="0">
      <text>
        <r>
          <rPr>
            <b/>
            <sz val="14"/>
            <color indexed="81"/>
            <rFont val="Times New Roman"/>
            <family val="1"/>
          </rPr>
          <t xml:space="preserve">wpisz nr gry
</t>
        </r>
        <r>
          <rPr>
            <sz val="8"/>
            <color indexed="81"/>
            <rFont val="Tahoma"/>
            <family val="2"/>
            <charset val="238"/>
          </rPr>
          <t xml:space="preserve">
</t>
        </r>
      </text>
    </comment>
    <comment ref="O409" authorId="0">
      <text>
        <r>
          <rPr>
            <b/>
            <sz val="10"/>
            <color indexed="81"/>
            <rFont val="Times New Roman CE"/>
            <family val="1"/>
            <charset val="238"/>
          </rPr>
          <t>Wpisz nr grupy.</t>
        </r>
        <r>
          <rPr>
            <sz val="8"/>
            <color indexed="81"/>
            <rFont val="Tahoma"/>
            <family val="2"/>
            <charset val="238"/>
          </rPr>
          <t xml:space="preserve">
</t>
        </r>
      </text>
    </comment>
    <comment ref="S413" authorId="0">
      <text>
        <r>
          <rPr>
            <b/>
            <sz val="14"/>
            <color indexed="81"/>
            <rFont val="Times New Roman"/>
            <family val="1"/>
          </rPr>
          <t xml:space="preserve">wpisz nr gry
</t>
        </r>
        <r>
          <rPr>
            <sz val="8"/>
            <color indexed="81"/>
            <rFont val="Tahoma"/>
            <family val="2"/>
            <charset val="238"/>
          </rPr>
          <t xml:space="preserve">
</t>
        </r>
      </text>
    </comment>
    <comment ref="S414" authorId="0">
      <text>
        <r>
          <rPr>
            <b/>
            <sz val="14"/>
            <color indexed="81"/>
            <rFont val="Times New Roman"/>
            <family val="1"/>
          </rPr>
          <t xml:space="preserve">wpisz nr gry
</t>
        </r>
        <r>
          <rPr>
            <sz val="8"/>
            <color indexed="81"/>
            <rFont val="Tahoma"/>
            <family val="2"/>
            <charset val="238"/>
          </rPr>
          <t xml:space="preserve">
</t>
        </r>
      </text>
    </comment>
    <comment ref="S415" authorId="0">
      <text>
        <r>
          <rPr>
            <b/>
            <sz val="14"/>
            <color indexed="81"/>
            <rFont val="Times New Roman"/>
            <family val="1"/>
          </rPr>
          <t xml:space="preserve">wpisz nr gry
</t>
        </r>
        <r>
          <rPr>
            <sz val="8"/>
            <color indexed="81"/>
            <rFont val="Tahoma"/>
            <family val="2"/>
            <charset val="238"/>
          </rPr>
          <t xml:space="preserve">
</t>
        </r>
      </text>
    </comment>
    <comment ref="O420" authorId="0">
      <text>
        <r>
          <rPr>
            <b/>
            <sz val="10"/>
            <color indexed="81"/>
            <rFont val="Times New Roman CE"/>
            <family val="1"/>
            <charset val="238"/>
          </rPr>
          <t>Wpisz nr grupy.</t>
        </r>
        <r>
          <rPr>
            <sz val="8"/>
            <color indexed="81"/>
            <rFont val="Tahoma"/>
            <family val="2"/>
            <charset val="238"/>
          </rPr>
          <t xml:space="preserve">
</t>
        </r>
      </text>
    </comment>
    <comment ref="S424" authorId="0">
      <text>
        <r>
          <rPr>
            <b/>
            <sz val="14"/>
            <color indexed="81"/>
            <rFont val="Times New Roman"/>
            <family val="1"/>
          </rPr>
          <t xml:space="preserve">wpisz nr gry
</t>
        </r>
        <r>
          <rPr>
            <sz val="8"/>
            <color indexed="81"/>
            <rFont val="Tahoma"/>
            <family val="2"/>
            <charset val="238"/>
          </rPr>
          <t xml:space="preserve">
</t>
        </r>
      </text>
    </comment>
    <comment ref="S425" authorId="0">
      <text>
        <r>
          <rPr>
            <b/>
            <sz val="14"/>
            <color indexed="81"/>
            <rFont val="Times New Roman"/>
            <family val="1"/>
          </rPr>
          <t xml:space="preserve">wpisz nr gry
</t>
        </r>
        <r>
          <rPr>
            <sz val="8"/>
            <color indexed="81"/>
            <rFont val="Tahoma"/>
            <family val="2"/>
            <charset val="238"/>
          </rPr>
          <t xml:space="preserve">
</t>
        </r>
      </text>
    </comment>
    <comment ref="S426" authorId="0">
      <text>
        <r>
          <rPr>
            <b/>
            <sz val="14"/>
            <color indexed="81"/>
            <rFont val="Times New Roman"/>
            <family val="1"/>
          </rPr>
          <t xml:space="preserve">wpisz nr gry
</t>
        </r>
        <r>
          <rPr>
            <sz val="8"/>
            <color indexed="81"/>
            <rFont val="Tahoma"/>
            <family val="2"/>
            <charset val="238"/>
          </rPr>
          <t xml:space="preserve">
</t>
        </r>
      </text>
    </comment>
    <comment ref="O431" authorId="0">
      <text>
        <r>
          <rPr>
            <b/>
            <sz val="10"/>
            <color indexed="81"/>
            <rFont val="Times New Roman CE"/>
            <family val="1"/>
            <charset val="238"/>
          </rPr>
          <t>Wpisz nr grupy.</t>
        </r>
        <r>
          <rPr>
            <sz val="8"/>
            <color indexed="81"/>
            <rFont val="Tahoma"/>
            <family val="2"/>
            <charset val="238"/>
          </rPr>
          <t xml:space="preserve">
</t>
        </r>
      </text>
    </comment>
    <comment ref="S435" authorId="0">
      <text>
        <r>
          <rPr>
            <b/>
            <sz val="14"/>
            <color indexed="81"/>
            <rFont val="Times New Roman"/>
            <family val="1"/>
          </rPr>
          <t xml:space="preserve">wpisz nr gry
</t>
        </r>
        <r>
          <rPr>
            <sz val="8"/>
            <color indexed="81"/>
            <rFont val="Tahoma"/>
            <family val="2"/>
            <charset val="238"/>
          </rPr>
          <t xml:space="preserve">
</t>
        </r>
      </text>
    </comment>
    <comment ref="S436" authorId="0">
      <text>
        <r>
          <rPr>
            <b/>
            <sz val="14"/>
            <color indexed="81"/>
            <rFont val="Times New Roman"/>
            <family val="1"/>
          </rPr>
          <t xml:space="preserve">wpisz nr gry
</t>
        </r>
        <r>
          <rPr>
            <sz val="8"/>
            <color indexed="81"/>
            <rFont val="Tahoma"/>
            <family val="2"/>
            <charset val="238"/>
          </rPr>
          <t xml:space="preserve">
</t>
        </r>
      </text>
    </comment>
    <comment ref="S437" authorId="0">
      <text>
        <r>
          <rPr>
            <b/>
            <sz val="14"/>
            <color indexed="81"/>
            <rFont val="Times New Roman"/>
            <family val="1"/>
          </rPr>
          <t xml:space="preserve">wpisz nr gry
</t>
        </r>
        <r>
          <rPr>
            <sz val="8"/>
            <color indexed="81"/>
            <rFont val="Tahoma"/>
            <family val="2"/>
            <charset val="238"/>
          </rPr>
          <t xml:space="preserve">
</t>
        </r>
      </text>
    </comment>
    <comment ref="O442" authorId="0">
      <text>
        <r>
          <rPr>
            <b/>
            <sz val="10"/>
            <color indexed="81"/>
            <rFont val="Times New Roman CE"/>
            <family val="1"/>
            <charset val="238"/>
          </rPr>
          <t>Wpisz nr grupy.</t>
        </r>
        <r>
          <rPr>
            <sz val="8"/>
            <color indexed="81"/>
            <rFont val="Tahoma"/>
            <family val="2"/>
            <charset val="238"/>
          </rPr>
          <t xml:space="preserve">
</t>
        </r>
      </text>
    </comment>
    <comment ref="S446" authorId="0">
      <text>
        <r>
          <rPr>
            <b/>
            <sz val="14"/>
            <color indexed="81"/>
            <rFont val="Times New Roman"/>
            <family val="1"/>
          </rPr>
          <t xml:space="preserve">wpisz nr gry
</t>
        </r>
        <r>
          <rPr>
            <sz val="8"/>
            <color indexed="81"/>
            <rFont val="Tahoma"/>
            <family val="2"/>
            <charset val="238"/>
          </rPr>
          <t xml:space="preserve">
</t>
        </r>
      </text>
    </comment>
    <comment ref="S447" authorId="0">
      <text>
        <r>
          <rPr>
            <b/>
            <sz val="14"/>
            <color indexed="81"/>
            <rFont val="Times New Roman"/>
            <family val="1"/>
          </rPr>
          <t xml:space="preserve">wpisz nr gry
</t>
        </r>
        <r>
          <rPr>
            <sz val="8"/>
            <color indexed="81"/>
            <rFont val="Tahoma"/>
            <family val="2"/>
            <charset val="238"/>
          </rPr>
          <t xml:space="preserve">
</t>
        </r>
      </text>
    </comment>
    <comment ref="S448" authorId="0">
      <text>
        <r>
          <rPr>
            <b/>
            <sz val="14"/>
            <color indexed="81"/>
            <rFont val="Times New Roman"/>
            <family val="1"/>
          </rPr>
          <t xml:space="preserve">wpisz nr gry
</t>
        </r>
        <r>
          <rPr>
            <sz val="8"/>
            <color indexed="81"/>
            <rFont val="Tahoma"/>
            <family val="2"/>
            <charset val="238"/>
          </rPr>
          <t xml:space="preserve">
</t>
        </r>
      </text>
    </comment>
    <comment ref="O453" authorId="0">
      <text>
        <r>
          <rPr>
            <b/>
            <sz val="10"/>
            <color indexed="81"/>
            <rFont val="Times New Roman CE"/>
            <family val="1"/>
            <charset val="238"/>
          </rPr>
          <t>Wpisz nr grupy.</t>
        </r>
        <r>
          <rPr>
            <sz val="8"/>
            <color indexed="81"/>
            <rFont val="Tahoma"/>
            <family val="2"/>
            <charset val="238"/>
          </rPr>
          <t xml:space="preserve">
</t>
        </r>
      </text>
    </comment>
    <comment ref="S457" authorId="0">
      <text>
        <r>
          <rPr>
            <b/>
            <sz val="14"/>
            <color indexed="81"/>
            <rFont val="Times New Roman"/>
            <family val="1"/>
          </rPr>
          <t xml:space="preserve">wpisz nr gry
</t>
        </r>
        <r>
          <rPr>
            <sz val="8"/>
            <color indexed="81"/>
            <rFont val="Tahoma"/>
            <family val="2"/>
            <charset val="238"/>
          </rPr>
          <t xml:space="preserve">
</t>
        </r>
      </text>
    </comment>
    <comment ref="S458" authorId="0">
      <text>
        <r>
          <rPr>
            <b/>
            <sz val="14"/>
            <color indexed="81"/>
            <rFont val="Times New Roman"/>
            <family val="1"/>
          </rPr>
          <t xml:space="preserve">wpisz nr gry
</t>
        </r>
        <r>
          <rPr>
            <sz val="8"/>
            <color indexed="81"/>
            <rFont val="Tahoma"/>
            <family val="2"/>
            <charset val="238"/>
          </rPr>
          <t xml:space="preserve">
</t>
        </r>
      </text>
    </comment>
    <comment ref="S459" authorId="0">
      <text>
        <r>
          <rPr>
            <b/>
            <sz val="14"/>
            <color indexed="81"/>
            <rFont val="Times New Roman"/>
            <family val="1"/>
          </rPr>
          <t xml:space="preserve">wpisz nr gry
</t>
        </r>
        <r>
          <rPr>
            <sz val="8"/>
            <color indexed="81"/>
            <rFont val="Tahoma"/>
            <family val="2"/>
            <charset val="238"/>
          </rPr>
          <t xml:space="preserve">
</t>
        </r>
      </text>
    </comment>
    <comment ref="O464" authorId="0">
      <text>
        <r>
          <rPr>
            <b/>
            <sz val="10"/>
            <color indexed="81"/>
            <rFont val="Times New Roman CE"/>
            <family val="1"/>
            <charset val="238"/>
          </rPr>
          <t>Wpisz nr grupy.</t>
        </r>
        <r>
          <rPr>
            <sz val="8"/>
            <color indexed="81"/>
            <rFont val="Tahoma"/>
            <family val="2"/>
            <charset val="238"/>
          </rPr>
          <t xml:space="preserve">
</t>
        </r>
      </text>
    </comment>
    <comment ref="S468" authorId="0">
      <text>
        <r>
          <rPr>
            <b/>
            <sz val="14"/>
            <color indexed="81"/>
            <rFont val="Times New Roman"/>
            <family val="1"/>
          </rPr>
          <t xml:space="preserve">wpisz nr gry
</t>
        </r>
        <r>
          <rPr>
            <sz val="8"/>
            <color indexed="81"/>
            <rFont val="Tahoma"/>
            <family val="2"/>
            <charset val="238"/>
          </rPr>
          <t xml:space="preserve">
</t>
        </r>
      </text>
    </comment>
    <comment ref="S469" authorId="0">
      <text>
        <r>
          <rPr>
            <b/>
            <sz val="14"/>
            <color indexed="81"/>
            <rFont val="Times New Roman"/>
            <family val="1"/>
          </rPr>
          <t xml:space="preserve">wpisz nr gry
</t>
        </r>
        <r>
          <rPr>
            <sz val="8"/>
            <color indexed="81"/>
            <rFont val="Tahoma"/>
            <family val="2"/>
            <charset val="238"/>
          </rPr>
          <t xml:space="preserve">
</t>
        </r>
      </text>
    </comment>
    <comment ref="S470" authorId="0">
      <text>
        <r>
          <rPr>
            <b/>
            <sz val="14"/>
            <color indexed="81"/>
            <rFont val="Times New Roman"/>
            <family val="1"/>
          </rPr>
          <t xml:space="preserve">wpisz nr gry
</t>
        </r>
        <r>
          <rPr>
            <sz val="8"/>
            <color indexed="81"/>
            <rFont val="Tahoma"/>
            <family val="2"/>
            <charset val="238"/>
          </rPr>
          <t xml:space="preserve">
</t>
        </r>
      </text>
    </comment>
    <comment ref="O475" authorId="0">
      <text>
        <r>
          <rPr>
            <b/>
            <sz val="10"/>
            <color indexed="81"/>
            <rFont val="Times New Roman CE"/>
            <family val="1"/>
            <charset val="238"/>
          </rPr>
          <t>Wpisz nr grupy.</t>
        </r>
        <r>
          <rPr>
            <sz val="8"/>
            <color indexed="81"/>
            <rFont val="Tahoma"/>
            <family val="2"/>
            <charset val="238"/>
          </rPr>
          <t xml:space="preserve">
</t>
        </r>
      </text>
    </comment>
    <comment ref="S479" authorId="0">
      <text>
        <r>
          <rPr>
            <b/>
            <sz val="14"/>
            <color indexed="81"/>
            <rFont val="Times New Roman"/>
            <family val="1"/>
          </rPr>
          <t xml:space="preserve">wpisz nr gry
</t>
        </r>
        <r>
          <rPr>
            <sz val="8"/>
            <color indexed="81"/>
            <rFont val="Tahoma"/>
            <family val="2"/>
            <charset val="238"/>
          </rPr>
          <t xml:space="preserve">
</t>
        </r>
      </text>
    </comment>
    <comment ref="S480" authorId="0">
      <text>
        <r>
          <rPr>
            <b/>
            <sz val="14"/>
            <color indexed="81"/>
            <rFont val="Times New Roman"/>
            <family val="1"/>
          </rPr>
          <t xml:space="preserve">wpisz nr gry
</t>
        </r>
        <r>
          <rPr>
            <sz val="8"/>
            <color indexed="81"/>
            <rFont val="Tahoma"/>
            <family val="2"/>
            <charset val="238"/>
          </rPr>
          <t xml:space="preserve">
</t>
        </r>
      </text>
    </comment>
    <comment ref="S481" authorId="0">
      <text>
        <r>
          <rPr>
            <b/>
            <sz val="14"/>
            <color indexed="81"/>
            <rFont val="Times New Roman"/>
            <family val="1"/>
          </rPr>
          <t xml:space="preserve">wpisz nr gry
</t>
        </r>
        <r>
          <rPr>
            <sz val="8"/>
            <color indexed="81"/>
            <rFont val="Tahoma"/>
            <family val="2"/>
            <charset val="238"/>
          </rPr>
          <t xml:space="preserve">
</t>
        </r>
      </text>
    </comment>
    <comment ref="O486" authorId="0">
      <text>
        <r>
          <rPr>
            <b/>
            <sz val="10"/>
            <color indexed="81"/>
            <rFont val="Times New Roman CE"/>
            <family val="1"/>
            <charset val="238"/>
          </rPr>
          <t>Wpisz nr grupy.</t>
        </r>
        <r>
          <rPr>
            <sz val="8"/>
            <color indexed="81"/>
            <rFont val="Tahoma"/>
            <family val="2"/>
            <charset val="238"/>
          </rPr>
          <t xml:space="preserve">
</t>
        </r>
      </text>
    </comment>
    <comment ref="S490" authorId="0">
      <text>
        <r>
          <rPr>
            <b/>
            <sz val="14"/>
            <color indexed="81"/>
            <rFont val="Times New Roman"/>
            <family val="1"/>
          </rPr>
          <t xml:space="preserve">wpisz nr gry
</t>
        </r>
        <r>
          <rPr>
            <sz val="8"/>
            <color indexed="81"/>
            <rFont val="Tahoma"/>
            <family val="2"/>
            <charset val="238"/>
          </rPr>
          <t xml:space="preserve">
</t>
        </r>
      </text>
    </comment>
    <comment ref="S491" authorId="0">
      <text>
        <r>
          <rPr>
            <b/>
            <sz val="14"/>
            <color indexed="81"/>
            <rFont val="Times New Roman"/>
            <family val="1"/>
          </rPr>
          <t xml:space="preserve">wpisz nr gry
</t>
        </r>
        <r>
          <rPr>
            <sz val="8"/>
            <color indexed="81"/>
            <rFont val="Tahoma"/>
            <family val="2"/>
            <charset val="238"/>
          </rPr>
          <t xml:space="preserve">
</t>
        </r>
      </text>
    </comment>
    <comment ref="S492" authorId="0">
      <text>
        <r>
          <rPr>
            <b/>
            <sz val="14"/>
            <color indexed="81"/>
            <rFont val="Times New Roman"/>
            <family val="1"/>
          </rPr>
          <t xml:space="preserve">wpisz nr gry
</t>
        </r>
        <r>
          <rPr>
            <sz val="8"/>
            <color indexed="81"/>
            <rFont val="Tahoma"/>
            <family val="2"/>
            <charset val="238"/>
          </rPr>
          <t xml:space="preserve">
</t>
        </r>
      </text>
    </comment>
    <comment ref="O497" authorId="0">
      <text>
        <r>
          <rPr>
            <b/>
            <sz val="10"/>
            <color indexed="81"/>
            <rFont val="Times New Roman CE"/>
            <family val="1"/>
            <charset val="238"/>
          </rPr>
          <t>Wpisz nr grupy.</t>
        </r>
        <r>
          <rPr>
            <sz val="8"/>
            <color indexed="81"/>
            <rFont val="Tahoma"/>
            <family val="2"/>
            <charset val="238"/>
          </rPr>
          <t xml:space="preserve">
</t>
        </r>
      </text>
    </comment>
    <comment ref="S501" authorId="0">
      <text>
        <r>
          <rPr>
            <b/>
            <sz val="14"/>
            <color indexed="81"/>
            <rFont val="Times New Roman"/>
            <family val="1"/>
          </rPr>
          <t xml:space="preserve">wpisz nr gry
</t>
        </r>
        <r>
          <rPr>
            <sz val="8"/>
            <color indexed="81"/>
            <rFont val="Tahoma"/>
            <family val="2"/>
            <charset val="238"/>
          </rPr>
          <t xml:space="preserve">
</t>
        </r>
      </text>
    </comment>
    <comment ref="S502" authorId="0">
      <text>
        <r>
          <rPr>
            <b/>
            <sz val="14"/>
            <color indexed="81"/>
            <rFont val="Times New Roman"/>
            <family val="1"/>
          </rPr>
          <t xml:space="preserve">wpisz nr gry
</t>
        </r>
        <r>
          <rPr>
            <sz val="8"/>
            <color indexed="81"/>
            <rFont val="Tahoma"/>
            <family val="2"/>
            <charset val="238"/>
          </rPr>
          <t xml:space="preserve">
</t>
        </r>
      </text>
    </comment>
    <comment ref="S503" authorId="0">
      <text>
        <r>
          <rPr>
            <b/>
            <sz val="14"/>
            <color indexed="81"/>
            <rFont val="Times New Roman"/>
            <family val="1"/>
          </rPr>
          <t xml:space="preserve">wpisz nr gry
</t>
        </r>
        <r>
          <rPr>
            <sz val="8"/>
            <color indexed="81"/>
            <rFont val="Tahoma"/>
            <family val="2"/>
            <charset val="238"/>
          </rPr>
          <t xml:space="preserve">
</t>
        </r>
      </text>
    </comment>
    <comment ref="O508" authorId="0">
      <text>
        <r>
          <rPr>
            <b/>
            <sz val="10"/>
            <color indexed="81"/>
            <rFont val="Times New Roman CE"/>
            <family val="1"/>
            <charset val="238"/>
          </rPr>
          <t>Wpisz nr grupy.</t>
        </r>
        <r>
          <rPr>
            <sz val="8"/>
            <color indexed="81"/>
            <rFont val="Tahoma"/>
            <family val="2"/>
            <charset val="238"/>
          </rPr>
          <t xml:space="preserve">
</t>
        </r>
      </text>
    </comment>
    <comment ref="S512" authorId="0">
      <text>
        <r>
          <rPr>
            <b/>
            <sz val="14"/>
            <color indexed="81"/>
            <rFont val="Times New Roman"/>
            <family val="1"/>
          </rPr>
          <t xml:space="preserve">wpisz nr gry
</t>
        </r>
        <r>
          <rPr>
            <sz val="8"/>
            <color indexed="81"/>
            <rFont val="Tahoma"/>
            <family val="2"/>
            <charset val="238"/>
          </rPr>
          <t xml:space="preserve">
</t>
        </r>
      </text>
    </comment>
    <comment ref="S513" authorId="0">
      <text>
        <r>
          <rPr>
            <b/>
            <sz val="14"/>
            <color indexed="81"/>
            <rFont val="Times New Roman"/>
            <family val="1"/>
          </rPr>
          <t xml:space="preserve">wpisz nr gry
</t>
        </r>
        <r>
          <rPr>
            <sz val="8"/>
            <color indexed="81"/>
            <rFont val="Tahoma"/>
            <family val="2"/>
            <charset val="238"/>
          </rPr>
          <t xml:space="preserve">
</t>
        </r>
      </text>
    </comment>
    <comment ref="S514" authorId="0">
      <text>
        <r>
          <rPr>
            <b/>
            <sz val="14"/>
            <color indexed="81"/>
            <rFont val="Times New Roman"/>
            <family val="1"/>
          </rPr>
          <t xml:space="preserve">wpisz nr gry
</t>
        </r>
        <r>
          <rPr>
            <sz val="8"/>
            <color indexed="81"/>
            <rFont val="Tahoma"/>
            <family val="2"/>
            <charset val="238"/>
          </rPr>
          <t xml:space="preserve">
</t>
        </r>
      </text>
    </comment>
    <comment ref="O519" authorId="0">
      <text>
        <r>
          <rPr>
            <b/>
            <sz val="10"/>
            <color indexed="81"/>
            <rFont val="Times New Roman CE"/>
            <family val="1"/>
            <charset val="238"/>
          </rPr>
          <t>Wpisz nr grupy.</t>
        </r>
        <r>
          <rPr>
            <sz val="8"/>
            <color indexed="81"/>
            <rFont val="Tahoma"/>
            <family val="2"/>
            <charset val="238"/>
          </rPr>
          <t xml:space="preserve">
</t>
        </r>
      </text>
    </comment>
    <comment ref="S523" authorId="0">
      <text>
        <r>
          <rPr>
            <b/>
            <sz val="14"/>
            <color indexed="81"/>
            <rFont val="Times New Roman"/>
            <family val="1"/>
          </rPr>
          <t xml:space="preserve">wpisz nr gry
</t>
        </r>
        <r>
          <rPr>
            <sz val="8"/>
            <color indexed="81"/>
            <rFont val="Tahoma"/>
            <family val="2"/>
            <charset val="238"/>
          </rPr>
          <t xml:space="preserve">
</t>
        </r>
      </text>
    </comment>
    <comment ref="S524" authorId="0">
      <text>
        <r>
          <rPr>
            <b/>
            <sz val="14"/>
            <color indexed="81"/>
            <rFont val="Times New Roman"/>
            <family val="1"/>
          </rPr>
          <t xml:space="preserve">wpisz nr gry
</t>
        </r>
        <r>
          <rPr>
            <sz val="8"/>
            <color indexed="81"/>
            <rFont val="Tahoma"/>
            <family val="2"/>
            <charset val="238"/>
          </rPr>
          <t xml:space="preserve">
</t>
        </r>
      </text>
    </comment>
    <comment ref="S525" authorId="0">
      <text>
        <r>
          <rPr>
            <b/>
            <sz val="14"/>
            <color indexed="81"/>
            <rFont val="Times New Roman"/>
            <family val="1"/>
          </rPr>
          <t xml:space="preserve">wpisz nr gry
</t>
        </r>
        <r>
          <rPr>
            <sz val="8"/>
            <color indexed="81"/>
            <rFont val="Tahoma"/>
            <family val="2"/>
            <charset val="238"/>
          </rPr>
          <t xml:space="preserve">
</t>
        </r>
      </text>
    </comment>
    <comment ref="N531" authorId="0">
      <text>
        <r>
          <rPr>
            <b/>
            <sz val="10"/>
            <color indexed="81"/>
            <rFont val="Times New Roman CE"/>
            <family val="1"/>
            <charset val="238"/>
          </rPr>
          <t>Dla systemu grupowo-pucharowego wpisz miejsce w grupie.</t>
        </r>
      </text>
    </comment>
    <comment ref="O531" authorId="0">
      <text>
        <r>
          <rPr>
            <b/>
            <sz val="10"/>
            <color indexed="81"/>
            <rFont val="Times New Roman CE"/>
            <family val="1"/>
            <charset val="238"/>
          </rPr>
          <t>Dla systemu pucharowego wpisz ilość zawodników.
Dla systemu grupowo-pucharowego wpisz ilość grup.</t>
        </r>
      </text>
    </comment>
    <comment ref="W533" authorId="0">
      <text>
        <r>
          <rPr>
            <b/>
            <sz val="14"/>
            <color indexed="81"/>
            <rFont val="Times New Roman"/>
            <family val="1"/>
          </rPr>
          <t xml:space="preserve">wpisz nr gry
</t>
        </r>
        <r>
          <rPr>
            <sz val="8"/>
            <color indexed="81"/>
            <rFont val="Tahoma"/>
            <family val="2"/>
            <charset val="238"/>
          </rPr>
          <t xml:space="preserve">
</t>
        </r>
      </text>
    </comment>
    <comment ref="Z535" authorId="0">
      <text>
        <r>
          <rPr>
            <b/>
            <sz val="14"/>
            <color indexed="81"/>
            <rFont val="Times New Roman"/>
            <family val="1"/>
          </rPr>
          <t xml:space="preserve">wpisz nr gry
</t>
        </r>
        <r>
          <rPr>
            <sz val="8"/>
            <color indexed="81"/>
            <rFont val="Tahoma"/>
            <family val="2"/>
            <charset val="238"/>
          </rPr>
          <t xml:space="preserve">
</t>
        </r>
      </text>
    </comment>
    <comment ref="W537" authorId="0">
      <text>
        <r>
          <rPr>
            <b/>
            <sz val="14"/>
            <color indexed="81"/>
            <rFont val="Times New Roman"/>
            <family val="1"/>
          </rPr>
          <t xml:space="preserve">wpisz nr gry
</t>
        </r>
        <r>
          <rPr>
            <sz val="8"/>
            <color indexed="81"/>
            <rFont val="Tahoma"/>
            <family val="2"/>
            <charset val="238"/>
          </rPr>
          <t xml:space="preserve">
</t>
        </r>
      </text>
    </comment>
    <comment ref="AC539" authorId="0">
      <text>
        <r>
          <rPr>
            <b/>
            <sz val="14"/>
            <color indexed="81"/>
            <rFont val="Times New Roman"/>
            <family val="1"/>
          </rPr>
          <t xml:space="preserve">wpisz nr gry
</t>
        </r>
        <r>
          <rPr>
            <sz val="8"/>
            <color indexed="81"/>
            <rFont val="Tahoma"/>
            <family val="2"/>
            <charset val="238"/>
          </rPr>
          <t xml:space="preserve">
</t>
        </r>
      </text>
    </comment>
    <comment ref="W541" authorId="0">
      <text>
        <r>
          <rPr>
            <b/>
            <sz val="14"/>
            <color indexed="81"/>
            <rFont val="Times New Roman"/>
            <family val="1"/>
          </rPr>
          <t xml:space="preserve">wpisz nr gry
</t>
        </r>
        <r>
          <rPr>
            <sz val="8"/>
            <color indexed="81"/>
            <rFont val="Tahoma"/>
            <family val="2"/>
            <charset val="238"/>
          </rPr>
          <t xml:space="preserve">
</t>
        </r>
      </text>
    </comment>
    <comment ref="Z543" authorId="0">
      <text>
        <r>
          <rPr>
            <b/>
            <sz val="14"/>
            <color indexed="81"/>
            <rFont val="Times New Roman"/>
            <family val="1"/>
          </rPr>
          <t xml:space="preserve">wpisz nr gry
</t>
        </r>
        <r>
          <rPr>
            <sz val="8"/>
            <color indexed="81"/>
            <rFont val="Tahoma"/>
            <family val="2"/>
            <charset val="238"/>
          </rPr>
          <t xml:space="preserve">
</t>
        </r>
      </text>
    </comment>
    <comment ref="W545" authorId="0">
      <text>
        <r>
          <rPr>
            <b/>
            <sz val="14"/>
            <color indexed="81"/>
            <rFont val="Times New Roman"/>
            <family val="1"/>
          </rPr>
          <t xml:space="preserve">wpisz nr gry
</t>
        </r>
        <r>
          <rPr>
            <sz val="8"/>
            <color indexed="81"/>
            <rFont val="Tahoma"/>
            <family val="2"/>
            <charset val="238"/>
          </rPr>
          <t xml:space="preserve">
</t>
        </r>
      </text>
    </comment>
    <comment ref="AC547" authorId="0">
      <text>
        <r>
          <rPr>
            <b/>
            <sz val="14"/>
            <color indexed="81"/>
            <rFont val="Times New Roman"/>
            <family val="1"/>
          </rPr>
          <t xml:space="preserve">wpisz nr gry
</t>
        </r>
        <r>
          <rPr>
            <sz val="8"/>
            <color indexed="81"/>
            <rFont val="Tahoma"/>
            <family val="2"/>
            <charset val="238"/>
          </rPr>
          <t xml:space="preserve">
</t>
        </r>
      </text>
    </comment>
    <comment ref="W549" authorId="0">
      <text>
        <r>
          <rPr>
            <b/>
            <sz val="14"/>
            <color indexed="81"/>
            <rFont val="Times New Roman"/>
            <family val="1"/>
          </rPr>
          <t xml:space="preserve">wpisz nr gry
</t>
        </r>
        <r>
          <rPr>
            <sz val="8"/>
            <color indexed="81"/>
            <rFont val="Tahoma"/>
            <family val="2"/>
            <charset val="238"/>
          </rPr>
          <t xml:space="preserve">
</t>
        </r>
      </text>
    </comment>
    <comment ref="Z551" authorId="0">
      <text>
        <r>
          <rPr>
            <b/>
            <sz val="14"/>
            <color indexed="81"/>
            <rFont val="Times New Roman"/>
            <family val="1"/>
          </rPr>
          <t xml:space="preserve">wpisz nr gry
</t>
        </r>
        <r>
          <rPr>
            <sz val="8"/>
            <color indexed="81"/>
            <rFont val="Tahoma"/>
            <family val="2"/>
            <charset val="238"/>
          </rPr>
          <t xml:space="preserve">
</t>
        </r>
      </text>
    </comment>
    <comment ref="W553" authorId="0">
      <text>
        <r>
          <rPr>
            <b/>
            <sz val="14"/>
            <color indexed="81"/>
            <rFont val="Times New Roman"/>
            <family val="1"/>
          </rPr>
          <t xml:space="preserve">wpisz nr gry
</t>
        </r>
        <r>
          <rPr>
            <sz val="8"/>
            <color indexed="81"/>
            <rFont val="Tahoma"/>
            <family val="2"/>
            <charset val="238"/>
          </rPr>
          <t xml:space="preserve">
</t>
        </r>
      </text>
    </comment>
    <comment ref="AC555" authorId="0">
      <text>
        <r>
          <rPr>
            <b/>
            <sz val="14"/>
            <color indexed="81"/>
            <rFont val="Times New Roman"/>
            <family val="1"/>
          </rPr>
          <t xml:space="preserve">wpisz nr gry
</t>
        </r>
        <r>
          <rPr>
            <sz val="8"/>
            <color indexed="81"/>
            <rFont val="Tahoma"/>
            <family val="2"/>
            <charset val="238"/>
          </rPr>
          <t xml:space="preserve">
</t>
        </r>
      </text>
    </comment>
    <comment ref="W557" authorId="0">
      <text>
        <r>
          <rPr>
            <b/>
            <sz val="14"/>
            <color indexed="81"/>
            <rFont val="Times New Roman"/>
            <family val="1"/>
          </rPr>
          <t xml:space="preserve">wpisz nr gry
</t>
        </r>
        <r>
          <rPr>
            <sz val="8"/>
            <color indexed="81"/>
            <rFont val="Tahoma"/>
            <family val="2"/>
            <charset val="238"/>
          </rPr>
          <t xml:space="preserve">
</t>
        </r>
      </text>
    </comment>
    <comment ref="Z559" authorId="0">
      <text>
        <r>
          <rPr>
            <b/>
            <sz val="14"/>
            <color indexed="81"/>
            <rFont val="Times New Roman"/>
            <family val="1"/>
          </rPr>
          <t xml:space="preserve">wpisz nr gry
</t>
        </r>
        <r>
          <rPr>
            <sz val="8"/>
            <color indexed="81"/>
            <rFont val="Tahoma"/>
            <family val="2"/>
            <charset val="238"/>
          </rPr>
          <t xml:space="preserve">
</t>
        </r>
      </text>
    </comment>
    <comment ref="W561" authorId="0">
      <text>
        <r>
          <rPr>
            <b/>
            <sz val="14"/>
            <color indexed="81"/>
            <rFont val="Times New Roman"/>
            <family val="1"/>
          </rPr>
          <t xml:space="preserve">wpisz nr gry
</t>
        </r>
        <r>
          <rPr>
            <sz val="8"/>
            <color indexed="81"/>
            <rFont val="Tahoma"/>
            <family val="2"/>
            <charset val="238"/>
          </rPr>
          <t xml:space="preserve">
</t>
        </r>
      </text>
    </comment>
    <comment ref="O566" authorId="0">
      <text>
        <r>
          <rPr>
            <b/>
            <sz val="10"/>
            <color indexed="81"/>
            <rFont val="Times New Roman CE"/>
            <family val="1"/>
            <charset val="238"/>
          </rPr>
          <t>Wpisz nr grupy.</t>
        </r>
        <r>
          <rPr>
            <sz val="8"/>
            <color indexed="81"/>
            <rFont val="Tahoma"/>
            <family val="2"/>
            <charset val="238"/>
          </rPr>
          <t xml:space="preserve">
</t>
        </r>
      </text>
    </comment>
    <comment ref="S570" authorId="0">
      <text>
        <r>
          <rPr>
            <b/>
            <sz val="14"/>
            <color indexed="81"/>
            <rFont val="Times New Roman"/>
            <family val="1"/>
          </rPr>
          <t xml:space="preserve">wpisz nr gry
</t>
        </r>
        <r>
          <rPr>
            <sz val="8"/>
            <color indexed="81"/>
            <rFont val="Tahoma"/>
            <family val="2"/>
            <charset val="238"/>
          </rPr>
          <t xml:space="preserve">
</t>
        </r>
      </text>
    </comment>
    <comment ref="S571" authorId="0">
      <text>
        <r>
          <rPr>
            <b/>
            <sz val="14"/>
            <color indexed="81"/>
            <rFont val="Times New Roman"/>
            <family val="1"/>
          </rPr>
          <t xml:space="preserve">wpisz nr gry
</t>
        </r>
        <r>
          <rPr>
            <sz val="8"/>
            <color indexed="81"/>
            <rFont val="Tahoma"/>
            <family val="2"/>
            <charset val="238"/>
          </rPr>
          <t xml:space="preserve">
</t>
        </r>
      </text>
    </comment>
    <comment ref="S572" authorId="0">
      <text>
        <r>
          <rPr>
            <b/>
            <sz val="14"/>
            <color indexed="81"/>
            <rFont val="Times New Roman"/>
            <family val="1"/>
          </rPr>
          <t xml:space="preserve">wpisz nr gry
</t>
        </r>
        <r>
          <rPr>
            <sz val="8"/>
            <color indexed="81"/>
            <rFont val="Tahoma"/>
            <family val="2"/>
            <charset val="238"/>
          </rPr>
          <t xml:space="preserve">
</t>
        </r>
      </text>
    </comment>
    <comment ref="O577" authorId="0">
      <text>
        <r>
          <rPr>
            <b/>
            <sz val="10"/>
            <color indexed="81"/>
            <rFont val="Times New Roman CE"/>
            <family val="1"/>
            <charset val="238"/>
          </rPr>
          <t>Wpisz nr grupy.</t>
        </r>
        <r>
          <rPr>
            <sz val="8"/>
            <color indexed="81"/>
            <rFont val="Tahoma"/>
            <family val="2"/>
            <charset val="238"/>
          </rPr>
          <t xml:space="preserve">
</t>
        </r>
      </text>
    </comment>
    <comment ref="S581" authorId="0">
      <text>
        <r>
          <rPr>
            <b/>
            <sz val="14"/>
            <color indexed="81"/>
            <rFont val="Times New Roman"/>
            <family val="1"/>
          </rPr>
          <t xml:space="preserve">wpisz nr gry
</t>
        </r>
        <r>
          <rPr>
            <sz val="8"/>
            <color indexed="81"/>
            <rFont val="Tahoma"/>
            <family val="2"/>
            <charset val="238"/>
          </rPr>
          <t xml:space="preserve">
</t>
        </r>
      </text>
    </comment>
    <comment ref="S582" authorId="0">
      <text>
        <r>
          <rPr>
            <b/>
            <sz val="14"/>
            <color indexed="81"/>
            <rFont val="Times New Roman"/>
            <family val="1"/>
          </rPr>
          <t xml:space="preserve">wpisz nr gry
</t>
        </r>
        <r>
          <rPr>
            <sz val="8"/>
            <color indexed="81"/>
            <rFont val="Tahoma"/>
            <family val="2"/>
            <charset val="238"/>
          </rPr>
          <t xml:space="preserve">
</t>
        </r>
      </text>
    </comment>
    <comment ref="S583" authorId="0">
      <text>
        <r>
          <rPr>
            <b/>
            <sz val="14"/>
            <color indexed="81"/>
            <rFont val="Times New Roman"/>
            <family val="1"/>
          </rPr>
          <t xml:space="preserve">wpisz nr gry
</t>
        </r>
        <r>
          <rPr>
            <sz val="8"/>
            <color indexed="81"/>
            <rFont val="Tahoma"/>
            <family val="2"/>
            <charset val="238"/>
          </rPr>
          <t xml:space="preserve">
</t>
        </r>
      </text>
    </comment>
    <comment ref="O588" authorId="0">
      <text>
        <r>
          <rPr>
            <b/>
            <sz val="10"/>
            <color indexed="81"/>
            <rFont val="Times New Roman CE"/>
            <family val="1"/>
            <charset val="238"/>
          </rPr>
          <t>Wpisz nr grupy.</t>
        </r>
        <r>
          <rPr>
            <sz val="8"/>
            <color indexed="81"/>
            <rFont val="Tahoma"/>
            <family val="2"/>
            <charset val="238"/>
          </rPr>
          <t xml:space="preserve">
</t>
        </r>
      </text>
    </comment>
    <comment ref="S592" authorId="0">
      <text>
        <r>
          <rPr>
            <b/>
            <sz val="14"/>
            <color indexed="81"/>
            <rFont val="Times New Roman"/>
            <family val="1"/>
          </rPr>
          <t xml:space="preserve">wpisz nr gry
</t>
        </r>
        <r>
          <rPr>
            <sz val="8"/>
            <color indexed="81"/>
            <rFont val="Tahoma"/>
            <family val="2"/>
            <charset val="238"/>
          </rPr>
          <t xml:space="preserve">
</t>
        </r>
      </text>
    </comment>
    <comment ref="S593" authorId="0">
      <text>
        <r>
          <rPr>
            <b/>
            <sz val="14"/>
            <color indexed="81"/>
            <rFont val="Times New Roman"/>
            <family val="1"/>
          </rPr>
          <t xml:space="preserve">wpisz nr gry
</t>
        </r>
        <r>
          <rPr>
            <sz val="8"/>
            <color indexed="81"/>
            <rFont val="Tahoma"/>
            <family val="2"/>
            <charset val="238"/>
          </rPr>
          <t xml:space="preserve">
</t>
        </r>
      </text>
    </comment>
    <comment ref="S594" authorId="0">
      <text>
        <r>
          <rPr>
            <b/>
            <sz val="14"/>
            <color indexed="81"/>
            <rFont val="Times New Roman"/>
            <family val="1"/>
          </rPr>
          <t xml:space="preserve">wpisz nr gry
</t>
        </r>
        <r>
          <rPr>
            <sz val="8"/>
            <color indexed="81"/>
            <rFont val="Tahoma"/>
            <family val="2"/>
            <charset val="238"/>
          </rPr>
          <t xml:space="preserve">
</t>
        </r>
      </text>
    </comment>
    <comment ref="O599" authorId="0">
      <text>
        <r>
          <rPr>
            <b/>
            <sz val="10"/>
            <color indexed="81"/>
            <rFont val="Times New Roman CE"/>
            <family val="1"/>
            <charset val="238"/>
          </rPr>
          <t>Wpisz nr grupy.</t>
        </r>
        <r>
          <rPr>
            <sz val="8"/>
            <color indexed="81"/>
            <rFont val="Tahoma"/>
            <family val="2"/>
            <charset val="238"/>
          </rPr>
          <t xml:space="preserve">
</t>
        </r>
      </text>
    </comment>
    <comment ref="S603" authorId="0">
      <text>
        <r>
          <rPr>
            <b/>
            <sz val="14"/>
            <color indexed="81"/>
            <rFont val="Times New Roman"/>
            <family val="1"/>
          </rPr>
          <t xml:space="preserve">wpisz nr gry
</t>
        </r>
        <r>
          <rPr>
            <sz val="8"/>
            <color indexed="81"/>
            <rFont val="Tahoma"/>
            <family val="2"/>
            <charset val="238"/>
          </rPr>
          <t xml:space="preserve">
</t>
        </r>
      </text>
    </comment>
    <comment ref="S604" authorId="0">
      <text>
        <r>
          <rPr>
            <b/>
            <sz val="14"/>
            <color indexed="81"/>
            <rFont val="Times New Roman"/>
            <family val="1"/>
          </rPr>
          <t xml:space="preserve">wpisz nr gry
</t>
        </r>
        <r>
          <rPr>
            <sz val="8"/>
            <color indexed="81"/>
            <rFont val="Tahoma"/>
            <family val="2"/>
            <charset val="238"/>
          </rPr>
          <t xml:space="preserve">
</t>
        </r>
      </text>
    </comment>
    <comment ref="S605" authorId="0">
      <text>
        <r>
          <rPr>
            <b/>
            <sz val="14"/>
            <color indexed="81"/>
            <rFont val="Times New Roman"/>
            <family val="1"/>
          </rPr>
          <t xml:space="preserve">wpisz nr gry
</t>
        </r>
        <r>
          <rPr>
            <sz val="8"/>
            <color indexed="81"/>
            <rFont val="Tahoma"/>
            <family val="2"/>
            <charset val="238"/>
          </rPr>
          <t xml:space="preserve">
</t>
        </r>
      </text>
    </comment>
    <comment ref="O610" authorId="0">
      <text>
        <r>
          <rPr>
            <b/>
            <sz val="10"/>
            <color indexed="81"/>
            <rFont val="Times New Roman CE"/>
            <family val="1"/>
            <charset val="238"/>
          </rPr>
          <t>Wpisz nr grupy.</t>
        </r>
        <r>
          <rPr>
            <sz val="8"/>
            <color indexed="81"/>
            <rFont val="Tahoma"/>
            <family val="2"/>
            <charset val="238"/>
          </rPr>
          <t xml:space="preserve">
</t>
        </r>
      </text>
    </comment>
    <comment ref="S614" authorId="0">
      <text>
        <r>
          <rPr>
            <b/>
            <sz val="14"/>
            <color indexed="81"/>
            <rFont val="Times New Roman"/>
            <family val="1"/>
          </rPr>
          <t xml:space="preserve">wpisz nr gry
</t>
        </r>
        <r>
          <rPr>
            <sz val="8"/>
            <color indexed="81"/>
            <rFont val="Tahoma"/>
            <family val="2"/>
            <charset val="238"/>
          </rPr>
          <t xml:space="preserve">
</t>
        </r>
      </text>
    </comment>
    <comment ref="S615" authorId="0">
      <text>
        <r>
          <rPr>
            <b/>
            <sz val="14"/>
            <color indexed="81"/>
            <rFont val="Times New Roman"/>
            <family val="1"/>
          </rPr>
          <t xml:space="preserve">wpisz nr gry
</t>
        </r>
        <r>
          <rPr>
            <sz val="8"/>
            <color indexed="81"/>
            <rFont val="Tahoma"/>
            <family val="2"/>
            <charset val="238"/>
          </rPr>
          <t xml:space="preserve">
</t>
        </r>
      </text>
    </comment>
    <comment ref="S616" authorId="0">
      <text>
        <r>
          <rPr>
            <b/>
            <sz val="14"/>
            <color indexed="81"/>
            <rFont val="Times New Roman"/>
            <family val="1"/>
          </rPr>
          <t xml:space="preserve">wpisz nr gry
</t>
        </r>
        <r>
          <rPr>
            <sz val="8"/>
            <color indexed="81"/>
            <rFont val="Tahoma"/>
            <family val="2"/>
            <charset val="238"/>
          </rPr>
          <t xml:space="preserve">
</t>
        </r>
      </text>
    </comment>
    <comment ref="O621" authorId="0">
      <text>
        <r>
          <rPr>
            <b/>
            <sz val="10"/>
            <color indexed="81"/>
            <rFont val="Times New Roman CE"/>
            <family val="1"/>
            <charset val="238"/>
          </rPr>
          <t>Wpisz nr grupy.</t>
        </r>
        <r>
          <rPr>
            <sz val="8"/>
            <color indexed="81"/>
            <rFont val="Tahoma"/>
            <family val="2"/>
            <charset val="238"/>
          </rPr>
          <t xml:space="preserve">
</t>
        </r>
      </text>
    </comment>
    <comment ref="S625" authorId="0">
      <text>
        <r>
          <rPr>
            <b/>
            <sz val="14"/>
            <color indexed="81"/>
            <rFont val="Times New Roman"/>
            <family val="1"/>
          </rPr>
          <t xml:space="preserve">wpisz nr gry
</t>
        </r>
        <r>
          <rPr>
            <sz val="8"/>
            <color indexed="81"/>
            <rFont val="Tahoma"/>
            <family val="2"/>
            <charset val="238"/>
          </rPr>
          <t xml:space="preserve">
</t>
        </r>
      </text>
    </comment>
    <comment ref="S626" authorId="0">
      <text>
        <r>
          <rPr>
            <b/>
            <sz val="14"/>
            <color indexed="81"/>
            <rFont val="Times New Roman"/>
            <family val="1"/>
          </rPr>
          <t xml:space="preserve">wpisz nr gry
</t>
        </r>
        <r>
          <rPr>
            <sz val="8"/>
            <color indexed="81"/>
            <rFont val="Tahoma"/>
            <family val="2"/>
            <charset val="238"/>
          </rPr>
          <t xml:space="preserve">
</t>
        </r>
      </text>
    </comment>
    <comment ref="S627" authorId="0">
      <text>
        <r>
          <rPr>
            <b/>
            <sz val="14"/>
            <color indexed="81"/>
            <rFont val="Times New Roman"/>
            <family val="1"/>
          </rPr>
          <t xml:space="preserve">wpisz nr gry
</t>
        </r>
        <r>
          <rPr>
            <sz val="8"/>
            <color indexed="81"/>
            <rFont val="Tahoma"/>
            <family val="2"/>
            <charset val="238"/>
          </rPr>
          <t xml:space="preserve">
</t>
        </r>
      </text>
    </comment>
    <comment ref="N633" authorId="0">
      <text>
        <r>
          <rPr>
            <b/>
            <sz val="10"/>
            <color indexed="81"/>
            <rFont val="Times New Roman CE"/>
            <family val="1"/>
            <charset val="238"/>
          </rPr>
          <t>Dla systemu grupowo-pucharowego wpisz miejsce w grupie.</t>
        </r>
      </text>
    </comment>
    <comment ref="O633" authorId="0">
      <text>
        <r>
          <rPr>
            <b/>
            <sz val="10"/>
            <color indexed="81"/>
            <rFont val="Times New Roman CE"/>
            <family val="1"/>
            <charset val="238"/>
          </rPr>
          <t>Dla systemu pucharowego wpisz ilość zawodników.
Dla systemu grupowo-pucharowego wpisz ilość grup.</t>
        </r>
      </text>
    </comment>
    <comment ref="W636" authorId="0">
      <text>
        <r>
          <rPr>
            <b/>
            <sz val="14"/>
            <color indexed="81"/>
            <rFont val="Times New Roman"/>
            <family val="1"/>
          </rPr>
          <t xml:space="preserve">wpisz nr gry
</t>
        </r>
        <r>
          <rPr>
            <sz val="8"/>
            <color indexed="81"/>
            <rFont val="Tahoma"/>
            <family val="2"/>
            <charset val="238"/>
          </rPr>
          <t xml:space="preserve">
</t>
        </r>
      </text>
    </comment>
    <comment ref="Z638" authorId="0">
      <text>
        <r>
          <rPr>
            <b/>
            <sz val="14"/>
            <color indexed="81"/>
            <rFont val="Times New Roman"/>
            <family val="1"/>
          </rPr>
          <t xml:space="preserve">wpisz nr gry
</t>
        </r>
        <r>
          <rPr>
            <sz val="8"/>
            <color indexed="81"/>
            <rFont val="Tahoma"/>
            <family val="2"/>
            <charset val="238"/>
          </rPr>
          <t xml:space="preserve">
</t>
        </r>
      </text>
    </comment>
    <comment ref="W640" authorId="0">
      <text>
        <r>
          <rPr>
            <b/>
            <sz val="14"/>
            <color indexed="81"/>
            <rFont val="Times New Roman"/>
            <family val="1"/>
          </rPr>
          <t xml:space="preserve">wpisz nr gry
</t>
        </r>
        <r>
          <rPr>
            <sz val="8"/>
            <color indexed="81"/>
            <rFont val="Tahoma"/>
            <family val="2"/>
            <charset val="238"/>
          </rPr>
          <t xml:space="preserve">
</t>
        </r>
      </text>
    </comment>
    <comment ref="AC642" authorId="0">
      <text>
        <r>
          <rPr>
            <b/>
            <sz val="14"/>
            <color indexed="81"/>
            <rFont val="Times New Roman"/>
            <family val="1"/>
          </rPr>
          <t xml:space="preserve">wpisz nr gry
</t>
        </r>
        <r>
          <rPr>
            <sz val="8"/>
            <color indexed="81"/>
            <rFont val="Tahoma"/>
            <family val="2"/>
            <charset val="238"/>
          </rPr>
          <t xml:space="preserve">
</t>
        </r>
      </text>
    </comment>
    <comment ref="W644" authorId="0">
      <text>
        <r>
          <rPr>
            <b/>
            <sz val="14"/>
            <color indexed="81"/>
            <rFont val="Times New Roman"/>
            <family val="1"/>
          </rPr>
          <t xml:space="preserve">wpisz nr gry
</t>
        </r>
        <r>
          <rPr>
            <sz val="8"/>
            <color indexed="81"/>
            <rFont val="Tahoma"/>
            <family val="2"/>
            <charset val="238"/>
          </rPr>
          <t xml:space="preserve">
</t>
        </r>
      </text>
    </comment>
    <comment ref="Z646" authorId="0">
      <text>
        <r>
          <rPr>
            <b/>
            <sz val="14"/>
            <color indexed="81"/>
            <rFont val="Times New Roman"/>
            <family val="1"/>
          </rPr>
          <t xml:space="preserve">wpisz nr gry
</t>
        </r>
        <r>
          <rPr>
            <sz val="8"/>
            <color indexed="81"/>
            <rFont val="Tahoma"/>
            <family val="2"/>
            <charset val="238"/>
          </rPr>
          <t xml:space="preserve">
</t>
        </r>
      </text>
    </comment>
    <comment ref="W648" authorId="0">
      <text>
        <r>
          <rPr>
            <b/>
            <sz val="14"/>
            <color indexed="81"/>
            <rFont val="Times New Roman"/>
            <family val="1"/>
          </rPr>
          <t xml:space="preserve">wpisz nr gry
</t>
        </r>
        <r>
          <rPr>
            <sz val="8"/>
            <color indexed="81"/>
            <rFont val="Tahoma"/>
            <family val="2"/>
            <charset val="238"/>
          </rPr>
          <t xml:space="preserve">
</t>
        </r>
      </text>
    </comment>
    <comment ref="O654" authorId="0">
      <text>
        <r>
          <rPr>
            <b/>
            <sz val="10"/>
            <color indexed="81"/>
            <rFont val="Times New Roman CE"/>
            <family val="1"/>
            <charset val="238"/>
          </rPr>
          <t>Wpisz nr grupy.</t>
        </r>
        <r>
          <rPr>
            <sz val="8"/>
            <color indexed="81"/>
            <rFont val="Tahoma"/>
            <family val="2"/>
            <charset val="238"/>
          </rPr>
          <t xml:space="preserve">
</t>
        </r>
      </text>
    </comment>
    <comment ref="S658" authorId="0">
      <text>
        <r>
          <rPr>
            <b/>
            <sz val="14"/>
            <color indexed="81"/>
            <rFont val="Times New Roman"/>
            <family val="1"/>
          </rPr>
          <t xml:space="preserve">wpisz nr gry
</t>
        </r>
        <r>
          <rPr>
            <sz val="8"/>
            <color indexed="81"/>
            <rFont val="Tahoma"/>
            <family val="2"/>
            <charset val="238"/>
          </rPr>
          <t xml:space="preserve">
</t>
        </r>
      </text>
    </comment>
    <comment ref="S659" authorId="0">
      <text>
        <r>
          <rPr>
            <b/>
            <sz val="14"/>
            <color indexed="81"/>
            <rFont val="Times New Roman"/>
            <family val="1"/>
          </rPr>
          <t xml:space="preserve">wpisz nr gry
</t>
        </r>
        <r>
          <rPr>
            <sz val="8"/>
            <color indexed="81"/>
            <rFont val="Tahoma"/>
            <family val="2"/>
            <charset val="238"/>
          </rPr>
          <t xml:space="preserve">
</t>
        </r>
      </text>
    </comment>
    <comment ref="S660" authorId="0">
      <text>
        <r>
          <rPr>
            <b/>
            <sz val="14"/>
            <color indexed="81"/>
            <rFont val="Times New Roman"/>
            <family val="1"/>
          </rPr>
          <t xml:space="preserve">wpisz nr gry
</t>
        </r>
        <r>
          <rPr>
            <sz val="8"/>
            <color indexed="81"/>
            <rFont val="Tahoma"/>
            <family val="2"/>
            <charset val="238"/>
          </rPr>
          <t xml:space="preserve">
</t>
        </r>
      </text>
    </comment>
    <comment ref="S661" authorId="0">
      <text>
        <r>
          <rPr>
            <b/>
            <sz val="14"/>
            <color indexed="81"/>
            <rFont val="Times New Roman"/>
            <family val="1"/>
          </rPr>
          <t xml:space="preserve">wpisz nr gry
</t>
        </r>
        <r>
          <rPr>
            <sz val="8"/>
            <color indexed="81"/>
            <rFont val="Tahoma"/>
            <family val="2"/>
            <charset val="238"/>
          </rPr>
          <t xml:space="preserve">
</t>
        </r>
      </text>
    </comment>
    <comment ref="S662" authorId="0">
      <text>
        <r>
          <rPr>
            <b/>
            <sz val="14"/>
            <color indexed="81"/>
            <rFont val="Times New Roman"/>
            <family val="1"/>
          </rPr>
          <t xml:space="preserve">wpisz nr gry
</t>
        </r>
        <r>
          <rPr>
            <sz val="8"/>
            <color indexed="81"/>
            <rFont val="Tahoma"/>
            <family val="2"/>
            <charset val="238"/>
          </rPr>
          <t xml:space="preserve">
</t>
        </r>
      </text>
    </comment>
    <comment ref="S663" authorId="0">
      <text>
        <r>
          <rPr>
            <b/>
            <sz val="14"/>
            <color indexed="81"/>
            <rFont val="Times New Roman"/>
            <family val="1"/>
          </rPr>
          <t xml:space="preserve">wpisz nr gry
</t>
        </r>
        <r>
          <rPr>
            <sz val="8"/>
            <color indexed="81"/>
            <rFont val="Tahoma"/>
            <family val="2"/>
            <charset val="238"/>
          </rPr>
          <t xml:space="preserve">
</t>
        </r>
      </text>
    </comment>
    <comment ref="O668" authorId="0">
      <text>
        <r>
          <rPr>
            <b/>
            <sz val="10"/>
            <color indexed="81"/>
            <rFont val="Times New Roman CE"/>
            <family val="1"/>
            <charset val="238"/>
          </rPr>
          <t>Wpisz nr grupy.</t>
        </r>
        <r>
          <rPr>
            <sz val="8"/>
            <color indexed="81"/>
            <rFont val="Tahoma"/>
            <family val="2"/>
            <charset val="238"/>
          </rPr>
          <t xml:space="preserve">
</t>
        </r>
      </text>
    </comment>
    <comment ref="S672" authorId="0">
      <text>
        <r>
          <rPr>
            <b/>
            <sz val="14"/>
            <color indexed="81"/>
            <rFont val="Times New Roman"/>
            <family val="1"/>
          </rPr>
          <t xml:space="preserve">wpisz nr gry
</t>
        </r>
        <r>
          <rPr>
            <sz val="8"/>
            <color indexed="81"/>
            <rFont val="Tahoma"/>
            <family val="2"/>
            <charset val="238"/>
          </rPr>
          <t xml:space="preserve">
</t>
        </r>
      </text>
    </comment>
    <comment ref="S673" authorId="0">
      <text>
        <r>
          <rPr>
            <b/>
            <sz val="14"/>
            <color indexed="81"/>
            <rFont val="Times New Roman"/>
            <family val="1"/>
          </rPr>
          <t xml:space="preserve">wpisz nr gry
</t>
        </r>
        <r>
          <rPr>
            <sz val="8"/>
            <color indexed="81"/>
            <rFont val="Tahoma"/>
            <family val="2"/>
            <charset val="238"/>
          </rPr>
          <t xml:space="preserve">
</t>
        </r>
      </text>
    </comment>
    <comment ref="S674" authorId="0">
      <text>
        <r>
          <rPr>
            <b/>
            <sz val="14"/>
            <color indexed="81"/>
            <rFont val="Times New Roman"/>
            <family val="1"/>
          </rPr>
          <t xml:space="preserve">wpisz nr gry
</t>
        </r>
        <r>
          <rPr>
            <sz val="8"/>
            <color indexed="81"/>
            <rFont val="Tahoma"/>
            <family val="2"/>
            <charset val="238"/>
          </rPr>
          <t xml:space="preserve">
</t>
        </r>
      </text>
    </comment>
    <comment ref="O679" authorId="0">
      <text>
        <r>
          <rPr>
            <b/>
            <sz val="10"/>
            <color indexed="81"/>
            <rFont val="Times New Roman CE"/>
            <family val="1"/>
            <charset val="238"/>
          </rPr>
          <t>Wpisz nr grupy.</t>
        </r>
        <r>
          <rPr>
            <sz val="8"/>
            <color indexed="81"/>
            <rFont val="Tahoma"/>
            <family val="2"/>
            <charset val="238"/>
          </rPr>
          <t xml:space="preserve">
</t>
        </r>
      </text>
    </comment>
    <comment ref="S683" authorId="0">
      <text>
        <r>
          <rPr>
            <b/>
            <sz val="14"/>
            <color indexed="81"/>
            <rFont val="Times New Roman"/>
            <family val="1"/>
          </rPr>
          <t xml:space="preserve">wpisz nr gry
</t>
        </r>
        <r>
          <rPr>
            <sz val="8"/>
            <color indexed="81"/>
            <rFont val="Tahoma"/>
            <family val="2"/>
            <charset val="238"/>
          </rPr>
          <t xml:space="preserve">
</t>
        </r>
      </text>
    </comment>
    <comment ref="S684" authorId="0">
      <text>
        <r>
          <rPr>
            <b/>
            <sz val="14"/>
            <color indexed="81"/>
            <rFont val="Times New Roman"/>
            <family val="1"/>
          </rPr>
          <t xml:space="preserve">wpisz nr gry
</t>
        </r>
        <r>
          <rPr>
            <sz val="8"/>
            <color indexed="81"/>
            <rFont val="Tahoma"/>
            <family val="2"/>
            <charset val="238"/>
          </rPr>
          <t xml:space="preserve">
</t>
        </r>
      </text>
    </comment>
    <comment ref="S685" authorId="0">
      <text>
        <r>
          <rPr>
            <b/>
            <sz val="14"/>
            <color indexed="81"/>
            <rFont val="Times New Roman"/>
            <family val="1"/>
          </rPr>
          <t xml:space="preserve">wpisz nr gry
</t>
        </r>
        <r>
          <rPr>
            <sz val="8"/>
            <color indexed="81"/>
            <rFont val="Tahoma"/>
            <family val="2"/>
            <charset val="238"/>
          </rPr>
          <t xml:space="preserve">
</t>
        </r>
      </text>
    </comment>
    <comment ref="O690" authorId="0">
      <text>
        <r>
          <rPr>
            <b/>
            <sz val="10"/>
            <color indexed="81"/>
            <rFont val="Times New Roman CE"/>
            <family val="1"/>
            <charset val="238"/>
          </rPr>
          <t>Wpisz nr grupy.</t>
        </r>
        <r>
          <rPr>
            <sz val="8"/>
            <color indexed="81"/>
            <rFont val="Tahoma"/>
            <family val="2"/>
            <charset val="238"/>
          </rPr>
          <t xml:space="preserve">
</t>
        </r>
      </text>
    </comment>
    <comment ref="S694" authorId="0">
      <text>
        <r>
          <rPr>
            <b/>
            <sz val="14"/>
            <color indexed="81"/>
            <rFont val="Times New Roman"/>
            <family val="1"/>
          </rPr>
          <t xml:space="preserve">wpisz nr gry
</t>
        </r>
        <r>
          <rPr>
            <sz val="8"/>
            <color indexed="81"/>
            <rFont val="Tahoma"/>
            <family val="2"/>
            <charset val="238"/>
          </rPr>
          <t xml:space="preserve">
</t>
        </r>
      </text>
    </comment>
    <comment ref="S695" authorId="0">
      <text>
        <r>
          <rPr>
            <b/>
            <sz val="14"/>
            <color indexed="81"/>
            <rFont val="Times New Roman"/>
            <family val="1"/>
          </rPr>
          <t xml:space="preserve">wpisz nr gry
</t>
        </r>
        <r>
          <rPr>
            <sz val="8"/>
            <color indexed="81"/>
            <rFont val="Tahoma"/>
            <family val="2"/>
            <charset val="238"/>
          </rPr>
          <t xml:space="preserve">
</t>
        </r>
      </text>
    </comment>
    <comment ref="S696" authorId="0">
      <text>
        <r>
          <rPr>
            <b/>
            <sz val="14"/>
            <color indexed="81"/>
            <rFont val="Times New Roman"/>
            <family val="1"/>
          </rPr>
          <t xml:space="preserve">wpisz nr gry
</t>
        </r>
        <r>
          <rPr>
            <sz val="8"/>
            <color indexed="81"/>
            <rFont val="Tahoma"/>
            <family val="2"/>
            <charset val="238"/>
          </rPr>
          <t xml:space="preserve">
</t>
        </r>
      </text>
    </comment>
    <comment ref="O701" authorId="0">
      <text>
        <r>
          <rPr>
            <b/>
            <sz val="10"/>
            <color indexed="81"/>
            <rFont val="Times New Roman CE"/>
            <family val="1"/>
            <charset val="238"/>
          </rPr>
          <t>Wpisz nr grupy.</t>
        </r>
        <r>
          <rPr>
            <sz val="8"/>
            <color indexed="81"/>
            <rFont val="Tahoma"/>
            <family val="2"/>
            <charset val="238"/>
          </rPr>
          <t xml:space="preserve">
</t>
        </r>
      </text>
    </comment>
    <comment ref="S705" authorId="0">
      <text>
        <r>
          <rPr>
            <b/>
            <sz val="14"/>
            <color indexed="81"/>
            <rFont val="Times New Roman"/>
            <family val="1"/>
          </rPr>
          <t xml:space="preserve">wpisz nr gry
</t>
        </r>
        <r>
          <rPr>
            <sz val="8"/>
            <color indexed="81"/>
            <rFont val="Tahoma"/>
            <family val="2"/>
            <charset val="238"/>
          </rPr>
          <t xml:space="preserve">
</t>
        </r>
      </text>
    </comment>
    <comment ref="S706" authorId="0">
      <text>
        <r>
          <rPr>
            <b/>
            <sz val="14"/>
            <color indexed="81"/>
            <rFont val="Times New Roman"/>
            <family val="1"/>
          </rPr>
          <t xml:space="preserve">wpisz nr gry
</t>
        </r>
        <r>
          <rPr>
            <sz val="8"/>
            <color indexed="81"/>
            <rFont val="Tahoma"/>
            <family val="2"/>
            <charset val="238"/>
          </rPr>
          <t xml:space="preserve">
</t>
        </r>
      </text>
    </comment>
    <comment ref="S707" authorId="0">
      <text>
        <r>
          <rPr>
            <b/>
            <sz val="14"/>
            <color indexed="81"/>
            <rFont val="Times New Roman"/>
            <family val="1"/>
          </rPr>
          <t xml:space="preserve">wpisz nr gry
</t>
        </r>
        <r>
          <rPr>
            <sz val="8"/>
            <color indexed="81"/>
            <rFont val="Tahoma"/>
            <family val="2"/>
            <charset val="238"/>
          </rPr>
          <t xml:space="preserve">
</t>
        </r>
      </text>
    </comment>
    <comment ref="O712" authorId="0">
      <text>
        <r>
          <rPr>
            <b/>
            <sz val="10"/>
            <color indexed="81"/>
            <rFont val="Times New Roman CE"/>
            <family val="1"/>
            <charset val="238"/>
          </rPr>
          <t>Wpisz nr grupy.</t>
        </r>
        <r>
          <rPr>
            <sz val="8"/>
            <color indexed="81"/>
            <rFont val="Tahoma"/>
            <family val="2"/>
            <charset val="238"/>
          </rPr>
          <t xml:space="preserve">
</t>
        </r>
      </text>
    </comment>
    <comment ref="S716" authorId="0">
      <text>
        <r>
          <rPr>
            <b/>
            <sz val="14"/>
            <color indexed="81"/>
            <rFont val="Times New Roman"/>
            <family val="1"/>
          </rPr>
          <t xml:space="preserve">wpisz nr gry
</t>
        </r>
        <r>
          <rPr>
            <sz val="8"/>
            <color indexed="81"/>
            <rFont val="Tahoma"/>
            <family val="2"/>
            <charset val="238"/>
          </rPr>
          <t xml:space="preserve">
</t>
        </r>
      </text>
    </comment>
    <comment ref="S717" authorId="0">
      <text>
        <r>
          <rPr>
            <b/>
            <sz val="14"/>
            <color indexed="81"/>
            <rFont val="Times New Roman"/>
            <family val="1"/>
          </rPr>
          <t xml:space="preserve">wpisz nr gry
</t>
        </r>
        <r>
          <rPr>
            <sz val="8"/>
            <color indexed="81"/>
            <rFont val="Tahoma"/>
            <family val="2"/>
            <charset val="238"/>
          </rPr>
          <t xml:space="preserve">
</t>
        </r>
      </text>
    </comment>
    <comment ref="S718" authorId="0">
      <text>
        <r>
          <rPr>
            <b/>
            <sz val="14"/>
            <color indexed="81"/>
            <rFont val="Times New Roman"/>
            <family val="1"/>
          </rPr>
          <t xml:space="preserve">wpisz nr gry
</t>
        </r>
        <r>
          <rPr>
            <sz val="8"/>
            <color indexed="81"/>
            <rFont val="Tahoma"/>
            <family val="2"/>
            <charset val="238"/>
          </rPr>
          <t xml:space="preserve">
</t>
        </r>
      </text>
    </comment>
    <comment ref="S719" authorId="0">
      <text>
        <r>
          <rPr>
            <b/>
            <sz val="14"/>
            <color indexed="81"/>
            <rFont val="Times New Roman"/>
            <family val="1"/>
          </rPr>
          <t xml:space="preserve">wpisz nr gry
</t>
        </r>
        <r>
          <rPr>
            <sz val="8"/>
            <color indexed="81"/>
            <rFont val="Tahoma"/>
            <family val="2"/>
            <charset val="238"/>
          </rPr>
          <t xml:space="preserve">
</t>
        </r>
      </text>
    </comment>
    <comment ref="S720" authorId="0">
      <text>
        <r>
          <rPr>
            <b/>
            <sz val="14"/>
            <color indexed="81"/>
            <rFont val="Times New Roman"/>
            <family val="1"/>
          </rPr>
          <t xml:space="preserve">wpisz nr gry
</t>
        </r>
        <r>
          <rPr>
            <sz val="8"/>
            <color indexed="81"/>
            <rFont val="Tahoma"/>
            <family val="2"/>
            <charset val="238"/>
          </rPr>
          <t xml:space="preserve">
</t>
        </r>
      </text>
    </comment>
    <comment ref="S721" authorId="0">
      <text>
        <r>
          <rPr>
            <b/>
            <sz val="14"/>
            <color indexed="81"/>
            <rFont val="Times New Roman"/>
            <family val="1"/>
          </rPr>
          <t xml:space="preserve">wpisz nr gry
</t>
        </r>
        <r>
          <rPr>
            <sz val="8"/>
            <color indexed="81"/>
            <rFont val="Tahoma"/>
            <family val="2"/>
            <charset val="238"/>
          </rPr>
          <t xml:space="preserve">
</t>
        </r>
      </text>
    </comment>
    <comment ref="N727" authorId="0">
      <text>
        <r>
          <rPr>
            <b/>
            <sz val="10"/>
            <color indexed="81"/>
            <rFont val="Times New Roman CE"/>
            <family val="1"/>
            <charset val="238"/>
          </rPr>
          <t>Dla systemu grupowo-pucharowego wpisz miejsce w grupie.</t>
        </r>
      </text>
    </comment>
    <comment ref="O727" authorId="0">
      <text>
        <r>
          <rPr>
            <b/>
            <sz val="10"/>
            <color indexed="81"/>
            <rFont val="Times New Roman CE"/>
            <family val="1"/>
            <charset val="238"/>
          </rPr>
          <t>Dla systemu pucharowego wpisz ilość zawodników.
Dla systemu grupowo-pucharowego wpisz ilość grup.</t>
        </r>
      </text>
    </comment>
    <comment ref="W730" authorId="0">
      <text>
        <r>
          <rPr>
            <b/>
            <sz val="14"/>
            <color indexed="81"/>
            <rFont val="Times New Roman"/>
            <family val="1"/>
          </rPr>
          <t xml:space="preserve">wpisz nr gry
</t>
        </r>
        <r>
          <rPr>
            <sz val="8"/>
            <color indexed="81"/>
            <rFont val="Tahoma"/>
            <family val="2"/>
            <charset val="238"/>
          </rPr>
          <t xml:space="preserve">
</t>
        </r>
      </text>
    </comment>
    <comment ref="Z732" authorId="0">
      <text>
        <r>
          <rPr>
            <b/>
            <sz val="14"/>
            <color indexed="81"/>
            <rFont val="Times New Roman"/>
            <family val="1"/>
          </rPr>
          <t xml:space="preserve">wpisz nr gry
</t>
        </r>
        <r>
          <rPr>
            <sz val="8"/>
            <color indexed="81"/>
            <rFont val="Tahoma"/>
            <family val="2"/>
            <charset val="238"/>
          </rPr>
          <t xml:space="preserve">
</t>
        </r>
      </text>
    </comment>
    <comment ref="W734" authorId="0">
      <text>
        <r>
          <rPr>
            <b/>
            <sz val="14"/>
            <color indexed="81"/>
            <rFont val="Times New Roman"/>
            <family val="1"/>
          </rPr>
          <t xml:space="preserve">wpisz nr gry
</t>
        </r>
        <r>
          <rPr>
            <sz val="8"/>
            <color indexed="81"/>
            <rFont val="Tahoma"/>
            <family val="2"/>
            <charset val="238"/>
          </rPr>
          <t xml:space="preserve">
</t>
        </r>
      </text>
    </comment>
    <comment ref="AC736" authorId="0">
      <text>
        <r>
          <rPr>
            <b/>
            <sz val="14"/>
            <color indexed="81"/>
            <rFont val="Times New Roman"/>
            <family val="1"/>
          </rPr>
          <t xml:space="preserve">wpisz nr gry
</t>
        </r>
        <r>
          <rPr>
            <sz val="8"/>
            <color indexed="81"/>
            <rFont val="Tahoma"/>
            <family val="2"/>
            <charset val="238"/>
          </rPr>
          <t xml:space="preserve">
</t>
        </r>
      </text>
    </comment>
    <comment ref="W738" authorId="0">
      <text>
        <r>
          <rPr>
            <b/>
            <sz val="14"/>
            <color indexed="81"/>
            <rFont val="Times New Roman"/>
            <family val="1"/>
          </rPr>
          <t xml:space="preserve">wpisz nr gry
</t>
        </r>
        <r>
          <rPr>
            <sz val="8"/>
            <color indexed="81"/>
            <rFont val="Tahoma"/>
            <family val="2"/>
            <charset val="238"/>
          </rPr>
          <t xml:space="preserve">
</t>
        </r>
      </text>
    </comment>
    <comment ref="Z740" authorId="0">
      <text>
        <r>
          <rPr>
            <b/>
            <sz val="14"/>
            <color indexed="81"/>
            <rFont val="Times New Roman"/>
            <family val="1"/>
          </rPr>
          <t xml:space="preserve">wpisz nr gry
</t>
        </r>
        <r>
          <rPr>
            <sz val="8"/>
            <color indexed="81"/>
            <rFont val="Tahoma"/>
            <family val="2"/>
            <charset val="238"/>
          </rPr>
          <t xml:space="preserve">
</t>
        </r>
      </text>
    </comment>
    <comment ref="W742" authorId="0">
      <text>
        <r>
          <rPr>
            <b/>
            <sz val="14"/>
            <color indexed="81"/>
            <rFont val="Times New Roman"/>
            <family val="1"/>
          </rPr>
          <t xml:space="preserve">wpisz nr gry
</t>
        </r>
        <r>
          <rPr>
            <sz val="8"/>
            <color indexed="81"/>
            <rFont val="Tahoma"/>
            <family val="2"/>
            <charset val="238"/>
          </rPr>
          <t xml:space="preserve">
</t>
        </r>
      </text>
    </comment>
    <comment ref="O749" authorId="0">
      <text>
        <r>
          <rPr>
            <b/>
            <sz val="10"/>
            <color indexed="81"/>
            <rFont val="Times New Roman CE"/>
            <family val="1"/>
            <charset val="238"/>
          </rPr>
          <t>Wpisz nr grupy.</t>
        </r>
        <r>
          <rPr>
            <sz val="8"/>
            <color indexed="81"/>
            <rFont val="Tahoma"/>
            <family val="2"/>
            <charset val="238"/>
          </rPr>
          <t xml:space="preserve">
</t>
        </r>
      </text>
    </comment>
    <comment ref="S753" authorId="0">
      <text>
        <r>
          <rPr>
            <b/>
            <sz val="14"/>
            <color indexed="81"/>
            <rFont val="Times New Roman"/>
            <family val="1"/>
          </rPr>
          <t xml:space="preserve">wpisz nr gry
</t>
        </r>
        <r>
          <rPr>
            <sz val="8"/>
            <color indexed="81"/>
            <rFont val="Tahoma"/>
            <family val="2"/>
            <charset val="238"/>
          </rPr>
          <t xml:space="preserve">
</t>
        </r>
      </text>
    </comment>
    <comment ref="S754" authorId="0">
      <text>
        <r>
          <rPr>
            <b/>
            <sz val="14"/>
            <color indexed="81"/>
            <rFont val="Times New Roman"/>
            <family val="1"/>
          </rPr>
          <t xml:space="preserve">wpisz nr gry
</t>
        </r>
        <r>
          <rPr>
            <sz val="8"/>
            <color indexed="81"/>
            <rFont val="Tahoma"/>
            <family val="2"/>
            <charset val="238"/>
          </rPr>
          <t xml:space="preserve">
</t>
        </r>
      </text>
    </comment>
    <comment ref="S755" authorId="0">
      <text>
        <r>
          <rPr>
            <b/>
            <sz val="14"/>
            <color indexed="81"/>
            <rFont val="Times New Roman"/>
            <family val="1"/>
          </rPr>
          <t xml:space="preserve">wpisz nr gry
</t>
        </r>
        <r>
          <rPr>
            <sz val="8"/>
            <color indexed="81"/>
            <rFont val="Tahoma"/>
            <family val="2"/>
            <charset val="238"/>
          </rPr>
          <t xml:space="preserve">
</t>
        </r>
      </text>
    </comment>
    <comment ref="S756" authorId="0">
      <text>
        <r>
          <rPr>
            <b/>
            <sz val="14"/>
            <color indexed="81"/>
            <rFont val="Times New Roman"/>
            <family val="1"/>
          </rPr>
          <t xml:space="preserve">wpisz nr gry
</t>
        </r>
        <r>
          <rPr>
            <sz val="8"/>
            <color indexed="81"/>
            <rFont val="Tahoma"/>
            <family val="2"/>
            <charset val="238"/>
          </rPr>
          <t xml:space="preserve">
</t>
        </r>
      </text>
    </comment>
    <comment ref="S757" authorId="0">
      <text>
        <r>
          <rPr>
            <b/>
            <sz val="14"/>
            <color indexed="81"/>
            <rFont val="Times New Roman"/>
            <family val="1"/>
          </rPr>
          <t xml:space="preserve">wpisz nr gry
</t>
        </r>
        <r>
          <rPr>
            <sz val="8"/>
            <color indexed="81"/>
            <rFont val="Tahoma"/>
            <family val="2"/>
            <charset val="238"/>
          </rPr>
          <t xml:space="preserve">
</t>
        </r>
      </text>
    </comment>
    <comment ref="S758" authorId="0">
      <text>
        <r>
          <rPr>
            <b/>
            <sz val="14"/>
            <color indexed="81"/>
            <rFont val="Times New Roman"/>
            <family val="1"/>
          </rPr>
          <t xml:space="preserve">wpisz nr gry
</t>
        </r>
        <r>
          <rPr>
            <sz val="8"/>
            <color indexed="81"/>
            <rFont val="Tahoma"/>
            <family val="2"/>
            <charset val="238"/>
          </rPr>
          <t xml:space="preserve">
</t>
        </r>
      </text>
    </comment>
    <comment ref="O763" authorId="0">
      <text>
        <r>
          <rPr>
            <b/>
            <sz val="10"/>
            <color indexed="81"/>
            <rFont val="Times New Roman CE"/>
            <family val="1"/>
            <charset val="238"/>
          </rPr>
          <t>Wpisz nr grupy.</t>
        </r>
        <r>
          <rPr>
            <sz val="8"/>
            <color indexed="81"/>
            <rFont val="Tahoma"/>
            <family val="2"/>
            <charset val="238"/>
          </rPr>
          <t xml:space="preserve">
</t>
        </r>
      </text>
    </comment>
    <comment ref="S767" authorId="0">
      <text>
        <r>
          <rPr>
            <b/>
            <sz val="14"/>
            <color indexed="81"/>
            <rFont val="Times New Roman"/>
            <family val="1"/>
          </rPr>
          <t xml:space="preserve">wpisz nr gry
</t>
        </r>
        <r>
          <rPr>
            <sz val="8"/>
            <color indexed="81"/>
            <rFont val="Tahoma"/>
            <family val="2"/>
            <charset val="238"/>
          </rPr>
          <t xml:space="preserve">
</t>
        </r>
      </text>
    </comment>
    <comment ref="S768" authorId="0">
      <text>
        <r>
          <rPr>
            <b/>
            <sz val="14"/>
            <color indexed="81"/>
            <rFont val="Times New Roman"/>
            <family val="1"/>
          </rPr>
          <t xml:space="preserve">wpisz nr gry
</t>
        </r>
        <r>
          <rPr>
            <sz val="8"/>
            <color indexed="81"/>
            <rFont val="Tahoma"/>
            <family val="2"/>
            <charset val="238"/>
          </rPr>
          <t xml:space="preserve">
</t>
        </r>
      </text>
    </comment>
    <comment ref="S769" authorId="0">
      <text>
        <r>
          <rPr>
            <b/>
            <sz val="14"/>
            <color indexed="81"/>
            <rFont val="Times New Roman"/>
            <family val="1"/>
          </rPr>
          <t xml:space="preserve">wpisz nr gry
</t>
        </r>
        <r>
          <rPr>
            <sz val="8"/>
            <color indexed="81"/>
            <rFont val="Tahoma"/>
            <family val="2"/>
            <charset val="238"/>
          </rPr>
          <t xml:space="preserve">
</t>
        </r>
      </text>
    </comment>
    <comment ref="O774" authorId="0">
      <text>
        <r>
          <rPr>
            <b/>
            <sz val="10"/>
            <color indexed="81"/>
            <rFont val="Times New Roman CE"/>
            <family val="1"/>
            <charset val="238"/>
          </rPr>
          <t>Wpisz nr grupy.</t>
        </r>
        <r>
          <rPr>
            <sz val="8"/>
            <color indexed="81"/>
            <rFont val="Tahoma"/>
            <family val="2"/>
            <charset val="238"/>
          </rPr>
          <t xml:space="preserve">
</t>
        </r>
      </text>
    </comment>
    <comment ref="S778" authorId="0">
      <text>
        <r>
          <rPr>
            <b/>
            <sz val="14"/>
            <color indexed="81"/>
            <rFont val="Times New Roman"/>
            <family val="1"/>
          </rPr>
          <t xml:space="preserve">wpisz nr gry
</t>
        </r>
        <r>
          <rPr>
            <sz val="8"/>
            <color indexed="81"/>
            <rFont val="Tahoma"/>
            <family val="2"/>
            <charset val="238"/>
          </rPr>
          <t xml:space="preserve">
</t>
        </r>
      </text>
    </comment>
    <comment ref="S779" authorId="0">
      <text>
        <r>
          <rPr>
            <b/>
            <sz val="14"/>
            <color indexed="81"/>
            <rFont val="Times New Roman"/>
            <family val="1"/>
          </rPr>
          <t xml:space="preserve">wpisz nr gry
</t>
        </r>
        <r>
          <rPr>
            <sz val="8"/>
            <color indexed="81"/>
            <rFont val="Tahoma"/>
            <family val="2"/>
            <charset val="238"/>
          </rPr>
          <t xml:space="preserve">
</t>
        </r>
      </text>
    </comment>
    <comment ref="S780" authorId="0">
      <text>
        <r>
          <rPr>
            <b/>
            <sz val="14"/>
            <color indexed="81"/>
            <rFont val="Times New Roman"/>
            <family val="1"/>
          </rPr>
          <t xml:space="preserve">wpisz nr gry
</t>
        </r>
        <r>
          <rPr>
            <sz val="8"/>
            <color indexed="81"/>
            <rFont val="Tahoma"/>
            <family val="2"/>
            <charset val="238"/>
          </rPr>
          <t xml:space="preserve">
</t>
        </r>
      </text>
    </comment>
    <comment ref="O785" authorId="0">
      <text>
        <r>
          <rPr>
            <b/>
            <sz val="10"/>
            <color indexed="81"/>
            <rFont val="Times New Roman CE"/>
            <family val="1"/>
            <charset val="238"/>
          </rPr>
          <t>Wpisz nr grupy.</t>
        </r>
        <r>
          <rPr>
            <sz val="8"/>
            <color indexed="81"/>
            <rFont val="Tahoma"/>
            <family val="2"/>
            <charset val="238"/>
          </rPr>
          <t xml:space="preserve">
</t>
        </r>
      </text>
    </comment>
    <comment ref="S789" authorId="0">
      <text>
        <r>
          <rPr>
            <b/>
            <sz val="14"/>
            <color indexed="81"/>
            <rFont val="Times New Roman"/>
            <family val="1"/>
          </rPr>
          <t xml:space="preserve">wpisz nr gry
</t>
        </r>
        <r>
          <rPr>
            <sz val="8"/>
            <color indexed="81"/>
            <rFont val="Tahoma"/>
            <family val="2"/>
            <charset val="238"/>
          </rPr>
          <t xml:space="preserve">
</t>
        </r>
      </text>
    </comment>
    <comment ref="S790" authorId="0">
      <text>
        <r>
          <rPr>
            <b/>
            <sz val="14"/>
            <color indexed="81"/>
            <rFont val="Times New Roman"/>
            <family val="1"/>
          </rPr>
          <t xml:space="preserve">wpisz nr gry
</t>
        </r>
        <r>
          <rPr>
            <sz val="8"/>
            <color indexed="81"/>
            <rFont val="Tahoma"/>
            <family val="2"/>
            <charset val="238"/>
          </rPr>
          <t xml:space="preserve">
</t>
        </r>
      </text>
    </comment>
    <comment ref="S791" authorId="0">
      <text>
        <r>
          <rPr>
            <b/>
            <sz val="14"/>
            <color indexed="81"/>
            <rFont val="Times New Roman"/>
            <family val="1"/>
          </rPr>
          <t xml:space="preserve">wpisz nr gry
</t>
        </r>
        <r>
          <rPr>
            <sz val="8"/>
            <color indexed="81"/>
            <rFont val="Tahoma"/>
            <family val="2"/>
            <charset val="238"/>
          </rPr>
          <t xml:space="preserve">
</t>
        </r>
      </text>
    </comment>
    <comment ref="O796" authorId="0">
      <text>
        <r>
          <rPr>
            <b/>
            <sz val="10"/>
            <color indexed="81"/>
            <rFont val="Times New Roman CE"/>
            <family val="1"/>
            <charset val="238"/>
          </rPr>
          <t>Wpisz nr grupy.</t>
        </r>
        <r>
          <rPr>
            <sz val="8"/>
            <color indexed="81"/>
            <rFont val="Tahoma"/>
            <family val="2"/>
            <charset val="238"/>
          </rPr>
          <t xml:space="preserve">
</t>
        </r>
      </text>
    </comment>
    <comment ref="S800" authorId="0">
      <text>
        <r>
          <rPr>
            <b/>
            <sz val="14"/>
            <color indexed="81"/>
            <rFont val="Times New Roman"/>
            <family val="1"/>
          </rPr>
          <t xml:space="preserve">wpisz nr gry
</t>
        </r>
        <r>
          <rPr>
            <sz val="8"/>
            <color indexed="81"/>
            <rFont val="Tahoma"/>
            <family val="2"/>
            <charset val="238"/>
          </rPr>
          <t xml:space="preserve">
</t>
        </r>
      </text>
    </comment>
    <comment ref="S801" authorId="0">
      <text>
        <r>
          <rPr>
            <b/>
            <sz val="14"/>
            <color indexed="81"/>
            <rFont val="Times New Roman"/>
            <family val="1"/>
          </rPr>
          <t xml:space="preserve">wpisz nr gry
</t>
        </r>
        <r>
          <rPr>
            <sz val="8"/>
            <color indexed="81"/>
            <rFont val="Tahoma"/>
            <family val="2"/>
            <charset val="238"/>
          </rPr>
          <t xml:space="preserve">
</t>
        </r>
      </text>
    </comment>
    <comment ref="S802" authorId="0">
      <text>
        <r>
          <rPr>
            <b/>
            <sz val="14"/>
            <color indexed="81"/>
            <rFont val="Times New Roman"/>
            <family val="1"/>
          </rPr>
          <t xml:space="preserve">wpisz nr gry
</t>
        </r>
        <r>
          <rPr>
            <sz val="8"/>
            <color indexed="81"/>
            <rFont val="Tahoma"/>
            <family val="2"/>
            <charset val="238"/>
          </rPr>
          <t xml:space="preserve">
</t>
        </r>
      </text>
    </comment>
    <comment ref="O807" authorId="0">
      <text>
        <r>
          <rPr>
            <b/>
            <sz val="10"/>
            <color indexed="81"/>
            <rFont val="Times New Roman CE"/>
            <family val="1"/>
            <charset val="238"/>
          </rPr>
          <t>Wpisz nr grupy.</t>
        </r>
        <r>
          <rPr>
            <sz val="8"/>
            <color indexed="81"/>
            <rFont val="Tahoma"/>
            <family val="2"/>
            <charset val="238"/>
          </rPr>
          <t xml:space="preserve">
</t>
        </r>
      </text>
    </comment>
    <comment ref="S811" authorId="0">
      <text>
        <r>
          <rPr>
            <b/>
            <sz val="14"/>
            <color indexed="81"/>
            <rFont val="Times New Roman"/>
            <family val="1"/>
          </rPr>
          <t xml:space="preserve">wpisz nr gry
</t>
        </r>
        <r>
          <rPr>
            <sz val="8"/>
            <color indexed="81"/>
            <rFont val="Tahoma"/>
            <family val="2"/>
            <charset val="238"/>
          </rPr>
          <t xml:space="preserve">
</t>
        </r>
      </text>
    </comment>
    <comment ref="S812" authorId="0">
      <text>
        <r>
          <rPr>
            <b/>
            <sz val="14"/>
            <color indexed="81"/>
            <rFont val="Times New Roman"/>
            <family val="1"/>
          </rPr>
          <t xml:space="preserve">wpisz nr gry
</t>
        </r>
        <r>
          <rPr>
            <sz val="8"/>
            <color indexed="81"/>
            <rFont val="Tahoma"/>
            <family val="2"/>
            <charset val="238"/>
          </rPr>
          <t xml:space="preserve">
</t>
        </r>
      </text>
    </comment>
    <comment ref="S813" authorId="0">
      <text>
        <r>
          <rPr>
            <b/>
            <sz val="14"/>
            <color indexed="81"/>
            <rFont val="Times New Roman"/>
            <family val="1"/>
          </rPr>
          <t xml:space="preserve">wpisz nr gry
</t>
        </r>
        <r>
          <rPr>
            <sz val="8"/>
            <color indexed="81"/>
            <rFont val="Tahoma"/>
            <family val="2"/>
            <charset val="238"/>
          </rPr>
          <t xml:space="preserve">
</t>
        </r>
      </text>
    </comment>
    <comment ref="O818" authorId="0">
      <text>
        <r>
          <rPr>
            <b/>
            <sz val="10"/>
            <color indexed="81"/>
            <rFont val="Times New Roman CE"/>
            <family val="1"/>
            <charset val="238"/>
          </rPr>
          <t>Wpisz nr grupy.</t>
        </r>
        <r>
          <rPr>
            <sz val="8"/>
            <color indexed="81"/>
            <rFont val="Tahoma"/>
            <family val="2"/>
            <charset val="238"/>
          </rPr>
          <t xml:space="preserve">
</t>
        </r>
      </text>
    </comment>
    <comment ref="S822" authorId="0">
      <text>
        <r>
          <rPr>
            <b/>
            <sz val="14"/>
            <color indexed="81"/>
            <rFont val="Times New Roman"/>
            <family val="1"/>
          </rPr>
          <t xml:space="preserve">wpisz nr gry
</t>
        </r>
        <r>
          <rPr>
            <sz val="8"/>
            <color indexed="81"/>
            <rFont val="Tahoma"/>
            <family val="2"/>
            <charset val="238"/>
          </rPr>
          <t xml:space="preserve">
</t>
        </r>
      </text>
    </comment>
    <comment ref="S823" authorId="0">
      <text>
        <r>
          <rPr>
            <b/>
            <sz val="14"/>
            <color indexed="81"/>
            <rFont val="Times New Roman"/>
            <family val="1"/>
          </rPr>
          <t xml:space="preserve">wpisz nr gry
</t>
        </r>
        <r>
          <rPr>
            <sz val="8"/>
            <color indexed="81"/>
            <rFont val="Tahoma"/>
            <family val="2"/>
            <charset val="238"/>
          </rPr>
          <t xml:space="preserve">
</t>
        </r>
      </text>
    </comment>
    <comment ref="S824" authorId="0">
      <text>
        <r>
          <rPr>
            <b/>
            <sz val="14"/>
            <color indexed="81"/>
            <rFont val="Times New Roman"/>
            <family val="1"/>
          </rPr>
          <t xml:space="preserve">wpisz nr gry
</t>
        </r>
        <r>
          <rPr>
            <sz val="8"/>
            <color indexed="81"/>
            <rFont val="Tahoma"/>
            <family val="2"/>
            <charset val="238"/>
          </rPr>
          <t xml:space="preserve">
</t>
        </r>
      </text>
    </comment>
    <comment ref="N830" authorId="0">
      <text>
        <r>
          <rPr>
            <b/>
            <sz val="10"/>
            <color indexed="81"/>
            <rFont val="Times New Roman CE"/>
            <family val="1"/>
            <charset val="238"/>
          </rPr>
          <t>Dla systemu grupowo-pucharowego wpisz miejsce w grupie.</t>
        </r>
      </text>
    </comment>
    <comment ref="O830" authorId="0">
      <text>
        <r>
          <rPr>
            <b/>
            <sz val="10"/>
            <color indexed="81"/>
            <rFont val="Times New Roman CE"/>
            <family val="1"/>
            <charset val="238"/>
          </rPr>
          <t>Dla systemu pucharowego wpisz ilość zawodników.
Dla systemu grupowo-pucharowego wpisz ilość grup.</t>
        </r>
      </text>
    </comment>
    <comment ref="W833" authorId="0">
      <text>
        <r>
          <rPr>
            <b/>
            <sz val="14"/>
            <color indexed="81"/>
            <rFont val="Times New Roman"/>
            <family val="1"/>
          </rPr>
          <t xml:space="preserve">wpisz nr gry
</t>
        </r>
        <r>
          <rPr>
            <sz val="8"/>
            <color indexed="81"/>
            <rFont val="Tahoma"/>
            <family val="2"/>
            <charset val="238"/>
          </rPr>
          <t xml:space="preserve">
</t>
        </r>
      </text>
    </comment>
    <comment ref="Z835" authorId="0">
      <text>
        <r>
          <rPr>
            <b/>
            <sz val="14"/>
            <color indexed="81"/>
            <rFont val="Times New Roman"/>
            <family val="1"/>
          </rPr>
          <t xml:space="preserve">wpisz nr gry
</t>
        </r>
        <r>
          <rPr>
            <sz val="8"/>
            <color indexed="81"/>
            <rFont val="Tahoma"/>
            <family val="2"/>
            <charset val="238"/>
          </rPr>
          <t xml:space="preserve">
</t>
        </r>
      </text>
    </comment>
    <comment ref="W837" authorId="0">
      <text>
        <r>
          <rPr>
            <b/>
            <sz val="14"/>
            <color indexed="81"/>
            <rFont val="Times New Roman"/>
            <family val="1"/>
          </rPr>
          <t xml:space="preserve">wpisz nr gry
</t>
        </r>
        <r>
          <rPr>
            <sz val="8"/>
            <color indexed="81"/>
            <rFont val="Tahoma"/>
            <family val="2"/>
            <charset val="238"/>
          </rPr>
          <t xml:space="preserve">
</t>
        </r>
      </text>
    </comment>
    <comment ref="AC839" authorId="0">
      <text>
        <r>
          <rPr>
            <b/>
            <sz val="14"/>
            <color indexed="81"/>
            <rFont val="Times New Roman"/>
            <family val="1"/>
          </rPr>
          <t xml:space="preserve">wpisz nr gry
</t>
        </r>
        <r>
          <rPr>
            <sz val="8"/>
            <color indexed="81"/>
            <rFont val="Tahoma"/>
            <family val="2"/>
            <charset val="238"/>
          </rPr>
          <t xml:space="preserve">
</t>
        </r>
      </text>
    </comment>
    <comment ref="W841" authorId="0">
      <text>
        <r>
          <rPr>
            <b/>
            <sz val="14"/>
            <color indexed="81"/>
            <rFont val="Times New Roman"/>
            <family val="1"/>
          </rPr>
          <t xml:space="preserve">wpisz nr gry
</t>
        </r>
        <r>
          <rPr>
            <sz val="8"/>
            <color indexed="81"/>
            <rFont val="Tahoma"/>
            <family val="2"/>
            <charset val="238"/>
          </rPr>
          <t xml:space="preserve">
</t>
        </r>
      </text>
    </comment>
    <comment ref="Z843" authorId="0">
      <text>
        <r>
          <rPr>
            <b/>
            <sz val="14"/>
            <color indexed="81"/>
            <rFont val="Times New Roman"/>
            <family val="1"/>
          </rPr>
          <t xml:space="preserve">wpisz nr gry
</t>
        </r>
        <r>
          <rPr>
            <sz val="8"/>
            <color indexed="81"/>
            <rFont val="Tahoma"/>
            <family val="2"/>
            <charset val="238"/>
          </rPr>
          <t xml:space="preserve">
</t>
        </r>
      </text>
    </comment>
    <comment ref="W845" authorId="0">
      <text>
        <r>
          <rPr>
            <b/>
            <sz val="14"/>
            <color indexed="81"/>
            <rFont val="Times New Roman"/>
            <family val="1"/>
          </rPr>
          <t xml:space="preserve">wpisz nr gry
</t>
        </r>
        <r>
          <rPr>
            <sz val="8"/>
            <color indexed="81"/>
            <rFont val="Tahoma"/>
            <family val="2"/>
            <charset val="238"/>
          </rPr>
          <t xml:space="preserve">
</t>
        </r>
      </text>
    </comment>
    <comment ref="O851" authorId="0">
      <text>
        <r>
          <rPr>
            <b/>
            <sz val="10"/>
            <color indexed="81"/>
            <rFont val="Times New Roman CE"/>
            <family val="1"/>
            <charset val="238"/>
          </rPr>
          <t>Wpisz nr grupy.</t>
        </r>
        <r>
          <rPr>
            <sz val="8"/>
            <color indexed="81"/>
            <rFont val="Tahoma"/>
            <family val="2"/>
            <charset val="238"/>
          </rPr>
          <t xml:space="preserve">
</t>
        </r>
      </text>
    </comment>
    <comment ref="S855" authorId="0">
      <text>
        <r>
          <rPr>
            <b/>
            <sz val="14"/>
            <color indexed="81"/>
            <rFont val="Times New Roman"/>
            <family val="1"/>
          </rPr>
          <t xml:space="preserve">wpisz nr gry
</t>
        </r>
        <r>
          <rPr>
            <sz val="8"/>
            <color indexed="81"/>
            <rFont val="Tahoma"/>
            <family val="2"/>
            <charset val="238"/>
          </rPr>
          <t xml:space="preserve">
</t>
        </r>
      </text>
    </comment>
    <comment ref="S856" authorId="0">
      <text>
        <r>
          <rPr>
            <b/>
            <sz val="14"/>
            <color indexed="81"/>
            <rFont val="Times New Roman"/>
            <family val="1"/>
          </rPr>
          <t xml:space="preserve">wpisz nr gry
</t>
        </r>
        <r>
          <rPr>
            <sz val="8"/>
            <color indexed="81"/>
            <rFont val="Tahoma"/>
            <family val="2"/>
            <charset val="238"/>
          </rPr>
          <t xml:space="preserve">
</t>
        </r>
      </text>
    </comment>
    <comment ref="S857" authorId="0">
      <text>
        <r>
          <rPr>
            <b/>
            <sz val="14"/>
            <color indexed="81"/>
            <rFont val="Times New Roman"/>
            <family val="1"/>
          </rPr>
          <t xml:space="preserve">wpisz nr gry
</t>
        </r>
        <r>
          <rPr>
            <sz val="8"/>
            <color indexed="81"/>
            <rFont val="Tahoma"/>
            <family val="2"/>
            <charset val="238"/>
          </rPr>
          <t xml:space="preserve">
</t>
        </r>
      </text>
    </comment>
    <comment ref="S858" authorId="0">
      <text>
        <r>
          <rPr>
            <b/>
            <sz val="14"/>
            <color indexed="81"/>
            <rFont val="Times New Roman"/>
            <family val="1"/>
          </rPr>
          <t xml:space="preserve">wpisz nr gry
</t>
        </r>
        <r>
          <rPr>
            <sz val="8"/>
            <color indexed="81"/>
            <rFont val="Tahoma"/>
            <family val="2"/>
            <charset val="238"/>
          </rPr>
          <t xml:space="preserve">
</t>
        </r>
      </text>
    </comment>
    <comment ref="S859" authorId="0">
      <text>
        <r>
          <rPr>
            <b/>
            <sz val="14"/>
            <color indexed="81"/>
            <rFont val="Times New Roman"/>
            <family val="1"/>
          </rPr>
          <t xml:space="preserve">wpisz nr gry
</t>
        </r>
        <r>
          <rPr>
            <sz val="8"/>
            <color indexed="81"/>
            <rFont val="Tahoma"/>
            <family val="2"/>
            <charset val="238"/>
          </rPr>
          <t xml:space="preserve">
</t>
        </r>
      </text>
    </comment>
    <comment ref="S860" authorId="0">
      <text>
        <r>
          <rPr>
            <b/>
            <sz val="14"/>
            <color indexed="81"/>
            <rFont val="Times New Roman"/>
            <family val="1"/>
          </rPr>
          <t xml:space="preserve">wpisz nr gry
</t>
        </r>
        <r>
          <rPr>
            <sz val="8"/>
            <color indexed="81"/>
            <rFont val="Tahoma"/>
            <family val="2"/>
            <charset val="238"/>
          </rPr>
          <t xml:space="preserve">
</t>
        </r>
      </text>
    </comment>
    <comment ref="O865" authorId="0">
      <text>
        <r>
          <rPr>
            <b/>
            <sz val="10"/>
            <color indexed="81"/>
            <rFont val="Times New Roman CE"/>
            <family val="1"/>
            <charset val="238"/>
          </rPr>
          <t>Wpisz nr grupy.</t>
        </r>
        <r>
          <rPr>
            <sz val="8"/>
            <color indexed="81"/>
            <rFont val="Tahoma"/>
            <family val="2"/>
            <charset val="238"/>
          </rPr>
          <t xml:space="preserve">
</t>
        </r>
      </text>
    </comment>
    <comment ref="S869" authorId="0">
      <text>
        <r>
          <rPr>
            <b/>
            <sz val="14"/>
            <color indexed="81"/>
            <rFont val="Times New Roman"/>
            <family val="1"/>
          </rPr>
          <t xml:space="preserve">wpisz nr gry
</t>
        </r>
        <r>
          <rPr>
            <sz val="8"/>
            <color indexed="81"/>
            <rFont val="Tahoma"/>
            <family val="2"/>
            <charset val="238"/>
          </rPr>
          <t xml:space="preserve">
</t>
        </r>
      </text>
    </comment>
    <comment ref="S870" authorId="0">
      <text>
        <r>
          <rPr>
            <b/>
            <sz val="14"/>
            <color indexed="81"/>
            <rFont val="Times New Roman"/>
            <family val="1"/>
          </rPr>
          <t xml:space="preserve">wpisz nr gry
</t>
        </r>
        <r>
          <rPr>
            <sz val="8"/>
            <color indexed="81"/>
            <rFont val="Tahoma"/>
            <family val="2"/>
            <charset val="238"/>
          </rPr>
          <t xml:space="preserve">
</t>
        </r>
      </text>
    </comment>
    <comment ref="S871" authorId="0">
      <text>
        <r>
          <rPr>
            <b/>
            <sz val="14"/>
            <color indexed="81"/>
            <rFont val="Times New Roman"/>
            <family val="1"/>
          </rPr>
          <t xml:space="preserve">wpisz nr gry
</t>
        </r>
        <r>
          <rPr>
            <sz val="8"/>
            <color indexed="81"/>
            <rFont val="Tahoma"/>
            <family val="2"/>
            <charset val="238"/>
          </rPr>
          <t xml:space="preserve">
</t>
        </r>
      </text>
    </comment>
    <comment ref="O876" authorId="0">
      <text>
        <r>
          <rPr>
            <b/>
            <sz val="10"/>
            <color indexed="81"/>
            <rFont val="Times New Roman CE"/>
            <family val="1"/>
            <charset val="238"/>
          </rPr>
          <t>Wpisz nr grupy.</t>
        </r>
        <r>
          <rPr>
            <sz val="8"/>
            <color indexed="81"/>
            <rFont val="Tahoma"/>
            <family val="2"/>
            <charset val="238"/>
          </rPr>
          <t xml:space="preserve">
</t>
        </r>
      </text>
    </comment>
    <comment ref="S880" authorId="0">
      <text>
        <r>
          <rPr>
            <b/>
            <sz val="14"/>
            <color indexed="81"/>
            <rFont val="Times New Roman"/>
            <family val="1"/>
          </rPr>
          <t xml:space="preserve">wpisz nr gry
</t>
        </r>
        <r>
          <rPr>
            <sz val="8"/>
            <color indexed="81"/>
            <rFont val="Tahoma"/>
            <family val="2"/>
            <charset val="238"/>
          </rPr>
          <t xml:space="preserve">
</t>
        </r>
      </text>
    </comment>
    <comment ref="S881" authorId="0">
      <text>
        <r>
          <rPr>
            <b/>
            <sz val="14"/>
            <color indexed="81"/>
            <rFont val="Times New Roman"/>
            <family val="1"/>
          </rPr>
          <t xml:space="preserve">wpisz nr gry
</t>
        </r>
        <r>
          <rPr>
            <sz val="8"/>
            <color indexed="81"/>
            <rFont val="Tahoma"/>
            <family val="2"/>
            <charset val="238"/>
          </rPr>
          <t xml:space="preserve">
</t>
        </r>
      </text>
    </comment>
    <comment ref="S882" authorId="0">
      <text>
        <r>
          <rPr>
            <b/>
            <sz val="14"/>
            <color indexed="81"/>
            <rFont val="Times New Roman"/>
            <family val="1"/>
          </rPr>
          <t xml:space="preserve">wpisz nr gry
</t>
        </r>
        <r>
          <rPr>
            <sz val="8"/>
            <color indexed="81"/>
            <rFont val="Tahoma"/>
            <family val="2"/>
            <charset val="238"/>
          </rPr>
          <t xml:space="preserve">
</t>
        </r>
      </text>
    </comment>
    <comment ref="O887" authorId="0">
      <text>
        <r>
          <rPr>
            <b/>
            <sz val="10"/>
            <color indexed="81"/>
            <rFont val="Times New Roman CE"/>
            <family val="1"/>
            <charset val="238"/>
          </rPr>
          <t>Wpisz nr grupy.</t>
        </r>
        <r>
          <rPr>
            <sz val="8"/>
            <color indexed="81"/>
            <rFont val="Tahoma"/>
            <family val="2"/>
            <charset val="238"/>
          </rPr>
          <t xml:space="preserve">
</t>
        </r>
      </text>
    </comment>
    <comment ref="S891" authorId="0">
      <text>
        <r>
          <rPr>
            <b/>
            <sz val="14"/>
            <color indexed="81"/>
            <rFont val="Times New Roman"/>
            <family val="1"/>
          </rPr>
          <t xml:space="preserve">wpisz nr gry
</t>
        </r>
        <r>
          <rPr>
            <sz val="8"/>
            <color indexed="81"/>
            <rFont val="Tahoma"/>
            <family val="2"/>
            <charset val="238"/>
          </rPr>
          <t xml:space="preserve">
</t>
        </r>
      </text>
    </comment>
    <comment ref="S892" authorId="0">
      <text>
        <r>
          <rPr>
            <b/>
            <sz val="14"/>
            <color indexed="81"/>
            <rFont val="Times New Roman"/>
            <family val="1"/>
          </rPr>
          <t xml:space="preserve">wpisz nr gry
</t>
        </r>
        <r>
          <rPr>
            <sz val="8"/>
            <color indexed="81"/>
            <rFont val="Tahoma"/>
            <family val="2"/>
            <charset val="238"/>
          </rPr>
          <t xml:space="preserve">
</t>
        </r>
      </text>
    </comment>
    <comment ref="S893" authorId="0">
      <text>
        <r>
          <rPr>
            <b/>
            <sz val="14"/>
            <color indexed="81"/>
            <rFont val="Times New Roman"/>
            <family val="1"/>
          </rPr>
          <t xml:space="preserve">wpisz nr gry
</t>
        </r>
        <r>
          <rPr>
            <sz val="8"/>
            <color indexed="81"/>
            <rFont val="Tahoma"/>
            <family val="2"/>
            <charset val="238"/>
          </rPr>
          <t xml:space="preserve">
</t>
        </r>
      </text>
    </comment>
    <comment ref="O898" authorId="0">
      <text>
        <r>
          <rPr>
            <b/>
            <sz val="10"/>
            <color indexed="81"/>
            <rFont val="Times New Roman CE"/>
            <family val="1"/>
            <charset val="238"/>
          </rPr>
          <t>Wpisz nr grupy.</t>
        </r>
        <r>
          <rPr>
            <sz val="8"/>
            <color indexed="81"/>
            <rFont val="Tahoma"/>
            <family val="2"/>
            <charset val="238"/>
          </rPr>
          <t xml:space="preserve">
</t>
        </r>
      </text>
    </comment>
    <comment ref="S902" authorId="0">
      <text>
        <r>
          <rPr>
            <b/>
            <sz val="14"/>
            <color indexed="81"/>
            <rFont val="Times New Roman"/>
            <family val="1"/>
          </rPr>
          <t xml:space="preserve">wpisz nr gry
</t>
        </r>
        <r>
          <rPr>
            <sz val="8"/>
            <color indexed="81"/>
            <rFont val="Tahoma"/>
            <family val="2"/>
            <charset val="238"/>
          </rPr>
          <t xml:space="preserve">
</t>
        </r>
      </text>
    </comment>
    <comment ref="S903" authorId="0">
      <text>
        <r>
          <rPr>
            <b/>
            <sz val="14"/>
            <color indexed="81"/>
            <rFont val="Times New Roman"/>
            <family val="1"/>
          </rPr>
          <t xml:space="preserve">wpisz nr gry
</t>
        </r>
        <r>
          <rPr>
            <sz val="8"/>
            <color indexed="81"/>
            <rFont val="Tahoma"/>
            <family val="2"/>
            <charset val="238"/>
          </rPr>
          <t xml:space="preserve">
</t>
        </r>
      </text>
    </comment>
    <comment ref="S904" authorId="0">
      <text>
        <r>
          <rPr>
            <b/>
            <sz val="14"/>
            <color indexed="81"/>
            <rFont val="Times New Roman"/>
            <family val="1"/>
          </rPr>
          <t xml:space="preserve">wpisz nr gry
</t>
        </r>
        <r>
          <rPr>
            <sz val="8"/>
            <color indexed="81"/>
            <rFont val="Tahoma"/>
            <family val="2"/>
            <charset val="238"/>
          </rPr>
          <t xml:space="preserve">
</t>
        </r>
      </text>
    </comment>
    <comment ref="O909" authorId="0">
      <text>
        <r>
          <rPr>
            <b/>
            <sz val="10"/>
            <color indexed="81"/>
            <rFont val="Times New Roman CE"/>
            <family val="1"/>
            <charset val="238"/>
          </rPr>
          <t>Wpisz nr grupy.</t>
        </r>
        <r>
          <rPr>
            <sz val="8"/>
            <color indexed="81"/>
            <rFont val="Tahoma"/>
            <family val="2"/>
            <charset val="238"/>
          </rPr>
          <t xml:space="preserve">
</t>
        </r>
      </text>
    </comment>
    <comment ref="S913" authorId="0">
      <text>
        <r>
          <rPr>
            <b/>
            <sz val="14"/>
            <color indexed="81"/>
            <rFont val="Times New Roman"/>
            <family val="1"/>
          </rPr>
          <t xml:space="preserve">wpisz nr gry
</t>
        </r>
        <r>
          <rPr>
            <sz val="8"/>
            <color indexed="81"/>
            <rFont val="Tahoma"/>
            <family val="2"/>
            <charset val="238"/>
          </rPr>
          <t xml:space="preserve">
</t>
        </r>
      </text>
    </comment>
    <comment ref="S914" authorId="0">
      <text>
        <r>
          <rPr>
            <b/>
            <sz val="14"/>
            <color indexed="81"/>
            <rFont val="Times New Roman"/>
            <family val="1"/>
          </rPr>
          <t xml:space="preserve">wpisz nr gry
</t>
        </r>
        <r>
          <rPr>
            <sz val="8"/>
            <color indexed="81"/>
            <rFont val="Tahoma"/>
            <family val="2"/>
            <charset val="238"/>
          </rPr>
          <t xml:space="preserve">
</t>
        </r>
      </text>
    </comment>
    <comment ref="S915" authorId="0">
      <text>
        <r>
          <rPr>
            <b/>
            <sz val="14"/>
            <color indexed="81"/>
            <rFont val="Times New Roman"/>
            <family val="1"/>
          </rPr>
          <t xml:space="preserve">wpisz nr gry
</t>
        </r>
        <r>
          <rPr>
            <sz val="8"/>
            <color indexed="81"/>
            <rFont val="Tahoma"/>
            <family val="2"/>
            <charset val="238"/>
          </rPr>
          <t xml:space="preserve">
</t>
        </r>
      </text>
    </comment>
    <comment ref="O920" authorId="0">
      <text>
        <r>
          <rPr>
            <b/>
            <sz val="10"/>
            <color indexed="81"/>
            <rFont val="Times New Roman CE"/>
            <family val="1"/>
            <charset val="238"/>
          </rPr>
          <t>Wpisz nr grupy.</t>
        </r>
        <r>
          <rPr>
            <sz val="8"/>
            <color indexed="81"/>
            <rFont val="Tahoma"/>
            <family val="2"/>
            <charset val="238"/>
          </rPr>
          <t xml:space="preserve">
</t>
        </r>
      </text>
    </comment>
    <comment ref="S924" authorId="0">
      <text>
        <r>
          <rPr>
            <b/>
            <sz val="14"/>
            <color indexed="81"/>
            <rFont val="Times New Roman"/>
            <family val="1"/>
          </rPr>
          <t xml:space="preserve">wpisz nr gry
</t>
        </r>
        <r>
          <rPr>
            <sz val="8"/>
            <color indexed="81"/>
            <rFont val="Tahoma"/>
            <family val="2"/>
            <charset val="238"/>
          </rPr>
          <t xml:space="preserve">
</t>
        </r>
      </text>
    </comment>
    <comment ref="S925" authorId="0">
      <text>
        <r>
          <rPr>
            <b/>
            <sz val="14"/>
            <color indexed="81"/>
            <rFont val="Times New Roman"/>
            <family val="1"/>
          </rPr>
          <t xml:space="preserve">wpisz nr gry
</t>
        </r>
        <r>
          <rPr>
            <sz val="8"/>
            <color indexed="81"/>
            <rFont val="Tahoma"/>
            <family val="2"/>
            <charset val="238"/>
          </rPr>
          <t xml:space="preserve">
</t>
        </r>
      </text>
    </comment>
    <comment ref="S926" authorId="0">
      <text>
        <r>
          <rPr>
            <b/>
            <sz val="14"/>
            <color indexed="81"/>
            <rFont val="Times New Roman"/>
            <family val="1"/>
          </rPr>
          <t xml:space="preserve">wpisz nr gry
</t>
        </r>
        <r>
          <rPr>
            <sz val="8"/>
            <color indexed="81"/>
            <rFont val="Tahoma"/>
            <family val="2"/>
            <charset val="238"/>
          </rPr>
          <t xml:space="preserve">
</t>
        </r>
      </text>
    </comment>
    <comment ref="N932" authorId="0">
      <text>
        <r>
          <rPr>
            <b/>
            <sz val="10"/>
            <color indexed="81"/>
            <rFont val="Times New Roman CE"/>
            <family val="1"/>
            <charset val="238"/>
          </rPr>
          <t>Dla systemu grupowo-pucharowego wpisz miejsce w grupie.</t>
        </r>
      </text>
    </comment>
    <comment ref="O932" authorId="0">
      <text>
        <r>
          <rPr>
            <b/>
            <sz val="10"/>
            <color indexed="81"/>
            <rFont val="Times New Roman CE"/>
            <family val="1"/>
            <charset val="238"/>
          </rPr>
          <t>Dla systemu pucharowego wpisz ilość zawodników.
Dla systemu grupowo-pucharowego wpisz ilość grup.</t>
        </r>
      </text>
    </comment>
    <comment ref="W934" authorId="0">
      <text>
        <r>
          <rPr>
            <b/>
            <sz val="14"/>
            <color indexed="81"/>
            <rFont val="Times New Roman"/>
            <family val="1"/>
          </rPr>
          <t xml:space="preserve">wpisz nr gry
</t>
        </r>
        <r>
          <rPr>
            <sz val="8"/>
            <color indexed="81"/>
            <rFont val="Tahoma"/>
            <family val="2"/>
            <charset val="238"/>
          </rPr>
          <t xml:space="preserve">
</t>
        </r>
      </text>
    </comment>
    <comment ref="Z936" authorId="0">
      <text>
        <r>
          <rPr>
            <b/>
            <sz val="14"/>
            <color indexed="81"/>
            <rFont val="Times New Roman"/>
            <family val="1"/>
          </rPr>
          <t xml:space="preserve">wpisz nr gry
</t>
        </r>
        <r>
          <rPr>
            <sz val="8"/>
            <color indexed="81"/>
            <rFont val="Tahoma"/>
            <family val="2"/>
            <charset val="238"/>
          </rPr>
          <t xml:space="preserve">
</t>
        </r>
      </text>
    </comment>
    <comment ref="W938" authorId="0">
      <text>
        <r>
          <rPr>
            <b/>
            <sz val="14"/>
            <color indexed="81"/>
            <rFont val="Times New Roman"/>
            <family val="1"/>
          </rPr>
          <t xml:space="preserve">wpisz nr gry
</t>
        </r>
        <r>
          <rPr>
            <sz val="8"/>
            <color indexed="81"/>
            <rFont val="Tahoma"/>
            <family val="2"/>
            <charset val="238"/>
          </rPr>
          <t xml:space="preserve">
</t>
        </r>
      </text>
    </comment>
    <comment ref="AC940" authorId="0">
      <text>
        <r>
          <rPr>
            <b/>
            <sz val="14"/>
            <color indexed="81"/>
            <rFont val="Times New Roman"/>
            <family val="1"/>
          </rPr>
          <t xml:space="preserve">wpisz nr gry
</t>
        </r>
        <r>
          <rPr>
            <sz val="8"/>
            <color indexed="81"/>
            <rFont val="Tahoma"/>
            <family val="2"/>
            <charset val="238"/>
          </rPr>
          <t xml:space="preserve">
</t>
        </r>
      </text>
    </comment>
    <comment ref="W942" authorId="0">
      <text>
        <r>
          <rPr>
            <b/>
            <sz val="14"/>
            <color indexed="81"/>
            <rFont val="Times New Roman"/>
            <family val="1"/>
          </rPr>
          <t xml:space="preserve">wpisz nr gry
</t>
        </r>
        <r>
          <rPr>
            <sz val="8"/>
            <color indexed="81"/>
            <rFont val="Tahoma"/>
            <family val="2"/>
            <charset val="238"/>
          </rPr>
          <t xml:space="preserve">
</t>
        </r>
      </text>
    </comment>
    <comment ref="Z944" authorId="0">
      <text>
        <r>
          <rPr>
            <b/>
            <sz val="14"/>
            <color indexed="81"/>
            <rFont val="Times New Roman"/>
            <family val="1"/>
          </rPr>
          <t xml:space="preserve">wpisz nr gry
</t>
        </r>
        <r>
          <rPr>
            <sz val="8"/>
            <color indexed="81"/>
            <rFont val="Tahoma"/>
            <family val="2"/>
            <charset val="238"/>
          </rPr>
          <t xml:space="preserve">
</t>
        </r>
      </text>
    </comment>
    <comment ref="W946" authorId="0">
      <text>
        <r>
          <rPr>
            <b/>
            <sz val="14"/>
            <color indexed="81"/>
            <rFont val="Times New Roman"/>
            <family val="1"/>
          </rPr>
          <t xml:space="preserve">wpisz nr gry
</t>
        </r>
        <r>
          <rPr>
            <sz val="8"/>
            <color indexed="81"/>
            <rFont val="Tahoma"/>
            <family val="2"/>
            <charset val="238"/>
          </rPr>
          <t xml:space="preserve">
</t>
        </r>
      </text>
    </comment>
    <comment ref="O951" authorId="0">
      <text>
        <r>
          <rPr>
            <b/>
            <sz val="10"/>
            <color indexed="81"/>
            <rFont val="Times New Roman CE"/>
            <family val="1"/>
            <charset val="238"/>
          </rPr>
          <t>Wpisz nr grupy.</t>
        </r>
        <r>
          <rPr>
            <sz val="8"/>
            <color indexed="81"/>
            <rFont val="Tahoma"/>
            <family val="2"/>
            <charset val="238"/>
          </rPr>
          <t xml:space="preserve">
</t>
        </r>
      </text>
    </comment>
    <comment ref="S955" authorId="0">
      <text>
        <r>
          <rPr>
            <b/>
            <sz val="14"/>
            <color indexed="81"/>
            <rFont val="Times New Roman"/>
            <family val="1"/>
          </rPr>
          <t xml:space="preserve">wpisz nr gry
</t>
        </r>
        <r>
          <rPr>
            <sz val="8"/>
            <color indexed="81"/>
            <rFont val="Tahoma"/>
            <family val="2"/>
            <charset val="238"/>
          </rPr>
          <t xml:space="preserve">
</t>
        </r>
      </text>
    </comment>
    <comment ref="S956" authorId="0">
      <text>
        <r>
          <rPr>
            <b/>
            <sz val="14"/>
            <color indexed="81"/>
            <rFont val="Times New Roman"/>
            <family val="1"/>
          </rPr>
          <t xml:space="preserve">wpisz nr gry
</t>
        </r>
        <r>
          <rPr>
            <sz val="8"/>
            <color indexed="81"/>
            <rFont val="Tahoma"/>
            <family val="2"/>
            <charset val="238"/>
          </rPr>
          <t xml:space="preserve">
</t>
        </r>
      </text>
    </comment>
    <comment ref="S957" authorId="0">
      <text>
        <r>
          <rPr>
            <b/>
            <sz val="14"/>
            <color indexed="81"/>
            <rFont val="Times New Roman"/>
            <family val="1"/>
          </rPr>
          <t xml:space="preserve">wpisz nr gry
</t>
        </r>
        <r>
          <rPr>
            <sz val="8"/>
            <color indexed="81"/>
            <rFont val="Tahoma"/>
            <family val="2"/>
            <charset val="238"/>
          </rPr>
          <t xml:space="preserve">
</t>
        </r>
      </text>
    </comment>
    <comment ref="O962" authorId="0">
      <text>
        <r>
          <rPr>
            <b/>
            <sz val="10"/>
            <color indexed="81"/>
            <rFont val="Times New Roman CE"/>
            <family val="1"/>
            <charset val="238"/>
          </rPr>
          <t>Wpisz nr grupy.</t>
        </r>
        <r>
          <rPr>
            <sz val="8"/>
            <color indexed="81"/>
            <rFont val="Tahoma"/>
            <family val="2"/>
            <charset val="238"/>
          </rPr>
          <t xml:space="preserve">
</t>
        </r>
      </text>
    </comment>
    <comment ref="S966" authorId="0">
      <text>
        <r>
          <rPr>
            <b/>
            <sz val="14"/>
            <color indexed="81"/>
            <rFont val="Times New Roman"/>
            <family val="1"/>
          </rPr>
          <t xml:space="preserve">wpisz nr gry
</t>
        </r>
        <r>
          <rPr>
            <sz val="8"/>
            <color indexed="81"/>
            <rFont val="Tahoma"/>
            <family val="2"/>
            <charset val="238"/>
          </rPr>
          <t xml:space="preserve">
</t>
        </r>
      </text>
    </comment>
    <comment ref="S967" authorId="0">
      <text>
        <r>
          <rPr>
            <b/>
            <sz val="14"/>
            <color indexed="81"/>
            <rFont val="Times New Roman"/>
            <family val="1"/>
          </rPr>
          <t xml:space="preserve">wpisz nr gry
</t>
        </r>
        <r>
          <rPr>
            <sz val="8"/>
            <color indexed="81"/>
            <rFont val="Tahoma"/>
            <family val="2"/>
            <charset val="238"/>
          </rPr>
          <t xml:space="preserve">
</t>
        </r>
      </text>
    </comment>
    <comment ref="S968" authorId="0">
      <text>
        <r>
          <rPr>
            <b/>
            <sz val="14"/>
            <color indexed="81"/>
            <rFont val="Times New Roman"/>
            <family val="1"/>
          </rPr>
          <t xml:space="preserve">wpisz nr gry
</t>
        </r>
        <r>
          <rPr>
            <sz val="8"/>
            <color indexed="81"/>
            <rFont val="Tahoma"/>
            <family val="2"/>
            <charset val="238"/>
          </rPr>
          <t xml:space="preserve">
</t>
        </r>
      </text>
    </comment>
    <comment ref="O973" authorId="0">
      <text>
        <r>
          <rPr>
            <b/>
            <sz val="10"/>
            <color indexed="81"/>
            <rFont val="Times New Roman CE"/>
            <family val="1"/>
            <charset val="238"/>
          </rPr>
          <t>Wpisz nr grupy.</t>
        </r>
        <r>
          <rPr>
            <sz val="8"/>
            <color indexed="81"/>
            <rFont val="Tahoma"/>
            <family val="2"/>
            <charset val="238"/>
          </rPr>
          <t xml:space="preserve">
</t>
        </r>
      </text>
    </comment>
    <comment ref="S977" authorId="0">
      <text>
        <r>
          <rPr>
            <b/>
            <sz val="14"/>
            <color indexed="81"/>
            <rFont val="Times New Roman"/>
            <family val="1"/>
          </rPr>
          <t xml:space="preserve">wpisz nr gry
</t>
        </r>
        <r>
          <rPr>
            <sz val="8"/>
            <color indexed="81"/>
            <rFont val="Tahoma"/>
            <family val="2"/>
            <charset val="238"/>
          </rPr>
          <t xml:space="preserve">
</t>
        </r>
      </text>
    </comment>
    <comment ref="S978" authorId="0">
      <text>
        <r>
          <rPr>
            <b/>
            <sz val="14"/>
            <color indexed="81"/>
            <rFont val="Times New Roman"/>
            <family val="1"/>
          </rPr>
          <t xml:space="preserve">wpisz nr gry
</t>
        </r>
        <r>
          <rPr>
            <sz val="8"/>
            <color indexed="81"/>
            <rFont val="Tahoma"/>
            <family val="2"/>
            <charset val="238"/>
          </rPr>
          <t xml:space="preserve">
</t>
        </r>
      </text>
    </comment>
    <comment ref="S979" authorId="0">
      <text>
        <r>
          <rPr>
            <b/>
            <sz val="14"/>
            <color indexed="81"/>
            <rFont val="Times New Roman"/>
            <family val="1"/>
          </rPr>
          <t xml:space="preserve">wpisz nr gry
</t>
        </r>
        <r>
          <rPr>
            <sz val="8"/>
            <color indexed="81"/>
            <rFont val="Tahoma"/>
            <family val="2"/>
            <charset val="238"/>
          </rPr>
          <t xml:space="preserve">
</t>
        </r>
      </text>
    </comment>
    <comment ref="O984" authorId="0">
      <text>
        <r>
          <rPr>
            <b/>
            <sz val="10"/>
            <color indexed="81"/>
            <rFont val="Times New Roman CE"/>
            <family val="1"/>
            <charset val="238"/>
          </rPr>
          <t>Wpisz nr grupy.</t>
        </r>
        <r>
          <rPr>
            <sz val="8"/>
            <color indexed="81"/>
            <rFont val="Tahoma"/>
            <family val="2"/>
            <charset val="238"/>
          </rPr>
          <t xml:space="preserve">
</t>
        </r>
      </text>
    </comment>
    <comment ref="S988" authorId="0">
      <text>
        <r>
          <rPr>
            <b/>
            <sz val="14"/>
            <color indexed="81"/>
            <rFont val="Times New Roman"/>
            <family val="1"/>
          </rPr>
          <t xml:space="preserve">wpisz nr gry
</t>
        </r>
        <r>
          <rPr>
            <sz val="8"/>
            <color indexed="81"/>
            <rFont val="Tahoma"/>
            <family val="2"/>
            <charset val="238"/>
          </rPr>
          <t xml:space="preserve">
</t>
        </r>
      </text>
    </comment>
    <comment ref="S989" authorId="0">
      <text>
        <r>
          <rPr>
            <b/>
            <sz val="14"/>
            <color indexed="81"/>
            <rFont val="Times New Roman"/>
            <family val="1"/>
          </rPr>
          <t xml:space="preserve">wpisz nr gry
</t>
        </r>
        <r>
          <rPr>
            <sz val="8"/>
            <color indexed="81"/>
            <rFont val="Tahoma"/>
            <family val="2"/>
            <charset val="238"/>
          </rPr>
          <t xml:space="preserve">
</t>
        </r>
      </text>
    </comment>
    <comment ref="S990" authorId="0">
      <text>
        <r>
          <rPr>
            <b/>
            <sz val="14"/>
            <color indexed="81"/>
            <rFont val="Times New Roman"/>
            <family val="1"/>
          </rPr>
          <t xml:space="preserve">wpisz nr gry
</t>
        </r>
        <r>
          <rPr>
            <sz val="8"/>
            <color indexed="81"/>
            <rFont val="Tahoma"/>
            <family val="2"/>
            <charset val="238"/>
          </rPr>
          <t xml:space="preserve">
</t>
        </r>
      </text>
    </comment>
    <comment ref="N996" authorId="0">
      <text>
        <r>
          <rPr>
            <b/>
            <sz val="10"/>
            <color indexed="81"/>
            <rFont val="Times New Roman CE"/>
            <family val="1"/>
            <charset val="238"/>
          </rPr>
          <t>Dla systemu grupowo-pucharowego wpisz miejsce w grupie.</t>
        </r>
      </text>
    </comment>
    <comment ref="O996" authorId="0">
      <text>
        <r>
          <rPr>
            <b/>
            <sz val="10"/>
            <color indexed="81"/>
            <rFont val="Times New Roman CE"/>
            <family val="1"/>
            <charset val="238"/>
          </rPr>
          <t>Dla systemu pucharowego wpisz ilość zawodników.
Dla systemu grupowo-pucharowego wpisz ilość grup.</t>
        </r>
      </text>
    </comment>
    <comment ref="W998" authorId="0">
      <text>
        <r>
          <rPr>
            <b/>
            <sz val="14"/>
            <color indexed="81"/>
            <rFont val="Times New Roman"/>
            <family val="1"/>
          </rPr>
          <t xml:space="preserve">wpisz nr gry
</t>
        </r>
        <r>
          <rPr>
            <sz val="8"/>
            <color indexed="81"/>
            <rFont val="Tahoma"/>
            <family val="2"/>
            <charset val="238"/>
          </rPr>
          <t xml:space="preserve">
</t>
        </r>
      </text>
    </comment>
    <comment ref="Z1000" authorId="0">
      <text>
        <r>
          <rPr>
            <b/>
            <sz val="14"/>
            <color indexed="81"/>
            <rFont val="Times New Roman"/>
            <family val="1"/>
          </rPr>
          <t xml:space="preserve">wpisz nr gry
</t>
        </r>
        <r>
          <rPr>
            <sz val="8"/>
            <color indexed="81"/>
            <rFont val="Tahoma"/>
            <family val="2"/>
            <charset val="238"/>
          </rPr>
          <t xml:space="preserve">
</t>
        </r>
      </text>
    </comment>
    <comment ref="W1002" authorId="0">
      <text>
        <r>
          <rPr>
            <b/>
            <sz val="14"/>
            <color indexed="81"/>
            <rFont val="Times New Roman"/>
            <family val="1"/>
          </rPr>
          <t xml:space="preserve">wpisz nr gry
</t>
        </r>
        <r>
          <rPr>
            <sz val="8"/>
            <color indexed="81"/>
            <rFont val="Tahoma"/>
            <family val="2"/>
            <charset val="238"/>
          </rPr>
          <t xml:space="preserve">
</t>
        </r>
      </text>
    </comment>
  </commentList>
</comments>
</file>

<file path=xl/comments3.xml><?xml version="1.0" encoding="utf-8"?>
<comments xmlns="http://schemas.openxmlformats.org/spreadsheetml/2006/main">
  <authors>
    <author>Marek Łysakowski</author>
  </authors>
  <commentList>
    <comment ref="L6" authorId="0">
      <text>
        <r>
          <rPr>
            <b/>
            <sz val="9"/>
            <color indexed="81"/>
            <rFont val="Tahoma"/>
            <family val="2"/>
            <charset val="238"/>
          </rPr>
          <t>Dla systemu grupowo-pucharowego wpisz miejsce w grupie.</t>
        </r>
        <r>
          <rPr>
            <sz val="9"/>
            <color indexed="81"/>
            <rFont val="Tahoma"/>
            <family val="2"/>
            <charset val="238"/>
          </rPr>
          <t xml:space="preserve">
</t>
        </r>
      </text>
    </comment>
    <comment ref="L7" authorId="0">
      <text>
        <r>
          <rPr>
            <b/>
            <sz val="10"/>
            <color indexed="81"/>
            <rFont val="Times New Roman CE"/>
            <family val="1"/>
            <charset val="238"/>
          </rPr>
          <t>Dla systemu pucharowego wpisz ilość zawodników.
Dla systemu grupowo-pucharowego wpisz ilość grup.</t>
        </r>
      </text>
    </comment>
    <comment ref="P9" authorId="0">
      <text>
        <r>
          <rPr>
            <b/>
            <sz val="14"/>
            <color indexed="81"/>
            <rFont val="Times New Roman"/>
            <family val="1"/>
          </rPr>
          <t xml:space="preserve">wpisz nr gry
</t>
        </r>
        <r>
          <rPr>
            <sz val="8"/>
            <color indexed="81"/>
            <rFont val="Tahoma"/>
            <family val="2"/>
            <charset val="238"/>
          </rPr>
          <t xml:space="preserve">
</t>
        </r>
      </text>
    </comment>
    <comment ref="Q11" authorId="0">
      <text>
        <r>
          <rPr>
            <b/>
            <sz val="14"/>
            <color indexed="81"/>
            <rFont val="Times New Roman"/>
            <family val="1"/>
          </rPr>
          <t xml:space="preserve">wpisz nr gry
</t>
        </r>
        <r>
          <rPr>
            <sz val="8"/>
            <color indexed="81"/>
            <rFont val="Tahoma"/>
            <family val="2"/>
            <charset val="238"/>
          </rPr>
          <t xml:space="preserve">
</t>
        </r>
      </text>
    </comment>
    <comment ref="P13" authorId="0">
      <text>
        <r>
          <rPr>
            <b/>
            <sz val="14"/>
            <color indexed="81"/>
            <rFont val="Times New Roman"/>
            <family val="1"/>
          </rPr>
          <t xml:space="preserve">wpisz nr gry
</t>
        </r>
        <r>
          <rPr>
            <sz val="8"/>
            <color indexed="81"/>
            <rFont val="Tahoma"/>
            <family val="2"/>
            <charset val="238"/>
          </rPr>
          <t xml:space="preserve">
</t>
        </r>
      </text>
    </comment>
    <comment ref="R15" authorId="0">
      <text>
        <r>
          <rPr>
            <b/>
            <sz val="14"/>
            <color indexed="81"/>
            <rFont val="Times New Roman"/>
            <family val="1"/>
          </rPr>
          <t xml:space="preserve">wpisz nr gry
</t>
        </r>
        <r>
          <rPr>
            <sz val="8"/>
            <color indexed="81"/>
            <rFont val="Tahoma"/>
            <family val="2"/>
            <charset val="238"/>
          </rPr>
          <t xml:space="preserve">
</t>
        </r>
      </text>
    </comment>
    <comment ref="P17" authorId="0">
      <text>
        <r>
          <rPr>
            <b/>
            <sz val="14"/>
            <color indexed="81"/>
            <rFont val="Times New Roman"/>
            <family val="1"/>
          </rPr>
          <t xml:space="preserve">wpisz nr gry
</t>
        </r>
        <r>
          <rPr>
            <sz val="8"/>
            <color indexed="81"/>
            <rFont val="Tahoma"/>
            <family val="2"/>
            <charset val="238"/>
          </rPr>
          <t xml:space="preserve">
</t>
        </r>
      </text>
    </comment>
    <comment ref="Q19" authorId="0">
      <text>
        <r>
          <rPr>
            <b/>
            <sz val="14"/>
            <color indexed="81"/>
            <rFont val="Times New Roman"/>
            <family val="1"/>
          </rPr>
          <t xml:space="preserve">wpisz nr gry
</t>
        </r>
        <r>
          <rPr>
            <sz val="8"/>
            <color indexed="81"/>
            <rFont val="Tahoma"/>
            <family val="2"/>
            <charset val="238"/>
          </rPr>
          <t xml:space="preserve">
</t>
        </r>
      </text>
    </comment>
    <comment ref="P21" authorId="0">
      <text>
        <r>
          <rPr>
            <b/>
            <sz val="14"/>
            <color indexed="81"/>
            <rFont val="Times New Roman"/>
            <family val="1"/>
          </rPr>
          <t xml:space="preserve">wpisz nr gry
</t>
        </r>
        <r>
          <rPr>
            <sz val="8"/>
            <color indexed="81"/>
            <rFont val="Tahoma"/>
            <family val="2"/>
            <charset val="238"/>
          </rPr>
          <t xml:space="preserve">
</t>
        </r>
      </text>
    </comment>
    <comment ref="S23" authorId="0">
      <text>
        <r>
          <rPr>
            <b/>
            <sz val="14"/>
            <color indexed="81"/>
            <rFont val="Times New Roman"/>
            <family val="1"/>
          </rPr>
          <t xml:space="preserve">wpisz nr gry
</t>
        </r>
        <r>
          <rPr>
            <sz val="8"/>
            <color indexed="81"/>
            <rFont val="Tahoma"/>
            <family val="2"/>
            <charset val="238"/>
          </rPr>
          <t xml:space="preserve">
</t>
        </r>
      </text>
    </comment>
    <comment ref="P25" authorId="0">
      <text>
        <r>
          <rPr>
            <b/>
            <sz val="14"/>
            <color indexed="81"/>
            <rFont val="Times New Roman"/>
            <family val="1"/>
          </rPr>
          <t xml:space="preserve">wpisz nr gry
</t>
        </r>
        <r>
          <rPr>
            <sz val="8"/>
            <color indexed="81"/>
            <rFont val="Tahoma"/>
            <family val="2"/>
            <charset val="238"/>
          </rPr>
          <t xml:space="preserve">
</t>
        </r>
      </text>
    </comment>
    <comment ref="Q27" authorId="0">
      <text>
        <r>
          <rPr>
            <b/>
            <sz val="14"/>
            <color indexed="81"/>
            <rFont val="Times New Roman"/>
            <family val="1"/>
          </rPr>
          <t xml:space="preserve">wpisz nr gry
</t>
        </r>
        <r>
          <rPr>
            <sz val="8"/>
            <color indexed="81"/>
            <rFont val="Tahoma"/>
            <family val="2"/>
            <charset val="238"/>
          </rPr>
          <t xml:space="preserve">
</t>
        </r>
      </text>
    </comment>
    <comment ref="P29" authorId="0">
      <text>
        <r>
          <rPr>
            <b/>
            <sz val="14"/>
            <color indexed="81"/>
            <rFont val="Times New Roman"/>
            <family val="1"/>
          </rPr>
          <t xml:space="preserve">wpisz nr gry
</t>
        </r>
        <r>
          <rPr>
            <sz val="8"/>
            <color indexed="81"/>
            <rFont val="Tahoma"/>
            <family val="2"/>
            <charset val="238"/>
          </rPr>
          <t xml:space="preserve">
</t>
        </r>
      </text>
    </comment>
    <comment ref="R31" authorId="0">
      <text>
        <r>
          <rPr>
            <b/>
            <sz val="14"/>
            <color indexed="81"/>
            <rFont val="Times New Roman"/>
            <family val="1"/>
          </rPr>
          <t xml:space="preserve">wpisz nr gry
</t>
        </r>
        <r>
          <rPr>
            <sz val="8"/>
            <color indexed="81"/>
            <rFont val="Tahoma"/>
            <family val="2"/>
            <charset val="238"/>
          </rPr>
          <t xml:space="preserve">
</t>
        </r>
      </text>
    </comment>
    <comment ref="P33" authorId="0">
      <text>
        <r>
          <rPr>
            <b/>
            <sz val="14"/>
            <color indexed="81"/>
            <rFont val="Times New Roman"/>
            <family val="1"/>
          </rPr>
          <t xml:space="preserve">wpisz nr gry
</t>
        </r>
        <r>
          <rPr>
            <sz val="8"/>
            <color indexed="81"/>
            <rFont val="Tahoma"/>
            <family val="2"/>
            <charset val="238"/>
          </rPr>
          <t xml:space="preserve">
</t>
        </r>
      </text>
    </comment>
    <comment ref="Q35" authorId="0">
      <text>
        <r>
          <rPr>
            <b/>
            <sz val="14"/>
            <color indexed="81"/>
            <rFont val="Times New Roman"/>
            <family val="1"/>
          </rPr>
          <t xml:space="preserve">wpisz nr gry
</t>
        </r>
        <r>
          <rPr>
            <sz val="8"/>
            <color indexed="81"/>
            <rFont val="Tahoma"/>
            <family val="2"/>
            <charset val="238"/>
          </rPr>
          <t xml:space="preserve">
</t>
        </r>
      </text>
    </comment>
    <comment ref="P37" authorId="0">
      <text>
        <r>
          <rPr>
            <b/>
            <sz val="14"/>
            <color indexed="81"/>
            <rFont val="Times New Roman"/>
            <family val="1"/>
          </rPr>
          <t xml:space="preserve">wpisz nr gry
</t>
        </r>
        <r>
          <rPr>
            <sz val="8"/>
            <color indexed="81"/>
            <rFont val="Tahoma"/>
            <family val="2"/>
            <charset val="238"/>
          </rPr>
          <t xml:space="preserve">
</t>
        </r>
      </text>
    </comment>
    <comment ref="T39" authorId="0">
      <text>
        <r>
          <rPr>
            <b/>
            <sz val="14"/>
            <color indexed="81"/>
            <rFont val="Times New Roman"/>
            <family val="1"/>
          </rPr>
          <t xml:space="preserve">wpisz nr gry
</t>
        </r>
        <r>
          <rPr>
            <sz val="8"/>
            <color indexed="81"/>
            <rFont val="Tahoma"/>
            <family val="2"/>
            <charset val="238"/>
          </rPr>
          <t xml:space="preserve">
</t>
        </r>
      </text>
    </comment>
    <comment ref="P41" authorId="0">
      <text>
        <r>
          <rPr>
            <b/>
            <sz val="14"/>
            <color indexed="81"/>
            <rFont val="Times New Roman"/>
            <family val="1"/>
          </rPr>
          <t xml:space="preserve">wpisz nr gry
</t>
        </r>
        <r>
          <rPr>
            <sz val="8"/>
            <color indexed="81"/>
            <rFont val="Tahoma"/>
            <family val="2"/>
            <charset val="238"/>
          </rPr>
          <t xml:space="preserve">
</t>
        </r>
      </text>
    </comment>
    <comment ref="Q43" authorId="0">
      <text>
        <r>
          <rPr>
            <b/>
            <sz val="14"/>
            <color indexed="81"/>
            <rFont val="Times New Roman"/>
            <family val="1"/>
          </rPr>
          <t xml:space="preserve">wpisz nr gry
</t>
        </r>
        <r>
          <rPr>
            <sz val="8"/>
            <color indexed="81"/>
            <rFont val="Tahoma"/>
            <family val="2"/>
            <charset val="238"/>
          </rPr>
          <t xml:space="preserve">
</t>
        </r>
      </text>
    </comment>
    <comment ref="P45" authorId="0">
      <text>
        <r>
          <rPr>
            <b/>
            <sz val="14"/>
            <color indexed="81"/>
            <rFont val="Times New Roman"/>
            <family val="1"/>
          </rPr>
          <t xml:space="preserve">wpisz nr gry
</t>
        </r>
        <r>
          <rPr>
            <sz val="8"/>
            <color indexed="81"/>
            <rFont val="Tahoma"/>
            <family val="2"/>
            <charset val="238"/>
          </rPr>
          <t xml:space="preserve">
</t>
        </r>
      </text>
    </comment>
    <comment ref="R47" authorId="0">
      <text>
        <r>
          <rPr>
            <b/>
            <sz val="14"/>
            <color indexed="81"/>
            <rFont val="Times New Roman"/>
            <family val="1"/>
          </rPr>
          <t xml:space="preserve">wpisz nr gry
</t>
        </r>
        <r>
          <rPr>
            <sz val="8"/>
            <color indexed="81"/>
            <rFont val="Tahoma"/>
            <family val="2"/>
            <charset val="238"/>
          </rPr>
          <t xml:space="preserve">
</t>
        </r>
      </text>
    </comment>
    <comment ref="P49" authorId="0">
      <text>
        <r>
          <rPr>
            <b/>
            <sz val="14"/>
            <color indexed="81"/>
            <rFont val="Times New Roman"/>
            <family val="1"/>
          </rPr>
          <t xml:space="preserve">wpisz nr gry
</t>
        </r>
        <r>
          <rPr>
            <sz val="8"/>
            <color indexed="81"/>
            <rFont val="Tahoma"/>
            <family val="2"/>
            <charset val="238"/>
          </rPr>
          <t xml:space="preserve">
</t>
        </r>
      </text>
    </comment>
    <comment ref="Q51" authorId="0">
      <text>
        <r>
          <rPr>
            <b/>
            <sz val="14"/>
            <color indexed="81"/>
            <rFont val="Times New Roman"/>
            <family val="1"/>
          </rPr>
          <t xml:space="preserve">wpisz nr gry
</t>
        </r>
        <r>
          <rPr>
            <sz val="8"/>
            <color indexed="81"/>
            <rFont val="Tahoma"/>
            <family val="2"/>
            <charset val="238"/>
          </rPr>
          <t xml:space="preserve">
</t>
        </r>
      </text>
    </comment>
    <comment ref="P53" authorId="0">
      <text>
        <r>
          <rPr>
            <b/>
            <sz val="14"/>
            <color indexed="81"/>
            <rFont val="Times New Roman"/>
            <family val="1"/>
          </rPr>
          <t xml:space="preserve">wpisz nr gry
</t>
        </r>
        <r>
          <rPr>
            <sz val="8"/>
            <color indexed="81"/>
            <rFont val="Tahoma"/>
            <family val="2"/>
            <charset val="238"/>
          </rPr>
          <t xml:space="preserve">
</t>
        </r>
      </text>
    </comment>
    <comment ref="S55" authorId="0">
      <text>
        <r>
          <rPr>
            <b/>
            <sz val="14"/>
            <color indexed="81"/>
            <rFont val="Times New Roman"/>
            <family val="1"/>
          </rPr>
          <t xml:space="preserve">wpisz nr gry
</t>
        </r>
        <r>
          <rPr>
            <sz val="8"/>
            <color indexed="81"/>
            <rFont val="Tahoma"/>
            <family val="2"/>
            <charset val="238"/>
          </rPr>
          <t xml:space="preserve">
</t>
        </r>
      </text>
    </comment>
    <comment ref="P57" authorId="0">
      <text>
        <r>
          <rPr>
            <b/>
            <sz val="14"/>
            <color indexed="81"/>
            <rFont val="Times New Roman"/>
            <family val="1"/>
          </rPr>
          <t xml:space="preserve">wpisz nr gry
</t>
        </r>
        <r>
          <rPr>
            <sz val="8"/>
            <color indexed="81"/>
            <rFont val="Tahoma"/>
            <family val="2"/>
            <charset val="238"/>
          </rPr>
          <t xml:space="preserve">
</t>
        </r>
      </text>
    </comment>
    <comment ref="Q59" authorId="0">
      <text>
        <r>
          <rPr>
            <b/>
            <sz val="14"/>
            <color indexed="81"/>
            <rFont val="Times New Roman"/>
            <family val="1"/>
          </rPr>
          <t xml:space="preserve">wpisz nr gry
</t>
        </r>
        <r>
          <rPr>
            <sz val="8"/>
            <color indexed="81"/>
            <rFont val="Tahoma"/>
            <family val="2"/>
            <charset val="238"/>
          </rPr>
          <t xml:space="preserve">
</t>
        </r>
      </text>
    </comment>
    <comment ref="P61" authorId="0">
      <text>
        <r>
          <rPr>
            <b/>
            <sz val="14"/>
            <color indexed="81"/>
            <rFont val="Times New Roman"/>
            <family val="1"/>
          </rPr>
          <t xml:space="preserve">wpisz nr gry
</t>
        </r>
        <r>
          <rPr>
            <sz val="8"/>
            <color indexed="81"/>
            <rFont val="Tahoma"/>
            <family val="2"/>
            <charset val="238"/>
          </rPr>
          <t xml:space="preserve">
</t>
        </r>
      </text>
    </comment>
    <comment ref="R63" authorId="0">
      <text>
        <r>
          <rPr>
            <b/>
            <sz val="14"/>
            <color indexed="81"/>
            <rFont val="Times New Roman"/>
            <family val="1"/>
          </rPr>
          <t xml:space="preserve">wpisz nr gry
</t>
        </r>
        <r>
          <rPr>
            <sz val="8"/>
            <color indexed="81"/>
            <rFont val="Tahoma"/>
            <family val="2"/>
            <charset val="238"/>
          </rPr>
          <t xml:space="preserve">
</t>
        </r>
      </text>
    </comment>
    <comment ref="P65" authorId="0">
      <text>
        <r>
          <rPr>
            <b/>
            <sz val="14"/>
            <color indexed="81"/>
            <rFont val="Times New Roman"/>
            <family val="1"/>
          </rPr>
          <t xml:space="preserve">wpisz nr gry
</t>
        </r>
        <r>
          <rPr>
            <sz val="8"/>
            <color indexed="81"/>
            <rFont val="Tahoma"/>
            <family val="2"/>
            <charset val="238"/>
          </rPr>
          <t xml:space="preserve">
</t>
        </r>
      </text>
    </comment>
    <comment ref="T66" authorId="0">
      <text>
        <r>
          <rPr>
            <b/>
            <sz val="14"/>
            <color indexed="81"/>
            <rFont val="Times New Roman"/>
            <family val="1"/>
          </rPr>
          <t xml:space="preserve">wpisz nr gry
</t>
        </r>
        <r>
          <rPr>
            <sz val="8"/>
            <color indexed="81"/>
            <rFont val="Tahoma"/>
            <family val="2"/>
            <charset val="238"/>
          </rPr>
          <t xml:space="preserve">
</t>
        </r>
      </text>
    </comment>
    <comment ref="Q67" authorId="0">
      <text>
        <r>
          <rPr>
            <b/>
            <sz val="14"/>
            <color indexed="81"/>
            <rFont val="Times New Roman"/>
            <family val="1"/>
          </rPr>
          <t xml:space="preserve">wpisz nr gry
</t>
        </r>
        <r>
          <rPr>
            <sz val="8"/>
            <color indexed="81"/>
            <rFont val="Tahoma"/>
            <family val="2"/>
            <charset val="238"/>
          </rPr>
          <t xml:space="preserve">
</t>
        </r>
      </text>
    </comment>
    <comment ref="P69" authorId="0">
      <text>
        <r>
          <rPr>
            <b/>
            <sz val="14"/>
            <color indexed="81"/>
            <rFont val="Times New Roman"/>
            <family val="1"/>
          </rPr>
          <t xml:space="preserve">wpisz nr gry
</t>
        </r>
        <r>
          <rPr>
            <sz val="8"/>
            <color indexed="81"/>
            <rFont val="Tahoma"/>
            <family val="2"/>
            <charset val="238"/>
          </rPr>
          <t xml:space="preserve">
</t>
        </r>
      </text>
    </comment>
    <comment ref="P75" authorId="0">
      <text>
        <r>
          <rPr>
            <b/>
            <sz val="14"/>
            <color indexed="81"/>
            <rFont val="Times New Roman"/>
            <family val="1"/>
          </rPr>
          <t xml:space="preserve">wpisz nr gry
</t>
        </r>
        <r>
          <rPr>
            <sz val="8"/>
            <color indexed="81"/>
            <rFont val="Tahoma"/>
            <family val="2"/>
            <charset val="238"/>
          </rPr>
          <t xml:space="preserve">
</t>
        </r>
      </text>
    </comment>
    <comment ref="Q77" authorId="0">
      <text>
        <r>
          <rPr>
            <b/>
            <sz val="14"/>
            <color indexed="81"/>
            <rFont val="Times New Roman"/>
            <family val="1"/>
          </rPr>
          <t xml:space="preserve">wpisz nr gry
</t>
        </r>
        <r>
          <rPr>
            <sz val="8"/>
            <color indexed="81"/>
            <rFont val="Tahoma"/>
            <family val="2"/>
            <charset val="238"/>
          </rPr>
          <t xml:space="preserve">
</t>
        </r>
      </text>
    </comment>
    <comment ref="P79" authorId="0">
      <text>
        <r>
          <rPr>
            <b/>
            <sz val="14"/>
            <color indexed="81"/>
            <rFont val="Times New Roman"/>
            <family val="1"/>
          </rPr>
          <t xml:space="preserve">wpisz nr gry
</t>
        </r>
        <r>
          <rPr>
            <sz val="8"/>
            <color indexed="81"/>
            <rFont val="Tahoma"/>
            <family val="2"/>
            <charset val="238"/>
          </rPr>
          <t xml:space="preserve">
</t>
        </r>
      </text>
    </comment>
    <comment ref="R81" authorId="0">
      <text>
        <r>
          <rPr>
            <b/>
            <sz val="14"/>
            <color indexed="81"/>
            <rFont val="Times New Roman"/>
            <family val="1"/>
          </rPr>
          <t xml:space="preserve">wpisz nr gry
</t>
        </r>
        <r>
          <rPr>
            <sz val="8"/>
            <color indexed="81"/>
            <rFont val="Tahoma"/>
            <family val="2"/>
            <charset val="238"/>
          </rPr>
          <t xml:space="preserve">
</t>
        </r>
      </text>
    </comment>
    <comment ref="P83" authorId="0">
      <text>
        <r>
          <rPr>
            <b/>
            <sz val="14"/>
            <color indexed="81"/>
            <rFont val="Times New Roman"/>
            <family val="1"/>
          </rPr>
          <t xml:space="preserve">wpisz nr gry
</t>
        </r>
        <r>
          <rPr>
            <sz val="8"/>
            <color indexed="81"/>
            <rFont val="Tahoma"/>
            <family val="2"/>
            <charset val="238"/>
          </rPr>
          <t xml:space="preserve">
</t>
        </r>
      </text>
    </comment>
    <comment ref="Q85" authorId="0">
      <text>
        <r>
          <rPr>
            <b/>
            <sz val="14"/>
            <color indexed="81"/>
            <rFont val="Times New Roman"/>
            <family val="1"/>
          </rPr>
          <t xml:space="preserve">wpisz nr gry
</t>
        </r>
        <r>
          <rPr>
            <sz val="8"/>
            <color indexed="81"/>
            <rFont val="Tahoma"/>
            <family val="2"/>
            <charset val="238"/>
          </rPr>
          <t xml:space="preserve">
</t>
        </r>
      </text>
    </comment>
    <comment ref="P87" authorId="0">
      <text>
        <r>
          <rPr>
            <b/>
            <sz val="14"/>
            <color indexed="81"/>
            <rFont val="Times New Roman"/>
            <family val="1"/>
          </rPr>
          <t xml:space="preserve">wpisz nr gry
</t>
        </r>
        <r>
          <rPr>
            <sz val="8"/>
            <color indexed="81"/>
            <rFont val="Tahoma"/>
            <family val="2"/>
            <charset val="238"/>
          </rPr>
          <t xml:space="preserve">
</t>
        </r>
      </text>
    </comment>
    <comment ref="S89" authorId="0">
      <text>
        <r>
          <rPr>
            <b/>
            <sz val="14"/>
            <color indexed="81"/>
            <rFont val="Times New Roman"/>
            <family val="1"/>
          </rPr>
          <t xml:space="preserve">wpisz nr gry
</t>
        </r>
        <r>
          <rPr>
            <sz val="8"/>
            <color indexed="81"/>
            <rFont val="Tahoma"/>
            <family val="2"/>
            <charset val="238"/>
          </rPr>
          <t xml:space="preserve">
</t>
        </r>
      </text>
    </comment>
    <comment ref="P91" authorId="0">
      <text>
        <r>
          <rPr>
            <b/>
            <sz val="14"/>
            <color indexed="81"/>
            <rFont val="Times New Roman"/>
            <family val="1"/>
          </rPr>
          <t xml:space="preserve">wpisz nr gry
</t>
        </r>
        <r>
          <rPr>
            <sz val="8"/>
            <color indexed="81"/>
            <rFont val="Tahoma"/>
            <family val="2"/>
            <charset val="238"/>
          </rPr>
          <t xml:space="preserve">
</t>
        </r>
      </text>
    </comment>
    <comment ref="Q93" authorId="0">
      <text>
        <r>
          <rPr>
            <b/>
            <sz val="14"/>
            <color indexed="81"/>
            <rFont val="Times New Roman"/>
            <family val="1"/>
          </rPr>
          <t xml:space="preserve">wpisz nr gry
</t>
        </r>
        <r>
          <rPr>
            <sz val="8"/>
            <color indexed="81"/>
            <rFont val="Tahoma"/>
            <family val="2"/>
            <charset val="238"/>
          </rPr>
          <t xml:space="preserve">
</t>
        </r>
      </text>
    </comment>
    <comment ref="P95" authorId="0">
      <text>
        <r>
          <rPr>
            <b/>
            <sz val="14"/>
            <color indexed="81"/>
            <rFont val="Times New Roman"/>
            <family val="1"/>
          </rPr>
          <t xml:space="preserve">wpisz nr gry
</t>
        </r>
        <r>
          <rPr>
            <sz val="8"/>
            <color indexed="81"/>
            <rFont val="Tahoma"/>
            <family val="2"/>
            <charset val="238"/>
          </rPr>
          <t xml:space="preserve">
</t>
        </r>
      </text>
    </comment>
    <comment ref="R97" authorId="0">
      <text>
        <r>
          <rPr>
            <b/>
            <sz val="14"/>
            <color indexed="81"/>
            <rFont val="Times New Roman"/>
            <family val="1"/>
          </rPr>
          <t xml:space="preserve">wpisz nr gry
</t>
        </r>
        <r>
          <rPr>
            <sz val="8"/>
            <color indexed="81"/>
            <rFont val="Tahoma"/>
            <family val="2"/>
            <charset val="238"/>
          </rPr>
          <t xml:space="preserve">
</t>
        </r>
      </text>
    </comment>
    <comment ref="P99" authorId="0">
      <text>
        <r>
          <rPr>
            <b/>
            <sz val="14"/>
            <color indexed="81"/>
            <rFont val="Times New Roman"/>
            <family val="1"/>
          </rPr>
          <t xml:space="preserve">wpisz nr gry
</t>
        </r>
        <r>
          <rPr>
            <sz val="8"/>
            <color indexed="81"/>
            <rFont val="Tahoma"/>
            <family val="2"/>
            <charset val="238"/>
          </rPr>
          <t xml:space="preserve">
</t>
        </r>
      </text>
    </comment>
    <comment ref="Q101" authorId="0">
      <text>
        <r>
          <rPr>
            <b/>
            <sz val="14"/>
            <color indexed="81"/>
            <rFont val="Times New Roman"/>
            <family val="1"/>
          </rPr>
          <t xml:space="preserve">wpisz nr gry
</t>
        </r>
        <r>
          <rPr>
            <sz val="8"/>
            <color indexed="81"/>
            <rFont val="Tahoma"/>
            <family val="2"/>
            <charset val="238"/>
          </rPr>
          <t xml:space="preserve">
</t>
        </r>
      </text>
    </comment>
    <comment ref="P103" authorId="0">
      <text>
        <r>
          <rPr>
            <b/>
            <sz val="14"/>
            <color indexed="81"/>
            <rFont val="Times New Roman"/>
            <family val="1"/>
          </rPr>
          <t xml:space="preserve">wpisz nr gry
</t>
        </r>
        <r>
          <rPr>
            <sz val="8"/>
            <color indexed="81"/>
            <rFont val="Tahoma"/>
            <family val="2"/>
            <charset val="238"/>
          </rPr>
          <t xml:space="preserve">
</t>
        </r>
      </text>
    </comment>
    <comment ref="T105" authorId="0">
      <text>
        <r>
          <rPr>
            <b/>
            <sz val="14"/>
            <color indexed="81"/>
            <rFont val="Times New Roman"/>
            <family val="1"/>
          </rPr>
          <t xml:space="preserve">wpisz nr gry
</t>
        </r>
        <r>
          <rPr>
            <sz val="8"/>
            <color indexed="81"/>
            <rFont val="Tahoma"/>
            <family val="2"/>
            <charset val="238"/>
          </rPr>
          <t xml:space="preserve">
</t>
        </r>
      </text>
    </comment>
    <comment ref="P107" authorId="0">
      <text>
        <r>
          <rPr>
            <b/>
            <sz val="14"/>
            <color indexed="81"/>
            <rFont val="Times New Roman"/>
            <family val="1"/>
          </rPr>
          <t xml:space="preserve">wpisz nr gry
</t>
        </r>
        <r>
          <rPr>
            <sz val="8"/>
            <color indexed="81"/>
            <rFont val="Tahoma"/>
            <family val="2"/>
            <charset val="238"/>
          </rPr>
          <t xml:space="preserve">
</t>
        </r>
      </text>
    </comment>
    <comment ref="Q109" authorId="0">
      <text>
        <r>
          <rPr>
            <b/>
            <sz val="14"/>
            <color indexed="81"/>
            <rFont val="Times New Roman"/>
            <family val="1"/>
          </rPr>
          <t xml:space="preserve">wpisz nr gry
</t>
        </r>
        <r>
          <rPr>
            <sz val="8"/>
            <color indexed="81"/>
            <rFont val="Tahoma"/>
            <family val="2"/>
            <charset val="238"/>
          </rPr>
          <t xml:space="preserve">
</t>
        </r>
      </text>
    </comment>
    <comment ref="P111" authorId="0">
      <text>
        <r>
          <rPr>
            <b/>
            <sz val="14"/>
            <color indexed="81"/>
            <rFont val="Times New Roman"/>
            <family val="1"/>
          </rPr>
          <t xml:space="preserve">wpisz nr gry
</t>
        </r>
        <r>
          <rPr>
            <sz val="8"/>
            <color indexed="81"/>
            <rFont val="Tahoma"/>
            <family val="2"/>
            <charset val="238"/>
          </rPr>
          <t xml:space="preserve">
</t>
        </r>
      </text>
    </comment>
    <comment ref="R113" authorId="0">
      <text>
        <r>
          <rPr>
            <b/>
            <sz val="14"/>
            <color indexed="81"/>
            <rFont val="Times New Roman"/>
            <family val="1"/>
          </rPr>
          <t xml:space="preserve">wpisz nr gry
</t>
        </r>
        <r>
          <rPr>
            <sz val="8"/>
            <color indexed="81"/>
            <rFont val="Tahoma"/>
            <family val="2"/>
            <charset val="238"/>
          </rPr>
          <t xml:space="preserve">
</t>
        </r>
      </text>
    </comment>
    <comment ref="P115" authorId="0">
      <text>
        <r>
          <rPr>
            <b/>
            <sz val="14"/>
            <color indexed="81"/>
            <rFont val="Times New Roman"/>
            <family val="1"/>
          </rPr>
          <t xml:space="preserve">wpisz nr gry
</t>
        </r>
        <r>
          <rPr>
            <sz val="8"/>
            <color indexed="81"/>
            <rFont val="Tahoma"/>
            <family val="2"/>
            <charset val="238"/>
          </rPr>
          <t xml:space="preserve">
</t>
        </r>
      </text>
    </comment>
    <comment ref="Q117" authorId="0">
      <text>
        <r>
          <rPr>
            <b/>
            <sz val="14"/>
            <color indexed="81"/>
            <rFont val="Times New Roman"/>
            <family val="1"/>
          </rPr>
          <t xml:space="preserve">wpisz nr gry
</t>
        </r>
        <r>
          <rPr>
            <sz val="8"/>
            <color indexed="81"/>
            <rFont val="Tahoma"/>
            <family val="2"/>
            <charset val="238"/>
          </rPr>
          <t xml:space="preserve">
</t>
        </r>
      </text>
    </comment>
    <comment ref="P119" authorId="0">
      <text>
        <r>
          <rPr>
            <b/>
            <sz val="14"/>
            <color indexed="81"/>
            <rFont val="Times New Roman"/>
            <family val="1"/>
          </rPr>
          <t xml:space="preserve">wpisz nr gry
</t>
        </r>
        <r>
          <rPr>
            <sz val="8"/>
            <color indexed="81"/>
            <rFont val="Tahoma"/>
            <family val="2"/>
            <charset val="238"/>
          </rPr>
          <t xml:space="preserve">
</t>
        </r>
      </text>
    </comment>
    <comment ref="S121" authorId="0">
      <text>
        <r>
          <rPr>
            <b/>
            <sz val="14"/>
            <color indexed="81"/>
            <rFont val="Times New Roman"/>
            <family val="1"/>
          </rPr>
          <t xml:space="preserve">wpisz nr gry
</t>
        </r>
        <r>
          <rPr>
            <sz val="8"/>
            <color indexed="81"/>
            <rFont val="Tahoma"/>
            <family val="2"/>
            <charset val="238"/>
          </rPr>
          <t xml:space="preserve">
</t>
        </r>
      </text>
    </comment>
    <comment ref="P123" authorId="0">
      <text>
        <r>
          <rPr>
            <b/>
            <sz val="14"/>
            <color indexed="81"/>
            <rFont val="Times New Roman"/>
            <family val="1"/>
          </rPr>
          <t xml:space="preserve">wpisz nr gry
</t>
        </r>
        <r>
          <rPr>
            <sz val="8"/>
            <color indexed="81"/>
            <rFont val="Tahoma"/>
            <family val="2"/>
            <charset val="238"/>
          </rPr>
          <t xml:space="preserve">
</t>
        </r>
      </text>
    </comment>
    <comment ref="Q125" authorId="0">
      <text>
        <r>
          <rPr>
            <b/>
            <sz val="14"/>
            <color indexed="81"/>
            <rFont val="Times New Roman"/>
            <family val="1"/>
          </rPr>
          <t xml:space="preserve">wpisz nr gry
</t>
        </r>
        <r>
          <rPr>
            <sz val="8"/>
            <color indexed="81"/>
            <rFont val="Tahoma"/>
            <family val="2"/>
            <charset val="238"/>
          </rPr>
          <t xml:space="preserve">
</t>
        </r>
      </text>
    </comment>
    <comment ref="P127" authorId="0">
      <text>
        <r>
          <rPr>
            <b/>
            <sz val="14"/>
            <color indexed="81"/>
            <rFont val="Times New Roman"/>
            <family val="1"/>
          </rPr>
          <t xml:space="preserve">wpisz nr gry
</t>
        </r>
        <r>
          <rPr>
            <sz val="8"/>
            <color indexed="81"/>
            <rFont val="Tahoma"/>
            <family val="2"/>
            <charset val="238"/>
          </rPr>
          <t xml:space="preserve">
</t>
        </r>
      </text>
    </comment>
    <comment ref="R129" authorId="0">
      <text>
        <r>
          <rPr>
            <b/>
            <sz val="14"/>
            <color indexed="81"/>
            <rFont val="Times New Roman"/>
            <family val="1"/>
          </rPr>
          <t xml:space="preserve">wpisz nr gry
</t>
        </r>
        <r>
          <rPr>
            <sz val="8"/>
            <color indexed="81"/>
            <rFont val="Tahoma"/>
            <family val="2"/>
            <charset val="238"/>
          </rPr>
          <t xml:space="preserve">
</t>
        </r>
      </text>
    </comment>
    <comment ref="P131" authorId="0">
      <text>
        <r>
          <rPr>
            <b/>
            <sz val="14"/>
            <color indexed="81"/>
            <rFont val="Times New Roman"/>
            <family val="1"/>
          </rPr>
          <t xml:space="preserve">wpisz nr gry
</t>
        </r>
        <r>
          <rPr>
            <sz val="8"/>
            <color indexed="81"/>
            <rFont val="Tahoma"/>
            <family val="2"/>
            <charset val="238"/>
          </rPr>
          <t xml:space="preserve">
</t>
        </r>
      </text>
    </comment>
    <comment ref="Q133" authorId="0">
      <text>
        <r>
          <rPr>
            <b/>
            <sz val="14"/>
            <color indexed="81"/>
            <rFont val="Times New Roman"/>
            <family val="1"/>
          </rPr>
          <t xml:space="preserve">wpisz nr gry
</t>
        </r>
        <r>
          <rPr>
            <sz val="8"/>
            <color indexed="81"/>
            <rFont val="Tahoma"/>
            <family val="2"/>
            <charset val="238"/>
          </rPr>
          <t xml:space="preserve">
</t>
        </r>
      </text>
    </comment>
    <comment ref="P135" authorId="0">
      <text>
        <r>
          <rPr>
            <b/>
            <sz val="14"/>
            <color indexed="81"/>
            <rFont val="Times New Roman"/>
            <family val="1"/>
          </rPr>
          <t xml:space="preserve">wpisz nr gry
</t>
        </r>
        <r>
          <rPr>
            <sz val="8"/>
            <color indexed="81"/>
            <rFont val="Tahoma"/>
            <family val="2"/>
            <charset val="238"/>
          </rPr>
          <t xml:space="preserve">
</t>
        </r>
      </text>
    </comment>
    <comment ref="L141" authorId="0">
      <text>
        <r>
          <rPr>
            <b/>
            <sz val="9"/>
            <color indexed="81"/>
            <rFont val="Tahoma"/>
            <family val="2"/>
            <charset val="238"/>
          </rPr>
          <t>Dla systemu grupowo-pucharowego wpisz miejsce w grupie.</t>
        </r>
        <r>
          <rPr>
            <sz val="9"/>
            <color indexed="81"/>
            <rFont val="Tahoma"/>
            <family val="2"/>
            <charset val="238"/>
          </rPr>
          <t xml:space="preserve">
</t>
        </r>
      </text>
    </comment>
    <comment ref="L142" authorId="0">
      <text>
        <r>
          <rPr>
            <b/>
            <sz val="10"/>
            <color indexed="81"/>
            <rFont val="Times New Roman CE"/>
            <family val="1"/>
            <charset val="238"/>
          </rPr>
          <t>Dla systemu pucharowego wpisz ilość zawodników.
Dla systemu grupowo-pucharowego wpisz ilość grup.</t>
        </r>
      </text>
    </comment>
    <comment ref="P144" authorId="0">
      <text>
        <r>
          <rPr>
            <b/>
            <sz val="14"/>
            <color indexed="81"/>
            <rFont val="Times New Roman"/>
            <family val="1"/>
          </rPr>
          <t xml:space="preserve">wpisz nr gry
</t>
        </r>
        <r>
          <rPr>
            <sz val="8"/>
            <color indexed="81"/>
            <rFont val="Tahoma"/>
            <family val="2"/>
            <charset val="238"/>
          </rPr>
          <t xml:space="preserve">
</t>
        </r>
      </text>
    </comment>
    <comment ref="Q146" authorId="0">
      <text>
        <r>
          <rPr>
            <b/>
            <sz val="14"/>
            <color indexed="81"/>
            <rFont val="Times New Roman"/>
            <family val="1"/>
          </rPr>
          <t xml:space="preserve">wpisz nr gry
</t>
        </r>
        <r>
          <rPr>
            <sz val="8"/>
            <color indexed="81"/>
            <rFont val="Tahoma"/>
            <family val="2"/>
            <charset val="238"/>
          </rPr>
          <t xml:space="preserve">
</t>
        </r>
      </text>
    </comment>
    <comment ref="P148" authorId="0">
      <text>
        <r>
          <rPr>
            <b/>
            <sz val="14"/>
            <color indexed="81"/>
            <rFont val="Times New Roman"/>
            <family val="1"/>
          </rPr>
          <t xml:space="preserve">wpisz nr gry
</t>
        </r>
        <r>
          <rPr>
            <sz val="8"/>
            <color indexed="81"/>
            <rFont val="Tahoma"/>
            <family val="2"/>
            <charset val="238"/>
          </rPr>
          <t xml:space="preserve">
</t>
        </r>
      </text>
    </comment>
    <comment ref="R150" authorId="0">
      <text>
        <r>
          <rPr>
            <b/>
            <sz val="14"/>
            <color indexed="81"/>
            <rFont val="Times New Roman"/>
            <family val="1"/>
          </rPr>
          <t xml:space="preserve">wpisz nr gry
</t>
        </r>
        <r>
          <rPr>
            <sz val="8"/>
            <color indexed="81"/>
            <rFont val="Tahoma"/>
            <family val="2"/>
            <charset val="238"/>
          </rPr>
          <t xml:space="preserve">
</t>
        </r>
      </text>
    </comment>
    <comment ref="P152" authorId="0">
      <text>
        <r>
          <rPr>
            <b/>
            <sz val="14"/>
            <color indexed="81"/>
            <rFont val="Times New Roman"/>
            <family val="1"/>
          </rPr>
          <t xml:space="preserve">wpisz nr gry
</t>
        </r>
        <r>
          <rPr>
            <sz val="8"/>
            <color indexed="81"/>
            <rFont val="Tahoma"/>
            <family val="2"/>
            <charset val="238"/>
          </rPr>
          <t xml:space="preserve">
</t>
        </r>
      </text>
    </comment>
    <comment ref="Q154" authorId="0">
      <text>
        <r>
          <rPr>
            <b/>
            <sz val="14"/>
            <color indexed="81"/>
            <rFont val="Times New Roman"/>
            <family val="1"/>
          </rPr>
          <t xml:space="preserve">wpisz nr gry
</t>
        </r>
        <r>
          <rPr>
            <sz val="8"/>
            <color indexed="81"/>
            <rFont val="Tahoma"/>
            <family val="2"/>
            <charset val="238"/>
          </rPr>
          <t xml:space="preserve">
</t>
        </r>
      </text>
    </comment>
    <comment ref="P156" authorId="0">
      <text>
        <r>
          <rPr>
            <b/>
            <sz val="14"/>
            <color indexed="81"/>
            <rFont val="Times New Roman"/>
            <family val="1"/>
          </rPr>
          <t xml:space="preserve">wpisz nr gry
</t>
        </r>
        <r>
          <rPr>
            <sz val="8"/>
            <color indexed="81"/>
            <rFont val="Tahoma"/>
            <family val="2"/>
            <charset val="238"/>
          </rPr>
          <t xml:space="preserve">
</t>
        </r>
      </text>
    </comment>
    <comment ref="S158" authorId="0">
      <text>
        <r>
          <rPr>
            <b/>
            <sz val="14"/>
            <color indexed="81"/>
            <rFont val="Times New Roman"/>
            <family val="1"/>
          </rPr>
          <t xml:space="preserve">wpisz nr gry
</t>
        </r>
        <r>
          <rPr>
            <sz val="8"/>
            <color indexed="81"/>
            <rFont val="Tahoma"/>
            <family val="2"/>
            <charset val="238"/>
          </rPr>
          <t xml:space="preserve">
</t>
        </r>
      </text>
    </comment>
    <comment ref="P160" authorId="0">
      <text>
        <r>
          <rPr>
            <b/>
            <sz val="14"/>
            <color indexed="81"/>
            <rFont val="Times New Roman"/>
            <family val="1"/>
          </rPr>
          <t xml:space="preserve">wpisz nr gry
</t>
        </r>
        <r>
          <rPr>
            <sz val="8"/>
            <color indexed="81"/>
            <rFont val="Tahoma"/>
            <family val="2"/>
            <charset val="238"/>
          </rPr>
          <t xml:space="preserve">
</t>
        </r>
      </text>
    </comment>
    <comment ref="Q162" authorId="0">
      <text>
        <r>
          <rPr>
            <b/>
            <sz val="14"/>
            <color indexed="81"/>
            <rFont val="Times New Roman"/>
            <family val="1"/>
          </rPr>
          <t xml:space="preserve">wpisz nr gry
</t>
        </r>
        <r>
          <rPr>
            <sz val="8"/>
            <color indexed="81"/>
            <rFont val="Tahoma"/>
            <family val="2"/>
            <charset val="238"/>
          </rPr>
          <t xml:space="preserve">
</t>
        </r>
      </text>
    </comment>
    <comment ref="P164" authorId="0">
      <text>
        <r>
          <rPr>
            <b/>
            <sz val="14"/>
            <color indexed="81"/>
            <rFont val="Times New Roman"/>
            <family val="1"/>
          </rPr>
          <t xml:space="preserve">wpisz nr gry
</t>
        </r>
        <r>
          <rPr>
            <sz val="8"/>
            <color indexed="81"/>
            <rFont val="Tahoma"/>
            <family val="2"/>
            <charset val="238"/>
          </rPr>
          <t xml:space="preserve">
</t>
        </r>
      </text>
    </comment>
    <comment ref="R166" authorId="0">
      <text>
        <r>
          <rPr>
            <b/>
            <sz val="14"/>
            <color indexed="81"/>
            <rFont val="Times New Roman"/>
            <family val="1"/>
          </rPr>
          <t xml:space="preserve">wpisz nr gry
</t>
        </r>
        <r>
          <rPr>
            <sz val="8"/>
            <color indexed="81"/>
            <rFont val="Tahoma"/>
            <family val="2"/>
            <charset val="238"/>
          </rPr>
          <t xml:space="preserve">
</t>
        </r>
      </text>
    </comment>
    <comment ref="P168" authorId="0">
      <text>
        <r>
          <rPr>
            <b/>
            <sz val="14"/>
            <color indexed="81"/>
            <rFont val="Times New Roman"/>
            <family val="1"/>
          </rPr>
          <t xml:space="preserve">wpisz nr gry
</t>
        </r>
        <r>
          <rPr>
            <sz val="8"/>
            <color indexed="81"/>
            <rFont val="Tahoma"/>
            <family val="2"/>
            <charset val="238"/>
          </rPr>
          <t xml:space="preserve">
</t>
        </r>
      </text>
    </comment>
    <comment ref="Q170" authorId="0">
      <text>
        <r>
          <rPr>
            <b/>
            <sz val="14"/>
            <color indexed="81"/>
            <rFont val="Times New Roman"/>
            <family val="1"/>
          </rPr>
          <t xml:space="preserve">wpisz nr gry
</t>
        </r>
        <r>
          <rPr>
            <sz val="8"/>
            <color indexed="81"/>
            <rFont val="Tahoma"/>
            <family val="2"/>
            <charset val="238"/>
          </rPr>
          <t xml:space="preserve">
</t>
        </r>
      </text>
    </comment>
    <comment ref="P172" authorId="0">
      <text>
        <r>
          <rPr>
            <b/>
            <sz val="14"/>
            <color indexed="81"/>
            <rFont val="Times New Roman"/>
            <family val="1"/>
          </rPr>
          <t xml:space="preserve">wpisz nr gry
</t>
        </r>
        <r>
          <rPr>
            <sz val="8"/>
            <color indexed="81"/>
            <rFont val="Tahoma"/>
            <family val="2"/>
            <charset val="238"/>
          </rPr>
          <t xml:space="preserve">
</t>
        </r>
      </text>
    </comment>
    <comment ref="T174" authorId="0">
      <text>
        <r>
          <rPr>
            <b/>
            <sz val="14"/>
            <color indexed="81"/>
            <rFont val="Times New Roman"/>
            <family val="1"/>
          </rPr>
          <t xml:space="preserve">wpisz nr gry
</t>
        </r>
        <r>
          <rPr>
            <sz val="8"/>
            <color indexed="81"/>
            <rFont val="Tahoma"/>
            <family val="2"/>
            <charset val="238"/>
          </rPr>
          <t xml:space="preserve">
</t>
        </r>
      </text>
    </comment>
    <comment ref="P176" authorId="0">
      <text>
        <r>
          <rPr>
            <b/>
            <sz val="14"/>
            <color indexed="81"/>
            <rFont val="Times New Roman"/>
            <family val="1"/>
          </rPr>
          <t xml:space="preserve">wpisz nr gry
</t>
        </r>
        <r>
          <rPr>
            <sz val="8"/>
            <color indexed="81"/>
            <rFont val="Tahoma"/>
            <family val="2"/>
            <charset val="238"/>
          </rPr>
          <t xml:space="preserve">
</t>
        </r>
      </text>
    </comment>
    <comment ref="Q178" authorId="0">
      <text>
        <r>
          <rPr>
            <b/>
            <sz val="14"/>
            <color indexed="81"/>
            <rFont val="Times New Roman"/>
            <family val="1"/>
          </rPr>
          <t xml:space="preserve">wpisz nr gry
</t>
        </r>
        <r>
          <rPr>
            <sz val="8"/>
            <color indexed="81"/>
            <rFont val="Tahoma"/>
            <family val="2"/>
            <charset val="238"/>
          </rPr>
          <t xml:space="preserve">
</t>
        </r>
      </text>
    </comment>
    <comment ref="P180" authorId="0">
      <text>
        <r>
          <rPr>
            <b/>
            <sz val="14"/>
            <color indexed="81"/>
            <rFont val="Times New Roman"/>
            <family val="1"/>
          </rPr>
          <t xml:space="preserve">wpisz nr gry
</t>
        </r>
        <r>
          <rPr>
            <sz val="8"/>
            <color indexed="81"/>
            <rFont val="Tahoma"/>
            <family val="2"/>
            <charset val="238"/>
          </rPr>
          <t xml:space="preserve">
</t>
        </r>
      </text>
    </comment>
    <comment ref="R182" authorId="0">
      <text>
        <r>
          <rPr>
            <b/>
            <sz val="14"/>
            <color indexed="81"/>
            <rFont val="Times New Roman"/>
            <family val="1"/>
          </rPr>
          <t xml:space="preserve">wpisz nr gry
</t>
        </r>
        <r>
          <rPr>
            <sz val="8"/>
            <color indexed="81"/>
            <rFont val="Tahoma"/>
            <family val="2"/>
            <charset val="238"/>
          </rPr>
          <t xml:space="preserve">
</t>
        </r>
      </text>
    </comment>
    <comment ref="P184" authorId="0">
      <text>
        <r>
          <rPr>
            <b/>
            <sz val="14"/>
            <color indexed="81"/>
            <rFont val="Times New Roman"/>
            <family val="1"/>
          </rPr>
          <t xml:space="preserve">wpisz nr gry
</t>
        </r>
        <r>
          <rPr>
            <sz val="8"/>
            <color indexed="81"/>
            <rFont val="Tahoma"/>
            <family val="2"/>
            <charset val="238"/>
          </rPr>
          <t xml:space="preserve">
</t>
        </r>
      </text>
    </comment>
    <comment ref="Q186" authorId="0">
      <text>
        <r>
          <rPr>
            <b/>
            <sz val="14"/>
            <color indexed="81"/>
            <rFont val="Times New Roman"/>
            <family val="1"/>
          </rPr>
          <t xml:space="preserve">wpisz nr gry
</t>
        </r>
        <r>
          <rPr>
            <sz val="8"/>
            <color indexed="81"/>
            <rFont val="Tahoma"/>
            <family val="2"/>
            <charset val="238"/>
          </rPr>
          <t xml:space="preserve">
</t>
        </r>
      </text>
    </comment>
    <comment ref="P188" authorId="0">
      <text>
        <r>
          <rPr>
            <b/>
            <sz val="14"/>
            <color indexed="81"/>
            <rFont val="Times New Roman"/>
            <family val="1"/>
          </rPr>
          <t xml:space="preserve">wpisz nr gry
</t>
        </r>
        <r>
          <rPr>
            <sz val="8"/>
            <color indexed="81"/>
            <rFont val="Tahoma"/>
            <family val="2"/>
            <charset val="238"/>
          </rPr>
          <t xml:space="preserve">
</t>
        </r>
      </text>
    </comment>
    <comment ref="S190" authorId="0">
      <text>
        <r>
          <rPr>
            <b/>
            <sz val="14"/>
            <color indexed="81"/>
            <rFont val="Times New Roman"/>
            <family val="1"/>
          </rPr>
          <t xml:space="preserve">wpisz nr gry
</t>
        </r>
        <r>
          <rPr>
            <sz val="8"/>
            <color indexed="81"/>
            <rFont val="Tahoma"/>
            <family val="2"/>
            <charset val="238"/>
          </rPr>
          <t xml:space="preserve">
</t>
        </r>
      </text>
    </comment>
    <comment ref="P192" authorId="0">
      <text>
        <r>
          <rPr>
            <b/>
            <sz val="14"/>
            <color indexed="81"/>
            <rFont val="Times New Roman"/>
            <family val="1"/>
          </rPr>
          <t xml:space="preserve">wpisz nr gry
</t>
        </r>
        <r>
          <rPr>
            <sz val="8"/>
            <color indexed="81"/>
            <rFont val="Tahoma"/>
            <family val="2"/>
            <charset val="238"/>
          </rPr>
          <t xml:space="preserve">
</t>
        </r>
      </text>
    </comment>
    <comment ref="Q194" authorId="0">
      <text>
        <r>
          <rPr>
            <b/>
            <sz val="14"/>
            <color indexed="81"/>
            <rFont val="Times New Roman"/>
            <family val="1"/>
          </rPr>
          <t xml:space="preserve">wpisz nr gry
</t>
        </r>
        <r>
          <rPr>
            <sz val="8"/>
            <color indexed="81"/>
            <rFont val="Tahoma"/>
            <family val="2"/>
            <charset val="238"/>
          </rPr>
          <t xml:space="preserve">
</t>
        </r>
      </text>
    </comment>
    <comment ref="P196" authorId="0">
      <text>
        <r>
          <rPr>
            <b/>
            <sz val="14"/>
            <color indexed="81"/>
            <rFont val="Times New Roman"/>
            <family val="1"/>
          </rPr>
          <t xml:space="preserve">wpisz nr gry
</t>
        </r>
        <r>
          <rPr>
            <sz val="8"/>
            <color indexed="81"/>
            <rFont val="Tahoma"/>
            <family val="2"/>
            <charset val="238"/>
          </rPr>
          <t xml:space="preserve">
</t>
        </r>
      </text>
    </comment>
    <comment ref="R198" authorId="0">
      <text>
        <r>
          <rPr>
            <b/>
            <sz val="14"/>
            <color indexed="81"/>
            <rFont val="Times New Roman"/>
            <family val="1"/>
          </rPr>
          <t xml:space="preserve">wpisz nr gry
</t>
        </r>
        <r>
          <rPr>
            <sz val="8"/>
            <color indexed="81"/>
            <rFont val="Tahoma"/>
            <family val="2"/>
            <charset val="238"/>
          </rPr>
          <t xml:space="preserve">
</t>
        </r>
      </text>
    </comment>
    <comment ref="P200" authorId="0">
      <text>
        <r>
          <rPr>
            <b/>
            <sz val="14"/>
            <color indexed="81"/>
            <rFont val="Times New Roman"/>
            <family val="1"/>
          </rPr>
          <t xml:space="preserve">wpisz nr gry
</t>
        </r>
        <r>
          <rPr>
            <sz val="8"/>
            <color indexed="81"/>
            <rFont val="Tahoma"/>
            <family val="2"/>
            <charset val="238"/>
          </rPr>
          <t xml:space="preserve">
</t>
        </r>
      </text>
    </comment>
    <comment ref="T201" authorId="0">
      <text>
        <r>
          <rPr>
            <b/>
            <sz val="14"/>
            <color indexed="81"/>
            <rFont val="Times New Roman"/>
            <family val="1"/>
          </rPr>
          <t xml:space="preserve">wpisz nr gry
</t>
        </r>
        <r>
          <rPr>
            <sz val="8"/>
            <color indexed="81"/>
            <rFont val="Tahoma"/>
            <family val="2"/>
            <charset val="238"/>
          </rPr>
          <t xml:space="preserve">
</t>
        </r>
      </text>
    </comment>
    <comment ref="Q202" authorId="0">
      <text>
        <r>
          <rPr>
            <b/>
            <sz val="14"/>
            <color indexed="81"/>
            <rFont val="Times New Roman"/>
            <family val="1"/>
          </rPr>
          <t xml:space="preserve">wpisz nr gry
</t>
        </r>
        <r>
          <rPr>
            <sz val="8"/>
            <color indexed="81"/>
            <rFont val="Tahoma"/>
            <family val="2"/>
            <charset val="238"/>
          </rPr>
          <t xml:space="preserve">
</t>
        </r>
      </text>
    </comment>
    <comment ref="P204" authorId="0">
      <text>
        <r>
          <rPr>
            <b/>
            <sz val="14"/>
            <color indexed="81"/>
            <rFont val="Times New Roman"/>
            <family val="1"/>
          </rPr>
          <t xml:space="preserve">wpisz nr gry
</t>
        </r>
        <r>
          <rPr>
            <sz val="8"/>
            <color indexed="81"/>
            <rFont val="Tahoma"/>
            <family val="2"/>
            <charset val="238"/>
          </rPr>
          <t xml:space="preserve">
</t>
        </r>
      </text>
    </comment>
    <comment ref="P210" authorId="0">
      <text>
        <r>
          <rPr>
            <b/>
            <sz val="14"/>
            <color indexed="81"/>
            <rFont val="Times New Roman"/>
            <family val="1"/>
          </rPr>
          <t xml:space="preserve">wpisz nr gry
</t>
        </r>
        <r>
          <rPr>
            <sz val="8"/>
            <color indexed="81"/>
            <rFont val="Tahoma"/>
            <family val="2"/>
            <charset val="238"/>
          </rPr>
          <t xml:space="preserve">
</t>
        </r>
      </text>
    </comment>
    <comment ref="Q212" authorId="0">
      <text>
        <r>
          <rPr>
            <b/>
            <sz val="14"/>
            <color indexed="81"/>
            <rFont val="Times New Roman"/>
            <family val="1"/>
          </rPr>
          <t xml:space="preserve">wpisz nr gry
</t>
        </r>
        <r>
          <rPr>
            <sz val="8"/>
            <color indexed="81"/>
            <rFont val="Tahoma"/>
            <family val="2"/>
            <charset val="238"/>
          </rPr>
          <t xml:space="preserve">
</t>
        </r>
      </text>
    </comment>
    <comment ref="P214" authorId="0">
      <text>
        <r>
          <rPr>
            <b/>
            <sz val="14"/>
            <color indexed="81"/>
            <rFont val="Times New Roman"/>
            <family val="1"/>
          </rPr>
          <t xml:space="preserve">wpisz nr gry
</t>
        </r>
        <r>
          <rPr>
            <sz val="8"/>
            <color indexed="81"/>
            <rFont val="Tahoma"/>
            <family val="2"/>
            <charset val="238"/>
          </rPr>
          <t xml:space="preserve">
</t>
        </r>
      </text>
    </comment>
    <comment ref="R216" authorId="0">
      <text>
        <r>
          <rPr>
            <b/>
            <sz val="14"/>
            <color indexed="81"/>
            <rFont val="Times New Roman"/>
            <family val="1"/>
          </rPr>
          <t xml:space="preserve">wpisz nr gry
</t>
        </r>
        <r>
          <rPr>
            <sz val="8"/>
            <color indexed="81"/>
            <rFont val="Tahoma"/>
            <family val="2"/>
            <charset val="238"/>
          </rPr>
          <t xml:space="preserve">
</t>
        </r>
      </text>
    </comment>
    <comment ref="P218" authorId="0">
      <text>
        <r>
          <rPr>
            <b/>
            <sz val="14"/>
            <color indexed="81"/>
            <rFont val="Times New Roman"/>
            <family val="1"/>
          </rPr>
          <t xml:space="preserve">wpisz nr gry
</t>
        </r>
        <r>
          <rPr>
            <sz val="8"/>
            <color indexed="81"/>
            <rFont val="Tahoma"/>
            <family val="2"/>
            <charset val="238"/>
          </rPr>
          <t xml:space="preserve">
</t>
        </r>
      </text>
    </comment>
    <comment ref="Q220" authorId="0">
      <text>
        <r>
          <rPr>
            <b/>
            <sz val="14"/>
            <color indexed="81"/>
            <rFont val="Times New Roman"/>
            <family val="1"/>
          </rPr>
          <t xml:space="preserve">wpisz nr gry
</t>
        </r>
        <r>
          <rPr>
            <sz val="8"/>
            <color indexed="81"/>
            <rFont val="Tahoma"/>
            <family val="2"/>
            <charset val="238"/>
          </rPr>
          <t xml:space="preserve">
</t>
        </r>
      </text>
    </comment>
    <comment ref="P222" authorId="0">
      <text>
        <r>
          <rPr>
            <b/>
            <sz val="14"/>
            <color indexed="81"/>
            <rFont val="Times New Roman"/>
            <family val="1"/>
          </rPr>
          <t xml:space="preserve">wpisz nr gry
</t>
        </r>
        <r>
          <rPr>
            <sz val="8"/>
            <color indexed="81"/>
            <rFont val="Tahoma"/>
            <family val="2"/>
            <charset val="238"/>
          </rPr>
          <t xml:space="preserve">
</t>
        </r>
      </text>
    </comment>
    <comment ref="S224" authorId="0">
      <text>
        <r>
          <rPr>
            <b/>
            <sz val="14"/>
            <color indexed="81"/>
            <rFont val="Times New Roman"/>
            <family val="1"/>
          </rPr>
          <t xml:space="preserve">wpisz nr gry
</t>
        </r>
        <r>
          <rPr>
            <sz val="8"/>
            <color indexed="81"/>
            <rFont val="Tahoma"/>
            <family val="2"/>
            <charset val="238"/>
          </rPr>
          <t xml:space="preserve">
</t>
        </r>
      </text>
    </comment>
    <comment ref="P226" authorId="0">
      <text>
        <r>
          <rPr>
            <b/>
            <sz val="14"/>
            <color indexed="81"/>
            <rFont val="Times New Roman"/>
            <family val="1"/>
          </rPr>
          <t xml:space="preserve">wpisz nr gry
</t>
        </r>
        <r>
          <rPr>
            <sz val="8"/>
            <color indexed="81"/>
            <rFont val="Tahoma"/>
            <family val="2"/>
            <charset val="238"/>
          </rPr>
          <t xml:space="preserve">
</t>
        </r>
      </text>
    </comment>
    <comment ref="Q228" authorId="0">
      <text>
        <r>
          <rPr>
            <b/>
            <sz val="14"/>
            <color indexed="81"/>
            <rFont val="Times New Roman"/>
            <family val="1"/>
          </rPr>
          <t xml:space="preserve">wpisz nr gry
</t>
        </r>
        <r>
          <rPr>
            <sz val="8"/>
            <color indexed="81"/>
            <rFont val="Tahoma"/>
            <family val="2"/>
            <charset val="238"/>
          </rPr>
          <t xml:space="preserve">
</t>
        </r>
      </text>
    </comment>
    <comment ref="P230" authorId="0">
      <text>
        <r>
          <rPr>
            <b/>
            <sz val="14"/>
            <color indexed="81"/>
            <rFont val="Times New Roman"/>
            <family val="1"/>
          </rPr>
          <t xml:space="preserve">wpisz nr gry
</t>
        </r>
        <r>
          <rPr>
            <sz val="8"/>
            <color indexed="81"/>
            <rFont val="Tahoma"/>
            <family val="2"/>
            <charset val="238"/>
          </rPr>
          <t xml:space="preserve">
</t>
        </r>
      </text>
    </comment>
    <comment ref="R232" authorId="0">
      <text>
        <r>
          <rPr>
            <b/>
            <sz val="14"/>
            <color indexed="81"/>
            <rFont val="Times New Roman"/>
            <family val="1"/>
          </rPr>
          <t xml:space="preserve">wpisz nr gry
</t>
        </r>
        <r>
          <rPr>
            <sz val="8"/>
            <color indexed="81"/>
            <rFont val="Tahoma"/>
            <family val="2"/>
            <charset val="238"/>
          </rPr>
          <t xml:space="preserve">
</t>
        </r>
      </text>
    </comment>
    <comment ref="P234" authorId="0">
      <text>
        <r>
          <rPr>
            <b/>
            <sz val="14"/>
            <color indexed="81"/>
            <rFont val="Times New Roman"/>
            <family val="1"/>
          </rPr>
          <t xml:space="preserve">wpisz nr gry
</t>
        </r>
        <r>
          <rPr>
            <sz val="8"/>
            <color indexed="81"/>
            <rFont val="Tahoma"/>
            <family val="2"/>
            <charset val="238"/>
          </rPr>
          <t xml:space="preserve">
</t>
        </r>
      </text>
    </comment>
    <comment ref="Q236" authorId="0">
      <text>
        <r>
          <rPr>
            <b/>
            <sz val="14"/>
            <color indexed="81"/>
            <rFont val="Times New Roman"/>
            <family val="1"/>
          </rPr>
          <t xml:space="preserve">wpisz nr gry
</t>
        </r>
        <r>
          <rPr>
            <sz val="8"/>
            <color indexed="81"/>
            <rFont val="Tahoma"/>
            <family val="2"/>
            <charset val="238"/>
          </rPr>
          <t xml:space="preserve">
</t>
        </r>
      </text>
    </comment>
    <comment ref="P238" authorId="0">
      <text>
        <r>
          <rPr>
            <b/>
            <sz val="14"/>
            <color indexed="81"/>
            <rFont val="Times New Roman"/>
            <family val="1"/>
          </rPr>
          <t xml:space="preserve">wpisz nr gry
</t>
        </r>
        <r>
          <rPr>
            <sz val="8"/>
            <color indexed="81"/>
            <rFont val="Tahoma"/>
            <family val="2"/>
            <charset val="238"/>
          </rPr>
          <t xml:space="preserve">
</t>
        </r>
      </text>
    </comment>
    <comment ref="T240" authorId="0">
      <text>
        <r>
          <rPr>
            <b/>
            <sz val="14"/>
            <color indexed="81"/>
            <rFont val="Times New Roman"/>
            <family val="1"/>
          </rPr>
          <t xml:space="preserve">wpisz nr gry
</t>
        </r>
        <r>
          <rPr>
            <sz val="8"/>
            <color indexed="81"/>
            <rFont val="Tahoma"/>
            <family val="2"/>
            <charset val="238"/>
          </rPr>
          <t xml:space="preserve">
</t>
        </r>
      </text>
    </comment>
    <comment ref="P242" authorId="0">
      <text>
        <r>
          <rPr>
            <b/>
            <sz val="14"/>
            <color indexed="81"/>
            <rFont val="Times New Roman"/>
            <family val="1"/>
          </rPr>
          <t xml:space="preserve">wpisz nr gry
</t>
        </r>
        <r>
          <rPr>
            <sz val="8"/>
            <color indexed="81"/>
            <rFont val="Tahoma"/>
            <family val="2"/>
            <charset val="238"/>
          </rPr>
          <t xml:space="preserve">
</t>
        </r>
      </text>
    </comment>
    <comment ref="Q244" authorId="0">
      <text>
        <r>
          <rPr>
            <b/>
            <sz val="14"/>
            <color indexed="81"/>
            <rFont val="Times New Roman"/>
            <family val="1"/>
          </rPr>
          <t xml:space="preserve">wpisz nr gry
</t>
        </r>
        <r>
          <rPr>
            <sz val="8"/>
            <color indexed="81"/>
            <rFont val="Tahoma"/>
            <family val="2"/>
            <charset val="238"/>
          </rPr>
          <t xml:space="preserve">
</t>
        </r>
      </text>
    </comment>
    <comment ref="P246" authorId="0">
      <text>
        <r>
          <rPr>
            <b/>
            <sz val="14"/>
            <color indexed="81"/>
            <rFont val="Times New Roman"/>
            <family val="1"/>
          </rPr>
          <t xml:space="preserve">wpisz nr gry
</t>
        </r>
        <r>
          <rPr>
            <sz val="8"/>
            <color indexed="81"/>
            <rFont val="Tahoma"/>
            <family val="2"/>
            <charset val="238"/>
          </rPr>
          <t xml:space="preserve">
</t>
        </r>
      </text>
    </comment>
    <comment ref="R248" authorId="0">
      <text>
        <r>
          <rPr>
            <b/>
            <sz val="14"/>
            <color indexed="81"/>
            <rFont val="Times New Roman"/>
            <family val="1"/>
          </rPr>
          <t xml:space="preserve">wpisz nr gry
</t>
        </r>
        <r>
          <rPr>
            <sz val="8"/>
            <color indexed="81"/>
            <rFont val="Tahoma"/>
            <family val="2"/>
            <charset val="238"/>
          </rPr>
          <t xml:space="preserve">
</t>
        </r>
      </text>
    </comment>
    <comment ref="P250" authorId="0">
      <text>
        <r>
          <rPr>
            <b/>
            <sz val="14"/>
            <color indexed="81"/>
            <rFont val="Times New Roman"/>
            <family val="1"/>
          </rPr>
          <t xml:space="preserve">wpisz nr gry
</t>
        </r>
        <r>
          <rPr>
            <sz val="8"/>
            <color indexed="81"/>
            <rFont val="Tahoma"/>
            <family val="2"/>
            <charset val="238"/>
          </rPr>
          <t xml:space="preserve">
</t>
        </r>
      </text>
    </comment>
    <comment ref="Q252" authorId="0">
      <text>
        <r>
          <rPr>
            <b/>
            <sz val="14"/>
            <color indexed="81"/>
            <rFont val="Times New Roman"/>
            <family val="1"/>
          </rPr>
          <t xml:space="preserve">wpisz nr gry
</t>
        </r>
        <r>
          <rPr>
            <sz val="8"/>
            <color indexed="81"/>
            <rFont val="Tahoma"/>
            <family val="2"/>
            <charset val="238"/>
          </rPr>
          <t xml:space="preserve">
</t>
        </r>
      </text>
    </comment>
    <comment ref="P254" authorId="0">
      <text>
        <r>
          <rPr>
            <b/>
            <sz val="14"/>
            <color indexed="81"/>
            <rFont val="Times New Roman"/>
            <family val="1"/>
          </rPr>
          <t xml:space="preserve">wpisz nr gry
</t>
        </r>
        <r>
          <rPr>
            <sz val="8"/>
            <color indexed="81"/>
            <rFont val="Tahoma"/>
            <family val="2"/>
            <charset val="238"/>
          </rPr>
          <t xml:space="preserve">
</t>
        </r>
      </text>
    </comment>
    <comment ref="S256" authorId="0">
      <text>
        <r>
          <rPr>
            <b/>
            <sz val="14"/>
            <color indexed="81"/>
            <rFont val="Times New Roman"/>
            <family val="1"/>
          </rPr>
          <t xml:space="preserve">wpisz nr gry
</t>
        </r>
        <r>
          <rPr>
            <sz val="8"/>
            <color indexed="81"/>
            <rFont val="Tahoma"/>
            <family val="2"/>
            <charset val="238"/>
          </rPr>
          <t xml:space="preserve">
</t>
        </r>
      </text>
    </comment>
    <comment ref="P258" authorId="0">
      <text>
        <r>
          <rPr>
            <b/>
            <sz val="14"/>
            <color indexed="81"/>
            <rFont val="Times New Roman"/>
            <family val="1"/>
          </rPr>
          <t xml:space="preserve">wpisz nr gry
</t>
        </r>
        <r>
          <rPr>
            <sz val="8"/>
            <color indexed="81"/>
            <rFont val="Tahoma"/>
            <family val="2"/>
            <charset val="238"/>
          </rPr>
          <t xml:space="preserve">
</t>
        </r>
      </text>
    </comment>
    <comment ref="Q260" authorId="0">
      <text>
        <r>
          <rPr>
            <b/>
            <sz val="14"/>
            <color indexed="81"/>
            <rFont val="Times New Roman"/>
            <family val="1"/>
          </rPr>
          <t xml:space="preserve">wpisz nr gry
</t>
        </r>
        <r>
          <rPr>
            <sz val="8"/>
            <color indexed="81"/>
            <rFont val="Tahoma"/>
            <family val="2"/>
            <charset val="238"/>
          </rPr>
          <t xml:space="preserve">
</t>
        </r>
      </text>
    </comment>
    <comment ref="P262" authorId="0">
      <text>
        <r>
          <rPr>
            <b/>
            <sz val="14"/>
            <color indexed="81"/>
            <rFont val="Times New Roman"/>
            <family val="1"/>
          </rPr>
          <t xml:space="preserve">wpisz nr gry
</t>
        </r>
        <r>
          <rPr>
            <sz val="8"/>
            <color indexed="81"/>
            <rFont val="Tahoma"/>
            <family val="2"/>
            <charset val="238"/>
          </rPr>
          <t xml:space="preserve">
</t>
        </r>
      </text>
    </comment>
    <comment ref="R264" authorId="0">
      <text>
        <r>
          <rPr>
            <b/>
            <sz val="14"/>
            <color indexed="81"/>
            <rFont val="Times New Roman"/>
            <family val="1"/>
          </rPr>
          <t xml:space="preserve">wpisz nr gry
</t>
        </r>
        <r>
          <rPr>
            <sz val="8"/>
            <color indexed="81"/>
            <rFont val="Tahoma"/>
            <family val="2"/>
            <charset val="238"/>
          </rPr>
          <t xml:space="preserve">
</t>
        </r>
      </text>
    </comment>
    <comment ref="P266" authorId="0">
      <text>
        <r>
          <rPr>
            <b/>
            <sz val="14"/>
            <color indexed="81"/>
            <rFont val="Times New Roman"/>
            <family val="1"/>
          </rPr>
          <t xml:space="preserve">wpisz nr gry
</t>
        </r>
        <r>
          <rPr>
            <sz val="8"/>
            <color indexed="81"/>
            <rFont val="Tahoma"/>
            <family val="2"/>
            <charset val="238"/>
          </rPr>
          <t xml:space="preserve">
</t>
        </r>
      </text>
    </comment>
    <comment ref="Q268" authorId="0">
      <text>
        <r>
          <rPr>
            <b/>
            <sz val="14"/>
            <color indexed="81"/>
            <rFont val="Times New Roman"/>
            <family val="1"/>
          </rPr>
          <t xml:space="preserve">wpisz nr gry
</t>
        </r>
        <r>
          <rPr>
            <sz val="8"/>
            <color indexed="81"/>
            <rFont val="Tahoma"/>
            <family val="2"/>
            <charset val="238"/>
          </rPr>
          <t xml:space="preserve">
</t>
        </r>
      </text>
    </comment>
    <comment ref="P270" authorId="0">
      <text>
        <r>
          <rPr>
            <b/>
            <sz val="14"/>
            <color indexed="81"/>
            <rFont val="Times New Roman"/>
            <family val="1"/>
          </rPr>
          <t xml:space="preserve">wpisz nr gry
</t>
        </r>
        <r>
          <rPr>
            <sz val="8"/>
            <color indexed="81"/>
            <rFont val="Tahoma"/>
            <family val="2"/>
            <charset val="238"/>
          </rPr>
          <t xml:space="preserve">
</t>
        </r>
      </text>
    </comment>
    <comment ref="L275" authorId="0">
      <text>
        <r>
          <rPr>
            <b/>
            <sz val="9"/>
            <color indexed="81"/>
            <rFont val="Tahoma"/>
            <family val="2"/>
            <charset val="238"/>
          </rPr>
          <t>Dla systemu grupowo-pucharowego wpisz miejsce w grupie.</t>
        </r>
        <r>
          <rPr>
            <sz val="9"/>
            <color indexed="81"/>
            <rFont val="Tahoma"/>
            <family val="2"/>
            <charset val="238"/>
          </rPr>
          <t xml:space="preserve">
</t>
        </r>
      </text>
    </comment>
    <comment ref="L276" authorId="0">
      <text>
        <r>
          <rPr>
            <b/>
            <sz val="10"/>
            <color indexed="81"/>
            <rFont val="Times New Roman CE"/>
            <family val="1"/>
            <charset val="238"/>
          </rPr>
          <t>Dla systemu pucharowego wpisz ilość zawodników.
Dla systemu grupowo-pucharowego wpisz ilość grup.</t>
        </r>
      </text>
    </comment>
    <comment ref="P278" authorId="0">
      <text>
        <r>
          <rPr>
            <b/>
            <sz val="14"/>
            <color indexed="81"/>
            <rFont val="Times New Roman"/>
            <family val="1"/>
          </rPr>
          <t xml:space="preserve">wpisz nr gry
</t>
        </r>
        <r>
          <rPr>
            <sz val="8"/>
            <color indexed="81"/>
            <rFont val="Tahoma"/>
            <family val="2"/>
            <charset val="238"/>
          </rPr>
          <t xml:space="preserve">
</t>
        </r>
      </text>
    </comment>
    <comment ref="Q280" authorId="0">
      <text>
        <r>
          <rPr>
            <b/>
            <sz val="14"/>
            <color indexed="81"/>
            <rFont val="Times New Roman"/>
            <family val="1"/>
          </rPr>
          <t xml:space="preserve">wpisz nr gry
</t>
        </r>
        <r>
          <rPr>
            <sz val="8"/>
            <color indexed="81"/>
            <rFont val="Tahoma"/>
            <family val="2"/>
            <charset val="238"/>
          </rPr>
          <t xml:space="preserve">
</t>
        </r>
      </text>
    </comment>
    <comment ref="P282" authorId="0">
      <text>
        <r>
          <rPr>
            <b/>
            <sz val="14"/>
            <color indexed="81"/>
            <rFont val="Times New Roman"/>
            <family val="1"/>
          </rPr>
          <t xml:space="preserve">wpisz nr gry
</t>
        </r>
        <r>
          <rPr>
            <sz val="8"/>
            <color indexed="81"/>
            <rFont val="Tahoma"/>
            <family val="2"/>
            <charset val="238"/>
          </rPr>
          <t xml:space="preserve">
</t>
        </r>
      </text>
    </comment>
    <comment ref="R284" authorId="0">
      <text>
        <r>
          <rPr>
            <b/>
            <sz val="14"/>
            <color indexed="81"/>
            <rFont val="Times New Roman"/>
            <family val="1"/>
          </rPr>
          <t xml:space="preserve">wpisz nr gry
</t>
        </r>
        <r>
          <rPr>
            <sz val="8"/>
            <color indexed="81"/>
            <rFont val="Tahoma"/>
            <family val="2"/>
            <charset val="238"/>
          </rPr>
          <t xml:space="preserve">
</t>
        </r>
      </text>
    </comment>
    <comment ref="P286" authorId="0">
      <text>
        <r>
          <rPr>
            <b/>
            <sz val="14"/>
            <color indexed="81"/>
            <rFont val="Times New Roman"/>
            <family val="1"/>
          </rPr>
          <t xml:space="preserve">wpisz nr gry
</t>
        </r>
        <r>
          <rPr>
            <sz val="8"/>
            <color indexed="81"/>
            <rFont val="Tahoma"/>
            <family val="2"/>
            <charset val="238"/>
          </rPr>
          <t xml:space="preserve">
</t>
        </r>
      </text>
    </comment>
    <comment ref="Q288" authorId="0">
      <text>
        <r>
          <rPr>
            <b/>
            <sz val="14"/>
            <color indexed="81"/>
            <rFont val="Times New Roman"/>
            <family val="1"/>
          </rPr>
          <t xml:space="preserve">wpisz nr gry
</t>
        </r>
        <r>
          <rPr>
            <sz val="8"/>
            <color indexed="81"/>
            <rFont val="Tahoma"/>
            <family val="2"/>
            <charset val="238"/>
          </rPr>
          <t xml:space="preserve">
</t>
        </r>
      </text>
    </comment>
    <comment ref="P290" authorId="0">
      <text>
        <r>
          <rPr>
            <b/>
            <sz val="14"/>
            <color indexed="81"/>
            <rFont val="Times New Roman"/>
            <family val="1"/>
          </rPr>
          <t xml:space="preserve">wpisz nr gry
</t>
        </r>
        <r>
          <rPr>
            <sz val="8"/>
            <color indexed="81"/>
            <rFont val="Tahoma"/>
            <family val="2"/>
            <charset val="238"/>
          </rPr>
          <t xml:space="preserve">
</t>
        </r>
      </text>
    </comment>
    <comment ref="S292" authorId="0">
      <text>
        <r>
          <rPr>
            <b/>
            <sz val="14"/>
            <color indexed="81"/>
            <rFont val="Times New Roman"/>
            <family val="1"/>
          </rPr>
          <t xml:space="preserve">wpisz nr gry
</t>
        </r>
        <r>
          <rPr>
            <sz val="8"/>
            <color indexed="81"/>
            <rFont val="Tahoma"/>
            <family val="2"/>
            <charset val="238"/>
          </rPr>
          <t xml:space="preserve">
</t>
        </r>
      </text>
    </comment>
    <comment ref="P294" authorId="0">
      <text>
        <r>
          <rPr>
            <b/>
            <sz val="14"/>
            <color indexed="81"/>
            <rFont val="Times New Roman"/>
            <family val="1"/>
          </rPr>
          <t xml:space="preserve">wpisz nr gry
</t>
        </r>
        <r>
          <rPr>
            <sz val="8"/>
            <color indexed="81"/>
            <rFont val="Tahoma"/>
            <family val="2"/>
            <charset val="238"/>
          </rPr>
          <t xml:space="preserve">
</t>
        </r>
      </text>
    </comment>
    <comment ref="Q296" authorId="0">
      <text>
        <r>
          <rPr>
            <b/>
            <sz val="14"/>
            <color indexed="81"/>
            <rFont val="Times New Roman"/>
            <family val="1"/>
          </rPr>
          <t xml:space="preserve">wpisz nr gry
</t>
        </r>
        <r>
          <rPr>
            <sz val="8"/>
            <color indexed="81"/>
            <rFont val="Tahoma"/>
            <family val="2"/>
            <charset val="238"/>
          </rPr>
          <t xml:space="preserve">
</t>
        </r>
      </text>
    </comment>
    <comment ref="P298" authorId="0">
      <text>
        <r>
          <rPr>
            <b/>
            <sz val="14"/>
            <color indexed="81"/>
            <rFont val="Times New Roman"/>
            <family val="1"/>
          </rPr>
          <t xml:space="preserve">wpisz nr gry
</t>
        </r>
        <r>
          <rPr>
            <sz val="8"/>
            <color indexed="81"/>
            <rFont val="Tahoma"/>
            <family val="2"/>
            <charset val="238"/>
          </rPr>
          <t xml:space="preserve">
</t>
        </r>
      </text>
    </comment>
    <comment ref="R300" authorId="0">
      <text>
        <r>
          <rPr>
            <b/>
            <sz val="14"/>
            <color indexed="81"/>
            <rFont val="Times New Roman"/>
            <family val="1"/>
          </rPr>
          <t xml:space="preserve">wpisz nr gry
</t>
        </r>
        <r>
          <rPr>
            <sz val="8"/>
            <color indexed="81"/>
            <rFont val="Tahoma"/>
            <family val="2"/>
            <charset val="238"/>
          </rPr>
          <t xml:space="preserve">
</t>
        </r>
      </text>
    </comment>
    <comment ref="P302" authorId="0">
      <text>
        <r>
          <rPr>
            <b/>
            <sz val="14"/>
            <color indexed="81"/>
            <rFont val="Times New Roman"/>
            <family val="1"/>
          </rPr>
          <t xml:space="preserve">wpisz nr gry
</t>
        </r>
        <r>
          <rPr>
            <sz val="8"/>
            <color indexed="81"/>
            <rFont val="Tahoma"/>
            <family val="2"/>
            <charset val="238"/>
          </rPr>
          <t xml:space="preserve">
</t>
        </r>
      </text>
    </comment>
    <comment ref="Q304" authorId="0">
      <text>
        <r>
          <rPr>
            <b/>
            <sz val="14"/>
            <color indexed="81"/>
            <rFont val="Times New Roman"/>
            <family val="1"/>
          </rPr>
          <t xml:space="preserve">wpisz nr gry
</t>
        </r>
        <r>
          <rPr>
            <sz val="8"/>
            <color indexed="81"/>
            <rFont val="Tahoma"/>
            <family val="2"/>
            <charset val="238"/>
          </rPr>
          <t xml:space="preserve">
</t>
        </r>
      </text>
    </comment>
    <comment ref="P306" authorId="0">
      <text>
        <r>
          <rPr>
            <b/>
            <sz val="14"/>
            <color indexed="81"/>
            <rFont val="Times New Roman"/>
            <family val="1"/>
          </rPr>
          <t xml:space="preserve">wpisz nr gry
</t>
        </r>
        <r>
          <rPr>
            <sz val="8"/>
            <color indexed="81"/>
            <rFont val="Tahoma"/>
            <family val="2"/>
            <charset val="238"/>
          </rPr>
          <t xml:space="preserve">
</t>
        </r>
      </text>
    </comment>
    <comment ref="T308" authorId="0">
      <text>
        <r>
          <rPr>
            <b/>
            <sz val="14"/>
            <color indexed="81"/>
            <rFont val="Times New Roman"/>
            <family val="1"/>
          </rPr>
          <t xml:space="preserve">wpisz nr gry
</t>
        </r>
        <r>
          <rPr>
            <sz val="8"/>
            <color indexed="81"/>
            <rFont val="Tahoma"/>
            <family val="2"/>
            <charset val="238"/>
          </rPr>
          <t xml:space="preserve">
</t>
        </r>
      </text>
    </comment>
    <comment ref="P310" authorId="0">
      <text>
        <r>
          <rPr>
            <b/>
            <sz val="14"/>
            <color indexed="81"/>
            <rFont val="Times New Roman"/>
            <family val="1"/>
          </rPr>
          <t xml:space="preserve">wpisz nr gry
</t>
        </r>
        <r>
          <rPr>
            <sz val="8"/>
            <color indexed="81"/>
            <rFont val="Tahoma"/>
            <family val="2"/>
            <charset val="238"/>
          </rPr>
          <t xml:space="preserve">
</t>
        </r>
      </text>
    </comment>
    <comment ref="Q312" authorId="0">
      <text>
        <r>
          <rPr>
            <b/>
            <sz val="14"/>
            <color indexed="81"/>
            <rFont val="Times New Roman"/>
            <family val="1"/>
          </rPr>
          <t xml:space="preserve">wpisz nr gry
</t>
        </r>
        <r>
          <rPr>
            <sz val="8"/>
            <color indexed="81"/>
            <rFont val="Tahoma"/>
            <family val="2"/>
            <charset val="238"/>
          </rPr>
          <t xml:space="preserve">
</t>
        </r>
      </text>
    </comment>
    <comment ref="P314" authorId="0">
      <text>
        <r>
          <rPr>
            <b/>
            <sz val="14"/>
            <color indexed="81"/>
            <rFont val="Times New Roman"/>
            <family val="1"/>
          </rPr>
          <t xml:space="preserve">wpisz nr gry
</t>
        </r>
        <r>
          <rPr>
            <sz val="8"/>
            <color indexed="81"/>
            <rFont val="Tahoma"/>
            <family val="2"/>
            <charset val="238"/>
          </rPr>
          <t xml:space="preserve">
</t>
        </r>
      </text>
    </comment>
    <comment ref="R316" authorId="0">
      <text>
        <r>
          <rPr>
            <b/>
            <sz val="14"/>
            <color indexed="81"/>
            <rFont val="Times New Roman"/>
            <family val="1"/>
          </rPr>
          <t xml:space="preserve">wpisz nr gry
</t>
        </r>
        <r>
          <rPr>
            <sz val="8"/>
            <color indexed="81"/>
            <rFont val="Tahoma"/>
            <family val="2"/>
            <charset val="238"/>
          </rPr>
          <t xml:space="preserve">
</t>
        </r>
      </text>
    </comment>
    <comment ref="P318" authorId="0">
      <text>
        <r>
          <rPr>
            <b/>
            <sz val="14"/>
            <color indexed="81"/>
            <rFont val="Times New Roman"/>
            <family val="1"/>
          </rPr>
          <t xml:space="preserve">wpisz nr gry
</t>
        </r>
        <r>
          <rPr>
            <sz val="8"/>
            <color indexed="81"/>
            <rFont val="Tahoma"/>
            <family val="2"/>
            <charset val="238"/>
          </rPr>
          <t xml:space="preserve">
</t>
        </r>
      </text>
    </comment>
    <comment ref="Q320" authorId="0">
      <text>
        <r>
          <rPr>
            <b/>
            <sz val="14"/>
            <color indexed="81"/>
            <rFont val="Times New Roman"/>
            <family val="1"/>
          </rPr>
          <t xml:space="preserve">wpisz nr gry
</t>
        </r>
        <r>
          <rPr>
            <sz val="8"/>
            <color indexed="81"/>
            <rFont val="Tahoma"/>
            <family val="2"/>
            <charset val="238"/>
          </rPr>
          <t xml:space="preserve">
</t>
        </r>
      </text>
    </comment>
    <comment ref="P322" authorId="0">
      <text>
        <r>
          <rPr>
            <b/>
            <sz val="14"/>
            <color indexed="81"/>
            <rFont val="Times New Roman"/>
            <family val="1"/>
          </rPr>
          <t xml:space="preserve">wpisz nr gry
</t>
        </r>
        <r>
          <rPr>
            <sz val="8"/>
            <color indexed="81"/>
            <rFont val="Tahoma"/>
            <family val="2"/>
            <charset val="238"/>
          </rPr>
          <t xml:space="preserve">
</t>
        </r>
      </text>
    </comment>
    <comment ref="S324" authorId="0">
      <text>
        <r>
          <rPr>
            <b/>
            <sz val="14"/>
            <color indexed="81"/>
            <rFont val="Times New Roman"/>
            <family val="1"/>
          </rPr>
          <t xml:space="preserve">wpisz nr gry
</t>
        </r>
        <r>
          <rPr>
            <sz val="8"/>
            <color indexed="81"/>
            <rFont val="Tahoma"/>
            <family val="2"/>
            <charset val="238"/>
          </rPr>
          <t xml:space="preserve">
</t>
        </r>
      </text>
    </comment>
    <comment ref="P326" authorId="0">
      <text>
        <r>
          <rPr>
            <b/>
            <sz val="14"/>
            <color indexed="81"/>
            <rFont val="Times New Roman"/>
            <family val="1"/>
          </rPr>
          <t xml:space="preserve">wpisz nr gry
</t>
        </r>
        <r>
          <rPr>
            <sz val="8"/>
            <color indexed="81"/>
            <rFont val="Tahoma"/>
            <family val="2"/>
            <charset val="238"/>
          </rPr>
          <t xml:space="preserve">
</t>
        </r>
      </text>
    </comment>
    <comment ref="Q328" authorId="0">
      <text>
        <r>
          <rPr>
            <b/>
            <sz val="14"/>
            <color indexed="81"/>
            <rFont val="Times New Roman"/>
            <family val="1"/>
          </rPr>
          <t xml:space="preserve">wpisz nr gry
</t>
        </r>
        <r>
          <rPr>
            <sz val="8"/>
            <color indexed="81"/>
            <rFont val="Tahoma"/>
            <family val="2"/>
            <charset val="238"/>
          </rPr>
          <t xml:space="preserve">
</t>
        </r>
      </text>
    </comment>
    <comment ref="P330" authorId="0">
      <text>
        <r>
          <rPr>
            <b/>
            <sz val="14"/>
            <color indexed="81"/>
            <rFont val="Times New Roman"/>
            <family val="1"/>
          </rPr>
          <t xml:space="preserve">wpisz nr gry
</t>
        </r>
        <r>
          <rPr>
            <sz val="8"/>
            <color indexed="81"/>
            <rFont val="Tahoma"/>
            <family val="2"/>
            <charset val="238"/>
          </rPr>
          <t xml:space="preserve">
</t>
        </r>
      </text>
    </comment>
    <comment ref="R332" authorId="0">
      <text>
        <r>
          <rPr>
            <b/>
            <sz val="14"/>
            <color indexed="81"/>
            <rFont val="Times New Roman"/>
            <family val="1"/>
          </rPr>
          <t xml:space="preserve">wpisz nr gry
</t>
        </r>
        <r>
          <rPr>
            <sz val="8"/>
            <color indexed="81"/>
            <rFont val="Tahoma"/>
            <family val="2"/>
            <charset val="238"/>
          </rPr>
          <t xml:space="preserve">
</t>
        </r>
      </text>
    </comment>
    <comment ref="P334" authorId="0">
      <text>
        <r>
          <rPr>
            <b/>
            <sz val="14"/>
            <color indexed="81"/>
            <rFont val="Times New Roman"/>
            <family val="1"/>
          </rPr>
          <t xml:space="preserve">wpisz nr gry
</t>
        </r>
        <r>
          <rPr>
            <sz val="8"/>
            <color indexed="81"/>
            <rFont val="Tahoma"/>
            <family val="2"/>
            <charset val="238"/>
          </rPr>
          <t xml:space="preserve">
</t>
        </r>
      </text>
    </comment>
    <comment ref="T335" authorId="0">
      <text>
        <r>
          <rPr>
            <b/>
            <sz val="14"/>
            <color indexed="81"/>
            <rFont val="Times New Roman"/>
            <family val="1"/>
          </rPr>
          <t xml:space="preserve">wpisz nr gry
</t>
        </r>
        <r>
          <rPr>
            <sz val="8"/>
            <color indexed="81"/>
            <rFont val="Tahoma"/>
            <family val="2"/>
            <charset val="238"/>
          </rPr>
          <t xml:space="preserve">
</t>
        </r>
      </text>
    </comment>
    <comment ref="Q336" authorId="0">
      <text>
        <r>
          <rPr>
            <b/>
            <sz val="14"/>
            <color indexed="81"/>
            <rFont val="Times New Roman"/>
            <family val="1"/>
          </rPr>
          <t xml:space="preserve">wpisz nr gry
</t>
        </r>
        <r>
          <rPr>
            <sz val="8"/>
            <color indexed="81"/>
            <rFont val="Tahoma"/>
            <family val="2"/>
            <charset val="238"/>
          </rPr>
          <t xml:space="preserve">
</t>
        </r>
      </text>
    </comment>
    <comment ref="P338" authorId="0">
      <text>
        <r>
          <rPr>
            <b/>
            <sz val="14"/>
            <color indexed="81"/>
            <rFont val="Times New Roman"/>
            <family val="1"/>
          </rPr>
          <t xml:space="preserve">wpisz nr gry
</t>
        </r>
        <r>
          <rPr>
            <sz val="8"/>
            <color indexed="81"/>
            <rFont val="Tahoma"/>
            <family val="2"/>
            <charset val="238"/>
          </rPr>
          <t xml:space="preserve">
</t>
        </r>
      </text>
    </comment>
    <comment ref="P344" authorId="0">
      <text>
        <r>
          <rPr>
            <b/>
            <sz val="14"/>
            <color indexed="81"/>
            <rFont val="Times New Roman"/>
            <family val="1"/>
          </rPr>
          <t xml:space="preserve">wpisz nr gry
</t>
        </r>
        <r>
          <rPr>
            <sz val="8"/>
            <color indexed="81"/>
            <rFont val="Tahoma"/>
            <family val="2"/>
            <charset val="238"/>
          </rPr>
          <t xml:space="preserve">
</t>
        </r>
      </text>
    </comment>
    <comment ref="Q346" authorId="0">
      <text>
        <r>
          <rPr>
            <b/>
            <sz val="14"/>
            <color indexed="81"/>
            <rFont val="Times New Roman"/>
            <family val="1"/>
          </rPr>
          <t xml:space="preserve">wpisz nr gry
</t>
        </r>
        <r>
          <rPr>
            <sz val="8"/>
            <color indexed="81"/>
            <rFont val="Tahoma"/>
            <family val="2"/>
            <charset val="238"/>
          </rPr>
          <t xml:space="preserve">
</t>
        </r>
      </text>
    </comment>
    <comment ref="P348" authorId="0">
      <text>
        <r>
          <rPr>
            <b/>
            <sz val="14"/>
            <color indexed="81"/>
            <rFont val="Times New Roman"/>
            <family val="1"/>
          </rPr>
          <t xml:space="preserve">wpisz nr gry
</t>
        </r>
        <r>
          <rPr>
            <sz val="8"/>
            <color indexed="81"/>
            <rFont val="Tahoma"/>
            <family val="2"/>
            <charset val="238"/>
          </rPr>
          <t xml:space="preserve">
</t>
        </r>
      </text>
    </comment>
    <comment ref="R350" authorId="0">
      <text>
        <r>
          <rPr>
            <b/>
            <sz val="14"/>
            <color indexed="81"/>
            <rFont val="Times New Roman"/>
            <family val="1"/>
          </rPr>
          <t xml:space="preserve">wpisz nr gry
</t>
        </r>
        <r>
          <rPr>
            <sz val="8"/>
            <color indexed="81"/>
            <rFont val="Tahoma"/>
            <family val="2"/>
            <charset val="238"/>
          </rPr>
          <t xml:space="preserve">
</t>
        </r>
      </text>
    </comment>
    <comment ref="P352" authorId="0">
      <text>
        <r>
          <rPr>
            <b/>
            <sz val="14"/>
            <color indexed="81"/>
            <rFont val="Times New Roman"/>
            <family val="1"/>
          </rPr>
          <t xml:space="preserve">wpisz nr gry
</t>
        </r>
        <r>
          <rPr>
            <sz val="8"/>
            <color indexed="81"/>
            <rFont val="Tahoma"/>
            <family val="2"/>
            <charset val="238"/>
          </rPr>
          <t xml:space="preserve">
</t>
        </r>
      </text>
    </comment>
    <comment ref="Q354" authorId="0">
      <text>
        <r>
          <rPr>
            <b/>
            <sz val="14"/>
            <color indexed="81"/>
            <rFont val="Times New Roman"/>
            <family val="1"/>
          </rPr>
          <t xml:space="preserve">wpisz nr gry
</t>
        </r>
        <r>
          <rPr>
            <sz val="8"/>
            <color indexed="81"/>
            <rFont val="Tahoma"/>
            <family val="2"/>
            <charset val="238"/>
          </rPr>
          <t xml:space="preserve">
</t>
        </r>
      </text>
    </comment>
    <comment ref="P356" authorId="0">
      <text>
        <r>
          <rPr>
            <b/>
            <sz val="14"/>
            <color indexed="81"/>
            <rFont val="Times New Roman"/>
            <family val="1"/>
          </rPr>
          <t xml:space="preserve">wpisz nr gry
</t>
        </r>
        <r>
          <rPr>
            <sz val="8"/>
            <color indexed="81"/>
            <rFont val="Tahoma"/>
            <family val="2"/>
            <charset val="238"/>
          </rPr>
          <t xml:space="preserve">
</t>
        </r>
      </text>
    </comment>
    <comment ref="S358" authorId="0">
      <text>
        <r>
          <rPr>
            <b/>
            <sz val="14"/>
            <color indexed="81"/>
            <rFont val="Times New Roman"/>
            <family val="1"/>
          </rPr>
          <t xml:space="preserve">wpisz nr gry
</t>
        </r>
        <r>
          <rPr>
            <sz val="8"/>
            <color indexed="81"/>
            <rFont val="Tahoma"/>
            <family val="2"/>
            <charset val="238"/>
          </rPr>
          <t xml:space="preserve">
</t>
        </r>
      </text>
    </comment>
    <comment ref="P360" authorId="0">
      <text>
        <r>
          <rPr>
            <b/>
            <sz val="14"/>
            <color indexed="81"/>
            <rFont val="Times New Roman"/>
            <family val="1"/>
          </rPr>
          <t xml:space="preserve">wpisz nr gry
</t>
        </r>
        <r>
          <rPr>
            <sz val="8"/>
            <color indexed="81"/>
            <rFont val="Tahoma"/>
            <family val="2"/>
            <charset val="238"/>
          </rPr>
          <t xml:space="preserve">
</t>
        </r>
      </text>
    </comment>
    <comment ref="Q362" authorId="0">
      <text>
        <r>
          <rPr>
            <b/>
            <sz val="14"/>
            <color indexed="81"/>
            <rFont val="Times New Roman"/>
            <family val="1"/>
          </rPr>
          <t xml:space="preserve">wpisz nr gry
</t>
        </r>
        <r>
          <rPr>
            <sz val="8"/>
            <color indexed="81"/>
            <rFont val="Tahoma"/>
            <family val="2"/>
            <charset val="238"/>
          </rPr>
          <t xml:space="preserve">
</t>
        </r>
      </text>
    </comment>
    <comment ref="P364" authorId="0">
      <text>
        <r>
          <rPr>
            <b/>
            <sz val="14"/>
            <color indexed="81"/>
            <rFont val="Times New Roman"/>
            <family val="1"/>
          </rPr>
          <t xml:space="preserve">wpisz nr gry
</t>
        </r>
        <r>
          <rPr>
            <sz val="8"/>
            <color indexed="81"/>
            <rFont val="Tahoma"/>
            <family val="2"/>
            <charset val="238"/>
          </rPr>
          <t xml:space="preserve">
</t>
        </r>
      </text>
    </comment>
    <comment ref="R366" authorId="0">
      <text>
        <r>
          <rPr>
            <b/>
            <sz val="14"/>
            <color indexed="81"/>
            <rFont val="Times New Roman"/>
            <family val="1"/>
          </rPr>
          <t xml:space="preserve">wpisz nr gry
</t>
        </r>
        <r>
          <rPr>
            <sz val="8"/>
            <color indexed="81"/>
            <rFont val="Tahoma"/>
            <family val="2"/>
            <charset val="238"/>
          </rPr>
          <t xml:space="preserve">
</t>
        </r>
      </text>
    </comment>
    <comment ref="P368" authorId="0">
      <text>
        <r>
          <rPr>
            <b/>
            <sz val="14"/>
            <color indexed="81"/>
            <rFont val="Times New Roman"/>
            <family val="1"/>
          </rPr>
          <t xml:space="preserve">wpisz nr gry
</t>
        </r>
        <r>
          <rPr>
            <sz val="8"/>
            <color indexed="81"/>
            <rFont val="Tahoma"/>
            <family val="2"/>
            <charset val="238"/>
          </rPr>
          <t xml:space="preserve">
</t>
        </r>
      </text>
    </comment>
    <comment ref="Q370" authorId="0">
      <text>
        <r>
          <rPr>
            <b/>
            <sz val="14"/>
            <color indexed="81"/>
            <rFont val="Times New Roman"/>
            <family val="1"/>
          </rPr>
          <t xml:space="preserve">wpisz nr gry
</t>
        </r>
        <r>
          <rPr>
            <sz val="8"/>
            <color indexed="81"/>
            <rFont val="Tahoma"/>
            <family val="2"/>
            <charset val="238"/>
          </rPr>
          <t xml:space="preserve">
</t>
        </r>
      </text>
    </comment>
    <comment ref="P372" authorId="0">
      <text>
        <r>
          <rPr>
            <b/>
            <sz val="14"/>
            <color indexed="81"/>
            <rFont val="Times New Roman"/>
            <family val="1"/>
          </rPr>
          <t xml:space="preserve">wpisz nr gry
</t>
        </r>
        <r>
          <rPr>
            <sz val="8"/>
            <color indexed="81"/>
            <rFont val="Tahoma"/>
            <family val="2"/>
            <charset val="238"/>
          </rPr>
          <t xml:space="preserve">
</t>
        </r>
      </text>
    </comment>
    <comment ref="T374" authorId="0">
      <text>
        <r>
          <rPr>
            <b/>
            <sz val="14"/>
            <color indexed="81"/>
            <rFont val="Times New Roman"/>
            <family val="1"/>
          </rPr>
          <t xml:space="preserve">wpisz nr gry
</t>
        </r>
        <r>
          <rPr>
            <sz val="8"/>
            <color indexed="81"/>
            <rFont val="Tahoma"/>
            <family val="2"/>
            <charset val="238"/>
          </rPr>
          <t xml:space="preserve">
</t>
        </r>
      </text>
    </comment>
    <comment ref="P376" authorId="0">
      <text>
        <r>
          <rPr>
            <b/>
            <sz val="14"/>
            <color indexed="81"/>
            <rFont val="Times New Roman"/>
            <family val="1"/>
          </rPr>
          <t xml:space="preserve">wpisz nr gry
</t>
        </r>
        <r>
          <rPr>
            <sz val="8"/>
            <color indexed="81"/>
            <rFont val="Tahoma"/>
            <family val="2"/>
            <charset val="238"/>
          </rPr>
          <t xml:space="preserve">
</t>
        </r>
      </text>
    </comment>
    <comment ref="Q378" authorId="0">
      <text>
        <r>
          <rPr>
            <b/>
            <sz val="14"/>
            <color indexed="81"/>
            <rFont val="Times New Roman"/>
            <family val="1"/>
          </rPr>
          <t xml:space="preserve">wpisz nr gry
</t>
        </r>
        <r>
          <rPr>
            <sz val="8"/>
            <color indexed="81"/>
            <rFont val="Tahoma"/>
            <family val="2"/>
            <charset val="238"/>
          </rPr>
          <t xml:space="preserve">
</t>
        </r>
      </text>
    </comment>
    <comment ref="P380" authorId="0">
      <text>
        <r>
          <rPr>
            <b/>
            <sz val="14"/>
            <color indexed="81"/>
            <rFont val="Times New Roman"/>
            <family val="1"/>
          </rPr>
          <t xml:space="preserve">wpisz nr gry
</t>
        </r>
        <r>
          <rPr>
            <sz val="8"/>
            <color indexed="81"/>
            <rFont val="Tahoma"/>
            <family val="2"/>
            <charset val="238"/>
          </rPr>
          <t xml:space="preserve">
</t>
        </r>
      </text>
    </comment>
    <comment ref="R382" authorId="0">
      <text>
        <r>
          <rPr>
            <b/>
            <sz val="14"/>
            <color indexed="81"/>
            <rFont val="Times New Roman"/>
            <family val="1"/>
          </rPr>
          <t xml:space="preserve">wpisz nr gry
</t>
        </r>
        <r>
          <rPr>
            <sz val="8"/>
            <color indexed="81"/>
            <rFont val="Tahoma"/>
            <family val="2"/>
            <charset val="238"/>
          </rPr>
          <t xml:space="preserve">
</t>
        </r>
      </text>
    </comment>
    <comment ref="P384" authorId="0">
      <text>
        <r>
          <rPr>
            <b/>
            <sz val="14"/>
            <color indexed="81"/>
            <rFont val="Times New Roman"/>
            <family val="1"/>
          </rPr>
          <t xml:space="preserve">wpisz nr gry
</t>
        </r>
        <r>
          <rPr>
            <sz val="8"/>
            <color indexed="81"/>
            <rFont val="Tahoma"/>
            <family val="2"/>
            <charset val="238"/>
          </rPr>
          <t xml:space="preserve">
</t>
        </r>
      </text>
    </comment>
    <comment ref="Q386" authorId="0">
      <text>
        <r>
          <rPr>
            <b/>
            <sz val="14"/>
            <color indexed="81"/>
            <rFont val="Times New Roman"/>
            <family val="1"/>
          </rPr>
          <t xml:space="preserve">wpisz nr gry
</t>
        </r>
        <r>
          <rPr>
            <sz val="8"/>
            <color indexed="81"/>
            <rFont val="Tahoma"/>
            <family val="2"/>
            <charset val="238"/>
          </rPr>
          <t xml:space="preserve">
</t>
        </r>
      </text>
    </comment>
    <comment ref="P388" authorId="0">
      <text>
        <r>
          <rPr>
            <b/>
            <sz val="14"/>
            <color indexed="81"/>
            <rFont val="Times New Roman"/>
            <family val="1"/>
          </rPr>
          <t xml:space="preserve">wpisz nr gry
</t>
        </r>
        <r>
          <rPr>
            <sz val="8"/>
            <color indexed="81"/>
            <rFont val="Tahoma"/>
            <family val="2"/>
            <charset val="238"/>
          </rPr>
          <t xml:space="preserve">
</t>
        </r>
      </text>
    </comment>
    <comment ref="S390" authorId="0">
      <text>
        <r>
          <rPr>
            <b/>
            <sz val="14"/>
            <color indexed="81"/>
            <rFont val="Times New Roman"/>
            <family val="1"/>
          </rPr>
          <t xml:space="preserve">wpisz nr gry
</t>
        </r>
        <r>
          <rPr>
            <sz val="8"/>
            <color indexed="81"/>
            <rFont val="Tahoma"/>
            <family val="2"/>
            <charset val="238"/>
          </rPr>
          <t xml:space="preserve">
</t>
        </r>
      </text>
    </comment>
    <comment ref="P392" authorId="0">
      <text>
        <r>
          <rPr>
            <b/>
            <sz val="14"/>
            <color indexed="81"/>
            <rFont val="Times New Roman"/>
            <family val="1"/>
          </rPr>
          <t xml:space="preserve">wpisz nr gry
</t>
        </r>
        <r>
          <rPr>
            <sz val="8"/>
            <color indexed="81"/>
            <rFont val="Tahoma"/>
            <family val="2"/>
            <charset val="238"/>
          </rPr>
          <t xml:space="preserve">
</t>
        </r>
      </text>
    </comment>
    <comment ref="Q394" authorId="0">
      <text>
        <r>
          <rPr>
            <b/>
            <sz val="14"/>
            <color indexed="81"/>
            <rFont val="Times New Roman"/>
            <family val="1"/>
          </rPr>
          <t xml:space="preserve">wpisz nr gry
</t>
        </r>
        <r>
          <rPr>
            <sz val="8"/>
            <color indexed="81"/>
            <rFont val="Tahoma"/>
            <family val="2"/>
            <charset val="238"/>
          </rPr>
          <t xml:space="preserve">
</t>
        </r>
      </text>
    </comment>
    <comment ref="P396" authorId="0">
      <text>
        <r>
          <rPr>
            <b/>
            <sz val="14"/>
            <color indexed="81"/>
            <rFont val="Times New Roman"/>
            <family val="1"/>
          </rPr>
          <t xml:space="preserve">wpisz nr gry
</t>
        </r>
        <r>
          <rPr>
            <sz val="8"/>
            <color indexed="81"/>
            <rFont val="Tahoma"/>
            <family val="2"/>
            <charset val="238"/>
          </rPr>
          <t xml:space="preserve">
</t>
        </r>
      </text>
    </comment>
    <comment ref="R398" authorId="0">
      <text>
        <r>
          <rPr>
            <b/>
            <sz val="14"/>
            <color indexed="81"/>
            <rFont val="Times New Roman"/>
            <family val="1"/>
          </rPr>
          <t xml:space="preserve">wpisz nr gry
</t>
        </r>
        <r>
          <rPr>
            <sz val="8"/>
            <color indexed="81"/>
            <rFont val="Tahoma"/>
            <family val="2"/>
            <charset val="238"/>
          </rPr>
          <t xml:space="preserve">
</t>
        </r>
      </text>
    </comment>
    <comment ref="P400" authorId="0">
      <text>
        <r>
          <rPr>
            <b/>
            <sz val="14"/>
            <color indexed="81"/>
            <rFont val="Times New Roman"/>
            <family val="1"/>
          </rPr>
          <t xml:space="preserve">wpisz nr gry
</t>
        </r>
        <r>
          <rPr>
            <sz val="8"/>
            <color indexed="81"/>
            <rFont val="Tahoma"/>
            <family val="2"/>
            <charset val="238"/>
          </rPr>
          <t xml:space="preserve">
</t>
        </r>
      </text>
    </comment>
    <comment ref="Q402" authorId="0">
      <text>
        <r>
          <rPr>
            <b/>
            <sz val="14"/>
            <color indexed="81"/>
            <rFont val="Times New Roman"/>
            <family val="1"/>
          </rPr>
          <t xml:space="preserve">wpisz nr gry
</t>
        </r>
        <r>
          <rPr>
            <sz val="8"/>
            <color indexed="81"/>
            <rFont val="Tahoma"/>
            <family val="2"/>
            <charset val="238"/>
          </rPr>
          <t xml:space="preserve">
</t>
        </r>
      </text>
    </comment>
    <comment ref="P404" authorId="0">
      <text>
        <r>
          <rPr>
            <b/>
            <sz val="14"/>
            <color indexed="81"/>
            <rFont val="Times New Roman"/>
            <family val="1"/>
          </rPr>
          <t xml:space="preserve">wpisz nr gry
</t>
        </r>
        <r>
          <rPr>
            <sz val="8"/>
            <color indexed="81"/>
            <rFont val="Tahoma"/>
            <family val="2"/>
            <charset val="238"/>
          </rPr>
          <t xml:space="preserve">
</t>
        </r>
      </text>
    </comment>
  </commentList>
</comments>
</file>

<file path=xl/sharedStrings.xml><?xml version="1.0" encoding="utf-8"?>
<sst xmlns="http://schemas.openxmlformats.org/spreadsheetml/2006/main" count="4411" uniqueCount="421">
  <si>
    <t>pojedyncza kobiet J</t>
  </si>
  <si>
    <t>Lp</t>
  </si>
  <si>
    <t>Zawodnik</t>
  </si>
  <si>
    <t>Punkty</t>
  </si>
  <si>
    <t>Sety</t>
  </si>
  <si>
    <t>Mecze</t>
  </si>
  <si>
    <t>Miejsce</t>
  </si>
  <si>
    <t>Kolejność
gier</t>
  </si>
  <si>
    <t>Nr
gry</t>
  </si>
  <si>
    <t>Z planu gier</t>
  </si>
  <si>
    <t>Do obliczeń</t>
  </si>
  <si>
    <t>J2971</t>
  </si>
  <si>
    <t>1 set</t>
  </si>
  <si>
    <t>2 set</t>
  </si>
  <si>
    <t>3 set</t>
  </si>
  <si>
    <t>1-3</t>
  </si>
  <si>
    <t>B3564</t>
  </si>
  <si>
    <t>2-3</t>
  </si>
  <si>
    <t>1-2</t>
  </si>
  <si>
    <t>Ł4427</t>
  </si>
  <si>
    <t>M3309</t>
  </si>
  <si>
    <t>K3151</t>
  </si>
  <si>
    <t>K3351</t>
  </si>
  <si>
    <t>K3863</t>
  </si>
  <si>
    <t>X57</t>
  </si>
  <si>
    <t>P3283</t>
  </si>
  <si>
    <t>G3560</t>
  </si>
  <si>
    <t>X38</t>
  </si>
  <si>
    <t>W3960</t>
  </si>
  <si>
    <t>R3364</t>
  </si>
  <si>
    <t>P2838</t>
  </si>
  <si>
    <t>G2661</t>
  </si>
  <si>
    <t>D3155</t>
  </si>
  <si>
    <t>S3950</t>
  </si>
  <si>
    <t>K3257</t>
  </si>
  <si>
    <t>pojedyncza mężczyzn J</t>
  </si>
  <si>
    <t>W2914</t>
  </si>
  <si>
    <t>U4307</t>
  </si>
  <si>
    <t>S3245</t>
  </si>
  <si>
    <t>B2621</t>
  </si>
  <si>
    <t>W3805</t>
  </si>
  <si>
    <t>K4685</t>
  </si>
  <si>
    <t>N3333</t>
  </si>
  <si>
    <t>S2695</t>
  </si>
  <si>
    <t>W3545</t>
  </si>
  <si>
    <t>L3566</t>
  </si>
  <si>
    <t>K3935</t>
  </si>
  <si>
    <t>W3962</t>
  </si>
  <si>
    <t>S2973</t>
  </si>
  <si>
    <t>P3934</t>
  </si>
  <si>
    <t>O3926</t>
  </si>
  <si>
    <t>J3112</t>
  </si>
  <si>
    <t>R3804</t>
  </si>
  <si>
    <t>P3707</t>
  </si>
  <si>
    <t>podwójna kobiet J</t>
  </si>
  <si>
    <t xml:space="preserve"> </t>
  </si>
  <si>
    <t>P3555</t>
  </si>
  <si>
    <t>M3662</t>
  </si>
  <si>
    <t>Ś3664</t>
  </si>
  <si>
    <t>T3157</t>
  </si>
  <si>
    <t>B3862</t>
  </si>
  <si>
    <t>G3134</t>
  </si>
  <si>
    <t>podwójna mężczyzn J</t>
  </si>
  <si>
    <t>`</t>
  </si>
  <si>
    <t>K4230</t>
  </si>
  <si>
    <t>N3148</t>
  </si>
  <si>
    <t>2-4</t>
  </si>
  <si>
    <t>S3365</t>
  </si>
  <si>
    <t>1-4</t>
  </si>
  <si>
    <t>3-4</t>
  </si>
  <si>
    <t>S3502</t>
  </si>
  <si>
    <t>K3149</t>
  </si>
  <si>
    <t>T3923</t>
  </si>
  <si>
    <t>mieszana J</t>
  </si>
  <si>
    <t>Z3080</t>
  </si>
  <si>
    <t>K3375</t>
  </si>
  <si>
    <t>K3241</t>
  </si>
  <si>
    <t>pojedyncza dziewcząt JM</t>
  </si>
  <si>
    <t>W4435</t>
  </si>
  <si>
    <t>K3474</t>
  </si>
  <si>
    <t>X42</t>
  </si>
  <si>
    <t>n3738</t>
  </si>
  <si>
    <t>X19</t>
  </si>
  <si>
    <t>P4482</t>
  </si>
  <si>
    <t>J3786</t>
  </si>
  <si>
    <t>S3951</t>
  </si>
  <si>
    <t>X67</t>
  </si>
  <si>
    <t>I4204</t>
  </si>
  <si>
    <t>R3686</t>
  </si>
  <si>
    <t>X09</t>
  </si>
  <si>
    <t>S3617</t>
  </si>
  <si>
    <t>K4084</t>
  </si>
  <si>
    <t>M5127</t>
  </si>
  <si>
    <t>S4168</t>
  </si>
  <si>
    <t>B4205</t>
  </si>
  <si>
    <t>R3720</t>
  </si>
  <si>
    <t>K4207</t>
  </si>
  <si>
    <t>B4184</t>
  </si>
  <si>
    <t>K3764</t>
  </si>
  <si>
    <t>Ś3779</t>
  </si>
  <si>
    <t>X20</t>
  </si>
  <si>
    <t>G4721</t>
  </si>
  <si>
    <t>K3437</t>
  </si>
  <si>
    <t>X28</t>
  </si>
  <si>
    <t>B5199</t>
  </si>
  <si>
    <t>pojedyncza chłopców JM</t>
  </si>
  <si>
    <t>J2970</t>
  </si>
  <si>
    <t>L4078</t>
  </si>
  <si>
    <t>S4544</t>
  </si>
  <si>
    <t>K3867</t>
  </si>
  <si>
    <t>M3704</t>
  </si>
  <si>
    <t>Ł4234</t>
  </si>
  <si>
    <t>W4270</t>
  </si>
  <si>
    <t>H3554</t>
  </si>
  <si>
    <t>X10</t>
  </si>
  <si>
    <t>M4225</t>
  </si>
  <si>
    <t>J5591</t>
  </si>
  <si>
    <t>X56</t>
  </si>
  <si>
    <t>M3731</t>
  </si>
  <si>
    <t>X39</t>
  </si>
  <si>
    <t>O2779</t>
  </si>
  <si>
    <t>J3436</t>
  </si>
  <si>
    <t>M3524</t>
  </si>
  <si>
    <t>K4841</t>
  </si>
  <si>
    <t>P4202</t>
  </si>
  <si>
    <t>Ś3865</t>
  </si>
  <si>
    <t>B4079</t>
  </si>
  <si>
    <t>M4193</t>
  </si>
  <si>
    <t>G4333</t>
  </si>
  <si>
    <t>X41</t>
  </si>
  <si>
    <t>D3323</t>
  </si>
  <si>
    <t>R3535</t>
  </si>
  <si>
    <t>X11</t>
  </si>
  <si>
    <t>N3834</t>
  </si>
  <si>
    <t>K4766</t>
  </si>
  <si>
    <t>B4388</t>
  </si>
  <si>
    <t>L4037</t>
  </si>
  <si>
    <t>M3851</t>
  </si>
  <si>
    <t>S3778</t>
  </si>
  <si>
    <t>K4248</t>
  </si>
  <si>
    <t>S4731</t>
  </si>
  <si>
    <t>Z4433</t>
  </si>
  <si>
    <t>podwójna dziewcząt JM</t>
  </si>
  <si>
    <t>C3958</t>
  </si>
  <si>
    <t>M3959</t>
  </si>
  <si>
    <t>N3738</t>
  </si>
  <si>
    <t>M3661</t>
  </si>
  <si>
    <t>M3790</t>
  </si>
  <si>
    <t>podwójna chłopców JM</t>
  </si>
  <si>
    <t>F4048</t>
  </si>
  <si>
    <t>W4049</t>
  </si>
  <si>
    <t>F4256</t>
  </si>
  <si>
    <t>mieszana JM</t>
  </si>
  <si>
    <t>podwójna dziewcząt M</t>
  </si>
  <si>
    <t>B4737</t>
  </si>
  <si>
    <t>t4823</t>
  </si>
  <si>
    <t>F4339</t>
  </si>
  <si>
    <t>P4758</t>
  </si>
  <si>
    <t>J4505</t>
  </si>
  <si>
    <t>K5041</t>
  </si>
  <si>
    <t>B4564</t>
  </si>
  <si>
    <t>K4136</t>
  </si>
  <si>
    <t>S4547</t>
  </si>
  <si>
    <t>W4550</t>
  </si>
  <si>
    <t>x22</t>
  </si>
  <si>
    <t>x24</t>
  </si>
  <si>
    <t>D3427</t>
  </si>
  <si>
    <t>X63</t>
  </si>
  <si>
    <t>F4371</t>
  </si>
  <si>
    <t>S4370</t>
  </si>
  <si>
    <t>M4748</t>
  </si>
  <si>
    <t>W4281</t>
  </si>
  <si>
    <t>x13</t>
  </si>
  <si>
    <t>x12</t>
  </si>
  <si>
    <t>J4598</t>
  </si>
  <si>
    <t>S4609</t>
  </si>
  <si>
    <t>F3777</t>
  </si>
  <si>
    <t>K5387</t>
  </si>
  <si>
    <t>J4555</t>
  </si>
  <si>
    <t>R4591</t>
  </si>
  <si>
    <t>D4545</t>
  </si>
  <si>
    <t>O4640</t>
  </si>
  <si>
    <t>X17</t>
  </si>
  <si>
    <t>X06</t>
  </si>
  <si>
    <t>G4142</t>
  </si>
  <si>
    <t>M4152</t>
  </si>
  <si>
    <t>K5033</t>
  </si>
  <si>
    <t>P4197</t>
  </si>
  <si>
    <t>K4023</t>
  </si>
  <si>
    <t>S4125</t>
  </si>
  <si>
    <t>S5167</t>
  </si>
  <si>
    <t>S4873</t>
  </si>
  <si>
    <t>P5195</t>
  </si>
  <si>
    <t>Ż5193</t>
  </si>
  <si>
    <t>X03</t>
  </si>
  <si>
    <t>X01</t>
  </si>
  <si>
    <t>G4208</t>
  </si>
  <si>
    <t>M3746</t>
  </si>
  <si>
    <t>M4285</t>
  </si>
  <si>
    <t>T5056</t>
  </si>
  <si>
    <t>G5122</t>
  </si>
  <si>
    <t>R4341</t>
  </si>
  <si>
    <t>D4724</t>
  </si>
  <si>
    <t>K4576</t>
  </si>
  <si>
    <t>K4735</t>
  </si>
  <si>
    <t>Z4822</t>
  </si>
  <si>
    <t>A4292</t>
  </si>
  <si>
    <t>P4786</t>
  </si>
  <si>
    <t>X21</t>
  </si>
  <si>
    <t>G3411</t>
  </si>
  <si>
    <t>R5590</t>
  </si>
  <si>
    <t>S5361</t>
  </si>
  <si>
    <t>podwójna chłopców M</t>
  </si>
  <si>
    <t>A4673</t>
  </si>
  <si>
    <t>J4677</t>
  </si>
  <si>
    <t>M5027</t>
  </si>
  <si>
    <t>M4588</t>
  </si>
  <si>
    <t>K4579</t>
  </si>
  <si>
    <t>S5541</t>
  </si>
  <si>
    <t>K4613</t>
  </si>
  <si>
    <t>L4716</t>
  </si>
  <si>
    <t>B4431</t>
  </si>
  <si>
    <t>K4432</t>
  </si>
  <si>
    <t>E4320</t>
  </si>
  <si>
    <t>W4657</t>
  </si>
  <si>
    <t>X02</t>
  </si>
  <si>
    <t>X04</t>
  </si>
  <si>
    <t>P4121</t>
  </si>
  <si>
    <t>P4530</t>
  </si>
  <si>
    <t>M4817</t>
  </si>
  <si>
    <t>P4726</t>
  </si>
  <si>
    <t>F4652</t>
  </si>
  <si>
    <t>W4651</t>
  </si>
  <si>
    <t>K4283</t>
  </si>
  <si>
    <t>S4287</t>
  </si>
  <si>
    <t>L4473</t>
  </si>
  <si>
    <t>M3747</t>
  </si>
  <si>
    <t>K5874</t>
  </si>
  <si>
    <t>R4718</t>
  </si>
  <si>
    <t>F4551</t>
  </si>
  <si>
    <t>K4556</t>
  </si>
  <si>
    <t>J4722</t>
  </si>
  <si>
    <t>T4723</t>
  </si>
  <si>
    <t>X23</t>
  </si>
  <si>
    <t>X15</t>
  </si>
  <si>
    <t>C3670</t>
  </si>
  <si>
    <t>S3748</t>
  </si>
  <si>
    <t>M4170</t>
  </si>
  <si>
    <t>W4753</t>
  </si>
  <si>
    <t>G5275</t>
  </si>
  <si>
    <t>K4676</t>
  </si>
  <si>
    <t>G4577</t>
  </si>
  <si>
    <t>K4563</t>
  </si>
  <si>
    <t>K5132</t>
  </si>
  <si>
    <t>S5947</t>
  </si>
  <si>
    <t>K4124</t>
  </si>
  <si>
    <t>R5482</t>
  </si>
  <si>
    <t>G4559</t>
  </si>
  <si>
    <t>G4560</t>
  </si>
  <si>
    <t>S5092</t>
  </si>
  <si>
    <t>T3692</t>
  </si>
  <si>
    <t>G4178</t>
  </si>
  <si>
    <t>S4265</t>
  </si>
  <si>
    <t>mieszana M</t>
  </si>
  <si>
    <t>W4701</t>
  </si>
  <si>
    <t>B5525</t>
  </si>
  <si>
    <t>Ś5003</t>
  </si>
  <si>
    <t>K5206</t>
  </si>
  <si>
    <t>G3854</t>
  </si>
  <si>
    <t>S5036</t>
  </si>
  <si>
    <t>X08</t>
  </si>
  <si>
    <t>G4680</t>
  </si>
  <si>
    <t>T3691</t>
  </si>
  <si>
    <t>M4689</t>
  </si>
  <si>
    <t>N4575</t>
  </si>
  <si>
    <t>X14</t>
  </si>
  <si>
    <t>P4286</t>
  </si>
  <si>
    <t>X22</t>
  </si>
  <si>
    <t>pojedyncza dziewcząt MM</t>
  </si>
  <si>
    <t>D4628</t>
  </si>
  <si>
    <t>X50</t>
  </si>
  <si>
    <t>W5952</t>
  </si>
  <si>
    <t>K5208</t>
  </si>
  <si>
    <t>K5600</t>
  </si>
  <si>
    <t>F4870</t>
  </si>
  <si>
    <t>P4759</t>
  </si>
  <si>
    <t>X30</t>
  </si>
  <si>
    <t>T5222</t>
  </si>
  <si>
    <t>D5062</t>
  </si>
  <si>
    <t>S5705</t>
  </si>
  <si>
    <t>Ż5592</t>
  </si>
  <si>
    <t>L5359</t>
  </si>
  <si>
    <t>G5951</t>
  </si>
  <si>
    <t>K5733</t>
  </si>
  <si>
    <t>P4820</t>
  </si>
  <si>
    <t>X29</t>
  </si>
  <si>
    <t>P5477</t>
  </si>
  <si>
    <t>O5218</t>
  </si>
  <si>
    <t>H5946</t>
  </si>
  <si>
    <t>C5063</t>
  </si>
  <si>
    <t>F4799</t>
  </si>
  <si>
    <t>S4730</t>
  </si>
  <si>
    <t>X31</t>
  </si>
  <si>
    <t>K5950</t>
  </si>
  <si>
    <t>B4319</t>
  </si>
  <si>
    <t>G5614</t>
  </si>
  <si>
    <t>K5949</t>
  </si>
  <si>
    <t>J5024</t>
  </si>
  <si>
    <t>X43</t>
  </si>
  <si>
    <t>W5473</t>
  </si>
  <si>
    <t>R5603</t>
  </si>
  <si>
    <t>S5479</t>
  </si>
  <si>
    <t>X32</t>
  </si>
  <si>
    <t>M4792</t>
  </si>
  <si>
    <t>M4631</t>
  </si>
  <si>
    <t>X16</t>
  </si>
  <si>
    <t>K5262</t>
  </si>
  <si>
    <t>X25</t>
  </si>
  <si>
    <t>X33</t>
  </si>
  <si>
    <t>KRAMCHANINA</t>
  </si>
  <si>
    <t>21/17 21/16</t>
  </si>
  <si>
    <t>podwójna dziewcząt MM</t>
  </si>
  <si>
    <t>x05</t>
  </si>
  <si>
    <t>X18</t>
  </si>
  <si>
    <t>g5614</t>
  </si>
  <si>
    <t>G5478</t>
  </si>
  <si>
    <t>X34</t>
  </si>
  <si>
    <t>X35</t>
  </si>
  <si>
    <t>X36</t>
  </si>
  <si>
    <t>podwójna chłopców MM</t>
  </si>
  <si>
    <t>C4406</t>
  </si>
  <si>
    <t>C4264</t>
  </si>
  <si>
    <t>P5629</t>
  </si>
  <si>
    <t>P5601</t>
  </si>
  <si>
    <t>B4655</t>
  </si>
  <si>
    <t>G5536</t>
  </si>
  <si>
    <t>G5128</t>
  </si>
  <si>
    <t>H5129</t>
  </si>
  <si>
    <t>M5584</t>
  </si>
  <si>
    <t>Ś5585</t>
  </si>
  <si>
    <t>X26</t>
  </si>
  <si>
    <t>S5068</t>
  </si>
  <si>
    <t>X47</t>
  </si>
  <si>
    <t>X48</t>
  </si>
  <si>
    <t>K4239</t>
  </si>
  <si>
    <t>M4698</t>
  </si>
  <si>
    <t>H5344</t>
  </si>
  <si>
    <t>P5351</t>
  </si>
  <si>
    <t>F4888</t>
  </si>
  <si>
    <t>Z4312</t>
  </si>
  <si>
    <t>G4725</t>
  </si>
  <si>
    <t>M4565</t>
  </si>
  <si>
    <t>P5350</t>
  </si>
  <si>
    <t>Ś5353</t>
  </si>
  <si>
    <t>K4670</t>
  </si>
  <si>
    <t>U5145</t>
  </si>
  <si>
    <t>G5058</t>
  </si>
  <si>
    <t>K4981</t>
  </si>
  <si>
    <t>J5015</t>
  </si>
  <si>
    <t>M5942</t>
  </si>
  <si>
    <t>K5476</t>
  </si>
  <si>
    <t>M5475</t>
  </si>
  <si>
    <t>K4702</t>
  </si>
  <si>
    <t>L4492</t>
  </si>
  <si>
    <t>M4933</t>
  </si>
  <si>
    <t>R4700</t>
  </si>
  <si>
    <t>G5026</t>
  </si>
  <si>
    <t>P5025</t>
  </si>
  <si>
    <t>K5180</t>
  </si>
  <si>
    <t>M4612</t>
  </si>
  <si>
    <t>mieszana MM</t>
  </si>
  <si>
    <t>X05</t>
  </si>
  <si>
    <t>B5059</t>
  </si>
  <si>
    <t>S5627</t>
  </si>
  <si>
    <t>Ż4858</t>
  </si>
  <si>
    <t>X49</t>
  </si>
  <si>
    <t>T5801</t>
  </si>
  <si>
    <t>R4145</t>
  </si>
  <si>
    <t>pojedyncza dziewcząt Ż</t>
  </si>
  <si>
    <t>N5113</t>
  </si>
  <si>
    <t>X64</t>
  </si>
  <si>
    <t>C5991</t>
  </si>
  <si>
    <t>X37</t>
  </si>
  <si>
    <t>X45</t>
  </si>
  <si>
    <t>Ł5765</t>
  </si>
  <si>
    <t>S5623</t>
  </si>
  <si>
    <t>X46</t>
  </si>
  <si>
    <t>D5992</t>
  </si>
  <si>
    <t>K5975</t>
  </si>
  <si>
    <t>R5626</t>
  </si>
  <si>
    <t>X27</t>
  </si>
  <si>
    <t>M5269</t>
  </si>
  <si>
    <t>X60</t>
  </si>
  <si>
    <t>k5598</t>
  </si>
  <si>
    <t>X52</t>
  </si>
  <si>
    <t>W5766</t>
  </si>
  <si>
    <t>pojedyncza chłopców Ż</t>
  </si>
  <si>
    <t>X54</t>
  </si>
  <si>
    <t>B5816</t>
  </si>
  <si>
    <t>X44</t>
  </si>
  <si>
    <t>S5976</t>
  </si>
  <si>
    <t>N5960</t>
  </si>
  <si>
    <t>X61</t>
  </si>
  <si>
    <t>K5833</t>
  </si>
  <si>
    <t>X53</t>
  </si>
  <si>
    <t>Gra</t>
  </si>
  <si>
    <t>pojedyncza dziewcząt M</t>
  </si>
  <si>
    <t>V</t>
  </si>
  <si>
    <t>Górna połówka</t>
  </si>
  <si>
    <t>X24</t>
  </si>
  <si>
    <t>T4823</t>
  </si>
  <si>
    <t>Sędzia główny</t>
  </si>
  <si>
    <t>Dolna połówka</t>
  </si>
  <si>
    <t>X13</t>
  </si>
  <si>
    <t>X12</t>
  </si>
  <si>
    <t>pojedyncza chłopców M</t>
  </si>
  <si>
    <t>pojedyncza chłopców MM</t>
  </si>
  <si>
    <t>Z5817</t>
  </si>
  <si>
    <t>N5737</t>
  </si>
  <si>
    <t>L5819</t>
  </si>
  <si>
    <t>O5453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</si>
</sst>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00"/>
  </numFmts>
  <fonts count="18" x14ac:knownFonts="1">
    <font>
      <sz val="10"/>
      <name val="Times New Roman CE"/>
      <charset val="238"/>
    </font>
    <font>
      <sz val="10"/>
      <name val="Times New Roman CE"/>
      <charset val="238"/>
    </font>
    <font>
      <b/>
      <sz val="10"/>
      <name val="Times New Roman CE"/>
      <family val="1"/>
      <charset val="238"/>
    </font>
    <font>
      <b/>
      <sz val="12"/>
      <name val="Times New Roman CE"/>
      <family val="1"/>
      <charset val="238"/>
    </font>
    <font>
      <b/>
      <sz val="8"/>
      <name val="Times New Roman CE"/>
      <family val="1"/>
      <charset val="238"/>
    </font>
    <font>
      <b/>
      <sz val="10"/>
      <name val="Times New Roman CE"/>
      <charset val="238"/>
    </font>
    <font>
      <b/>
      <sz val="10"/>
      <color indexed="10"/>
      <name val="Times New Roman CE"/>
      <family val="1"/>
      <charset val="238"/>
    </font>
    <font>
      <b/>
      <sz val="10"/>
      <name val="Calibri"/>
      <family val="2"/>
      <charset val="238"/>
    </font>
    <font>
      <sz val="10"/>
      <name val="Times New Roman CE"/>
      <family val="1"/>
      <charset val="238"/>
    </font>
    <font>
      <b/>
      <sz val="10"/>
      <color indexed="81"/>
      <name val="Times New Roman CE"/>
      <family val="1"/>
      <charset val="238"/>
    </font>
    <font>
      <sz val="8"/>
      <color indexed="81"/>
      <name val="Tahoma"/>
      <family val="2"/>
      <charset val="238"/>
    </font>
    <font>
      <b/>
      <sz val="14"/>
      <color indexed="81"/>
      <name val="Times New Roman"/>
      <family val="1"/>
    </font>
    <font>
      <sz val="10"/>
      <color indexed="9"/>
      <name val="Times New Roman CE"/>
      <family val="1"/>
      <charset val="238"/>
    </font>
    <font>
      <b/>
      <sz val="10"/>
      <color indexed="9"/>
      <name val="Times New Roman CE"/>
      <family val="1"/>
      <charset val="238"/>
    </font>
    <font>
      <sz val="10"/>
      <name val="Arial"/>
      <family val="2"/>
      <charset val="238"/>
    </font>
    <font>
      <sz val="10"/>
      <color indexed="8"/>
      <name val="Verdana"/>
      <family val="2"/>
      <charset val="238"/>
    </font>
    <font>
      <b/>
      <sz val="9"/>
      <color indexed="81"/>
      <name val="Tahoma"/>
      <family val="2"/>
      <charset val="238"/>
    </font>
    <font>
      <sz val="9"/>
      <color indexed="81"/>
      <name val="Tahoma"/>
      <family val="2"/>
      <charset val="238"/>
    </font>
  </fonts>
  <fills count="12">
    <fill>
      <patternFill patternType="none"/>
    </fill>
    <fill>
      <patternFill patternType="gray125"/>
    </fill>
    <fill>
      <patternFill patternType="solid">
        <fgColor indexed="50"/>
        <bgColor indexed="64"/>
      </patternFill>
    </fill>
    <fill>
      <patternFill patternType="solid">
        <fgColor indexed="11"/>
        <bgColor indexed="64"/>
      </patternFill>
    </fill>
    <fill>
      <patternFill patternType="solid">
        <fgColor indexed="22"/>
        <bgColor indexed="64"/>
      </patternFill>
    </fill>
    <fill>
      <patternFill patternType="solid">
        <fgColor indexed="10"/>
        <bgColor indexed="64"/>
      </patternFill>
    </fill>
    <fill>
      <patternFill patternType="solid">
        <fgColor indexed="23"/>
        <bgColor indexed="64"/>
      </patternFill>
    </fill>
    <fill>
      <patternFill patternType="solid">
        <fgColor indexed="13"/>
        <bgColor indexed="64"/>
      </patternFill>
    </fill>
    <fill>
      <patternFill patternType="solid">
        <fgColor indexed="57"/>
        <bgColor indexed="64"/>
      </patternFill>
    </fill>
    <fill>
      <patternFill patternType="solid">
        <fgColor indexed="17"/>
        <bgColor indexed="64"/>
      </patternFill>
    </fill>
    <fill>
      <patternFill patternType="solid">
        <fgColor indexed="14"/>
        <bgColor indexed="64"/>
      </patternFill>
    </fill>
    <fill>
      <patternFill patternType="solid">
        <fgColor indexed="15"/>
        <bgColor indexed="64"/>
      </patternFill>
    </fill>
  </fills>
  <borders count="7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diagonal/>
    </border>
    <border>
      <left style="thin">
        <color indexed="8"/>
      </left>
      <right style="thin">
        <color indexed="8"/>
      </right>
      <top style="thin">
        <color indexed="8"/>
      </top>
      <bottom style="thin">
        <color indexed="8"/>
      </bottom>
      <diagonal/>
    </border>
    <border>
      <left style="hair">
        <color indexed="64"/>
      </left>
      <right style="hair">
        <color indexed="64"/>
      </right>
      <top style="hair">
        <color indexed="64"/>
      </top>
      <bottom style="hair">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double">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s>
  <cellStyleXfs count="2">
    <xf numFmtId="0" fontId="0" fillId="0" borderId="0"/>
    <xf numFmtId="0" fontId="14" fillId="0" borderId="0"/>
  </cellStyleXfs>
  <cellXfs count="296">
    <xf numFmtId="0" fontId="0" fillId="0" borderId="0" xfId="0"/>
    <xf numFmtId="0" fontId="2" fillId="0" borderId="0" xfId="0" applyFont="1" applyAlignment="1">
      <alignment vertical="center"/>
    </xf>
    <xf numFmtId="0" fontId="0" fillId="0" borderId="0" xfId="0" applyAlignment="1">
      <alignment vertical="center"/>
    </xf>
    <xf numFmtId="0" fontId="3" fillId="0" borderId="0" xfId="0" applyFont="1" applyFill="1" applyBorder="1" applyAlignment="1" applyProtection="1">
      <alignment vertical="center"/>
    </xf>
    <xf numFmtId="0" fontId="3" fillId="0" borderId="0" xfId="0" applyFont="1" applyBorder="1" applyAlignment="1" applyProtection="1">
      <alignment vertical="center"/>
    </xf>
    <xf numFmtId="0" fontId="2" fillId="0" borderId="0" xfId="0" applyFont="1" applyAlignme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vertical="center"/>
    </xf>
    <xf numFmtId="164" fontId="3" fillId="0" borderId="0" xfId="0" applyNumberFormat="1" applyFont="1" applyAlignment="1" applyProtection="1">
      <alignment vertical="center"/>
    </xf>
    <xf numFmtId="0" fontId="2" fillId="0" borderId="0" xfId="0" applyFont="1" applyBorder="1" applyAlignment="1">
      <alignment vertical="center"/>
    </xf>
    <xf numFmtId="0" fontId="0" fillId="0" borderId="0" xfId="0" applyBorder="1" applyAlignment="1">
      <alignment vertical="center"/>
    </xf>
    <xf numFmtId="0" fontId="0" fillId="0" borderId="0" xfId="0" applyFill="1" applyBorder="1" applyAlignment="1" applyProtection="1">
      <alignment vertical="center"/>
    </xf>
    <xf numFmtId="0" fontId="0" fillId="0" borderId="0" xfId="0" applyBorder="1" applyAlignment="1" applyProtection="1">
      <alignment horizontal="center" vertical="center"/>
    </xf>
    <xf numFmtId="0" fontId="2" fillId="0" borderId="0" xfId="0" applyFont="1" applyBorder="1" applyAlignment="1" applyProtection="1">
      <alignment vertical="center"/>
    </xf>
    <xf numFmtId="0" fontId="0" fillId="0" borderId="0" xfId="0" applyBorder="1" applyAlignment="1" applyProtection="1">
      <alignment vertical="center"/>
    </xf>
    <xf numFmtId="164" fontId="0" fillId="0" borderId="0" xfId="0" applyNumberFormat="1" applyBorder="1" applyAlignment="1" applyProtection="1">
      <alignment vertical="center"/>
    </xf>
    <xf numFmtId="0" fontId="0" fillId="0" borderId="0" xfId="0" applyFill="1" applyAlignment="1">
      <alignment vertical="center"/>
    </xf>
    <xf numFmtId="0" fontId="0" fillId="2" borderId="0" xfId="0" applyFill="1" applyBorder="1" applyAlignment="1" applyProtection="1">
      <alignment horizontal="center" vertical="center"/>
    </xf>
    <xf numFmtId="0" fontId="2" fillId="0" borderId="0" xfId="0" applyFont="1" applyAlignment="1" applyProtection="1">
      <alignment horizontal="center" vertical="center"/>
    </xf>
    <xf numFmtId="0" fontId="0" fillId="0" borderId="0" xfId="0" applyAlignment="1" applyProtection="1">
      <alignment vertical="center"/>
    </xf>
    <xf numFmtId="164" fontId="0" fillId="0" borderId="0" xfId="0" applyNumberFormat="1" applyAlignment="1" applyProtection="1">
      <alignment vertical="center"/>
    </xf>
    <xf numFmtId="0" fontId="0" fillId="3" borderId="0" xfId="0" applyFill="1" applyBorder="1" applyAlignment="1" applyProtection="1">
      <alignment vertical="center"/>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0" fillId="0" borderId="0" xfId="0" applyFill="1" applyBorder="1" applyAlignment="1" applyProtection="1">
      <alignment vertical="center"/>
      <protection locked="0"/>
    </xf>
    <xf numFmtId="0" fontId="0" fillId="2" borderId="0" xfId="0" applyFill="1" applyBorder="1" applyAlignment="1" applyProtection="1">
      <alignment vertical="center"/>
    </xf>
    <xf numFmtId="0" fontId="2" fillId="4" borderId="5" xfId="0" applyFont="1" applyFill="1" applyBorder="1" applyAlignment="1" applyProtection="1">
      <alignment vertical="center"/>
    </xf>
    <xf numFmtId="0" fontId="2" fillId="0" borderId="6"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0" fillId="3" borderId="8" xfId="0" applyFill="1" applyBorder="1" applyAlignment="1" applyProtection="1">
      <alignment vertical="center"/>
      <protection locked="0"/>
    </xf>
    <xf numFmtId="0" fontId="0" fillId="5" borderId="0" xfId="0" applyFill="1" applyBorder="1" applyAlignment="1" applyProtection="1">
      <alignment vertical="center"/>
    </xf>
    <xf numFmtId="0" fontId="2" fillId="4" borderId="9" xfId="0" applyFont="1" applyFill="1" applyBorder="1" applyAlignment="1" applyProtection="1">
      <alignment vertical="center"/>
    </xf>
    <xf numFmtId="0" fontId="2" fillId="0" borderId="1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0" fillId="3" borderId="12" xfId="0" applyFill="1" applyBorder="1" applyAlignment="1" applyProtection="1">
      <alignment vertical="center"/>
      <protection locked="0"/>
    </xf>
    <xf numFmtId="0" fontId="2" fillId="0" borderId="13"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0" fillId="0" borderId="15" xfId="0" applyBorder="1" applyAlignment="1" applyProtection="1">
      <alignment horizontal="center" vertical="center"/>
    </xf>
    <xf numFmtId="0" fontId="0" fillId="0" borderId="0" xfId="0" applyNumberFormat="1" applyAlignment="1">
      <alignment vertical="center"/>
    </xf>
    <xf numFmtId="0" fontId="5" fillId="0" borderId="0" xfId="0" applyFont="1" applyAlignment="1">
      <alignment vertical="center"/>
    </xf>
    <xf numFmtId="49" fontId="2" fillId="0" borderId="0" xfId="0" applyNumberFormat="1" applyFont="1" applyAlignment="1" applyProtection="1">
      <alignment horizontal="center" vertical="center"/>
    </xf>
    <xf numFmtId="0" fontId="2" fillId="0" borderId="0" xfId="0" applyFont="1" applyAlignment="1" applyProtection="1">
      <alignment vertical="center"/>
      <protection locked="0"/>
    </xf>
    <xf numFmtId="0" fontId="2" fillId="0" borderId="16" xfId="0" applyFont="1" applyBorder="1" applyAlignment="1" applyProtection="1">
      <alignment horizontal="center" vertical="center" wrapText="1"/>
    </xf>
    <xf numFmtId="0" fontId="2" fillId="4" borderId="17" xfId="0" applyFont="1" applyFill="1" applyBorder="1" applyAlignment="1" applyProtection="1">
      <alignment vertical="center"/>
    </xf>
    <xf numFmtId="0" fontId="2" fillId="0" borderId="18" xfId="0" applyFont="1" applyBorder="1" applyAlignment="1" applyProtection="1">
      <alignment horizontal="center" vertical="center" wrapText="1"/>
    </xf>
    <xf numFmtId="0" fontId="0" fillId="0" borderId="19" xfId="0" applyBorder="1" applyAlignment="1" applyProtection="1">
      <alignment vertical="center"/>
    </xf>
    <xf numFmtId="0" fontId="0" fillId="0" borderId="13" xfId="0" applyBorder="1" applyAlignment="1" applyProtection="1">
      <alignment vertical="center"/>
    </xf>
    <xf numFmtId="0" fontId="0" fillId="4" borderId="20" xfId="0" applyFill="1" applyBorder="1" applyAlignment="1" applyProtection="1">
      <alignment vertical="center"/>
    </xf>
    <xf numFmtId="0" fontId="0" fillId="0" borderId="21" xfId="0" applyBorder="1" applyAlignment="1" applyProtection="1">
      <alignment vertical="center"/>
    </xf>
    <xf numFmtId="0" fontId="0" fillId="4" borderId="21" xfId="0" applyFill="1" applyBorder="1" applyAlignment="1" applyProtection="1">
      <alignment vertical="center"/>
    </xf>
    <xf numFmtId="0" fontId="6" fillId="0" borderId="0" xfId="0" applyFont="1" applyBorder="1" applyAlignment="1" applyProtection="1">
      <alignment vertical="center"/>
    </xf>
    <xf numFmtId="0" fontId="0" fillId="6" borderId="22" xfId="0" applyFill="1" applyBorder="1" applyAlignment="1" applyProtection="1">
      <alignment vertical="center"/>
    </xf>
    <xf numFmtId="0" fontId="0" fillId="6" borderId="23" xfId="0" applyFill="1" applyBorder="1" applyAlignment="1" applyProtection="1">
      <alignment vertical="center"/>
    </xf>
    <xf numFmtId="0" fontId="0" fillId="0" borderId="14" xfId="0" applyBorder="1" applyAlignment="1" applyProtection="1">
      <alignment vertical="center"/>
    </xf>
    <xf numFmtId="0" fontId="0" fillId="0" borderId="24" xfId="0" applyBorder="1" applyAlignment="1" applyProtection="1">
      <alignment vertical="center"/>
    </xf>
    <xf numFmtId="0" fontId="0" fillId="0" borderId="25" xfId="0" applyBorder="1" applyAlignment="1" applyProtection="1">
      <alignment horizontal="center" vertical="center"/>
    </xf>
    <xf numFmtId="164" fontId="7" fillId="0" borderId="0" xfId="0" applyNumberFormat="1" applyFont="1" applyFill="1" applyBorder="1" applyAlignment="1" applyProtection="1">
      <alignment vertical="center"/>
    </xf>
    <xf numFmtId="0" fontId="2" fillId="0" borderId="9" xfId="0" applyFont="1" applyBorder="1" applyAlignment="1" applyProtection="1">
      <alignment horizontal="center" vertical="center" wrapText="1"/>
    </xf>
    <xf numFmtId="0" fontId="2" fillId="4" borderId="10" xfId="0" applyFont="1" applyFill="1" applyBorder="1" applyAlignment="1" applyProtection="1">
      <alignment vertical="center"/>
    </xf>
    <xf numFmtId="0" fontId="0" fillId="0" borderId="26" xfId="0" applyBorder="1" applyAlignment="1" applyProtection="1">
      <alignment vertical="center"/>
    </xf>
    <xf numFmtId="0" fontId="0" fillId="0" borderId="27" xfId="0" applyBorder="1" applyAlignment="1" applyProtection="1">
      <alignment vertical="center"/>
    </xf>
    <xf numFmtId="0" fontId="0" fillId="4" borderId="26" xfId="0" applyFill="1" applyBorder="1" applyAlignment="1" applyProtection="1">
      <alignment vertical="center"/>
    </xf>
    <xf numFmtId="0" fontId="0" fillId="4" borderId="27" xfId="0" applyFill="1" applyBorder="1" applyAlignment="1" applyProtection="1">
      <alignment vertical="center"/>
    </xf>
    <xf numFmtId="0" fontId="0" fillId="6" borderId="28" xfId="0" applyFill="1" applyBorder="1" applyAlignment="1" applyProtection="1">
      <alignment vertical="center"/>
    </xf>
    <xf numFmtId="0" fontId="0" fillId="6" borderId="29" xfId="0" applyFill="1" applyBorder="1" applyAlignment="1" applyProtection="1">
      <alignment vertical="center"/>
    </xf>
    <xf numFmtId="0" fontId="0" fillId="0" borderId="30" xfId="0" applyBorder="1" applyAlignment="1" applyProtection="1">
      <alignment vertical="center"/>
    </xf>
    <xf numFmtId="0" fontId="0" fillId="0" borderId="28" xfId="0" applyBorder="1" applyAlignment="1" applyProtection="1">
      <alignment vertical="center"/>
    </xf>
    <xf numFmtId="0" fontId="0" fillId="0" borderId="31" xfId="0" applyBorder="1" applyAlignment="1" applyProtection="1">
      <alignment horizontal="center" vertical="center"/>
    </xf>
    <xf numFmtId="49" fontId="2" fillId="0" borderId="0" xfId="0" quotePrefix="1" applyNumberFormat="1" applyFont="1" applyAlignment="1" applyProtection="1">
      <alignment horizontal="center" vertical="center"/>
    </xf>
    <xf numFmtId="0" fontId="2" fillId="0" borderId="19" xfId="0" applyFont="1" applyBorder="1" applyAlignment="1" applyProtection="1">
      <alignment horizontal="center" vertical="center" wrapText="1"/>
    </xf>
    <xf numFmtId="0" fontId="0" fillId="0" borderId="32" xfId="0" applyBorder="1" applyAlignment="1" applyProtection="1">
      <alignment vertical="center"/>
    </xf>
    <xf numFmtId="0" fontId="0" fillId="0" borderId="33" xfId="0" applyBorder="1" applyAlignment="1" applyProtection="1">
      <alignment vertical="center"/>
    </xf>
    <xf numFmtId="0" fontId="0" fillId="4" borderId="32" xfId="0" applyFill="1" applyBorder="1" applyAlignment="1" applyProtection="1">
      <alignment vertical="center"/>
    </xf>
    <xf numFmtId="0" fontId="0" fillId="4" borderId="33" xfId="0" applyFill="1" applyBorder="1" applyAlignment="1" applyProtection="1">
      <alignment vertical="center"/>
    </xf>
    <xf numFmtId="0" fontId="0" fillId="6" borderId="34" xfId="0" applyFill="1" applyBorder="1" applyAlignment="1" applyProtection="1">
      <alignment vertical="center"/>
    </xf>
    <xf numFmtId="0" fontId="0" fillId="6" borderId="35" xfId="0" applyFill="1" applyBorder="1" applyAlignment="1" applyProtection="1">
      <alignment vertical="center"/>
    </xf>
    <xf numFmtId="0" fontId="0" fillId="0" borderId="36" xfId="0" applyBorder="1" applyAlignment="1" applyProtection="1">
      <alignment vertical="center"/>
    </xf>
    <xf numFmtId="0" fontId="0" fillId="0" borderId="34" xfId="0" applyBorder="1" applyAlignment="1" applyProtection="1">
      <alignment vertical="center"/>
    </xf>
    <xf numFmtId="0" fontId="0" fillId="0" borderId="37" xfId="0" applyBorder="1" applyAlignment="1" applyProtection="1">
      <alignment horizontal="center" vertical="center"/>
    </xf>
    <xf numFmtId="0" fontId="2" fillId="0" borderId="17" xfId="0" applyFont="1" applyBorder="1" applyAlignment="1" applyProtection="1">
      <alignment horizontal="center" vertical="center" wrapText="1"/>
    </xf>
    <xf numFmtId="0" fontId="2" fillId="4" borderId="18" xfId="0" applyFont="1" applyFill="1" applyBorder="1" applyAlignment="1" applyProtection="1">
      <alignment vertical="center"/>
    </xf>
    <xf numFmtId="0" fontId="2" fillId="0" borderId="0" xfId="0" quotePrefix="1" applyFont="1" applyAlignment="1" applyProtection="1">
      <alignment horizontal="center" vertical="center"/>
    </xf>
    <xf numFmtId="0" fontId="2" fillId="4" borderId="11" xfId="0" applyFont="1" applyFill="1" applyBorder="1" applyAlignment="1" applyProtection="1">
      <alignment vertical="center"/>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2" fillId="4" borderId="40" xfId="0" applyFont="1" applyFill="1" applyBorder="1" applyAlignment="1" applyProtection="1">
      <alignment vertical="center"/>
    </xf>
    <xf numFmtId="0" fontId="0" fillId="0" borderId="0" xfId="0" applyFill="1" applyAlignment="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center" vertical="center" wrapText="1"/>
    </xf>
    <xf numFmtId="0" fontId="8" fillId="0" borderId="0" xfId="0" applyNumberFormat="1" applyFont="1" applyFill="1" applyBorder="1" applyAlignment="1" applyProtection="1">
      <alignment horizontal="right"/>
    </xf>
    <xf numFmtId="0" fontId="8" fillId="0" borderId="0" xfId="0" applyNumberFormat="1" applyFont="1" applyFill="1" applyBorder="1" applyAlignment="1" applyProtection="1"/>
    <xf numFmtId="0" fontId="0" fillId="0" borderId="0" xfId="0" applyAlignment="1">
      <alignment horizontal="right" vertical="center"/>
    </xf>
    <xf numFmtId="0" fontId="0" fillId="3" borderId="27" xfId="0" applyFill="1" applyBorder="1" applyAlignment="1" applyProtection="1">
      <alignment horizontal="center" vertical="center"/>
    </xf>
    <xf numFmtId="0" fontId="5" fillId="3" borderId="27" xfId="0" applyFont="1" applyFill="1" applyBorder="1" applyAlignment="1">
      <alignment horizontal="center" vertical="center"/>
    </xf>
    <xf numFmtId="0" fontId="0" fillId="0" borderId="0" xfId="0" applyFill="1" applyAlignment="1">
      <alignment horizontal="center" vertical="center"/>
    </xf>
    <xf numFmtId="0" fontId="0" fillId="2" borderId="0" xfId="0" applyFill="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7" borderId="0" xfId="0" applyFont="1" applyFill="1" applyAlignment="1">
      <alignment vertical="center"/>
    </xf>
    <xf numFmtId="0" fontId="0" fillId="0" borderId="0" xfId="0" applyFill="1" applyBorder="1" applyAlignment="1" applyProtection="1">
      <alignment horizontal="right" vertical="center"/>
    </xf>
    <xf numFmtId="0" fontId="0" fillId="3" borderId="27" xfId="0" applyFill="1" applyBorder="1" applyAlignment="1">
      <alignment horizontal="right" vertical="center"/>
    </xf>
    <xf numFmtId="0" fontId="5" fillId="5" borderId="24" xfId="0" applyFont="1" applyFill="1" applyBorder="1" applyAlignment="1">
      <alignment horizontal="right" vertical="center"/>
    </xf>
    <xf numFmtId="0" fontId="0" fillId="0" borderId="0" xfId="0" applyFill="1" applyBorder="1" applyAlignment="1">
      <alignment horizontal="right" vertical="center"/>
    </xf>
    <xf numFmtId="0" fontId="2" fillId="0" borderId="41" xfId="0" applyFont="1" applyBorder="1" applyAlignment="1">
      <alignment horizontal="left"/>
    </xf>
    <xf numFmtId="0" fontId="2" fillId="0" borderId="29" xfId="0" applyFont="1" applyBorder="1" applyAlignment="1" applyProtection="1">
      <alignment vertical="center"/>
      <protection locked="0"/>
    </xf>
    <xf numFmtId="0" fontId="5" fillId="5" borderId="42" xfId="0" applyFont="1" applyFill="1" applyBorder="1" applyAlignment="1">
      <alignment horizontal="right" vertical="center"/>
    </xf>
    <xf numFmtId="0" fontId="2" fillId="0" borderId="29" xfId="0" applyFont="1" applyBorder="1" applyAlignment="1">
      <alignment horizontal="right"/>
    </xf>
    <xf numFmtId="0" fontId="2" fillId="3" borderId="0" xfId="0" applyFont="1" applyFill="1" applyAlignment="1">
      <alignment vertical="center"/>
    </xf>
    <xf numFmtId="0" fontId="5" fillId="0" borderId="0" xfId="0" applyFont="1" applyFill="1" applyBorder="1" applyAlignment="1">
      <alignment horizontal="right"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43" xfId="0" applyFont="1" applyBorder="1" applyAlignment="1" applyProtection="1">
      <alignment vertical="center"/>
      <protection locked="0"/>
    </xf>
    <xf numFmtId="0" fontId="2" fillId="0" borderId="43" xfId="0" applyFont="1" applyBorder="1" applyAlignment="1">
      <alignment horizontal="center" vertical="center"/>
    </xf>
    <xf numFmtId="0" fontId="0" fillId="0" borderId="43" xfId="0" applyBorder="1" applyAlignment="1">
      <alignment vertical="center"/>
    </xf>
    <xf numFmtId="0" fontId="2" fillId="8" borderId="0" xfId="0" applyFont="1" applyFill="1" applyAlignment="1">
      <alignment vertical="center"/>
    </xf>
    <xf numFmtId="0" fontId="0" fillId="3" borderId="27" xfId="0" applyFill="1" applyBorder="1" applyAlignment="1">
      <alignment horizontal="center" vertical="center" wrapText="1"/>
    </xf>
    <xf numFmtId="0" fontId="5" fillId="5" borderId="0" xfId="0" applyFont="1" applyFill="1" applyBorder="1" applyAlignment="1">
      <alignment horizontal="center" vertical="center"/>
    </xf>
    <xf numFmtId="0" fontId="8" fillId="0" borderId="0" xfId="0" applyFont="1" applyFill="1" applyBorder="1" applyAlignment="1">
      <alignment horizontal="center" vertical="center"/>
    </xf>
    <xf numFmtId="0" fontId="2" fillId="0" borderId="12" xfId="0" applyFont="1" applyBorder="1" applyAlignment="1">
      <alignment horizontal="left"/>
    </xf>
    <xf numFmtId="0" fontId="2" fillId="0" borderId="44" xfId="0" applyFont="1" applyBorder="1"/>
    <xf numFmtId="0" fontId="1" fillId="0" borderId="0" xfId="0" applyFont="1" applyAlignment="1">
      <alignment vertical="center"/>
    </xf>
    <xf numFmtId="0" fontId="0" fillId="3" borderId="27" xfId="0" applyFill="1" applyBorder="1" applyAlignment="1">
      <alignment horizontal="center" vertical="center"/>
    </xf>
    <xf numFmtId="0" fontId="2" fillId="0" borderId="8" xfId="0" applyFont="1" applyBorder="1" applyAlignment="1">
      <alignment horizontal="left"/>
    </xf>
    <xf numFmtId="0" fontId="2" fillId="0" borderId="23" xfId="0" applyFont="1" applyBorder="1" applyAlignment="1" applyProtection="1">
      <alignment vertical="center"/>
      <protection locked="0"/>
    </xf>
    <xf numFmtId="0" fontId="2" fillId="0" borderId="44" xfId="0" applyFont="1" applyBorder="1" applyAlignment="1">
      <alignment vertical="center"/>
    </xf>
    <xf numFmtId="0" fontId="0" fillId="3" borderId="45" xfId="0" applyFill="1" applyBorder="1" applyAlignment="1">
      <alignment horizontal="center" vertical="center"/>
    </xf>
    <xf numFmtId="0" fontId="2" fillId="0" borderId="46" xfId="0" applyFont="1" applyBorder="1" applyAlignment="1">
      <alignment horizontal="left"/>
    </xf>
    <xf numFmtId="0" fontId="0" fillId="0" borderId="47" xfId="0" applyBorder="1" applyAlignment="1">
      <alignment vertical="center"/>
    </xf>
    <xf numFmtId="0" fontId="0" fillId="3" borderId="13" xfId="0" applyFill="1" applyBorder="1" applyAlignment="1">
      <alignment horizontal="center" vertical="center"/>
    </xf>
    <xf numFmtId="0" fontId="2" fillId="0" borderId="0" xfId="0" applyFont="1" applyBorder="1" applyAlignment="1">
      <alignment horizontal="left"/>
    </xf>
    <xf numFmtId="0" fontId="2" fillId="0" borderId="43" xfId="0" applyFont="1" applyBorder="1"/>
    <xf numFmtId="0" fontId="2" fillId="0" borderId="0" xfId="0" applyFont="1" applyFill="1" applyAlignment="1">
      <alignment vertical="center"/>
    </xf>
    <xf numFmtId="0" fontId="0" fillId="0" borderId="23" xfId="0" applyBorder="1" applyAlignment="1">
      <alignment vertical="center"/>
    </xf>
    <xf numFmtId="0" fontId="2" fillId="0" borderId="0" xfId="0" applyFont="1" applyBorder="1" applyAlignment="1" applyProtection="1">
      <alignment vertical="center"/>
      <protection locked="0"/>
    </xf>
    <xf numFmtId="0" fontId="0" fillId="0" borderId="0" xfId="0" applyFill="1" applyBorder="1" applyAlignment="1" applyProtection="1">
      <alignment horizontal="center" vertical="center"/>
    </xf>
    <xf numFmtId="0" fontId="2" fillId="0" borderId="48" xfId="0" applyFont="1" applyBorder="1" applyAlignment="1" applyProtection="1">
      <alignment horizontal="center" vertical="center"/>
    </xf>
    <xf numFmtId="0" fontId="2" fillId="0" borderId="49"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48" xfId="0" applyFont="1" applyBorder="1" applyAlignment="1" applyProtection="1">
      <alignment horizontal="center" vertical="center"/>
    </xf>
    <xf numFmtId="0" fontId="4" fillId="0" borderId="49" xfId="0" applyFont="1" applyBorder="1" applyAlignment="1" applyProtection="1">
      <alignment horizontal="center" vertical="center"/>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0" xfId="0" applyFont="1" applyAlignment="1" applyProtection="1">
      <alignment horizontal="center" vertical="center"/>
      <protection locked="0"/>
    </xf>
    <xf numFmtId="0" fontId="2" fillId="4" borderId="12" xfId="0" applyFont="1" applyFill="1" applyBorder="1" applyAlignment="1" applyProtection="1">
      <alignment vertical="center"/>
    </xf>
    <xf numFmtId="0" fontId="0" fillId="0" borderId="20" xfId="0" applyBorder="1" applyAlignment="1" applyProtection="1">
      <alignment vertical="center"/>
    </xf>
    <xf numFmtId="0" fontId="6" fillId="0" borderId="0" xfId="0" applyFont="1" applyAlignment="1" applyProtection="1">
      <alignment vertical="center"/>
    </xf>
    <xf numFmtId="0" fontId="0" fillId="0" borderId="23" xfId="0" applyBorder="1" applyAlignment="1" applyProtection="1">
      <alignment vertical="center"/>
    </xf>
    <xf numFmtId="0" fontId="0" fillId="0" borderId="50" xfId="0" applyBorder="1" applyAlignment="1" applyProtection="1">
      <alignment vertical="center"/>
    </xf>
    <xf numFmtId="0" fontId="0" fillId="0" borderId="51" xfId="0" applyBorder="1" applyAlignment="1" applyProtection="1">
      <alignment vertical="center"/>
    </xf>
    <xf numFmtId="0" fontId="0" fillId="0" borderId="52" xfId="0" applyBorder="1" applyAlignment="1" applyProtection="1">
      <alignment horizontal="center" vertical="center"/>
    </xf>
    <xf numFmtId="0" fontId="2" fillId="4" borderId="0" xfId="0" applyFont="1" applyFill="1" applyBorder="1" applyAlignment="1" applyProtection="1">
      <alignment vertical="center"/>
    </xf>
    <xf numFmtId="0" fontId="0" fillId="6" borderId="28" xfId="0" applyFill="1" applyBorder="1" applyAlignment="1" applyProtection="1">
      <alignment horizontal="center" vertical="center"/>
    </xf>
    <xf numFmtId="0" fontId="0" fillId="6" borderId="29" xfId="0" applyFill="1" applyBorder="1" applyAlignment="1" applyProtection="1">
      <alignment horizontal="center" vertical="center"/>
    </xf>
    <xf numFmtId="0" fontId="0" fillId="0" borderId="29" xfId="0" applyBorder="1" applyAlignment="1" applyProtection="1">
      <alignment vertical="center"/>
    </xf>
    <xf numFmtId="0" fontId="0" fillId="0" borderId="16" xfId="0" applyBorder="1" applyAlignment="1" applyProtection="1">
      <alignment vertical="center"/>
    </xf>
    <xf numFmtId="0" fontId="0" fillId="0" borderId="42" xfId="0" applyBorder="1" applyAlignment="1" applyProtection="1">
      <alignment vertical="center"/>
    </xf>
    <xf numFmtId="0" fontId="0" fillId="0" borderId="18" xfId="0" applyBorder="1" applyAlignment="1" applyProtection="1">
      <alignment vertical="center"/>
    </xf>
    <xf numFmtId="0" fontId="0" fillId="0" borderId="38" xfId="0" applyBorder="1" applyAlignment="1" applyProtection="1">
      <alignment vertical="center"/>
    </xf>
    <xf numFmtId="0" fontId="0" fillId="0" borderId="39" xfId="0" applyBorder="1" applyAlignment="1" applyProtection="1">
      <alignment vertical="center"/>
    </xf>
    <xf numFmtId="0" fontId="0" fillId="6" borderId="34" xfId="0" applyFill="1" applyBorder="1" applyAlignment="1" applyProtection="1">
      <alignment horizontal="center" vertical="center"/>
    </xf>
    <xf numFmtId="0" fontId="0" fillId="6" borderId="53" xfId="0" applyFill="1" applyBorder="1" applyAlignment="1" applyProtection="1">
      <alignment horizontal="center" vertical="center"/>
    </xf>
    <xf numFmtId="0" fontId="2" fillId="4" borderId="54" xfId="0" applyFont="1" applyFill="1" applyBorder="1" applyAlignment="1" applyProtection="1">
      <alignment vertical="center"/>
    </xf>
    <xf numFmtId="0" fontId="2" fillId="4" borderId="55" xfId="0" applyFont="1" applyFill="1" applyBorder="1" applyAlignment="1" applyProtection="1">
      <alignment vertical="center"/>
    </xf>
    <xf numFmtId="0" fontId="0" fillId="3" borderId="0" xfId="0" applyFill="1" applyAlignment="1" applyProtection="1">
      <alignment horizontal="center" vertical="center"/>
    </xf>
    <xf numFmtId="0" fontId="2" fillId="0" borderId="0" xfId="0" applyFont="1" applyFill="1" applyBorder="1" applyAlignment="1">
      <alignment vertical="center"/>
    </xf>
    <xf numFmtId="0" fontId="0" fillId="0" borderId="0" xfId="0" applyFill="1" applyBorder="1" applyAlignment="1">
      <alignment vertical="center"/>
    </xf>
    <xf numFmtId="0" fontId="2" fillId="0" borderId="56" xfId="0" applyFont="1" applyBorder="1" applyAlignment="1">
      <alignment horizontal="center" vertical="center"/>
    </xf>
    <xf numFmtId="0" fontId="2" fillId="9" borderId="0" xfId="0" applyFont="1" applyFill="1" applyAlignment="1">
      <alignment vertical="center"/>
    </xf>
    <xf numFmtId="0" fontId="2" fillId="10" borderId="0" xfId="0" applyFont="1" applyFill="1" applyAlignment="1">
      <alignment vertical="center"/>
    </xf>
    <xf numFmtId="22" fontId="2" fillId="0" borderId="0" xfId="0" applyNumberFormat="1" applyFont="1" applyBorder="1" applyAlignment="1" applyProtection="1">
      <alignment horizontal="center" vertical="center"/>
      <protection locked="0"/>
    </xf>
    <xf numFmtId="0" fontId="8" fillId="0" borderId="0" xfId="0" applyFont="1" applyAlignment="1">
      <alignment vertical="center"/>
    </xf>
    <xf numFmtId="0" fontId="0" fillId="3" borderId="45" xfId="0" applyFill="1" applyBorder="1" applyAlignment="1">
      <alignment horizontal="center" vertical="center" wrapText="1"/>
    </xf>
    <xf numFmtId="0" fontId="8" fillId="0" borderId="47" xfId="0" applyFont="1" applyBorder="1" applyAlignment="1">
      <alignment vertical="center"/>
    </xf>
    <xf numFmtId="0" fontId="8" fillId="0" borderId="0" xfId="0" applyFont="1" applyBorder="1" applyAlignment="1">
      <alignment vertical="center"/>
    </xf>
    <xf numFmtId="0" fontId="8" fillId="0" borderId="43" xfId="0" applyFont="1" applyBorder="1" applyAlignment="1">
      <alignment vertical="center"/>
    </xf>
    <xf numFmtId="0" fontId="12" fillId="0" borderId="0" xfId="0" applyFont="1" applyAlignment="1">
      <alignment vertical="center"/>
    </xf>
    <xf numFmtId="0" fontId="12" fillId="0" borderId="0" xfId="0" applyFont="1" applyBorder="1" applyAlignment="1">
      <alignment vertical="center"/>
    </xf>
    <xf numFmtId="0" fontId="12" fillId="0" borderId="43" xfId="0" applyFont="1" applyBorder="1" applyAlignment="1">
      <alignment vertical="center"/>
    </xf>
    <xf numFmtId="0" fontId="13" fillId="0" borderId="0" xfId="0" applyFont="1" applyBorder="1" applyAlignment="1">
      <alignment horizontal="center" vertical="center"/>
    </xf>
    <xf numFmtId="0" fontId="13" fillId="0" borderId="43" xfId="0" applyFont="1" applyBorder="1" applyAlignment="1">
      <alignment horizontal="center" vertical="center"/>
    </xf>
    <xf numFmtId="0" fontId="8" fillId="0" borderId="23" xfId="0" applyFont="1" applyBorder="1" applyAlignment="1">
      <alignment vertical="center"/>
    </xf>
    <xf numFmtId="0" fontId="13" fillId="0" borderId="0" xfId="0" applyFont="1" applyAlignment="1" applyProtection="1">
      <alignment vertical="center"/>
    </xf>
    <xf numFmtId="0" fontId="12" fillId="0" borderId="0" xfId="0" applyFont="1" applyAlignment="1" applyProtection="1">
      <alignment vertical="center"/>
    </xf>
    <xf numFmtId="0" fontId="0" fillId="0" borderId="27" xfId="0" applyFill="1" applyBorder="1" applyAlignment="1" applyProtection="1">
      <alignment horizontal="left"/>
      <protection locked="0"/>
    </xf>
    <xf numFmtId="0" fontId="0" fillId="0" borderId="27" xfId="0" applyBorder="1" applyProtection="1">
      <protection locked="0"/>
    </xf>
    <xf numFmtId="0" fontId="15" fillId="0" borderId="27" xfId="1" applyFont="1" applyBorder="1"/>
    <xf numFmtId="0" fontId="0" fillId="0" borderId="57" xfId="0" applyFill="1" applyBorder="1" applyAlignment="1" applyProtection="1">
      <alignment horizontal="left"/>
      <protection locked="0"/>
    </xf>
    <xf numFmtId="0" fontId="0" fillId="3" borderId="27" xfId="0" applyFill="1" applyBorder="1" applyProtection="1">
      <protection locked="0"/>
    </xf>
    <xf numFmtId="0" fontId="0" fillId="0" borderId="43" xfId="0" applyFill="1" applyBorder="1" applyAlignment="1">
      <alignment vertical="center"/>
    </xf>
    <xf numFmtId="0" fontId="5" fillId="0" borderId="0" xfId="0" applyFont="1" applyAlignment="1">
      <alignment horizontal="right" vertical="center"/>
    </xf>
    <xf numFmtId="0" fontId="0" fillId="0" borderId="0" xfId="0" applyAlignment="1">
      <alignment horizontal="center" vertical="center"/>
    </xf>
    <xf numFmtId="0" fontId="0" fillId="2" borderId="0" xfId="0" applyFill="1" applyAlignment="1">
      <alignment horizontal="center" vertical="center"/>
    </xf>
    <xf numFmtId="0" fontId="2" fillId="5" borderId="0" xfId="0" applyFont="1" applyFill="1" applyAlignment="1">
      <alignment vertical="center"/>
    </xf>
    <xf numFmtId="0" fontId="2" fillId="3" borderId="0" xfId="0" applyFont="1" applyFill="1" applyAlignment="1">
      <alignment horizontal="center" vertical="center"/>
    </xf>
    <xf numFmtId="0" fontId="2" fillId="0" borderId="28" xfId="0" applyFont="1" applyBorder="1" applyAlignment="1">
      <alignment vertical="center"/>
    </xf>
    <xf numFmtId="0" fontId="2" fillId="0" borderId="41" xfId="0" applyFont="1" applyBorder="1" applyAlignment="1">
      <alignment vertical="center"/>
    </xf>
    <xf numFmtId="0" fontId="2" fillId="0" borderId="24" xfId="0" applyFont="1" applyBorder="1" applyAlignment="1">
      <alignment horizontal="center" vertical="center"/>
    </xf>
    <xf numFmtId="0" fontId="2" fillId="0" borderId="28" xfId="0" applyFont="1" applyFill="1" applyBorder="1" applyAlignment="1">
      <alignment vertical="center"/>
    </xf>
    <xf numFmtId="0" fontId="2" fillId="0" borderId="29" xfId="0" applyFont="1" applyBorder="1" applyAlignment="1">
      <alignment horizontal="right" vertical="center"/>
    </xf>
    <xf numFmtId="0" fontId="2" fillId="0" borderId="17" xfId="0" applyFont="1" applyBorder="1" applyAlignment="1">
      <alignment horizontal="center" vertical="center"/>
    </xf>
    <xf numFmtId="0" fontId="15" fillId="0" borderId="27" xfId="1" applyFont="1" applyFill="1" applyBorder="1"/>
    <xf numFmtId="0" fontId="2" fillId="0" borderId="13" xfId="0" applyFont="1" applyBorder="1" applyAlignment="1">
      <alignment horizontal="center" vertical="center"/>
    </xf>
    <xf numFmtId="0" fontId="2" fillId="0" borderId="43" xfId="0" applyFont="1" applyBorder="1" applyAlignment="1" applyProtection="1">
      <alignment horizontal="right" vertical="center"/>
      <protection locked="0"/>
    </xf>
    <xf numFmtId="0" fontId="0" fillId="0" borderId="27" xfId="0" applyFill="1" applyBorder="1" applyProtection="1">
      <protection locked="0"/>
    </xf>
    <xf numFmtId="0" fontId="2" fillId="0" borderId="43" xfId="0" applyFont="1" applyBorder="1" applyAlignment="1">
      <alignment vertical="center"/>
    </xf>
    <xf numFmtId="0" fontId="0" fillId="0" borderId="58" xfId="0" applyFill="1" applyBorder="1" applyProtection="1">
      <protection locked="0"/>
    </xf>
    <xf numFmtId="0" fontId="0" fillId="0" borderId="58" xfId="0" applyFill="1" applyBorder="1" applyAlignment="1" applyProtection="1">
      <alignment horizontal="left"/>
      <protection locked="0"/>
    </xf>
    <xf numFmtId="0" fontId="2" fillId="11" borderId="0" xfId="0" applyFont="1" applyFill="1" applyAlignment="1">
      <alignment vertical="center"/>
    </xf>
    <xf numFmtId="0" fontId="2" fillId="0" borderId="23" xfId="0" applyFont="1" applyBorder="1" applyAlignment="1">
      <alignment horizontal="center" vertical="center"/>
    </xf>
    <xf numFmtId="0" fontId="2" fillId="0" borderId="44" xfId="0" applyFont="1" applyBorder="1" applyAlignment="1">
      <alignment horizontal="center" vertical="center"/>
    </xf>
    <xf numFmtId="22" fontId="2" fillId="0" borderId="0" xfId="0" applyNumberFormat="1" applyFont="1" applyBorder="1" applyAlignment="1">
      <alignment horizontal="center" vertical="center"/>
    </xf>
    <xf numFmtId="0" fontId="15" fillId="0" borderId="57" xfId="1" applyFont="1" applyFill="1" applyBorder="1"/>
    <xf numFmtId="0" fontId="0" fillId="0" borderId="57" xfId="0" applyFill="1" applyBorder="1" applyProtection="1">
      <protection locked="0"/>
    </xf>
    <xf numFmtId="0" fontId="15" fillId="0" borderId="58" xfId="1" applyFont="1" applyFill="1" applyBorder="1"/>
    <xf numFmtId="0" fontId="0" fillId="0" borderId="27" xfId="0" applyBorder="1" applyAlignment="1" applyProtection="1">
      <alignment horizontal="left"/>
      <protection locked="0"/>
    </xf>
    <xf numFmtId="0" fontId="0" fillId="0" borderId="58" xfId="0" applyBorder="1" applyProtection="1">
      <protection locked="0"/>
    </xf>
    <xf numFmtId="0" fontId="2" fillId="0" borderId="8" xfId="0" applyFont="1" applyBorder="1" applyAlignment="1">
      <alignment horizontal="center" vertical="center"/>
    </xf>
    <xf numFmtId="0" fontId="0" fillId="0" borderId="58" xfId="0" applyBorder="1" applyAlignment="1" applyProtection="1">
      <alignment horizontal="left"/>
      <protection locked="0"/>
    </xf>
    <xf numFmtId="0" fontId="0" fillId="5" borderId="27" xfId="0" applyFill="1" applyBorder="1" applyProtection="1">
      <protection locked="0"/>
    </xf>
    <xf numFmtId="0" fontId="0" fillId="0" borderId="27" xfId="0" applyBorder="1"/>
    <xf numFmtId="0" fontId="2" fillId="0" borderId="24" xfId="0" applyFont="1" applyBorder="1" applyAlignment="1">
      <alignment horizontal="left" vertical="center"/>
    </xf>
    <xf numFmtId="0" fontId="2" fillId="0" borderId="8" xfId="0" applyFont="1" applyBorder="1" applyAlignment="1">
      <alignment horizontal="left" vertical="center"/>
    </xf>
    <xf numFmtId="0" fontId="2" fillId="0" borderId="63" xfId="0" applyFont="1" applyBorder="1" applyAlignment="1">
      <alignment horizontal="left" vertical="center"/>
    </xf>
    <xf numFmtId="0" fontId="2" fillId="0" borderId="64" xfId="0" applyFont="1" applyBorder="1" applyAlignment="1">
      <alignment horizontal="left" vertical="center"/>
    </xf>
    <xf numFmtId="0" fontId="2" fillId="0" borderId="56" xfId="0" applyFont="1" applyBorder="1" applyAlignment="1">
      <alignment horizontal="center" vertical="center"/>
    </xf>
    <xf numFmtId="0" fontId="2" fillId="0" borderId="0" xfId="0" applyFont="1" applyBorder="1" applyAlignment="1">
      <alignment horizontal="center" vertical="center"/>
    </xf>
    <xf numFmtId="0" fontId="2" fillId="0" borderId="43"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center" vertical="center"/>
    </xf>
    <xf numFmtId="0" fontId="2" fillId="0" borderId="42" xfId="0" applyFont="1" applyBorder="1" applyAlignment="1">
      <alignment horizontal="left" vertical="center"/>
    </xf>
    <xf numFmtId="0" fontId="2" fillId="0" borderId="12" xfId="0" applyFont="1" applyBorder="1" applyAlignment="1">
      <alignment horizontal="left" vertical="center"/>
    </xf>
    <xf numFmtId="0" fontId="2" fillId="0" borderId="42" xfId="0" applyFont="1" applyBorder="1" applyAlignment="1">
      <alignment horizontal="center" vertical="center"/>
    </xf>
    <xf numFmtId="0" fontId="2" fillId="0" borderId="12" xfId="0" applyFont="1" applyBorder="1" applyAlignment="1">
      <alignment horizontal="center" vertical="center"/>
    </xf>
    <xf numFmtId="0" fontId="2" fillId="0" borderId="65" xfId="0" applyFont="1" applyBorder="1" applyAlignment="1">
      <alignment horizontal="left" vertical="center"/>
    </xf>
    <xf numFmtId="0" fontId="2" fillId="0" borderId="46" xfId="0" applyFont="1" applyBorder="1" applyAlignment="1">
      <alignment horizontal="left" vertical="center"/>
    </xf>
    <xf numFmtId="0" fontId="2" fillId="0" borderId="44" xfId="0" applyFont="1" applyBorder="1" applyAlignment="1">
      <alignment horizontal="center" vertical="center"/>
    </xf>
    <xf numFmtId="0" fontId="2" fillId="0" borderId="16"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38" xfId="0" applyFont="1" applyBorder="1" applyAlignment="1" applyProtection="1">
      <alignment horizontal="center" vertical="center"/>
    </xf>
    <xf numFmtId="0" fontId="2" fillId="0" borderId="56"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55" xfId="0" applyFont="1" applyFill="1" applyBorder="1" applyAlignment="1" applyProtection="1">
      <alignment horizontal="center" vertical="center"/>
    </xf>
    <xf numFmtId="0" fontId="2" fillId="0" borderId="44" xfId="0" applyFont="1" applyBorder="1" applyAlignment="1" applyProtection="1">
      <alignment horizontal="center" vertical="center"/>
    </xf>
    <xf numFmtId="0" fontId="2" fillId="0" borderId="43" xfId="0" applyFont="1" applyBorder="1" applyAlignment="1" applyProtection="1">
      <alignment horizontal="center" vertical="center"/>
    </xf>
    <xf numFmtId="0" fontId="2" fillId="0" borderId="66" xfId="0" applyFont="1" applyBorder="1" applyAlignment="1" applyProtection="1">
      <alignment horizontal="center" vertical="center"/>
    </xf>
    <xf numFmtId="0" fontId="2" fillId="0" borderId="17"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39" xfId="0" applyFont="1" applyBorder="1" applyAlignment="1" applyProtection="1">
      <alignment horizontal="center" vertical="center"/>
    </xf>
    <xf numFmtId="0" fontId="2" fillId="0" borderId="1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40" xfId="0" applyFont="1" applyBorder="1" applyAlignment="1" applyProtection="1">
      <alignment horizontal="center" vertical="center"/>
    </xf>
    <xf numFmtId="0" fontId="2" fillId="0" borderId="61" xfId="0" applyFont="1" applyFill="1" applyBorder="1" applyAlignment="1" applyProtection="1">
      <alignment horizontal="center" vertical="center"/>
    </xf>
    <xf numFmtId="0" fontId="2" fillId="0" borderId="62" xfId="0" applyFont="1" applyFill="1" applyBorder="1" applyAlignment="1" applyProtection="1">
      <alignment horizontal="center" vertical="center"/>
    </xf>
    <xf numFmtId="0" fontId="2" fillId="0" borderId="59" xfId="0" applyFont="1" applyFill="1" applyBorder="1" applyAlignment="1" applyProtection="1">
      <alignment horizontal="center" vertical="center"/>
    </xf>
    <xf numFmtId="0" fontId="0" fillId="0" borderId="60" xfId="0" applyBorder="1" applyAlignment="1" applyProtection="1">
      <alignment horizontal="center" vertical="center"/>
    </xf>
    <xf numFmtId="0" fontId="0" fillId="0" borderId="49" xfId="0" applyBorder="1" applyAlignment="1" applyProtection="1">
      <alignment horizontal="center" vertical="center"/>
    </xf>
    <xf numFmtId="0" fontId="2" fillId="0" borderId="19" xfId="0" applyFont="1" applyBorder="1" applyAlignment="1" applyProtection="1">
      <alignment horizontal="center" vertical="center"/>
    </xf>
    <xf numFmtId="0" fontId="2" fillId="0" borderId="23"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24"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67" xfId="0" applyFont="1" applyFill="1" applyBorder="1" applyAlignment="1" applyProtection="1">
      <alignment horizontal="center" vertical="center"/>
    </xf>
    <xf numFmtId="0" fontId="0" fillId="0" borderId="68" xfId="0" applyBorder="1" applyAlignment="1" applyProtection="1">
      <alignment horizontal="center" vertical="center"/>
    </xf>
    <xf numFmtId="0" fontId="0" fillId="0" borderId="4" xfId="0" applyBorder="1" applyAlignment="1" applyProtection="1">
      <alignment horizontal="center" vertical="center"/>
    </xf>
    <xf numFmtId="0" fontId="2" fillId="0" borderId="69"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7" xfId="0" applyFont="1" applyBorder="1" applyAlignment="1" applyProtection="1">
      <alignment horizontal="center" vertical="center"/>
    </xf>
    <xf numFmtId="0" fontId="0" fillId="0" borderId="0" xfId="0" applyAlignment="1" applyProtection="1">
      <alignment horizontal="center" vertical="center"/>
    </xf>
    <xf numFmtId="0" fontId="2" fillId="0" borderId="0" xfId="0" applyFont="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5"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68" xfId="0" applyFont="1" applyBorder="1" applyAlignment="1" applyProtection="1">
      <alignment horizontal="center" vertical="center"/>
    </xf>
    <xf numFmtId="0" fontId="2" fillId="0" borderId="48" xfId="0" applyFont="1" applyBorder="1" applyAlignment="1" applyProtection="1">
      <alignment horizontal="center" vertical="center"/>
    </xf>
    <xf numFmtId="0" fontId="2" fillId="0" borderId="49"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1" xfId="0" applyBorder="1" applyAlignment="1" applyProtection="1">
      <alignment horizontal="center" vertical="center"/>
    </xf>
    <xf numFmtId="0" fontId="0" fillId="6" borderId="22" xfId="0" applyFill="1" applyBorder="1" applyAlignment="1" applyProtection="1">
      <alignment horizontal="center" vertical="center"/>
    </xf>
    <xf numFmtId="0" fontId="0" fillId="6" borderId="23" xfId="0" applyFill="1" applyBorder="1" applyAlignment="1" applyProtection="1">
      <alignment horizontal="center" vertical="center"/>
    </xf>
    <xf numFmtId="0" fontId="2" fillId="0" borderId="28" xfId="0" applyFont="1" applyBorder="1" applyAlignment="1">
      <alignment horizontal="left" vertical="center"/>
    </xf>
    <xf numFmtId="0" fontId="2" fillId="0" borderId="41" xfId="0" applyFont="1" applyBorder="1" applyAlignment="1">
      <alignment horizontal="left" vertical="center"/>
    </xf>
    <xf numFmtId="22" fontId="2" fillId="0" borderId="0" xfId="0" applyNumberFormat="1" applyFont="1" applyAlignment="1" applyProtection="1">
      <alignment horizontal="center" vertical="center"/>
    </xf>
    <xf numFmtId="0" fontId="3" fillId="0" borderId="0" xfId="0" applyFont="1" applyAlignment="1" applyProtection="1">
      <alignment horizontal="center" vertical="center"/>
    </xf>
    <xf numFmtId="0" fontId="2" fillId="0" borderId="8"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23" xfId="0" applyFont="1" applyFill="1" applyBorder="1" applyAlignment="1">
      <alignment horizontal="center" vertical="center"/>
    </xf>
  </cellXfs>
  <cellStyles count="2">
    <cellStyle name="Normalny" xfId="0" builtinId="0"/>
    <cellStyle name="Normalny_MAZOVIA2005_formularze" xfId="1"/>
  </cellStyles>
  <dxfs count="5">
    <dxf>
      <fill>
        <patternFill>
          <bgColor indexed="11"/>
        </patternFill>
      </fill>
    </dxf>
    <dxf>
      <fill>
        <patternFill>
          <bgColor indexed="11"/>
        </patternFill>
      </fill>
    </dxf>
    <dxf>
      <fill>
        <patternFill>
          <bgColor indexed="11"/>
        </patternFill>
      </fill>
    </dxf>
    <dxf>
      <fill>
        <patternFill>
          <bgColor indexed="11"/>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onika_p/My%20Documents/Downloads/MAZOVIA%202013%20-%20SOCHOCI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monika_p/My%20Documents/Downloads/MAZOVIA%202013%20-%20P&#321;O&#323;SK.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monika_p/My%20Documents/Downloads/MAZOVIA%202013%20-%20TURNIEJ%20SOCHOCI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monika_p/My%20Documents/Downloads/MAZOVIA%202013%20-%20TURNIEJ%20SOCHOCIN-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sheetName val="plan gier"/>
      <sheetName val="gry"/>
      <sheetName val="grup-puch"/>
      <sheetName val="puch"/>
      <sheetName val="tabelki"/>
      <sheetName val="drabinki"/>
      <sheetName val="sędziowie"/>
      <sheetName val="zawodnicy"/>
      <sheetName val="1"/>
      <sheetName val="2"/>
      <sheetName val="3"/>
      <sheetName val="4"/>
      <sheetName val="5"/>
      <sheetName val="6"/>
      <sheetName val="7"/>
      <sheetName val="8"/>
      <sheetName val="9"/>
      <sheetName val="10"/>
      <sheetName val="Moduł1"/>
      <sheetName val="Moduł2"/>
    </sheetNames>
    <sheetDataSet>
      <sheetData sheetId="0">
        <row r="2">
          <cell r="D2" t="str">
            <v>XIII MAZOVIA JUNIOR CUP</v>
          </cell>
        </row>
        <row r="3">
          <cell r="D3" t="str">
            <v>Sochocin, 25-26.10.2013</v>
          </cell>
          <cell r="J3" t="str">
            <v>pojedyncza dziewcząt JM</v>
          </cell>
        </row>
        <row r="4">
          <cell r="D4" t="str">
            <v>Leszek Jagodziński</v>
          </cell>
          <cell r="J4" t="str">
            <v>pojedyncza dziewcząt M</v>
          </cell>
        </row>
        <row r="5">
          <cell r="J5" t="str">
            <v>pojedyncza dziewcząt MM</v>
          </cell>
        </row>
        <row r="6">
          <cell r="J6" t="str">
            <v>pojedyncza dziewcząt Ż</v>
          </cell>
        </row>
        <row r="7">
          <cell r="J7" t="str">
            <v>pojedyncza kobiet J</v>
          </cell>
        </row>
        <row r="8">
          <cell r="J8" t="str">
            <v>pojedyncza chłopców JM</v>
          </cell>
        </row>
        <row r="9">
          <cell r="J9" t="str">
            <v>pojedyncza chłopców M</v>
          </cell>
        </row>
        <row r="10">
          <cell r="J10" t="str">
            <v>pojedyncza chłopców MM</v>
          </cell>
        </row>
        <row r="11">
          <cell r="J11" t="str">
            <v>pojedyncza chłopców Ż</v>
          </cell>
        </row>
        <row r="12">
          <cell r="J12" t="str">
            <v>pojedyncza mężczyzn J</v>
          </cell>
        </row>
        <row r="13">
          <cell r="J13" t="str">
            <v>podwójna dziewcząt JM</v>
          </cell>
        </row>
        <row r="14">
          <cell r="J14" t="str">
            <v>podwójna dziewcząt M</v>
          </cell>
        </row>
        <row r="15">
          <cell r="J15" t="str">
            <v>podwójna dziewcząt MM</v>
          </cell>
        </row>
        <row r="16">
          <cell r="J16" t="str">
            <v>podwójna dziewcząt Ż</v>
          </cell>
        </row>
        <row r="17">
          <cell r="J17" t="str">
            <v>podwójna kobiet J</v>
          </cell>
        </row>
        <row r="18">
          <cell r="J18" t="str">
            <v>podwójna chłopców JM</v>
          </cell>
        </row>
        <row r="19">
          <cell r="J19" t="str">
            <v>podwójna chłopców M</v>
          </cell>
        </row>
        <row r="20">
          <cell r="J20" t="str">
            <v>podwójna chłopców MM</v>
          </cell>
        </row>
        <row r="21">
          <cell r="J21" t="str">
            <v>podwójna chłopców Ż</v>
          </cell>
        </row>
        <row r="22">
          <cell r="J22" t="str">
            <v>podwójna mężczyzn J</v>
          </cell>
        </row>
        <row r="23">
          <cell r="J23" t="str">
            <v>mieszana JM</v>
          </cell>
        </row>
        <row r="24">
          <cell r="J24" t="str">
            <v>mieszana M</v>
          </cell>
        </row>
        <row r="25">
          <cell r="J25" t="str">
            <v>mieszana MM</v>
          </cell>
        </row>
        <row r="26">
          <cell r="J26" t="str">
            <v>mieszana Ż</v>
          </cell>
        </row>
        <row r="27">
          <cell r="J27" t="str">
            <v>mieszana J</v>
          </cell>
        </row>
      </sheetData>
      <sheetData sheetId="1">
        <row r="1">
          <cell r="C1" t="str">
            <v>Boisko</v>
          </cell>
          <cell r="D1">
            <v>1</v>
          </cell>
          <cell r="E1">
            <v>2</v>
          </cell>
          <cell r="F1">
            <v>3</v>
          </cell>
          <cell r="G1">
            <v>4</v>
          </cell>
          <cell r="H1">
            <v>5</v>
          </cell>
          <cell r="I1">
            <v>6</v>
          </cell>
          <cell r="J1">
            <v>7</v>
          </cell>
          <cell r="K1">
            <v>8</v>
          </cell>
          <cell r="L1">
            <v>9</v>
          </cell>
          <cell r="M1">
            <v>10</v>
          </cell>
          <cell r="N1" t="str">
            <v>Nr gry</v>
          </cell>
          <cell r="S1">
            <v>41572</v>
          </cell>
        </row>
        <row r="2">
          <cell r="A2" t="str">
            <v xml:space="preserve">Nr </v>
          </cell>
          <cell r="D2" t="str">
            <v>Drukowanie prorokółów</v>
          </cell>
          <cell r="N2">
            <v>1</v>
          </cell>
          <cell r="X2" t="str">
            <v>*</v>
          </cell>
        </row>
        <row r="3">
          <cell r="A3" t="str">
            <v>meczu</v>
          </cell>
          <cell r="S3">
            <v>41575</v>
          </cell>
          <cell r="X3" t="str">
            <v>nr gry</v>
          </cell>
          <cell r="Z3" t="str">
            <v>zawodnicy</v>
          </cell>
          <cell r="AD3" t="str">
            <v>awans</v>
          </cell>
          <cell r="AF3" t="str">
            <v>rezultat</v>
          </cell>
          <cell r="AI3" t="str">
            <v>1 set</v>
          </cell>
          <cell r="AK3" t="str">
            <v>2 set</v>
          </cell>
          <cell r="AM3" t="str">
            <v>3 set</v>
          </cell>
        </row>
        <row r="4">
          <cell r="B4">
            <v>1</v>
          </cell>
          <cell r="C4" t="str">
            <v>dzień turnieju.</v>
          </cell>
          <cell r="I4" t="str">
            <v>Nr meczu</v>
          </cell>
          <cell r="N4" t="str">
            <v>Godz.</v>
          </cell>
          <cell r="R4" t="str">
            <v>S. prow.</v>
          </cell>
          <cell r="AF4" t="str">
            <v>wygrany</v>
          </cell>
          <cell r="AG4" t="str">
            <v>przegrany</v>
          </cell>
        </row>
        <row r="5">
          <cell r="B5" t="str">
            <v>Boisko</v>
          </cell>
          <cell r="C5" t="str">
            <v>Gra</v>
          </cell>
          <cell r="I5">
            <v>1</v>
          </cell>
          <cell r="N5" t="str">
            <v>rozp.</v>
          </cell>
          <cell r="P5" t="str">
            <v>zak.</v>
          </cell>
          <cell r="R5" t="str">
            <v>S. serw.</v>
          </cell>
        </row>
        <row r="6">
          <cell r="A6">
            <v>1</v>
          </cell>
          <cell r="B6">
            <v>3</v>
          </cell>
          <cell r="C6" t="str">
            <v>pojedyncza dziewcząt M</v>
          </cell>
          <cell r="H6">
            <v>11</v>
          </cell>
          <cell r="I6">
            <v>21</v>
          </cell>
          <cell r="J6">
            <v>12</v>
          </cell>
          <cell r="K6">
            <v>21</v>
          </cell>
          <cell r="P6">
            <v>0.4513888888888889</v>
          </cell>
          <cell r="R6">
            <v>0.4513888888888889</v>
          </cell>
          <cell r="S6" t="str">
            <v>pt 9:00</v>
          </cell>
          <cell r="X6">
            <v>1</v>
          </cell>
          <cell r="Y6" t="str">
            <v>pojedyncza dziewcząt M</v>
          </cell>
          <cell r="Z6" t="str">
            <v>P5195</v>
          </cell>
          <cell r="AA6" t="str">
            <v/>
          </cell>
          <cell r="AB6" t="str">
            <v>P4758</v>
          </cell>
          <cell r="AC6" t="str">
            <v/>
          </cell>
          <cell r="AD6" t="str">
            <v>P4758</v>
          </cell>
          <cell r="AE6" t="str">
            <v/>
          </cell>
          <cell r="AF6" t="str">
            <v>21:11,21:12</v>
          </cell>
          <cell r="AG6" t="str">
            <v>11:21,12:21</v>
          </cell>
          <cell r="AH6" t="str">
            <v/>
          </cell>
          <cell r="AI6">
            <v>11</v>
          </cell>
          <cell r="AJ6">
            <v>21</v>
          </cell>
          <cell r="AK6">
            <v>12</v>
          </cell>
          <cell r="AL6">
            <v>21</v>
          </cell>
          <cell r="AM6">
            <v>0</v>
          </cell>
          <cell r="AN6">
            <v>0</v>
          </cell>
        </row>
        <row r="7">
          <cell r="A7" t="str">
            <v/>
          </cell>
          <cell r="B7" t="str">
            <v>Monika PIOTROWSKA (UKS Kiko Zamość)</v>
          </cell>
          <cell r="H7" t="str">
            <v>P5195</v>
          </cell>
          <cell r="K7" t="str">
            <v>P4758</v>
          </cell>
          <cell r="N7" t="str">
            <v>Natalia PIETRZAK (MLKS Solec Kuj.)</v>
          </cell>
        </row>
        <row r="8">
          <cell r="A8" t="str">
            <v/>
          </cell>
          <cell r="B8" t="str">
            <v/>
          </cell>
          <cell r="H8" t="str">
            <v/>
          </cell>
          <cell r="K8" t="str">
            <v/>
          </cell>
          <cell r="N8" t="str">
            <v/>
          </cell>
        </row>
        <row r="10">
          <cell r="B10" t="str">
            <v/>
          </cell>
          <cell r="K10" t="str">
            <v>zwycięzca(cy): 21:11,21:12</v>
          </cell>
        </row>
        <row r="11">
          <cell r="B11">
            <v>1</v>
          </cell>
          <cell r="C11" t="str">
            <v>dzień turnieju.</v>
          </cell>
          <cell r="I11" t="str">
            <v>Nr meczu</v>
          </cell>
          <cell r="N11" t="str">
            <v>Godz.</v>
          </cell>
          <cell r="R11" t="str">
            <v>S. prow.</v>
          </cell>
          <cell r="AF11" t="str">
            <v>wygrany</v>
          </cell>
          <cell r="AG11" t="str">
            <v>przegrany</v>
          </cell>
        </row>
        <row r="12">
          <cell r="B12" t="str">
            <v>Boisko</v>
          </cell>
          <cell r="C12" t="str">
            <v>Gra</v>
          </cell>
          <cell r="I12">
            <v>2</v>
          </cell>
          <cell r="N12" t="str">
            <v>rozp.</v>
          </cell>
          <cell r="P12" t="str">
            <v>zak.</v>
          </cell>
          <cell r="R12" t="str">
            <v>S. serw.</v>
          </cell>
        </row>
        <row r="13">
          <cell r="A13">
            <v>2</v>
          </cell>
          <cell r="B13">
            <v>1</v>
          </cell>
          <cell r="C13" t="str">
            <v>pojedyncza dziewcząt M</v>
          </cell>
          <cell r="H13">
            <v>16</v>
          </cell>
          <cell r="I13">
            <v>21</v>
          </cell>
          <cell r="J13">
            <v>13</v>
          </cell>
          <cell r="K13">
            <v>21</v>
          </cell>
          <cell r="P13">
            <v>0.3888888888888889</v>
          </cell>
          <cell r="R13">
            <v>0.3888888888888889</v>
          </cell>
          <cell r="S13" t="str">
            <v>pt 9:00</v>
          </cell>
          <cell r="X13">
            <v>2</v>
          </cell>
          <cell r="Y13" t="str">
            <v>pojedyncza dziewcząt M</v>
          </cell>
          <cell r="Z13" t="str">
            <v>T5056</v>
          </cell>
          <cell r="AA13" t="str">
            <v/>
          </cell>
          <cell r="AB13" t="str">
            <v>S4547</v>
          </cell>
          <cell r="AC13" t="str">
            <v/>
          </cell>
          <cell r="AD13" t="str">
            <v>S4547</v>
          </cell>
          <cell r="AE13" t="str">
            <v/>
          </cell>
          <cell r="AF13" t="str">
            <v>21:16,21:13</v>
          </cell>
          <cell r="AG13" t="str">
            <v>16:21,13:21</v>
          </cell>
          <cell r="AH13" t="str">
            <v/>
          </cell>
          <cell r="AI13">
            <v>16</v>
          </cell>
          <cell r="AJ13">
            <v>21</v>
          </cell>
          <cell r="AK13">
            <v>13</v>
          </cell>
          <cell r="AL13">
            <v>21</v>
          </cell>
          <cell r="AM13">
            <v>0</v>
          </cell>
          <cell r="AN13">
            <v>0</v>
          </cell>
        </row>
        <row r="14">
          <cell r="A14" t="str">
            <v/>
          </cell>
          <cell r="B14" t="str">
            <v>Martyna TROJNIAR (SKB Suwałki)</v>
          </cell>
          <cell r="H14" t="str">
            <v>T5056</v>
          </cell>
          <cell r="K14" t="str">
            <v>S4547</v>
          </cell>
          <cell r="N14" t="str">
            <v>Aleksandra SZWEDA (MKB Lednik Miastko)</v>
          </cell>
        </row>
        <row r="15">
          <cell r="A15" t="str">
            <v/>
          </cell>
          <cell r="B15" t="str">
            <v/>
          </cell>
          <cell r="H15" t="str">
            <v/>
          </cell>
          <cell r="K15" t="str">
            <v/>
          </cell>
          <cell r="N15" t="str">
            <v/>
          </cell>
        </row>
        <row r="17">
          <cell r="B17" t="str">
            <v/>
          </cell>
          <cell r="K17" t="str">
            <v>zwycięzca(cy): 21:16,21:13</v>
          </cell>
        </row>
        <row r="18">
          <cell r="B18">
            <v>1</v>
          </cell>
          <cell r="C18" t="str">
            <v>dzień turnieju.</v>
          </cell>
          <cell r="I18" t="str">
            <v>Nr meczu</v>
          </cell>
          <cell r="N18" t="str">
            <v>Godz.</v>
          </cell>
          <cell r="R18" t="str">
            <v>S. prow.</v>
          </cell>
          <cell r="AF18" t="str">
            <v>wygrany</v>
          </cell>
          <cell r="AG18" t="str">
            <v>przegrany</v>
          </cell>
        </row>
        <row r="19">
          <cell r="B19" t="str">
            <v>Boisko</v>
          </cell>
          <cell r="C19" t="str">
            <v>Gra</v>
          </cell>
          <cell r="I19">
            <v>3</v>
          </cell>
          <cell r="N19" t="str">
            <v>rozp.</v>
          </cell>
          <cell r="P19" t="str">
            <v>zak.</v>
          </cell>
          <cell r="R19" t="str">
            <v>S. serw.</v>
          </cell>
        </row>
        <row r="20">
          <cell r="A20">
            <v>3</v>
          </cell>
          <cell r="B20">
            <v>2</v>
          </cell>
          <cell r="C20" t="str">
            <v>pojedyncza dziewcząt M</v>
          </cell>
          <cell r="H20">
            <v>21</v>
          </cell>
          <cell r="I20">
            <v>0</v>
          </cell>
          <cell r="J20">
            <v>21</v>
          </cell>
          <cell r="K20">
            <v>0</v>
          </cell>
          <cell r="P20">
            <v>0.4513888888888889</v>
          </cell>
          <cell r="R20">
            <v>0.4513888888888889</v>
          </cell>
          <cell r="S20" t="str">
            <v>pt 9:00</v>
          </cell>
          <cell r="X20">
            <v>3</v>
          </cell>
          <cell r="Y20" t="str">
            <v>pojedyncza dziewcząt M</v>
          </cell>
          <cell r="Z20" t="str">
            <v>X06</v>
          </cell>
          <cell r="AA20" t="str">
            <v/>
          </cell>
          <cell r="AB20" t="str">
            <v>Ż5193</v>
          </cell>
          <cell r="AC20" t="str">
            <v/>
          </cell>
          <cell r="AD20" t="str">
            <v>X06</v>
          </cell>
          <cell r="AE20" t="str">
            <v/>
          </cell>
          <cell r="AF20" t="str">
            <v>21:0,21:0</v>
          </cell>
          <cell r="AG20" t="str">
            <v>0:21,0:21</v>
          </cell>
          <cell r="AH20" t="str">
            <v/>
          </cell>
          <cell r="AI20">
            <v>21</v>
          </cell>
          <cell r="AJ20">
            <v>0</v>
          </cell>
          <cell r="AK20">
            <v>21</v>
          </cell>
          <cell r="AL20">
            <v>0</v>
          </cell>
          <cell r="AM20">
            <v>0</v>
          </cell>
          <cell r="AN20">
            <v>0</v>
          </cell>
        </row>
        <row r="21">
          <cell r="A21" t="str">
            <v/>
          </cell>
          <cell r="B21" t="str">
            <v>Uliana ZACHROVA (Brześć Białoruś)</v>
          </cell>
          <cell r="H21" t="str">
            <v>X06</v>
          </cell>
          <cell r="K21" t="str">
            <v>Ż5193</v>
          </cell>
          <cell r="N21" t="str">
            <v>Natalia ŻUJEWSKA (UKS Kiko Zamość)</v>
          </cell>
        </row>
        <row r="22">
          <cell r="A22" t="str">
            <v/>
          </cell>
          <cell r="B22" t="str">
            <v/>
          </cell>
          <cell r="H22" t="str">
            <v/>
          </cell>
          <cell r="K22" t="str">
            <v/>
          </cell>
          <cell r="N22" t="str">
            <v/>
          </cell>
        </row>
        <row r="24">
          <cell r="B24" t="str">
            <v>zwycięzca(cy): 21:0,21:0</v>
          </cell>
          <cell r="K24" t="str">
            <v/>
          </cell>
        </row>
        <row r="25">
          <cell r="B25">
            <v>1</v>
          </cell>
          <cell r="C25" t="str">
            <v>dzień turnieju.</v>
          </cell>
          <cell r="I25" t="str">
            <v>Nr meczu</v>
          </cell>
          <cell r="N25" t="str">
            <v>Godz.</v>
          </cell>
          <cell r="R25" t="str">
            <v>S. prow.</v>
          </cell>
          <cell r="AF25" t="str">
            <v>wygrany</v>
          </cell>
          <cell r="AG25" t="str">
            <v>przegrany</v>
          </cell>
        </row>
        <row r="26">
          <cell r="B26" t="str">
            <v>Boisko</v>
          </cell>
          <cell r="C26" t="str">
            <v>Gra</v>
          </cell>
          <cell r="I26">
            <v>4</v>
          </cell>
          <cell r="N26" t="str">
            <v>rozp.</v>
          </cell>
          <cell r="P26" t="str">
            <v>zak.</v>
          </cell>
          <cell r="R26" t="str">
            <v>S. serw.</v>
          </cell>
        </row>
        <row r="27">
          <cell r="A27">
            <v>4</v>
          </cell>
          <cell r="B27">
            <v>2</v>
          </cell>
          <cell r="C27" t="str">
            <v>pojedyncza dziewcząt M</v>
          </cell>
          <cell r="H27">
            <v>21</v>
          </cell>
          <cell r="I27">
            <v>13</v>
          </cell>
          <cell r="J27">
            <v>22</v>
          </cell>
          <cell r="K27">
            <v>20</v>
          </cell>
          <cell r="P27">
            <v>0.39027777777777778</v>
          </cell>
          <cell r="R27">
            <v>0.39027777777777778</v>
          </cell>
          <cell r="S27" t="str">
            <v>pt 9:00</v>
          </cell>
          <cell r="X27">
            <v>4</v>
          </cell>
          <cell r="Y27" t="str">
            <v>pojedyncza dziewcząt M</v>
          </cell>
          <cell r="Z27" t="str">
            <v>X14</v>
          </cell>
          <cell r="AA27" t="str">
            <v/>
          </cell>
          <cell r="AB27" t="str">
            <v>R4341</v>
          </cell>
          <cell r="AC27" t="str">
            <v/>
          </cell>
          <cell r="AD27" t="str">
            <v>X14</v>
          </cell>
          <cell r="AE27" t="str">
            <v/>
          </cell>
          <cell r="AF27" t="str">
            <v>21:13,22:20</v>
          </cell>
          <cell r="AG27" t="str">
            <v>13:21,20:22</v>
          </cell>
          <cell r="AH27" t="str">
            <v/>
          </cell>
          <cell r="AI27">
            <v>21</v>
          </cell>
          <cell r="AJ27">
            <v>13</v>
          </cell>
          <cell r="AK27">
            <v>22</v>
          </cell>
          <cell r="AL27">
            <v>20</v>
          </cell>
          <cell r="AM27">
            <v>0</v>
          </cell>
          <cell r="AN27">
            <v>0</v>
          </cell>
        </row>
        <row r="28">
          <cell r="A28" t="str">
            <v/>
          </cell>
          <cell r="B28" t="str">
            <v>Yana  ZDROK (Mińsk Białoruś)</v>
          </cell>
          <cell r="H28" t="str">
            <v>X14</v>
          </cell>
          <cell r="K28" t="str">
            <v>R4341</v>
          </cell>
          <cell r="N28" t="str">
            <v>Małgorzata ROGUT (MLKS Solec Kuj.)</v>
          </cell>
        </row>
        <row r="29">
          <cell r="A29" t="str">
            <v/>
          </cell>
          <cell r="B29" t="str">
            <v/>
          </cell>
          <cell r="H29" t="str">
            <v/>
          </cell>
          <cell r="K29" t="str">
            <v/>
          </cell>
          <cell r="N29" t="str">
            <v/>
          </cell>
        </row>
        <row r="31">
          <cell r="B31" t="str">
            <v>zwycięzca(cy): 21:13,22:20</v>
          </cell>
          <cell r="K31" t="str">
            <v/>
          </cell>
        </row>
        <row r="32">
          <cell r="B32">
            <v>1</v>
          </cell>
          <cell r="C32" t="str">
            <v>dzień turnieju.</v>
          </cell>
          <cell r="I32" t="str">
            <v>Nr meczu</v>
          </cell>
          <cell r="N32" t="str">
            <v>Godz.</v>
          </cell>
          <cell r="R32" t="str">
            <v>S. prow.</v>
          </cell>
          <cell r="AF32" t="str">
            <v>wygrany</v>
          </cell>
          <cell r="AG32" t="str">
            <v>przegrany</v>
          </cell>
        </row>
        <row r="33">
          <cell r="B33" t="str">
            <v>Boisko</v>
          </cell>
          <cell r="C33" t="str">
            <v>Gra</v>
          </cell>
          <cell r="I33">
            <v>5</v>
          </cell>
          <cell r="N33" t="str">
            <v>rozp.</v>
          </cell>
          <cell r="P33" t="str">
            <v>zak.</v>
          </cell>
          <cell r="R33" t="str">
            <v>S. serw.</v>
          </cell>
        </row>
        <row r="34">
          <cell r="A34">
            <v>5</v>
          </cell>
          <cell r="B34">
            <v>3</v>
          </cell>
          <cell r="C34" t="str">
            <v>pojedyncza dziewcząt M</v>
          </cell>
          <cell r="H34">
            <v>21</v>
          </cell>
          <cell r="I34">
            <v>9</v>
          </cell>
          <cell r="J34">
            <v>21</v>
          </cell>
          <cell r="K34">
            <v>11</v>
          </cell>
          <cell r="P34">
            <v>0.3923611111111111</v>
          </cell>
          <cell r="R34">
            <v>0.3923611111111111</v>
          </cell>
          <cell r="S34" t="str">
            <v>pt 9:00</v>
          </cell>
          <cell r="X34">
            <v>5</v>
          </cell>
          <cell r="Y34" t="str">
            <v>pojedyncza dziewcząt M</v>
          </cell>
          <cell r="Z34" t="str">
            <v>M3746</v>
          </cell>
          <cell r="AA34" t="str">
            <v/>
          </cell>
          <cell r="AB34" t="str">
            <v>G4142</v>
          </cell>
          <cell r="AC34" t="str">
            <v/>
          </cell>
          <cell r="AD34" t="str">
            <v>M3746</v>
          </cell>
          <cell r="AE34" t="str">
            <v/>
          </cell>
          <cell r="AF34" t="str">
            <v>21:9,21:11</v>
          </cell>
          <cell r="AG34" t="str">
            <v>9:21,11:21</v>
          </cell>
          <cell r="AH34" t="str">
            <v/>
          </cell>
          <cell r="AI34">
            <v>21</v>
          </cell>
          <cell r="AJ34">
            <v>9</v>
          </cell>
          <cell r="AK34">
            <v>21</v>
          </cell>
          <cell r="AL34">
            <v>11</v>
          </cell>
          <cell r="AM34">
            <v>0</v>
          </cell>
          <cell r="AN34">
            <v>0</v>
          </cell>
        </row>
        <row r="35">
          <cell r="A35" t="str">
            <v/>
          </cell>
          <cell r="B35" t="str">
            <v>Dorota MATYSIAK (KS Hubertus Zalesie Górne)</v>
          </cell>
          <cell r="H35" t="str">
            <v>M3746</v>
          </cell>
          <cell r="K35" t="str">
            <v>G4142</v>
          </cell>
          <cell r="N35" t="str">
            <v>Agnieszka GRZEMPA (UKS Lotka Lubiewo)</v>
          </cell>
        </row>
        <row r="36">
          <cell r="A36" t="str">
            <v/>
          </cell>
          <cell r="B36" t="str">
            <v/>
          </cell>
          <cell r="H36" t="str">
            <v/>
          </cell>
          <cell r="K36" t="str">
            <v/>
          </cell>
          <cell r="N36" t="str">
            <v/>
          </cell>
        </row>
        <row r="38">
          <cell r="B38" t="str">
            <v>zwycięzca(cy): 21:9,21:11</v>
          </cell>
          <cell r="K38" t="str">
            <v/>
          </cell>
        </row>
        <row r="39">
          <cell r="B39">
            <v>1</v>
          </cell>
          <cell r="C39" t="str">
            <v>dzień turnieju.</v>
          </cell>
          <cell r="I39" t="str">
            <v>Nr meczu</v>
          </cell>
          <cell r="N39" t="str">
            <v>Godz.</v>
          </cell>
          <cell r="R39" t="str">
            <v>S. prow.</v>
          </cell>
          <cell r="AF39" t="str">
            <v>wygrany</v>
          </cell>
          <cell r="AG39" t="str">
            <v>przegrany</v>
          </cell>
        </row>
        <row r="40">
          <cell r="B40" t="str">
            <v>Boisko</v>
          </cell>
          <cell r="C40" t="str">
            <v>Gra</v>
          </cell>
          <cell r="I40">
            <v>6</v>
          </cell>
          <cell r="N40" t="str">
            <v>rozp.</v>
          </cell>
          <cell r="P40" t="str">
            <v>zak.</v>
          </cell>
          <cell r="R40" t="str">
            <v>S. serw.</v>
          </cell>
        </row>
        <row r="41">
          <cell r="A41">
            <v>6</v>
          </cell>
          <cell r="B41">
            <v>5</v>
          </cell>
          <cell r="C41" t="str">
            <v>pojedyncza dziewcząt M</v>
          </cell>
          <cell r="H41">
            <v>8</v>
          </cell>
          <cell r="I41">
            <v>21</v>
          </cell>
          <cell r="J41">
            <v>21</v>
          </cell>
          <cell r="K41">
            <v>19</v>
          </cell>
          <cell r="L41">
            <v>18</v>
          </cell>
          <cell r="M41">
            <v>21</v>
          </cell>
          <cell r="P41">
            <v>0.51388888888888895</v>
          </cell>
          <cell r="R41">
            <v>0.51388888888888895</v>
          </cell>
          <cell r="S41" t="str">
            <v>pt 9:00</v>
          </cell>
          <cell r="X41">
            <v>6</v>
          </cell>
          <cell r="Y41" t="str">
            <v>pojedyncza dziewcząt M</v>
          </cell>
          <cell r="Z41" t="str">
            <v>T4823</v>
          </cell>
          <cell r="AA41" t="str">
            <v/>
          </cell>
          <cell r="AB41" t="str">
            <v>D4724</v>
          </cell>
          <cell r="AC41" t="str">
            <v/>
          </cell>
          <cell r="AD41" t="str">
            <v>D4724</v>
          </cell>
          <cell r="AE41" t="str">
            <v/>
          </cell>
          <cell r="AF41" t="str">
            <v>21:8,19:21,21:18</v>
          </cell>
          <cell r="AG41" t="str">
            <v>8:21,21:19,18:21</v>
          </cell>
          <cell r="AH41" t="str">
            <v/>
          </cell>
          <cell r="AI41">
            <v>8</v>
          </cell>
          <cell r="AJ41">
            <v>21</v>
          </cell>
          <cell r="AK41">
            <v>21</v>
          </cell>
          <cell r="AL41">
            <v>19</v>
          </cell>
          <cell r="AM41">
            <v>18</v>
          </cell>
          <cell r="AN41">
            <v>21</v>
          </cell>
        </row>
        <row r="42">
          <cell r="A42" t="str">
            <v/>
          </cell>
          <cell r="B42" t="str">
            <v>Sandra TATARELIS (UKS Kiko Zamość)</v>
          </cell>
          <cell r="H42" t="str">
            <v>T4823</v>
          </cell>
          <cell r="K42" t="str">
            <v>D4724</v>
          </cell>
          <cell r="N42" t="str">
            <v>Wiktoria DZIKI (LKS Technik Głubczyce)</v>
          </cell>
        </row>
        <row r="43">
          <cell r="A43" t="str">
            <v/>
          </cell>
          <cell r="B43" t="str">
            <v/>
          </cell>
          <cell r="H43" t="str">
            <v/>
          </cell>
          <cell r="K43" t="str">
            <v/>
          </cell>
          <cell r="N43" t="str">
            <v/>
          </cell>
        </row>
        <row r="45">
          <cell r="B45" t="str">
            <v/>
          </cell>
          <cell r="K45" t="str">
            <v>zwycięzca(cy): 21:8,19:21,21:18</v>
          </cell>
        </row>
        <row r="46">
          <cell r="B46">
            <v>1</v>
          </cell>
          <cell r="C46" t="str">
            <v>dzień turnieju.</v>
          </cell>
          <cell r="I46" t="str">
            <v>Nr meczu</v>
          </cell>
          <cell r="N46" t="str">
            <v>Godz.</v>
          </cell>
          <cell r="R46" t="str">
            <v>S. prow.</v>
          </cell>
          <cell r="AF46" t="str">
            <v>wygrany</v>
          </cell>
          <cell r="AG46" t="str">
            <v>przegrany</v>
          </cell>
        </row>
        <row r="47">
          <cell r="B47" t="str">
            <v>Boisko</v>
          </cell>
          <cell r="C47" t="str">
            <v>Gra</v>
          </cell>
          <cell r="I47">
            <v>7</v>
          </cell>
          <cell r="N47" t="str">
            <v>rozp.</v>
          </cell>
          <cell r="P47" t="str">
            <v>zak.</v>
          </cell>
          <cell r="R47" t="str">
            <v>S. serw.</v>
          </cell>
        </row>
        <row r="48">
          <cell r="A48">
            <v>7</v>
          </cell>
          <cell r="B48">
            <v>4</v>
          </cell>
          <cell r="C48" t="str">
            <v>pojedyncza dziewcząt M</v>
          </cell>
          <cell r="H48">
            <v>21</v>
          </cell>
          <cell r="I48">
            <v>9</v>
          </cell>
          <cell r="J48">
            <v>21</v>
          </cell>
          <cell r="K48">
            <v>9</v>
          </cell>
          <cell r="P48">
            <v>0.3923611111111111</v>
          </cell>
          <cell r="R48">
            <v>0.3923611111111111</v>
          </cell>
          <cell r="S48" t="str">
            <v>pt 9:00</v>
          </cell>
          <cell r="X48">
            <v>7</v>
          </cell>
          <cell r="Y48" t="str">
            <v>pojedyncza dziewcząt M</v>
          </cell>
          <cell r="Z48" t="str">
            <v>X13</v>
          </cell>
          <cell r="AA48" t="str">
            <v/>
          </cell>
          <cell r="AB48" t="str">
            <v>J4505</v>
          </cell>
          <cell r="AC48" t="str">
            <v/>
          </cell>
          <cell r="AD48" t="str">
            <v>X13</v>
          </cell>
          <cell r="AE48" t="str">
            <v/>
          </cell>
          <cell r="AF48" t="str">
            <v>21:9,21:9</v>
          </cell>
          <cell r="AG48" t="str">
            <v>9:21,9:21</v>
          </cell>
          <cell r="AH48" t="str">
            <v/>
          </cell>
          <cell r="AI48">
            <v>21</v>
          </cell>
          <cell r="AJ48">
            <v>9</v>
          </cell>
          <cell r="AK48">
            <v>21</v>
          </cell>
          <cell r="AL48">
            <v>9</v>
          </cell>
          <cell r="AM48">
            <v>0</v>
          </cell>
          <cell r="AN48">
            <v>0</v>
          </cell>
        </row>
        <row r="49">
          <cell r="A49" t="str">
            <v/>
          </cell>
          <cell r="B49" t="str">
            <v>Ylija BITSOUKOVA (Mińsk Białoruś)</v>
          </cell>
          <cell r="H49" t="str">
            <v>X13</v>
          </cell>
          <cell r="K49" t="str">
            <v>J4505</v>
          </cell>
          <cell r="N49" t="str">
            <v>Wiktoria JUSZCZAK (MMKS Gdańsk)</v>
          </cell>
        </row>
        <row r="50">
          <cell r="A50" t="str">
            <v/>
          </cell>
          <cell r="B50" t="str">
            <v/>
          </cell>
          <cell r="H50" t="str">
            <v/>
          </cell>
          <cell r="K50" t="str">
            <v/>
          </cell>
          <cell r="N50" t="str">
            <v/>
          </cell>
        </row>
        <row r="52">
          <cell r="B52" t="str">
            <v>zwycięzca(cy): 21:9,21:9</v>
          </cell>
          <cell r="K52" t="str">
            <v/>
          </cell>
        </row>
        <row r="53">
          <cell r="B53">
            <v>1</v>
          </cell>
          <cell r="C53" t="str">
            <v>dzień turnieju.</v>
          </cell>
          <cell r="I53" t="str">
            <v>Nr meczu</v>
          </cell>
          <cell r="N53" t="str">
            <v>Godz.</v>
          </cell>
          <cell r="R53" t="str">
            <v>S. prow.</v>
          </cell>
          <cell r="AF53" t="str">
            <v>wygrany</v>
          </cell>
          <cell r="AG53" t="str">
            <v>przegrany</v>
          </cell>
        </row>
        <row r="54">
          <cell r="B54" t="str">
            <v>Boisko</v>
          </cell>
          <cell r="C54" t="str">
            <v>Gra</v>
          </cell>
          <cell r="I54">
            <v>8</v>
          </cell>
          <cell r="N54" t="str">
            <v>rozp.</v>
          </cell>
          <cell r="P54" t="str">
            <v>zak.</v>
          </cell>
          <cell r="R54" t="str">
            <v>S. serw.</v>
          </cell>
        </row>
        <row r="55">
          <cell r="A55">
            <v>8</v>
          </cell>
          <cell r="B55">
            <v>1</v>
          </cell>
          <cell r="C55" t="str">
            <v>pojedyncza dziewcząt M</v>
          </cell>
          <cell r="H55">
            <v>21</v>
          </cell>
          <cell r="I55">
            <v>12</v>
          </cell>
          <cell r="J55">
            <v>19</v>
          </cell>
          <cell r="K55">
            <v>21</v>
          </cell>
          <cell r="L55">
            <v>12</v>
          </cell>
          <cell r="M55">
            <v>21</v>
          </cell>
          <cell r="P55">
            <v>0.42083333333333334</v>
          </cell>
          <cell r="R55">
            <v>0.42083333333333334</v>
          </cell>
          <cell r="S55" t="str">
            <v>pt 9:00</v>
          </cell>
          <cell r="X55">
            <v>8</v>
          </cell>
          <cell r="Y55" t="str">
            <v>pojedyncza dziewcząt M</v>
          </cell>
          <cell r="Z55" t="str">
            <v>G5122</v>
          </cell>
          <cell r="AA55" t="str">
            <v/>
          </cell>
          <cell r="AB55" t="str">
            <v>S4125</v>
          </cell>
          <cell r="AC55" t="str">
            <v/>
          </cell>
          <cell r="AD55" t="str">
            <v>S4125</v>
          </cell>
          <cell r="AE55" t="str">
            <v/>
          </cell>
          <cell r="AF55" t="str">
            <v>12:21,21:19,21:12</v>
          </cell>
          <cell r="AG55" t="str">
            <v>21:12,19:21,12:21</v>
          </cell>
          <cell r="AH55" t="str">
            <v/>
          </cell>
          <cell r="AI55">
            <v>21</v>
          </cell>
          <cell r="AJ55">
            <v>12</v>
          </cell>
          <cell r="AK55">
            <v>19</v>
          </cell>
          <cell r="AL55">
            <v>21</v>
          </cell>
          <cell r="AM55">
            <v>12</v>
          </cell>
          <cell r="AN55">
            <v>21</v>
          </cell>
        </row>
        <row r="56">
          <cell r="A56" t="str">
            <v/>
          </cell>
          <cell r="B56" t="str">
            <v>Weronika GAPIŃSKA (MLKS Solec Kuj.)</v>
          </cell>
          <cell r="H56" t="str">
            <v>G5122</v>
          </cell>
          <cell r="K56" t="str">
            <v>S4125</v>
          </cell>
          <cell r="N56" t="str">
            <v>Natalia SIDOR (ŚKBad Harcownik Warszawa)</v>
          </cell>
        </row>
        <row r="57">
          <cell r="A57" t="str">
            <v/>
          </cell>
          <cell r="B57" t="str">
            <v/>
          </cell>
          <cell r="H57" t="str">
            <v/>
          </cell>
          <cell r="K57" t="str">
            <v/>
          </cell>
          <cell r="N57" t="str">
            <v/>
          </cell>
        </row>
        <row r="59">
          <cell r="B59" t="str">
            <v/>
          </cell>
          <cell r="K59" t="str">
            <v>zwycięzca(cy): 12:21,21:19,21:12</v>
          </cell>
        </row>
        <row r="60">
          <cell r="B60">
            <v>1</v>
          </cell>
          <cell r="C60" t="str">
            <v>dzień turnieju.</v>
          </cell>
          <cell r="I60" t="str">
            <v>Nr meczu</v>
          </cell>
          <cell r="N60" t="str">
            <v>Godz.</v>
          </cell>
          <cell r="R60" t="str">
            <v>S. prow.</v>
          </cell>
          <cell r="AF60" t="str">
            <v>wygrany</v>
          </cell>
          <cell r="AG60" t="str">
            <v>przegrany</v>
          </cell>
        </row>
        <row r="61">
          <cell r="B61" t="str">
            <v>Boisko</v>
          </cell>
          <cell r="C61" t="str">
            <v>Gra</v>
          </cell>
          <cell r="I61">
            <v>9</v>
          </cell>
          <cell r="N61" t="str">
            <v>rozp.</v>
          </cell>
          <cell r="P61" t="str">
            <v>zak.</v>
          </cell>
          <cell r="R61" t="str">
            <v>S. serw.</v>
          </cell>
        </row>
        <row r="62">
          <cell r="A62">
            <v>9</v>
          </cell>
          <cell r="B62">
            <v>1</v>
          </cell>
          <cell r="C62" t="str">
            <v>pojedyncza dziewcząt M</v>
          </cell>
          <cell r="H62">
            <v>20</v>
          </cell>
          <cell r="I62">
            <v>22</v>
          </cell>
          <cell r="J62">
            <v>19</v>
          </cell>
          <cell r="K62">
            <v>21</v>
          </cell>
          <cell r="P62">
            <v>0.52500000000000002</v>
          </cell>
          <cell r="R62">
            <v>0.52500000000000002</v>
          </cell>
          <cell r="S62" t="str">
            <v>pt 9:00</v>
          </cell>
          <cell r="X62">
            <v>9</v>
          </cell>
          <cell r="Y62" t="str">
            <v>pojedyncza dziewcząt M</v>
          </cell>
          <cell r="Z62" t="str">
            <v>S4873</v>
          </cell>
          <cell r="AA62" t="str">
            <v/>
          </cell>
          <cell r="AB62" t="str">
            <v>Z4822</v>
          </cell>
          <cell r="AC62" t="str">
            <v/>
          </cell>
          <cell r="AD62" t="str">
            <v>Z4822</v>
          </cell>
          <cell r="AE62" t="str">
            <v/>
          </cell>
          <cell r="AF62" t="str">
            <v>22:20,21:19</v>
          </cell>
          <cell r="AG62" t="str">
            <v>20:22,19:21</v>
          </cell>
          <cell r="AH62" t="str">
            <v/>
          </cell>
          <cell r="AI62">
            <v>20</v>
          </cell>
          <cell r="AJ62">
            <v>22</v>
          </cell>
          <cell r="AK62">
            <v>19</v>
          </cell>
          <cell r="AL62">
            <v>21</v>
          </cell>
          <cell r="AM62">
            <v>0</v>
          </cell>
          <cell r="AN62">
            <v>0</v>
          </cell>
        </row>
        <row r="63">
          <cell r="A63" t="str">
            <v/>
          </cell>
          <cell r="B63" t="str">
            <v>Natalia STRZELCZYK (KS Hubertus Zalesie Górne)</v>
          </cell>
          <cell r="H63" t="str">
            <v>S4873</v>
          </cell>
          <cell r="K63" t="str">
            <v>Z4822</v>
          </cell>
          <cell r="N63" t="str">
            <v>Julia ZIEMIŃSKA (UKS Kiko Zamość)</v>
          </cell>
        </row>
        <row r="64">
          <cell r="A64" t="str">
            <v/>
          </cell>
          <cell r="B64" t="str">
            <v/>
          </cell>
          <cell r="H64" t="str">
            <v/>
          </cell>
          <cell r="K64" t="str">
            <v/>
          </cell>
          <cell r="N64" t="str">
            <v/>
          </cell>
        </row>
        <row r="66">
          <cell r="B66" t="str">
            <v/>
          </cell>
          <cell r="K66" t="str">
            <v>zwycięzca(cy): 22:20,21:19</v>
          </cell>
        </row>
        <row r="67">
          <cell r="B67">
            <v>1</v>
          </cell>
          <cell r="C67" t="str">
            <v>dzień turnieju.</v>
          </cell>
          <cell r="I67" t="str">
            <v>Nr meczu</v>
          </cell>
          <cell r="N67" t="str">
            <v>Godz.</v>
          </cell>
          <cell r="R67" t="str">
            <v>S. prow.</v>
          </cell>
          <cell r="AF67" t="str">
            <v>wygrany</v>
          </cell>
          <cell r="AG67" t="str">
            <v>przegrany</v>
          </cell>
        </row>
        <row r="68">
          <cell r="B68" t="str">
            <v>Boisko</v>
          </cell>
          <cell r="C68" t="str">
            <v>Gra</v>
          </cell>
          <cell r="I68">
            <v>10</v>
          </cell>
          <cell r="N68" t="str">
            <v>rozp.</v>
          </cell>
          <cell r="P68" t="str">
            <v>zak.</v>
          </cell>
          <cell r="R68" t="str">
            <v>S. serw.</v>
          </cell>
        </row>
        <row r="69">
          <cell r="A69">
            <v>10</v>
          </cell>
          <cell r="B69">
            <v>1</v>
          </cell>
          <cell r="C69" t="str">
            <v>pojedyncza dziewcząt M</v>
          </cell>
          <cell r="H69">
            <v>21</v>
          </cell>
          <cell r="I69">
            <v>4</v>
          </cell>
          <cell r="J69">
            <v>21</v>
          </cell>
          <cell r="K69">
            <v>6</v>
          </cell>
          <cell r="P69">
            <v>0.39583333333333331</v>
          </cell>
          <cell r="R69">
            <v>0.39583333333333331</v>
          </cell>
          <cell r="S69" t="str">
            <v>pt 9:00</v>
          </cell>
          <cell r="X69">
            <v>10</v>
          </cell>
          <cell r="Y69" t="str">
            <v>pojedyncza dziewcząt M</v>
          </cell>
          <cell r="Z69" t="str">
            <v>K5033</v>
          </cell>
          <cell r="AA69" t="str">
            <v/>
          </cell>
          <cell r="AB69" t="str">
            <v>X03</v>
          </cell>
          <cell r="AC69" t="str">
            <v/>
          </cell>
          <cell r="AD69" t="str">
            <v>K5033</v>
          </cell>
          <cell r="AE69" t="str">
            <v/>
          </cell>
          <cell r="AF69" t="str">
            <v>21:4,21:6</v>
          </cell>
          <cell r="AG69" t="str">
            <v>4:21,6:21</v>
          </cell>
          <cell r="AH69" t="str">
            <v/>
          </cell>
          <cell r="AI69">
            <v>21</v>
          </cell>
          <cell r="AJ69">
            <v>4</v>
          </cell>
          <cell r="AK69">
            <v>21</v>
          </cell>
          <cell r="AL69">
            <v>6</v>
          </cell>
          <cell r="AM69">
            <v>0</v>
          </cell>
          <cell r="AN69">
            <v>0</v>
          </cell>
        </row>
        <row r="70">
          <cell r="A70" t="str">
            <v/>
          </cell>
          <cell r="B70" t="str">
            <v>Magdalena KULSKA (UKS Unia Bieruń)</v>
          </cell>
          <cell r="H70" t="str">
            <v>K5033</v>
          </cell>
          <cell r="K70" t="str">
            <v>X03</v>
          </cell>
          <cell r="N70" t="str">
            <v>Ugne MASILIONYTE (Litwa)</v>
          </cell>
        </row>
        <row r="71">
          <cell r="A71" t="str">
            <v/>
          </cell>
          <cell r="B71" t="str">
            <v/>
          </cell>
          <cell r="H71" t="str">
            <v/>
          </cell>
          <cell r="K71" t="str">
            <v/>
          </cell>
          <cell r="N71" t="str">
            <v/>
          </cell>
        </row>
        <row r="73">
          <cell r="B73" t="str">
            <v>zwycięzca(cy): 21:4,21:6</v>
          </cell>
          <cell r="K73" t="str">
            <v/>
          </cell>
        </row>
        <row r="74">
          <cell r="B74">
            <v>1</v>
          </cell>
          <cell r="C74" t="str">
            <v>dzień turnieju.</v>
          </cell>
          <cell r="I74" t="str">
            <v>Nr meczu</v>
          </cell>
          <cell r="N74" t="str">
            <v>Godz.</v>
          </cell>
          <cell r="R74" t="str">
            <v>S. prow.</v>
          </cell>
          <cell r="AF74" t="str">
            <v>wygrany</v>
          </cell>
          <cell r="AG74" t="str">
            <v>przegrany</v>
          </cell>
        </row>
        <row r="75">
          <cell r="B75" t="str">
            <v>Boisko</v>
          </cell>
          <cell r="C75" t="str">
            <v>Gra</v>
          </cell>
          <cell r="I75">
            <v>11</v>
          </cell>
          <cell r="N75" t="str">
            <v>rozp.</v>
          </cell>
          <cell r="P75" t="str">
            <v>zak.</v>
          </cell>
          <cell r="R75" t="str">
            <v>S. serw.</v>
          </cell>
        </row>
        <row r="76">
          <cell r="A76">
            <v>11</v>
          </cell>
          <cell r="B76">
            <v>1</v>
          </cell>
          <cell r="C76" t="str">
            <v>pojedyncza dziewcząt M</v>
          </cell>
          <cell r="H76">
            <v>21</v>
          </cell>
          <cell r="I76">
            <v>0</v>
          </cell>
          <cell r="J76">
            <v>21</v>
          </cell>
          <cell r="K76">
            <v>0</v>
          </cell>
          <cell r="P76">
            <v>0.45277777777777778</v>
          </cell>
          <cell r="R76">
            <v>0.45277777777777778</v>
          </cell>
          <cell r="S76" t="str">
            <v>pt 9:00</v>
          </cell>
          <cell r="X76">
            <v>11</v>
          </cell>
          <cell r="Y76" t="str">
            <v>pojedyncza dziewcząt M</v>
          </cell>
          <cell r="Z76" t="str">
            <v>W4550</v>
          </cell>
          <cell r="AA76" t="str">
            <v/>
          </cell>
          <cell r="AB76" t="str">
            <v>K4735</v>
          </cell>
          <cell r="AC76" t="str">
            <v/>
          </cell>
          <cell r="AD76" t="str">
            <v>W4550</v>
          </cell>
          <cell r="AE76" t="str">
            <v/>
          </cell>
          <cell r="AF76" t="str">
            <v>21:0,21:0</v>
          </cell>
          <cell r="AG76" t="str">
            <v>0:21,0:21</v>
          </cell>
          <cell r="AH76" t="str">
            <v/>
          </cell>
          <cell r="AI76">
            <v>21</v>
          </cell>
          <cell r="AJ76">
            <v>0</v>
          </cell>
          <cell r="AK76">
            <v>21</v>
          </cell>
          <cell r="AL76">
            <v>0</v>
          </cell>
          <cell r="AM76">
            <v>0</v>
          </cell>
          <cell r="AN76">
            <v>0</v>
          </cell>
        </row>
        <row r="77">
          <cell r="A77" t="str">
            <v/>
          </cell>
          <cell r="B77" t="str">
            <v>Magdalena WOLSKA (MKB Lednik Miastko)</v>
          </cell>
          <cell r="H77" t="str">
            <v>W4550</v>
          </cell>
          <cell r="K77" t="str">
            <v>K4735</v>
          </cell>
          <cell r="N77" t="str">
            <v>Oktawia KOISZ (UKS Kiko Zamość)</v>
          </cell>
        </row>
        <row r="78">
          <cell r="A78" t="str">
            <v/>
          </cell>
          <cell r="B78" t="str">
            <v/>
          </cell>
          <cell r="H78" t="str">
            <v/>
          </cell>
          <cell r="K78" t="str">
            <v/>
          </cell>
          <cell r="N78" t="str">
            <v/>
          </cell>
        </row>
        <row r="80">
          <cell r="B80" t="str">
            <v>zwycięzca(cy): 21:0,21:0</v>
          </cell>
          <cell r="K80" t="str">
            <v/>
          </cell>
        </row>
        <row r="81">
          <cell r="B81">
            <v>1</v>
          </cell>
          <cell r="C81" t="str">
            <v>dzień turnieju.</v>
          </cell>
          <cell r="I81" t="str">
            <v>Nr meczu</v>
          </cell>
          <cell r="N81" t="str">
            <v>Godz.</v>
          </cell>
          <cell r="R81" t="str">
            <v>S. prow.</v>
          </cell>
          <cell r="AF81" t="str">
            <v>wygrany</v>
          </cell>
          <cell r="AG81" t="str">
            <v>przegrany</v>
          </cell>
        </row>
        <row r="82">
          <cell r="B82" t="str">
            <v>Boisko</v>
          </cell>
          <cell r="C82" t="str">
            <v>Gra</v>
          </cell>
          <cell r="I82">
            <v>12</v>
          </cell>
          <cell r="N82" t="str">
            <v>rozp.</v>
          </cell>
          <cell r="P82" t="str">
            <v>zak.</v>
          </cell>
          <cell r="R82" t="str">
            <v>S. serw.</v>
          </cell>
        </row>
        <row r="83">
          <cell r="A83">
            <v>12</v>
          </cell>
          <cell r="B83">
            <v>4</v>
          </cell>
          <cell r="C83" t="str">
            <v>pojedyncza dziewcząt M</v>
          </cell>
          <cell r="H83">
            <v>21</v>
          </cell>
          <cell r="I83">
            <v>0</v>
          </cell>
          <cell r="J83">
            <v>21</v>
          </cell>
          <cell r="K83">
            <v>0</v>
          </cell>
          <cell r="P83">
            <v>0.45624999999999999</v>
          </cell>
          <cell r="R83">
            <v>0.45624999999999999</v>
          </cell>
          <cell r="S83" t="str">
            <v>pt 9:00</v>
          </cell>
          <cell r="X83">
            <v>12</v>
          </cell>
          <cell r="Y83" t="str">
            <v>pojedyncza dziewcząt M</v>
          </cell>
          <cell r="Z83" t="str">
            <v>S4609</v>
          </cell>
          <cell r="AA83" t="str">
            <v/>
          </cell>
          <cell r="AB83" t="str">
            <v>B4737</v>
          </cell>
          <cell r="AC83" t="str">
            <v/>
          </cell>
          <cell r="AD83" t="str">
            <v>S4609</v>
          </cell>
          <cell r="AE83" t="str">
            <v/>
          </cell>
          <cell r="AF83" t="str">
            <v>21:0,21:0</v>
          </cell>
          <cell r="AG83" t="str">
            <v>0:21,0:21</v>
          </cell>
          <cell r="AH83" t="str">
            <v/>
          </cell>
          <cell r="AI83">
            <v>21</v>
          </cell>
          <cell r="AJ83">
            <v>0</v>
          </cell>
          <cell r="AK83">
            <v>21</v>
          </cell>
          <cell r="AL83">
            <v>0</v>
          </cell>
          <cell r="AM83">
            <v>0</v>
          </cell>
          <cell r="AN83">
            <v>0</v>
          </cell>
        </row>
        <row r="84">
          <cell r="A84" t="str">
            <v/>
          </cell>
          <cell r="B84" t="str">
            <v>Jolanta SZYMAŃSKA (SKB Suwałki)</v>
          </cell>
          <cell r="H84" t="str">
            <v>S4609</v>
          </cell>
          <cell r="K84" t="str">
            <v>B4737</v>
          </cell>
          <cell r="N84" t="str">
            <v>Wiktoria BUDZISZEWSKA (UKS Kiko Zamość)</v>
          </cell>
        </row>
        <row r="85">
          <cell r="A85" t="str">
            <v/>
          </cell>
          <cell r="B85" t="str">
            <v/>
          </cell>
          <cell r="H85" t="str">
            <v/>
          </cell>
          <cell r="K85" t="str">
            <v/>
          </cell>
          <cell r="N85" t="str">
            <v/>
          </cell>
        </row>
        <row r="87">
          <cell r="B87" t="str">
            <v>zwycięzca(cy): 21:0,21:0</v>
          </cell>
          <cell r="K87" t="str">
            <v/>
          </cell>
        </row>
        <row r="88">
          <cell r="B88">
            <v>1</v>
          </cell>
          <cell r="C88" t="str">
            <v>dzień turnieju.</v>
          </cell>
          <cell r="I88" t="str">
            <v>Nr meczu</v>
          </cell>
          <cell r="N88" t="str">
            <v>Godz.</v>
          </cell>
          <cell r="R88" t="str">
            <v>S. prow.</v>
          </cell>
          <cell r="AF88" t="str">
            <v>wygrany</v>
          </cell>
          <cell r="AG88" t="str">
            <v>przegrany</v>
          </cell>
        </row>
        <row r="89">
          <cell r="B89" t="str">
            <v>Boisko</v>
          </cell>
          <cell r="C89" t="str">
            <v>Gra</v>
          </cell>
          <cell r="I89">
            <v>13</v>
          </cell>
          <cell r="N89" t="str">
            <v>rozp.</v>
          </cell>
          <cell r="P89" t="str">
            <v>zak.</v>
          </cell>
          <cell r="R89" t="str">
            <v>S. serw.</v>
          </cell>
        </row>
        <row r="90">
          <cell r="A90">
            <v>13</v>
          </cell>
          <cell r="B90">
            <v>5</v>
          </cell>
          <cell r="C90" t="str">
            <v>pojedyncza dziewcząt M</v>
          </cell>
          <cell r="H90">
            <v>14</v>
          </cell>
          <cell r="I90">
            <v>21</v>
          </cell>
          <cell r="J90">
            <v>10</v>
          </cell>
          <cell r="K90">
            <v>21</v>
          </cell>
          <cell r="P90">
            <v>0.3923611111111111</v>
          </cell>
          <cell r="R90">
            <v>0.3923611111111111</v>
          </cell>
          <cell r="S90" t="str">
            <v>pt 9:00</v>
          </cell>
          <cell r="X90">
            <v>13</v>
          </cell>
          <cell r="Y90" t="str">
            <v>pojedyncza dziewcząt M</v>
          </cell>
          <cell r="Z90" t="str">
            <v>K4576</v>
          </cell>
          <cell r="AA90" t="str">
            <v/>
          </cell>
          <cell r="AB90" t="str">
            <v>X22</v>
          </cell>
          <cell r="AC90" t="str">
            <v/>
          </cell>
          <cell r="AD90" t="str">
            <v>X22</v>
          </cell>
          <cell r="AE90" t="str">
            <v/>
          </cell>
          <cell r="AF90" t="str">
            <v>21:14,21:10</v>
          </cell>
          <cell r="AG90" t="str">
            <v>14:21,10:21</v>
          </cell>
          <cell r="AH90" t="str">
            <v/>
          </cell>
          <cell r="AI90">
            <v>14</v>
          </cell>
          <cell r="AJ90">
            <v>21</v>
          </cell>
          <cell r="AK90">
            <v>10</v>
          </cell>
          <cell r="AL90">
            <v>21</v>
          </cell>
          <cell r="AM90">
            <v>0</v>
          </cell>
          <cell r="AN90">
            <v>0</v>
          </cell>
        </row>
        <row r="91">
          <cell r="A91" t="str">
            <v/>
          </cell>
          <cell r="B91" t="str">
            <v>Paulina KLIMEK (MKS Strzelce Opolskie)</v>
          </cell>
          <cell r="H91" t="str">
            <v>K4576</v>
          </cell>
          <cell r="K91" t="str">
            <v>X22</v>
          </cell>
          <cell r="N91" t="str">
            <v>Elyzaveta NIKOLAEVA (Vinnica Ukraina)</v>
          </cell>
        </row>
        <row r="92">
          <cell r="A92" t="str">
            <v/>
          </cell>
          <cell r="B92" t="str">
            <v/>
          </cell>
          <cell r="H92" t="str">
            <v/>
          </cell>
          <cell r="K92" t="str">
            <v/>
          </cell>
          <cell r="N92" t="str">
            <v/>
          </cell>
        </row>
        <row r="94">
          <cell r="B94" t="str">
            <v/>
          </cell>
          <cell r="K94" t="str">
            <v>zwycięzca(cy): 21:14,21:10</v>
          </cell>
        </row>
        <row r="95">
          <cell r="B95">
            <v>1</v>
          </cell>
          <cell r="C95" t="str">
            <v>dzień turnieju.</v>
          </cell>
          <cell r="I95" t="str">
            <v>Nr meczu</v>
          </cell>
          <cell r="N95" t="str">
            <v>Godz.</v>
          </cell>
          <cell r="R95" t="str">
            <v>S. prow.</v>
          </cell>
          <cell r="AF95" t="str">
            <v>wygrany</v>
          </cell>
          <cell r="AG95" t="str">
            <v>przegrany</v>
          </cell>
        </row>
        <row r="96">
          <cell r="B96" t="str">
            <v>Boisko</v>
          </cell>
          <cell r="C96" t="str">
            <v>Gra</v>
          </cell>
          <cell r="I96">
            <v>14</v>
          </cell>
          <cell r="N96" t="str">
            <v>rozp.</v>
          </cell>
          <cell r="P96" t="str">
            <v>zak.</v>
          </cell>
          <cell r="R96" t="str">
            <v>S. serw.</v>
          </cell>
        </row>
        <row r="97">
          <cell r="A97">
            <v>14</v>
          </cell>
          <cell r="B97">
            <v>1</v>
          </cell>
          <cell r="C97" t="str">
            <v>pojedyncza dziewcząt M</v>
          </cell>
          <cell r="H97">
            <v>21</v>
          </cell>
          <cell r="I97">
            <v>11</v>
          </cell>
          <cell r="J97">
            <v>21</v>
          </cell>
          <cell r="K97">
            <v>5</v>
          </cell>
          <cell r="P97">
            <v>0.4513888888888889</v>
          </cell>
          <cell r="R97">
            <v>0.4513888888888889</v>
          </cell>
          <cell r="S97" t="str">
            <v>pt 9:00</v>
          </cell>
          <cell r="X97">
            <v>14</v>
          </cell>
          <cell r="Y97" t="str">
            <v>pojedyncza dziewcząt M</v>
          </cell>
          <cell r="Z97" t="str">
            <v>X12</v>
          </cell>
          <cell r="AA97" t="str">
            <v/>
          </cell>
          <cell r="AB97" t="str">
            <v>S5167</v>
          </cell>
          <cell r="AC97" t="str">
            <v/>
          </cell>
          <cell r="AD97" t="str">
            <v>X12</v>
          </cell>
          <cell r="AE97" t="str">
            <v/>
          </cell>
          <cell r="AF97" t="str">
            <v>21:11,21:5</v>
          </cell>
          <cell r="AG97" t="str">
            <v>11:21,5:21</v>
          </cell>
          <cell r="AH97" t="str">
            <v/>
          </cell>
          <cell r="AI97">
            <v>21</v>
          </cell>
          <cell r="AJ97">
            <v>11</v>
          </cell>
          <cell r="AK97">
            <v>21</v>
          </cell>
          <cell r="AL97">
            <v>5</v>
          </cell>
          <cell r="AM97">
            <v>0</v>
          </cell>
          <cell r="AN97">
            <v>0</v>
          </cell>
        </row>
        <row r="98">
          <cell r="A98" t="str">
            <v/>
          </cell>
          <cell r="B98" t="str">
            <v>Katsiaryna ZABLOTSKAYA (Mińsk Białoruś)</v>
          </cell>
          <cell r="H98" t="str">
            <v>X12</v>
          </cell>
          <cell r="K98" t="str">
            <v>S5167</v>
          </cell>
          <cell r="N98" t="str">
            <v>Roksana STOKOWSKA (UTS Akro-Bad Warszawa)</v>
          </cell>
        </row>
        <row r="99">
          <cell r="A99" t="str">
            <v/>
          </cell>
          <cell r="B99" t="str">
            <v/>
          </cell>
          <cell r="H99" t="str">
            <v/>
          </cell>
          <cell r="K99" t="str">
            <v/>
          </cell>
          <cell r="N99" t="str">
            <v/>
          </cell>
        </row>
        <row r="101">
          <cell r="B101" t="str">
            <v>zwycięzca(cy): 21:11,21:5</v>
          </cell>
          <cell r="K101" t="str">
            <v/>
          </cell>
        </row>
        <row r="102">
          <cell r="B102">
            <v>1</v>
          </cell>
          <cell r="C102" t="str">
            <v>dzień turnieju.</v>
          </cell>
          <cell r="I102" t="str">
            <v>Nr meczu</v>
          </cell>
          <cell r="N102" t="str">
            <v>Godz.</v>
          </cell>
          <cell r="R102" t="str">
            <v>S. prow.</v>
          </cell>
          <cell r="AF102" t="str">
            <v>wygrany</v>
          </cell>
          <cell r="AG102" t="str">
            <v>przegrany</v>
          </cell>
        </row>
        <row r="103">
          <cell r="B103" t="str">
            <v>Boisko</v>
          </cell>
          <cell r="C103" t="str">
            <v>Gra</v>
          </cell>
          <cell r="I103">
            <v>15</v>
          </cell>
          <cell r="N103" t="str">
            <v>rozp.</v>
          </cell>
          <cell r="P103" t="str">
            <v>zak.</v>
          </cell>
          <cell r="R103" t="str">
            <v>S. serw.</v>
          </cell>
        </row>
        <row r="104">
          <cell r="A104">
            <v>15</v>
          </cell>
          <cell r="B104">
            <v>6</v>
          </cell>
          <cell r="C104" t="str">
            <v>pojedyncza dziewcząt M</v>
          </cell>
          <cell r="H104">
            <v>6</v>
          </cell>
          <cell r="I104">
            <v>21</v>
          </cell>
          <cell r="J104">
            <v>13</v>
          </cell>
          <cell r="K104">
            <v>21</v>
          </cell>
          <cell r="P104">
            <v>0.3923611111111111</v>
          </cell>
          <cell r="R104">
            <v>0.3923611111111111</v>
          </cell>
          <cell r="S104" t="str">
            <v>pt 9:00</v>
          </cell>
          <cell r="X104">
            <v>15</v>
          </cell>
          <cell r="Y104" t="str">
            <v>pojedyncza dziewcząt M</v>
          </cell>
          <cell r="Z104" t="str">
            <v>M4152</v>
          </cell>
          <cell r="AA104" t="str">
            <v/>
          </cell>
          <cell r="AB104" t="str">
            <v>K4136</v>
          </cell>
          <cell r="AC104" t="str">
            <v/>
          </cell>
          <cell r="AD104" t="str">
            <v>K4136</v>
          </cell>
          <cell r="AE104" t="str">
            <v/>
          </cell>
          <cell r="AF104" t="str">
            <v>21:6,21:13</v>
          </cell>
          <cell r="AG104" t="str">
            <v>6:21,13:21</v>
          </cell>
          <cell r="AH104" t="str">
            <v/>
          </cell>
          <cell r="AI104">
            <v>6</v>
          </cell>
          <cell r="AJ104">
            <v>21</v>
          </cell>
          <cell r="AK104">
            <v>13</v>
          </cell>
          <cell r="AL104">
            <v>21</v>
          </cell>
          <cell r="AM104">
            <v>0</v>
          </cell>
          <cell r="AN104">
            <v>0</v>
          </cell>
        </row>
        <row r="105">
          <cell r="A105" t="str">
            <v/>
          </cell>
          <cell r="B105" t="str">
            <v>Aleksandra MARTIN (UKS Lotka Lubiewo)</v>
          </cell>
          <cell r="H105" t="str">
            <v>M4152</v>
          </cell>
          <cell r="K105" t="str">
            <v>K4136</v>
          </cell>
          <cell r="N105" t="str">
            <v>Weronika KOŚCIÓŁEK (LKS Technik Głubczyce)</v>
          </cell>
        </row>
        <row r="106">
          <cell r="A106" t="str">
            <v/>
          </cell>
          <cell r="B106" t="str">
            <v/>
          </cell>
          <cell r="H106" t="str">
            <v/>
          </cell>
          <cell r="K106" t="str">
            <v/>
          </cell>
          <cell r="N106" t="str">
            <v/>
          </cell>
        </row>
        <row r="108">
          <cell r="B108" t="str">
            <v/>
          </cell>
          <cell r="K108" t="str">
            <v>zwycięzca(cy): 21:6,21:13</v>
          </cell>
        </row>
        <row r="109">
          <cell r="B109">
            <v>1</v>
          </cell>
          <cell r="C109" t="str">
            <v>dzień turnieju.</v>
          </cell>
          <cell r="I109" t="str">
            <v>Nr meczu</v>
          </cell>
          <cell r="N109" t="str">
            <v>Godz.</v>
          </cell>
          <cell r="R109" t="str">
            <v>S. prow.</v>
          </cell>
          <cell r="AF109" t="str">
            <v>wygrany</v>
          </cell>
          <cell r="AG109" t="str">
            <v>przegrany</v>
          </cell>
        </row>
        <row r="110">
          <cell r="B110" t="str">
            <v>Boisko</v>
          </cell>
          <cell r="C110" t="str">
            <v>Gra</v>
          </cell>
          <cell r="I110">
            <v>16</v>
          </cell>
          <cell r="N110" t="str">
            <v>rozp.</v>
          </cell>
          <cell r="P110" t="str">
            <v>zak.</v>
          </cell>
          <cell r="R110" t="str">
            <v>S. serw.</v>
          </cell>
        </row>
        <row r="111">
          <cell r="A111">
            <v>16</v>
          </cell>
          <cell r="B111">
            <v>2</v>
          </cell>
          <cell r="C111" t="str">
            <v>pojedyncza dziewcząt M</v>
          </cell>
          <cell r="H111">
            <v>14</v>
          </cell>
          <cell r="I111">
            <v>21</v>
          </cell>
          <cell r="J111">
            <v>21</v>
          </cell>
          <cell r="K111">
            <v>17</v>
          </cell>
          <cell r="L111">
            <v>11</v>
          </cell>
          <cell r="M111">
            <v>21</v>
          </cell>
          <cell r="P111">
            <v>0.41319444444444442</v>
          </cell>
          <cell r="R111">
            <v>0.41319444444444442</v>
          </cell>
          <cell r="S111" t="str">
            <v>pt 10:30</v>
          </cell>
          <cell r="X111">
            <v>16</v>
          </cell>
          <cell r="Y111" t="str">
            <v>pojedyncza dziewcząt M</v>
          </cell>
          <cell r="Z111" t="str">
            <v>X21</v>
          </cell>
          <cell r="AA111" t="str">
            <v/>
          </cell>
          <cell r="AB111" t="str">
            <v>K5387</v>
          </cell>
          <cell r="AC111" t="str">
            <v/>
          </cell>
          <cell r="AD111" t="str">
            <v>K5387</v>
          </cell>
          <cell r="AE111" t="str">
            <v/>
          </cell>
          <cell r="AF111" t="str">
            <v>21:14,17:21,21:11</v>
          </cell>
          <cell r="AG111" t="str">
            <v>14:21,21:17,11:21</v>
          </cell>
          <cell r="AH111" t="str">
            <v/>
          </cell>
          <cell r="AI111">
            <v>14</v>
          </cell>
          <cell r="AJ111">
            <v>21</v>
          </cell>
          <cell r="AK111">
            <v>21</v>
          </cell>
          <cell r="AL111">
            <v>17</v>
          </cell>
          <cell r="AM111">
            <v>11</v>
          </cell>
          <cell r="AN111">
            <v>21</v>
          </cell>
        </row>
        <row r="112">
          <cell r="A112" t="str">
            <v/>
          </cell>
          <cell r="B112" t="str">
            <v>Tetiana ABRAMOVA (Vinnica Ukraina)</v>
          </cell>
          <cell r="H112" t="str">
            <v>X21</v>
          </cell>
          <cell r="K112" t="str">
            <v>K5387</v>
          </cell>
          <cell r="N112" t="str">
            <v>Klaudia KUSIAK (UKS Orliki Ropica Polska)</v>
          </cell>
        </row>
        <row r="113">
          <cell r="A113" t="str">
            <v/>
          </cell>
          <cell r="B113" t="str">
            <v/>
          </cell>
          <cell r="H113" t="str">
            <v/>
          </cell>
          <cell r="K113" t="str">
            <v/>
          </cell>
          <cell r="N113" t="str">
            <v/>
          </cell>
        </row>
        <row r="115">
          <cell r="B115" t="str">
            <v/>
          </cell>
          <cell r="K115" t="str">
            <v>zwycięzca(cy): 21:14,17:21,21:11</v>
          </cell>
        </row>
        <row r="116">
          <cell r="B116">
            <v>1</v>
          </cell>
          <cell r="C116" t="str">
            <v>dzień turnieju.</v>
          </cell>
          <cell r="I116" t="str">
            <v>Nr meczu</v>
          </cell>
          <cell r="N116" t="str">
            <v>Godz.</v>
          </cell>
          <cell r="R116" t="str">
            <v>S. prow.</v>
          </cell>
          <cell r="AF116" t="str">
            <v>wygrany</v>
          </cell>
          <cell r="AG116" t="str">
            <v>przegrany</v>
          </cell>
        </row>
        <row r="117">
          <cell r="B117" t="str">
            <v>Boisko</v>
          </cell>
          <cell r="C117" t="str">
            <v>Gra</v>
          </cell>
          <cell r="I117">
            <v>17</v>
          </cell>
          <cell r="N117" t="str">
            <v>rozp.</v>
          </cell>
          <cell r="P117" t="str">
            <v>zak.</v>
          </cell>
          <cell r="R117" t="str">
            <v>S. serw.</v>
          </cell>
        </row>
        <row r="118">
          <cell r="A118">
            <v>17</v>
          </cell>
          <cell r="B118">
            <v>6</v>
          </cell>
          <cell r="C118" t="str">
            <v>pojedyncza dziewcząt M</v>
          </cell>
          <cell r="H118">
            <v>21</v>
          </cell>
          <cell r="I118">
            <v>18</v>
          </cell>
          <cell r="J118">
            <v>21</v>
          </cell>
          <cell r="K118">
            <v>4</v>
          </cell>
          <cell r="P118">
            <v>0.40277777777777773</v>
          </cell>
          <cell r="R118">
            <v>0.40277777777777773</v>
          </cell>
          <cell r="S118" t="str">
            <v>pt 10:30</v>
          </cell>
          <cell r="X118">
            <v>17</v>
          </cell>
          <cell r="Y118" t="str">
            <v>pojedyncza dziewcząt M</v>
          </cell>
          <cell r="Z118" t="str">
            <v>P4197</v>
          </cell>
          <cell r="AA118" t="str">
            <v/>
          </cell>
          <cell r="AB118" t="str">
            <v>N4575</v>
          </cell>
          <cell r="AC118" t="str">
            <v/>
          </cell>
          <cell r="AD118" t="str">
            <v>P4197</v>
          </cell>
          <cell r="AE118" t="str">
            <v/>
          </cell>
          <cell r="AF118" t="str">
            <v>21:18,21:4</v>
          </cell>
          <cell r="AG118" t="str">
            <v>18:21,4:21</v>
          </cell>
          <cell r="AH118" t="str">
            <v/>
          </cell>
          <cell r="AI118">
            <v>21</v>
          </cell>
          <cell r="AJ118">
            <v>18</v>
          </cell>
          <cell r="AK118">
            <v>21</v>
          </cell>
          <cell r="AL118">
            <v>4</v>
          </cell>
          <cell r="AM118">
            <v>0</v>
          </cell>
          <cell r="AN118">
            <v>0</v>
          </cell>
        </row>
        <row r="119">
          <cell r="A119" t="str">
            <v/>
          </cell>
          <cell r="B119" t="str">
            <v>Zuzanna PARYSZ (UKS Unia Bieruń)</v>
          </cell>
          <cell r="H119" t="str">
            <v>P4197</v>
          </cell>
          <cell r="K119" t="str">
            <v>N4575</v>
          </cell>
          <cell r="N119" t="str">
            <v>Wiktoria NIEMIEC (MKS Strzelce Opolskie)</v>
          </cell>
        </row>
        <row r="120">
          <cell r="A120" t="str">
            <v/>
          </cell>
          <cell r="B120" t="str">
            <v/>
          </cell>
          <cell r="H120" t="str">
            <v/>
          </cell>
          <cell r="K120" t="str">
            <v/>
          </cell>
          <cell r="N120" t="str">
            <v/>
          </cell>
        </row>
        <row r="122">
          <cell r="B122" t="str">
            <v>zwycięzca(cy): 21:18,21:4</v>
          </cell>
          <cell r="K122" t="str">
            <v/>
          </cell>
        </row>
        <row r="123">
          <cell r="B123">
            <v>1</v>
          </cell>
          <cell r="C123" t="str">
            <v>dzień turnieju.</v>
          </cell>
          <cell r="I123" t="str">
            <v>Nr meczu</v>
          </cell>
          <cell r="N123" t="str">
            <v>Godz.</v>
          </cell>
          <cell r="R123" t="str">
            <v>S. prow.</v>
          </cell>
          <cell r="AF123" t="str">
            <v>wygrany</v>
          </cell>
          <cell r="AG123" t="str">
            <v>przegrany</v>
          </cell>
        </row>
        <row r="124">
          <cell r="B124" t="str">
            <v>Boisko</v>
          </cell>
          <cell r="C124" t="str">
            <v>Gra</v>
          </cell>
          <cell r="I124">
            <v>18</v>
          </cell>
          <cell r="N124" t="str">
            <v>rozp.</v>
          </cell>
          <cell r="P124" t="str">
            <v>zak.</v>
          </cell>
          <cell r="R124" t="str">
            <v>S. serw.</v>
          </cell>
        </row>
        <row r="125">
          <cell r="A125">
            <v>18</v>
          </cell>
          <cell r="B125">
            <v>2</v>
          </cell>
          <cell r="C125" t="str">
            <v>pojedyncza dziewcząt M</v>
          </cell>
          <cell r="H125">
            <v>21</v>
          </cell>
          <cell r="I125">
            <v>9</v>
          </cell>
          <cell r="J125">
            <v>21</v>
          </cell>
          <cell r="K125">
            <v>14</v>
          </cell>
          <cell r="P125">
            <v>0.4513888888888889</v>
          </cell>
          <cell r="R125">
            <v>0.4513888888888889</v>
          </cell>
          <cell r="S125" t="str">
            <v>pt 10:30</v>
          </cell>
          <cell r="X125">
            <v>18</v>
          </cell>
          <cell r="Y125" t="str">
            <v>pojedyncza dziewcząt M</v>
          </cell>
          <cell r="Z125" t="str">
            <v>J4598</v>
          </cell>
          <cell r="AA125" t="str">
            <v/>
          </cell>
          <cell r="AB125" t="str">
            <v>K5206</v>
          </cell>
          <cell r="AC125" t="str">
            <v/>
          </cell>
          <cell r="AD125" t="str">
            <v>J4598</v>
          </cell>
          <cell r="AE125" t="str">
            <v/>
          </cell>
          <cell r="AF125" t="str">
            <v>21:9,21:14</v>
          </cell>
          <cell r="AG125" t="str">
            <v>9:21,14:21</v>
          </cell>
          <cell r="AH125" t="str">
            <v/>
          </cell>
          <cell r="AI125">
            <v>21</v>
          </cell>
          <cell r="AJ125">
            <v>9</v>
          </cell>
          <cell r="AK125">
            <v>21</v>
          </cell>
          <cell r="AL125">
            <v>14</v>
          </cell>
          <cell r="AM125">
            <v>0</v>
          </cell>
          <cell r="AN125">
            <v>0</v>
          </cell>
        </row>
        <row r="126">
          <cell r="A126" t="str">
            <v/>
          </cell>
          <cell r="B126" t="str">
            <v>Karolina JODZIO (SKB Suwałki)</v>
          </cell>
          <cell r="H126" t="str">
            <v>J4598</v>
          </cell>
          <cell r="K126" t="str">
            <v>K5206</v>
          </cell>
          <cell r="N126" t="str">
            <v>Klaudia KORDEK (UKS Jagiellonka Medyka)</v>
          </cell>
        </row>
        <row r="127">
          <cell r="A127" t="str">
            <v/>
          </cell>
          <cell r="B127" t="str">
            <v/>
          </cell>
          <cell r="H127" t="str">
            <v/>
          </cell>
          <cell r="K127" t="str">
            <v/>
          </cell>
          <cell r="N127" t="str">
            <v/>
          </cell>
        </row>
        <row r="129">
          <cell r="B129" t="str">
            <v>zwycięzca(cy): 21:9,21:14</v>
          </cell>
          <cell r="K129" t="str">
            <v/>
          </cell>
        </row>
        <row r="130">
          <cell r="B130">
            <v>1</v>
          </cell>
          <cell r="C130" t="str">
            <v>dzień turnieju.</v>
          </cell>
          <cell r="I130" t="str">
            <v>Nr meczu</v>
          </cell>
          <cell r="N130" t="str">
            <v>Godz.</v>
          </cell>
          <cell r="R130" t="str">
            <v>S. prow.</v>
          </cell>
          <cell r="AF130" t="str">
            <v>wygrany</v>
          </cell>
          <cell r="AG130" t="str">
            <v>przegrany</v>
          </cell>
        </row>
        <row r="131">
          <cell r="B131" t="str">
            <v>Boisko</v>
          </cell>
          <cell r="C131" t="str">
            <v>Gra</v>
          </cell>
          <cell r="I131">
            <v>19</v>
          </cell>
          <cell r="N131" t="str">
            <v>rozp.</v>
          </cell>
          <cell r="P131" t="str">
            <v>zak.</v>
          </cell>
          <cell r="R131" t="str">
            <v>S. serw.</v>
          </cell>
        </row>
        <row r="132">
          <cell r="A132">
            <v>19</v>
          </cell>
          <cell r="B132">
            <v>3</v>
          </cell>
          <cell r="C132" t="str">
            <v>pojedyncza dziewcząt M</v>
          </cell>
          <cell r="H132">
            <v>21</v>
          </cell>
          <cell r="I132">
            <v>9</v>
          </cell>
          <cell r="J132">
            <v>21</v>
          </cell>
          <cell r="K132">
            <v>16</v>
          </cell>
          <cell r="P132">
            <v>0.4513888888888889</v>
          </cell>
          <cell r="R132">
            <v>0.4513888888888889</v>
          </cell>
          <cell r="S132" t="str">
            <v>pt 10:30</v>
          </cell>
          <cell r="X132">
            <v>19</v>
          </cell>
          <cell r="Y132" t="str">
            <v>pojedyncza dziewcząt M</v>
          </cell>
          <cell r="Z132" t="str">
            <v>X24</v>
          </cell>
          <cell r="AA132" t="str">
            <v/>
          </cell>
          <cell r="AB132" t="str">
            <v>F3777</v>
          </cell>
          <cell r="AC132" t="str">
            <v/>
          </cell>
          <cell r="AD132" t="str">
            <v>X24</v>
          </cell>
          <cell r="AE132" t="str">
            <v/>
          </cell>
          <cell r="AF132" t="str">
            <v>21:9,21:16</v>
          </cell>
          <cell r="AG132" t="str">
            <v>9:21,16:21</v>
          </cell>
          <cell r="AH132" t="str">
            <v/>
          </cell>
          <cell r="AI132">
            <v>21</v>
          </cell>
          <cell r="AJ132">
            <v>9</v>
          </cell>
          <cell r="AK132">
            <v>21</v>
          </cell>
          <cell r="AL132">
            <v>16</v>
          </cell>
          <cell r="AM132">
            <v>0</v>
          </cell>
          <cell r="AN132">
            <v>0</v>
          </cell>
        </row>
        <row r="133">
          <cell r="A133" t="str">
            <v/>
          </cell>
          <cell r="B133" t="str">
            <v>Anna  POLISCHUK (Lwów Ukraina)</v>
          </cell>
          <cell r="H133" t="str">
            <v>X24</v>
          </cell>
          <cell r="K133" t="str">
            <v>F3777</v>
          </cell>
          <cell r="N133" t="str">
            <v>Aleksandra FELSKA (UKS Orkan Przeźmierowo)</v>
          </cell>
        </row>
        <row r="134">
          <cell r="A134" t="str">
            <v/>
          </cell>
          <cell r="B134" t="str">
            <v/>
          </cell>
          <cell r="H134" t="str">
            <v/>
          </cell>
          <cell r="K134" t="str">
            <v/>
          </cell>
          <cell r="N134" t="str">
            <v/>
          </cell>
        </row>
        <row r="136">
          <cell r="B136" t="str">
            <v>zwycięzca(cy): 21:9,21:16</v>
          </cell>
          <cell r="K136" t="str">
            <v/>
          </cell>
        </row>
        <row r="137">
          <cell r="B137">
            <v>1</v>
          </cell>
          <cell r="C137" t="str">
            <v>dzień turnieju.</v>
          </cell>
          <cell r="I137" t="str">
            <v>Nr meczu</v>
          </cell>
          <cell r="N137" t="str">
            <v>Godz.</v>
          </cell>
          <cell r="R137" t="str">
            <v>S. prow.</v>
          </cell>
          <cell r="AF137" t="str">
            <v>wygrany</v>
          </cell>
          <cell r="AG137" t="str">
            <v>przegrany</v>
          </cell>
        </row>
        <row r="138">
          <cell r="B138" t="str">
            <v>Boisko</v>
          </cell>
          <cell r="C138" t="str">
            <v>Gra</v>
          </cell>
          <cell r="I138">
            <v>20</v>
          </cell>
          <cell r="N138" t="str">
            <v>rozp.</v>
          </cell>
          <cell r="P138" t="str">
            <v>zak.</v>
          </cell>
          <cell r="R138" t="str">
            <v>S. serw.</v>
          </cell>
        </row>
        <row r="139">
          <cell r="A139">
            <v>20</v>
          </cell>
          <cell r="B139">
            <v>4</v>
          </cell>
          <cell r="C139" t="str">
            <v>pojedyncza dziewcząt M</v>
          </cell>
          <cell r="H139">
            <v>13</v>
          </cell>
          <cell r="I139">
            <v>21</v>
          </cell>
          <cell r="J139">
            <v>10</v>
          </cell>
          <cell r="K139">
            <v>21</v>
          </cell>
          <cell r="P139">
            <v>0.40625</v>
          </cell>
          <cell r="R139">
            <v>0.40625</v>
          </cell>
          <cell r="S139" t="str">
            <v>pt 10:30</v>
          </cell>
          <cell r="X139">
            <v>20</v>
          </cell>
          <cell r="Y139" t="str">
            <v>pojedyncza dziewcząt M</v>
          </cell>
          <cell r="Z139" t="str">
            <v>O4640</v>
          </cell>
          <cell r="AA139" t="str">
            <v/>
          </cell>
          <cell r="AB139" t="str">
            <v>S4370</v>
          </cell>
          <cell r="AC139" t="str">
            <v/>
          </cell>
          <cell r="AD139" t="str">
            <v>S4370</v>
          </cell>
          <cell r="AE139" t="str">
            <v/>
          </cell>
          <cell r="AF139" t="str">
            <v>21:13,21:10</v>
          </cell>
          <cell r="AG139" t="str">
            <v>13:21,10:21</v>
          </cell>
          <cell r="AH139" t="str">
            <v/>
          </cell>
          <cell r="AI139">
            <v>13</v>
          </cell>
          <cell r="AJ139">
            <v>21</v>
          </cell>
          <cell r="AK139">
            <v>10</v>
          </cell>
          <cell r="AL139">
            <v>21</v>
          </cell>
          <cell r="AM139">
            <v>0</v>
          </cell>
          <cell r="AN139">
            <v>0</v>
          </cell>
        </row>
        <row r="140">
          <cell r="A140" t="str">
            <v/>
          </cell>
          <cell r="B140" t="str">
            <v>Klaudia OSTROWSKA (MKB Lednik Miastko)</v>
          </cell>
          <cell r="H140" t="str">
            <v>O4640</v>
          </cell>
          <cell r="K140" t="str">
            <v>S4370</v>
          </cell>
          <cell r="N140" t="str">
            <v>Hanna SZYMAŃSKA (STB Energia Lubliniec)</v>
          </cell>
        </row>
        <row r="141">
          <cell r="A141" t="str">
            <v/>
          </cell>
          <cell r="B141" t="str">
            <v/>
          </cell>
          <cell r="H141" t="str">
            <v/>
          </cell>
          <cell r="K141" t="str">
            <v/>
          </cell>
          <cell r="N141" t="str">
            <v/>
          </cell>
        </row>
        <row r="143">
          <cell r="B143" t="str">
            <v/>
          </cell>
          <cell r="K143" t="str">
            <v>zwycięzca(cy): 21:13,21:10</v>
          </cell>
        </row>
        <row r="144">
          <cell r="B144">
            <v>1</v>
          </cell>
          <cell r="C144" t="str">
            <v>dzień turnieju.</v>
          </cell>
          <cell r="I144" t="str">
            <v>Nr meczu</v>
          </cell>
          <cell r="N144" t="str">
            <v>Godz.</v>
          </cell>
          <cell r="R144" t="str">
            <v>S. prow.</v>
          </cell>
          <cell r="AF144" t="str">
            <v>wygrany</v>
          </cell>
          <cell r="AG144" t="str">
            <v>przegrany</v>
          </cell>
        </row>
        <row r="145">
          <cell r="B145" t="str">
            <v>Boisko</v>
          </cell>
          <cell r="C145" t="str">
            <v>Gra</v>
          </cell>
          <cell r="I145">
            <v>21</v>
          </cell>
          <cell r="N145" t="str">
            <v>rozp.</v>
          </cell>
          <cell r="P145" t="str">
            <v>zak.</v>
          </cell>
          <cell r="R145" t="str">
            <v>S. serw.</v>
          </cell>
        </row>
        <row r="146">
          <cell r="A146">
            <v>21</v>
          </cell>
          <cell r="B146">
            <v>3</v>
          </cell>
          <cell r="C146" t="str">
            <v>pojedyncza dziewcząt M</v>
          </cell>
          <cell r="H146">
            <v>21</v>
          </cell>
          <cell r="I146">
            <v>17</v>
          </cell>
          <cell r="J146">
            <v>16</v>
          </cell>
          <cell r="K146">
            <v>21</v>
          </cell>
          <cell r="L146">
            <v>21</v>
          </cell>
          <cell r="M146">
            <v>11</v>
          </cell>
          <cell r="P146">
            <v>0.41319444444444442</v>
          </cell>
          <cell r="R146">
            <v>0.41319444444444442</v>
          </cell>
          <cell r="S146" t="str">
            <v>pt 10:30</v>
          </cell>
          <cell r="X146">
            <v>21</v>
          </cell>
          <cell r="Y146" t="str">
            <v>pojedyncza dziewcząt M</v>
          </cell>
          <cell r="Z146" t="str">
            <v>X01</v>
          </cell>
          <cell r="AA146" t="str">
            <v/>
          </cell>
          <cell r="AB146" t="str">
            <v>S5361</v>
          </cell>
          <cell r="AC146" t="str">
            <v/>
          </cell>
          <cell r="AD146" t="str">
            <v>X01</v>
          </cell>
          <cell r="AE146" t="str">
            <v/>
          </cell>
          <cell r="AF146" t="str">
            <v>21:17,16:21,21:11</v>
          </cell>
          <cell r="AG146" t="str">
            <v>17:21,21:16,11:21</v>
          </cell>
          <cell r="AH146" t="str">
            <v/>
          </cell>
          <cell r="AI146">
            <v>21</v>
          </cell>
          <cell r="AJ146">
            <v>17</v>
          </cell>
          <cell r="AK146">
            <v>16</v>
          </cell>
          <cell r="AL146">
            <v>21</v>
          </cell>
          <cell r="AM146">
            <v>21</v>
          </cell>
          <cell r="AN146">
            <v>11</v>
          </cell>
        </row>
        <row r="147">
          <cell r="A147" t="str">
            <v/>
          </cell>
          <cell r="B147" t="str">
            <v>Sofija ORLOVAITE (Litwa)</v>
          </cell>
          <cell r="H147" t="str">
            <v>X01</v>
          </cell>
          <cell r="K147" t="str">
            <v>S5361</v>
          </cell>
          <cell r="N147" t="str">
            <v>Hanna SZEJN (KSR Wolant Łódź)</v>
          </cell>
        </row>
        <row r="148">
          <cell r="A148" t="str">
            <v/>
          </cell>
          <cell r="B148" t="str">
            <v/>
          </cell>
          <cell r="H148" t="str">
            <v/>
          </cell>
          <cell r="K148" t="str">
            <v/>
          </cell>
          <cell r="N148" t="str">
            <v/>
          </cell>
        </row>
        <row r="150">
          <cell r="B150" t="str">
            <v>zwycięzca(cy): 21:17,16:21,21:11</v>
          </cell>
          <cell r="K150" t="str">
            <v/>
          </cell>
        </row>
        <row r="151">
          <cell r="B151">
            <v>1</v>
          </cell>
          <cell r="C151" t="str">
            <v>dzień turnieju.</v>
          </cell>
          <cell r="I151" t="str">
            <v>Nr meczu</v>
          </cell>
          <cell r="N151" t="str">
            <v>Godz.</v>
          </cell>
          <cell r="R151" t="str">
            <v>S. prow.</v>
          </cell>
          <cell r="AF151" t="str">
            <v>wygrany</v>
          </cell>
          <cell r="AG151" t="str">
            <v>przegrany</v>
          </cell>
        </row>
        <row r="152">
          <cell r="B152" t="str">
            <v>Boisko</v>
          </cell>
          <cell r="C152" t="str">
            <v>Gra</v>
          </cell>
          <cell r="I152">
            <v>22</v>
          </cell>
          <cell r="N152" t="str">
            <v>rozp.</v>
          </cell>
          <cell r="P152" t="str">
            <v>zak.</v>
          </cell>
          <cell r="R152" t="str">
            <v>S. serw.</v>
          </cell>
        </row>
        <row r="153">
          <cell r="A153">
            <v>22</v>
          </cell>
          <cell r="B153">
            <v>4</v>
          </cell>
          <cell r="C153" t="str">
            <v>pojedyncza dziewcząt M</v>
          </cell>
          <cell r="H153">
            <v>13</v>
          </cell>
          <cell r="I153">
            <v>21</v>
          </cell>
          <cell r="J153">
            <v>11</v>
          </cell>
          <cell r="K153">
            <v>21</v>
          </cell>
          <cell r="P153">
            <v>0.44722222222222219</v>
          </cell>
          <cell r="R153">
            <v>0.44722222222222219</v>
          </cell>
          <cell r="S153" t="str">
            <v>pt 10:30</v>
          </cell>
          <cell r="X153">
            <v>22</v>
          </cell>
          <cell r="Y153" t="str">
            <v>pojedyncza dziewcząt M</v>
          </cell>
          <cell r="Z153" t="str">
            <v>M4285</v>
          </cell>
          <cell r="AA153" t="str">
            <v/>
          </cell>
          <cell r="AB153" t="str">
            <v>G4680</v>
          </cell>
          <cell r="AC153" t="str">
            <v/>
          </cell>
          <cell r="AD153" t="str">
            <v>G4680</v>
          </cell>
          <cell r="AE153" t="str">
            <v/>
          </cell>
          <cell r="AF153" t="str">
            <v>21:13,21:11</v>
          </cell>
          <cell r="AG153" t="str">
            <v>13:21,11:21</v>
          </cell>
          <cell r="AH153" t="str">
            <v/>
          </cell>
          <cell r="AI153">
            <v>13</v>
          </cell>
          <cell r="AJ153">
            <v>21</v>
          </cell>
          <cell r="AK153">
            <v>11</v>
          </cell>
          <cell r="AL153">
            <v>21</v>
          </cell>
          <cell r="AM153">
            <v>0</v>
          </cell>
          <cell r="AN153">
            <v>0</v>
          </cell>
        </row>
        <row r="154">
          <cell r="A154" t="str">
            <v/>
          </cell>
          <cell r="B154" t="str">
            <v>Beata MICHALUK (SKB Suwałki)</v>
          </cell>
          <cell r="H154" t="str">
            <v>M4285</v>
          </cell>
          <cell r="K154" t="str">
            <v>G4680</v>
          </cell>
          <cell r="N154" t="str">
            <v>Aneta GADOMSKA (UTS Akro-Bad Warszawa)</v>
          </cell>
        </row>
        <row r="155">
          <cell r="A155" t="str">
            <v/>
          </cell>
          <cell r="B155" t="str">
            <v/>
          </cell>
          <cell r="H155" t="str">
            <v/>
          </cell>
          <cell r="K155" t="str">
            <v/>
          </cell>
          <cell r="N155" t="str">
            <v/>
          </cell>
        </row>
        <row r="157">
          <cell r="B157" t="str">
            <v/>
          </cell>
          <cell r="K157" t="str">
            <v>zwycięzca(cy): 21:13,21:11</v>
          </cell>
        </row>
        <row r="158">
          <cell r="B158">
            <v>1</v>
          </cell>
          <cell r="C158" t="str">
            <v>dzień turnieju.</v>
          </cell>
          <cell r="I158" t="str">
            <v>Nr meczu</v>
          </cell>
          <cell r="N158" t="str">
            <v>Godz.</v>
          </cell>
          <cell r="R158" t="str">
            <v>S. prow.</v>
          </cell>
          <cell r="AF158" t="str">
            <v>wygrany</v>
          </cell>
          <cell r="AG158" t="str">
            <v>przegrany</v>
          </cell>
        </row>
        <row r="159">
          <cell r="B159" t="str">
            <v>Boisko</v>
          </cell>
          <cell r="C159" t="str">
            <v>Gra</v>
          </cell>
          <cell r="I159">
            <v>23</v>
          </cell>
          <cell r="N159" t="str">
            <v>rozp.</v>
          </cell>
          <cell r="P159" t="str">
            <v>zak.</v>
          </cell>
          <cell r="R159" t="str">
            <v>S. serw.</v>
          </cell>
        </row>
        <row r="160">
          <cell r="A160">
            <v>23</v>
          </cell>
          <cell r="B160">
            <v>5</v>
          </cell>
          <cell r="C160" t="str">
            <v>pojedyncza dziewcząt M</v>
          </cell>
          <cell r="H160">
            <v>16</v>
          </cell>
          <cell r="I160">
            <v>21</v>
          </cell>
          <cell r="J160">
            <v>21</v>
          </cell>
          <cell r="K160">
            <v>19</v>
          </cell>
          <cell r="L160">
            <v>21</v>
          </cell>
          <cell r="M160">
            <v>19</v>
          </cell>
          <cell r="P160">
            <v>0.4152777777777778</v>
          </cell>
          <cell r="R160">
            <v>0.4152777777777778</v>
          </cell>
          <cell r="S160" t="str">
            <v>pt 10:30</v>
          </cell>
          <cell r="X160">
            <v>23</v>
          </cell>
          <cell r="Y160" t="str">
            <v>pojedyncza dziewcząt M</v>
          </cell>
          <cell r="Z160" t="str">
            <v>B4564</v>
          </cell>
          <cell r="AA160" t="str">
            <v/>
          </cell>
          <cell r="AB160" t="str">
            <v>G3411</v>
          </cell>
          <cell r="AC160" t="str">
            <v/>
          </cell>
          <cell r="AD160" t="str">
            <v>B4564</v>
          </cell>
          <cell r="AE160" t="str">
            <v/>
          </cell>
          <cell r="AF160" t="str">
            <v>16:21,21:19,21:19</v>
          </cell>
          <cell r="AG160" t="str">
            <v>21:16,19:21,19:21</v>
          </cell>
          <cell r="AH160" t="str">
            <v/>
          </cell>
          <cell r="AI160">
            <v>16</v>
          </cell>
          <cell r="AJ160">
            <v>21</v>
          </cell>
          <cell r="AK160">
            <v>21</v>
          </cell>
          <cell r="AL160">
            <v>19</v>
          </cell>
          <cell r="AM160">
            <v>21</v>
          </cell>
          <cell r="AN160">
            <v>19</v>
          </cell>
        </row>
        <row r="161">
          <cell r="A161" t="str">
            <v/>
          </cell>
          <cell r="B161" t="str">
            <v>Laura BERESTECKA (LKS Technik Głubczyce)</v>
          </cell>
          <cell r="H161" t="str">
            <v>B4564</v>
          </cell>
          <cell r="K161" t="str">
            <v>G3411</v>
          </cell>
          <cell r="N161" t="str">
            <v>Magdalena GOLENIA (UKS Sokół Ropczyce)</v>
          </cell>
        </row>
        <row r="162">
          <cell r="A162" t="str">
            <v/>
          </cell>
          <cell r="B162" t="str">
            <v/>
          </cell>
          <cell r="H162" t="str">
            <v/>
          </cell>
          <cell r="K162" t="str">
            <v/>
          </cell>
          <cell r="N162" t="str">
            <v/>
          </cell>
        </row>
        <row r="164">
          <cell r="B164" t="str">
            <v>zwycięzca(cy): 16:21,21:19,21:19</v>
          </cell>
          <cell r="K164" t="str">
            <v/>
          </cell>
        </row>
        <row r="165">
          <cell r="B165">
            <v>1</v>
          </cell>
          <cell r="C165" t="str">
            <v>dzień turnieju.</v>
          </cell>
          <cell r="I165" t="str">
            <v>Nr meczu</v>
          </cell>
          <cell r="N165" t="str">
            <v>Godz.</v>
          </cell>
          <cell r="R165" t="str">
            <v>S. prow.</v>
          </cell>
          <cell r="AF165" t="str">
            <v>wygrany</v>
          </cell>
          <cell r="AG165" t="str">
            <v>przegrany</v>
          </cell>
        </row>
        <row r="166">
          <cell r="B166" t="str">
            <v>Boisko</v>
          </cell>
          <cell r="C166" t="str">
            <v>Gra</v>
          </cell>
          <cell r="I166">
            <v>24</v>
          </cell>
          <cell r="N166" t="str">
            <v>rozp.</v>
          </cell>
          <cell r="P166" t="str">
            <v>zak.</v>
          </cell>
          <cell r="R166" t="str">
            <v>S. serw.</v>
          </cell>
        </row>
        <row r="167">
          <cell r="A167">
            <v>24</v>
          </cell>
          <cell r="B167">
            <v>6</v>
          </cell>
          <cell r="C167" t="str">
            <v>pojedyncza dziewcząt M</v>
          </cell>
          <cell r="H167">
            <v>17</v>
          </cell>
          <cell r="I167">
            <v>21</v>
          </cell>
          <cell r="J167">
            <v>14</v>
          </cell>
          <cell r="K167">
            <v>21</v>
          </cell>
          <cell r="P167">
            <v>0.4201388888888889</v>
          </cell>
          <cell r="R167">
            <v>0.4201388888888889</v>
          </cell>
          <cell r="S167" t="str">
            <v>pt 10:30</v>
          </cell>
          <cell r="X167">
            <v>24</v>
          </cell>
          <cell r="Y167" t="str">
            <v>pojedyncza dziewcząt M</v>
          </cell>
          <cell r="Z167" t="str">
            <v>K5041</v>
          </cell>
          <cell r="AA167" t="str">
            <v/>
          </cell>
          <cell r="AB167" t="str">
            <v>P4286</v>
          </cell>
          <cell r="AC167" t="str">
            <v/>
          </cell>
          <cell r="AD167" t="str">
            <v>P4286</v>
          </cell>
          <cell r="AE167" t="str">
            <v/>
          </cell>
          <cell r="AF167" t="str">
            <v>21:17,21:14</v>
          </cell>
          <cell r="AG167" t="str">
            <v>17:21,14:21</v>
          </cell>
          <cell r="AH167" t="str">
            <v/>
          </cell>
          <cell r="AI167">
            <v>17</v>
          </cell>
          <cell r="AJ167">
            <v>21</v>
          </cell>
          <cell r="AK167">
            <v>14</v>
          </cell>
          <cell r="AL167">
            <v>21</v>
          </cell>
          <cell r="AM167">
            <v>0</v>
          </cell>
          <cell r="AN167">
            <v>0</v>
          </cell>
        </row>
        <row r="168">
          <cell r="A168" t="str">
            <v/>
          </cell>
          <cell r="B168" t="str">
            <v>Aleksandra KOŁODZIEJ (KSR Wolant Łódź)</v>
          </cell>
          <cell r="H168" t="str">
            <v>K5041</v>
          </cell>
          <cell r="K168" t="str">
            <v>P4286</v>
          </cell>
          <cell r="N168" t="str">
            <v>Ewelina PODZIEWSKA (SKB Suwałki)</v>
          </cell>
        </row>
        <row r="169">
          <cell r="A169" t="str">
            <v/>
          </cell>
          <cell r="B169" t="str">
            <v/>
          </cell>
          <cell r="H169" t="str">
            <v/>
          </cell>
          <cell r="K169" t="str">
            <v/>
          </cell>
          <cell r="N169" t="str">
            <v/>
          </cell>
        </row>
        <row r="171">
          <cell r="B171" t="str">
            <v/>
          </cell>
          <cell r="K171" t="str">
            <v>zwycięzca(cy): 21:17,21:14</v>
          </cell>
        </row>
        <row r="172">
          <cell r="B172">
            <v>1</v>
          </cell>
          <cell r="C172" t="str">
            <v>dzień turnieju.</v>
          </cell>
          <cell r="I172" t="str">
            <v>Nr meczu</v>
          </cell>
          <cell r="N172" t="str">
            <v>Godz.</v>
          </cell>
          <cell r="R172" t="str">
            <v>S. prow.</v>
          </cell>
          <cell r="AF172" t="str">
            <v>wygrany</v>
          </cell>
          <cell r="AG172" t="str">
            <v>przegrany</v>
          </cell>
        </row>
        <row r="173">
          <cell r="B173" t="str">
            <v>Boisko</v>
          </cell>
          <cell r="C173" t="str">
            <v>Gra</v>
          </cell>
          <cell r="I173">
            <v>25</v>
          </cell>
          <cell r="N173" t="str">
            <v>rozp.</v>
          </cell>
          <cell r="P173" t="str">
            <v>zak.</v>
          </cell>
          <cell r="R173" t="str">
            <v>S. serw.</v>
          </cell>
        </row>
        <row r="174">
          <cell r="A174">
            <v>25</v>
          </cell>
          <cell r="B174">
            <v>5</v>
          </cell>
          <cell r="C174" t="str">
            <v>pojedyncza dziewcząt M</v>
          </cell>
          <cell r="H174">
            <v>21</v>
          </cell>
          <cell r="I174">
            <v>18</v>
          </cell>
          <cell r="J174">
            <v>8</v>
          </cell>
          <cell r="K174">
            <v>21</v>
          </cell>
          <cell r="L174">
            <v>21</v>
          </cell>
          <cell r="M174">
            <v>17</v>
          </cell>
          <cell r="P174">
            <v>0.4604166666666667</v>
          </cell>
          <cell r="R174">
            <v>0.4604166666666667</v>
          </cell>
          <cell r="S174" t="str">
            <v>pt 10:30</v>
          </cell>
          <cell r="X174">
            <v>25</v>
          </cell>
          <cell r="Y174" t="str">
            <v>pojedyncza dziewcząt M</v>
          </cell>
          <cell r="Z174" t="str">
            <v>D4545</v>
          </cell>
          <cell r="AA174" t="str">
            <v/>
          </cell>
          <cell r="AB174" t="str">
            <v>W4281</v>
          </cell>
          <cell r="AC174" t="str">
            <v/>
          </cell>
          <cell r="AD174" t="str">
            <v>D4545</v>
          </cell>
          <cell r="AE174" t="str">
            <v/>
          </cell>
          <cell r="AF174" t="str">
            <v>21:18,8:21,21:17</v>
          </cell>
          <cell r="AG174" t="str">
            <v>18:21,21:8,17:21</v>
          </cell>
          <cell r="AH174" t="str">
            <v/>
          </cell>
          <cell r="AI174">
            <v>21</v>
          </cell>
          <cell r="AJ174">
            <v>18</v>
          </cell>
          <cell r="AK174">
            <v>8</v>
          </cell>
          <cell r="AL174">
            <v>21</v>
          </cell>
          <cell r="AM174">
            <v>21</v>
          </cell>
          <cell r="AN174">
            <v>17</v>
          </cell>
        </row>
        <row r="175">
          <cell r="A175" t="str">
            <v/>
          </cell>
          <cell r="B175" t="str">
            <v>Joanna DORAWA (MKB Lednik Miastko)</v>
          </cell>
          <cell r="H175" t="str">
            <v>D4545</v>
          </cell>
          <cell r="K175" t="str">
            <v>W4281</v>
          </cell>
          <cell r="N175" t="str">
            <v>Ida WIŚNIEWSKA (----)</v>
          </cell>
        </row>
        <row r="176">
          <cell r="A176" t="str">
            <v/>
          </cell>
          <cell r="B176" t="str">
            <v/>
          </cell>
          <cell r="H176" t="str">
            <v/>
          </cell>
          <cell r="K176" t="str">
            <v/>
          </cell>
          <cell r="N176" t="str">
            <v/>
          </cell>
        </row>
        <row r="178">
          <cell r="B178" t="str">
            <v>zwycięzca(cy): 21:18,8:21,21:17</v>
          </cell>
          <cell r="K178" t="str">
            <v/>
          </cell>
        </row>
        <row r="179">
          <cell r="B179">
            <v>1</v>
          </cell>
          <cell r="C179" t="str">
            <v>dzień turnieju.</v>
          </cell>
          <cell r="I179" t="str">
            <v>Nr meczu</v>
          </cell>
          <cell r="N179" t="str">
            <v>Godz.</v>
          </cell>
          <cell r="R179" t="str">
            <v>S. prow.</v>
          </cell>
          <cell r="AF179" t="str">
            <v>wygrany</v>
          </cell>
          <cell r="AG179" t="str">
            <v>przegrany</v>
          </cell>
        </row>
        <row r="180">
          <cell r="B180" t="str">
            <v>Boisko</v>
          </cell>
          <cell r="C180" t="str">
            <v>Gra</v>
          </cell>
          <cell r="I180">
            <v>26</v>
          </cell>
          <cell r="N180" t="str">
            <v>rozp.</v>
          </cell>
          <cell r="P180" t="str">
            <v>zak.</v>
          </cell>
          <cell r="R180" t="str">
            <v>S. serw.</v>
          </cell>
        </row>
        <row r="181">
          <cell r="A181">
            <v>26</v>
          </cell>
          <cell r="B181">
            <v>6</v>
          </cell>
          <cell r="C181" t="str">
            <v>pojedyncza dziewcząt M</v>
          </cell>
          <cell r="H181">
            <v>4</v>
          </cell>
          <cell r="I181">
            <v>21</v>
          </cell>
          <cell r="J181">
            <v>7</v>
          </cell>
          <cell r="K181">
            <v>21</v>
          </cell>
          <cell r="P181">
            <v>0.4513888888888889</v>
          </cell>
          <cell r="R181">
            <v>0.4513888888888889</v>
          </cell>
          <cell r="S181" t="str">
            <v>pt 10:30</v>
          </cell>
          <cell r="X181">
            <v>26</v>
          </cell>
          <cell r="Y181" t="str">
            <v>pojedyncza dziewcząt M</v>
          </cell>
          <cell r="Z181" t="str">
            <v>R5590</v>
          </cell>
          <cell r="AA181" t="str">
            <v/>
          </cell>
          <cell r="AB181" t="str">
            <v>F4339</v>
          </cell>
          <cell r="AC181" t="str">
            <v/>
          </cell>
          <cell r="AD181" t="str">
            <v>F4339</v>
          </cell>
          <cell r="AE181" t="str">
            <v/>
          </cell>
          <cell r="AF181" t="str">
            <v>21:4,21:7</v>
          </cell>
          <cell r="AG181" t="str">
            <v>4:21,7:21</v>
          </cell>
          <cell r="AH181" t="str">
            <v/>
          </cell>
          <cell r="AI181">
            <v>4</v>
          </cell>
          <cell r="AJ181">
            <v>21</v>
          </cell>
          <cell r="AK181">
            <v>7</v>
          </cell>
          <cell r="AL181">
            <v>21</v>
          </cell>
          <cell r="AM181">
            <v>0</v>
          </cell>
          <cell r="AN181">
            <v>0</v>
          </cell>
        </row>
        <row r="182">
          <cell r="A182" t="str">
            <v/>
          </cell>
          <cell r="B182" t="str">
            <v>Julia RUSZKOWSKA (KSR Wolant Łódź)</v>
          </cell>
          <cell r="H182" t="str">
            <v>R5590</v>
          </cell>
          <cell r="K182" t="str">
            <v>F4339</v>
          </cell>
          <cell r="N182" t="str">
            <v>Martyna FILIPIAK (MLKS Solec Kuj.)</v>
          </cell>
        </row>
        <row r="183">
          <cell r="A183" t="str">
            <v/>
          </cell>
          <cell r="B183" t="str">
            <v/>
          </cell>
          <cell r="H183" t="str">
            <v/>
          </cell>
          <cell r="K183" t="str">
            <v/>
          </cell>
          <cell r="N183" t="str">
            <v/>
          </cell>
        </row>
        <row r="185">
          <cell r="B185" t="str">
            <v/>
          </cell>
          <cell r="K185" t="str">
            <v>zwycięzca(cy): 21:4,21:7</v>
          </cell>
        </row>
        <row r="186">
          <cell r="B186">
            <v>1</v>
          </cell>
          <cell r="C186" t="str">
            <v>dzień turnieju.</v>
          </cell>
          <cell r="I186" t="str">
            <v>Nr meczu</v>
          </cell>
          <cell r="N186" t="str">
            <v>Godz.</v>
          </cell>
          <cell r="R186" t="str">
            <v>S. prow.</v>
          </cell>
          <cell r="AF186" t="str">
            <v>wygrany</v>
          </cell>
          <cell r="AG186" t="str">
            <v>przegrany</v>
          </cell>
        </row>
        <row r="187">
          <cell r="B187" t="str">
            <v>Boisko</v>
          </cell>
          <cell r="C187" t="str">
            <v>Gra</v>
          </cell>
          <cell r="I187">
            <v>27</v>
          </cell>
          <cell r="N187" t="str">
            <v>rozp.</v>
          </cell>
          <cell r="P187" t="str">
            <v>zak.</v>
          </cell>
          <cell r="R187" t="str">
            <v>S. serw.</v>
          </cell>
        </row>
        <row r="188">
          <cell r="A188">
            <v>27</v>
          </cell>
          <cell r="B188">
            <v>1</v>
          </cell>
          <cell r="C188" t="str">
            <v>pojedyncza dziewcząt M</v>
          </cell>
          <cell r="H188">
            <v>18</v>
          </cell>
          <cell r="I188">
            <v>21</v>
          </cell>
          <cell r="J188">
            <v>13</v>
          </cell>
          <cell r="K188">
            <v>21</v>
          </cell>
          <cell r="P188">
            <v>0.52013888888888882</v>
          </cell>
          <cell r="R188">
            <v>0.52013888888888882</v>
          </cell>
          <cell r="S188" t="str">
            <v>pt 10:30</v>
          </cell>
          <cell r="X188">
            <v>27</v>
          </cell>
          <cell r="Y188" t="str">
            <v>pojedyncza dziewcząt M</v>
          </cell>
          <cell r="Z188" t="str">
            <v>G3854</v>
          </cell>
          <cell r="AA188" t="str">
            <v/>
          </cell>
          <cell r="AB188" t="str">
            <v>K4023</v>
          </cell>
          <cell r="AC188" t="str">
            <v/>
          </cell>
          <cell r="AD188" t="str">
            <v>K4023</v>
          </cell>
          <cell r="AE188" t="str">
            <v/>
          </cell>
          <cell r="AF188" t="str">
            <v>21:18,21:13</v>
          </cell>
          <cell r="AG188" t="str">
            <v>18:21,13:21</v>
          </cell>
          <cell r="AH188" t="str">
            <v/>
          </cell>
          <cell r="AI188">
            <v>18</v>
          </cell>
          <cell r="AJ188">
            <v>21</v>
          </cell>
          <cell r="AK188">
            <v>13</v>
          </cell>
          <cell r="AL188">
            <v>21</v>
          </cell>
          <cell r="AM188">
            <v>0</v>
          </cell>
          <cell r="AN188">
            <v>0</v>
          </cell>
        </row>
        <row r="189">
          <cell r="A189" t="str">
            <v/>
          </cell>
          <cell r="B189" t="str">
            <v>Katarzyna GĘSICKA (KS Hubertus Zalesie Górne)</v>
          </cell>
          <cell r="H189" t="str">
            <v>G3854</v>
          </cell>
          <cell r="K189" t="str">
            <v>K4023</v>
          </cell>
          <cell r="N189" t="str">
            <v>Agnieszka KOPER (KKS Warmia Olsztyn)</v>
          </cell>
        </row>
        <row r="190">
          <cell r="A190" t="str">
            <v/>
          </cell>
          <cell r="B190" t="str">
            <v/>
          </cell>
          <cell r="H190" t="str">
            <v/>
          </cell>
          <cell r="K190" t="str">
            <v/>
          </cell>
          <cell r="N190" t="str">
            <v/>
          </cell>
        </row>
        <row r="192">
          <cell r="B192" t="str">
            <v/>
          </cell>
          <cell r="K192" t="str">
            <v>zwycięzca(cy): 21:18,21:13</v>
          </cell>
        </row>
        <row r="193">
          <cell r="B193">
            <v>1</v>
          </cell>
          <cell r="C193" t="str">
            <v>dzień turnieju.</v>
          </cell>
          <cell r="I193" t="str">
            <v>Nr meczu</v>
          </cell>
          <cell r="N193" t="str">
            <v>Godz.</v>
          </cell>
          <cell r="R193" t="str">
            <v>S. prow.</v>
          </cell>
          <cell r="AF193" t="str">
            <v>wygrany</v>
          </cell>
          <cell r="AG193" t="str">
            <v>przegrany</v>
          </cell>
        </row>
        <row r="194">
          <cell r="B194" t="str">
            <v>Boisko</v>
          </cell>
          <cell r="C194" t="str">
            <v>Gra</v>
          </cell>
          <cell r="I194">
            <v>28</v>
          </cell>
          <cell r="N194" t="str">
            <v>rozp.</v>
          </cell>
          <cell r="P194" t="str">
            <v>zak.</v>
          </cell>
          <cell r="R194" t="str">
            <v>S. serw.</v>
          </cell>
        </row>
        <row r="195">
          <cell r="A195">
            <v>28</v>
          </cell>
          <cell r="B195">
            <v>1</v>
          </cell>
          <cell r="C195" t="str">
            <v>pojedyncza chłopców M</v>
          </cell>
          <cell r="H195">
            <v>21</v>
          </cell>
          <cell r="I195">
            <v>11</v>
          </cell>
          <cell r="J195">
            <v>21</v>
          </cell>
          <cell r="K195">
            <v>8</v>
          </cell>
          <cell r="P195">
            <v>0.46875</v>
          </cell>
          <cell r="R195">
            <v>0.46875</v>
          </cell>
          <cell r="S195" t="str">
            <v>pt 11:10</v>
          </cell>
          <cell r="X195">
            <v>28</v>
          </cell>
          <cell r="Y195" t="str">
            <v>pojedyncza chłopców M</v>
          </cell>
          <cell r="Z195" t="str">
            <v>L4473</v>
          </cell>
          <cell r="AA195" t="str">
            <v/>
          </cell>
          <cell r="AB195" t="str">
            <v>S5541</v>
          </cell>
          <cell r="AC195" t="str">
            <v/>
          </cell>
          <cell r="AD195" t="str">
            <v>L4473</v>
          </cell>
          <cell r="AE195" t="str">
            <v/>
          </cell>
          <cell r="AF195" t="str">
            <v>21:11,21:8</v>
          </cell>
          <cell r="AG195" t="str">
            <v>11:21,8:21</v>
          </cell>
          <cell r="AH195" t="str">
            <v/>
          </cell>
          <cell r="AI195">
            <v>21</v>
          </cell>
          <cell r="AJ195">
            <v>11</v>
          </cell>
          <cell r="AK195">
            <v>21</v>
          </cell>
          <cell r="AL195">
            <v>8</v>
          </cell>
          <cell r="AM195">
            <v>0</v>
          </cell>
          <cell r="AN195">
            <v>0</v>
          </cell>
        </row>
        <row r="196">
          <cell r="A196" t="str">
            <v/>
          </cell>
          <cell r="B196" t="str">
            <v>Jan LEWANDOWSKI (BKS Kolejarz Częstochowa)</v>
          </cell>
          <cell r="H196" t="str">
            <v>L4473</v>
          </cell>
          <cell r="K196" t="str">
            <v>S5541</v>
          </cell>
          <cell r="N196" t="str">
            <v>Kamil SOKOŁOWSKI (KS Masovia Płock)</v>
          </cell>
        </row>
        <row r="197">
          <cell r="A197" t="str">
            <v/>
          </cell>
          <cell r="B197" t="str">
            <v/>
          </cell>
          <cell r="H197" t="str">
            <v/>
          </cell>
          <cell r="K197" t="str">
            <v/>
          </cell>
          <cell r="N197" t="str">
            <v/>
          </cell>
        </row>
        <row r="199">
          <cell r="B199" t="str">
            <v>zwycięzca(cy): 21:11,21:8</v>
          </cell>
          <cell r="K199" t="str">
            <v/>
          </cell>
        </row>
        <row r="200">
          <cell r="B200">
            <v>1</v>
          </cell>
          <cell r="C200" t="str">
            <v>dzień turnieju.</v>
          </cell>
          <cell r="I200" t="str">
            <v>Nr meczu</v>
          </cell>
          <cell r="N200" t="str">
            <v>Godz.</v>
          </cell>
          <cell r="R200" t="str">
            <v>S. prow.</v>
          </cell>
          <cell r="AF200" t="str">
            <v>wygrany</v>
          </cell>
          <cell r="AG200" t="str">
            <v>przegrany</v>
          </cell>
        </row>
        <row r="201">
          <cell r="B201" t="str">
            <v>Boisko</v>
          </cell>
          <cell r="C201" t="str">
            <v>Gra</v>
          </cell>
          <cell r="I201">
            <v>29</v>
          </cell>
          <cell r="N201" t="str">
            <v>rozp.</v>
          </cell>
          <cell r="P201" t="str">
            <v>zak.</v>
          </cell>
          <cell r="R201" t="str">
            <v>S. serw.</v>
          </cell>
        </row>
        <row r="202">
          <cell r="A202">
            <v>29</v>
          </cell>
          <cell r="B202">
            <v>1</v>
          </cell>
          <cell r="C202" t="str">
            <v>pojedyncza chłopców M</v>
          </cell>
          <cell r="H202">
            <v>5</v>
          </cell>
          <cell r="I202">
            <v>21</v>
          </cell>
          <cell r="J202">
            <v>4</v>
          </cell>
          <cell r="K202">
            <v>21</v>
          </cell>
          <cell r="P202">
            <v>0.46875</v>
          </cell>
          <cell r="R202">
            <v>0.46875</v>
          </cell>
          <cell r="S202" t="str">
            <v>pt 11:10</v>
          </cell>
          <cell r="X202">
            <v>29</v>
          </cell>
          <cell r="Y202" t="str">
            <v>pojedyncza chłopców M</v>
          </cell>
          <cell r="Z202" t="str">
            <v>P4726</v>
          </cell>
          <cell r="AA202" t="str">
            <v/>
          </cell>
          <cell r="AB202" t="str">
            <v>W4701</v>
          </cell>
          <cell r="AC202" t="str">
            <v/>
          </cell>
          <cell r="AD202" t="str">
            <v>W4701</v>
          </cell>
          <cell r="AE202" t="str">
            <v/>
          </cell>
          <cell r="AF202" t="str">
            <v>21:5,21:4</v>
          </cell>
          <cell r="AG202" t="str">
            <v>5:21,4:21</v>
          </cell>
          <cell r="AH202" t="str">
            <v/>
          </cell>
          <cell r="AI202">
            <v>5</v>
          </cell>
          <cell r="AJ202">
            <v>21</v>
          </cell>
          <cell r="AK202">
            <v>4</v>
          </cell>
          <cell r="AL202">
            <v>21</v>
          </cell>
          <cell r="AM202">
            <v>0</v>
          </cell>
          <cell r="AN202">
            <v>0</v>
          </cell>
        </row>
        <row r="203">
          <cell r="A203" t="str">
            <v/>
          </cell>
          <cell r="B203" t="str">
            <v>Paweł POLAKOWSKI (UKS Hubal Białystok)</v>
          </cell>
          <cell r="H203" t="str">
            <v>P4726</v>
          </cell>
          <cell r="K203" t="str">
            <v>W4701</v>
          </cell>
          <cell r="N203" t="str">
            <v>Radosław WRÓBEL (KB Vol-Trick Kępno)</v>
          </cell>
        </row>
        <row r="204">
          <cell r="A204" t="str">
            <v/>
          </cell>
          <cell r="B204" t="str">
            <v/>
          </cell>
          <cell r="H204" t="str">
            <v/>
          </cell>
          <cell r="K204" t="str">
            <v/>
          </cell>
          <cell r="N204" t="str">
            <v/>
          </cell>
        </row>
        <row r="206">
          <cell r="B206" t="str">
            <v/>
          </cell>
          <cell r="K206" t="str">
            <v>zwycięzca(cy): 21:5,21:4</v>
          </cell>
        </row>
        <row r="207">
          <cell r="B207">
            <v>1</v>
          </cell>
          <cell r="C207" t="str">
            <v>dzień turnieju.</v>
          </cell>
          <cell r="I207" t="str">
            <v>Nr meczu</v>
          </cell>
          <cell r="N207" t="str">
            <v>Godz.</v>
          </cell>
          <cell r="R207" t="str">
            <v>S. prow.</v>
          </cell>
          <cell r="AF207" t="str">
            <v>wygrany</v>
          </cell>
          <cell r="AG207" t="str">
            <v>przegrany</v>
          </cell>
        </row>
        <row r="208">
          <cell r="B208" t="str">
            <v>Boisko</v>
          </cell>
          <cell r="C208" t="str">
            <v>Gra</v>
          </cell>
          <cell r="I208">
            <v>30</v>
          </cell>
          <cell r="N208" t="str">
            <v>rozp.</v>
          </cell>
          <cell r="P208" t="str">
            <v>zak.</v>
          </cell>
          <cell r="R208" t="str">
            <v>S. serw.</v>
          </cell>
        </row>
        <row r="209">
          <cell r="A209">
            <v>30</v>
          </cell>
          <cell r="B209">
            <v>1</v>
          </cell>
          <cell r="C209" t="str">
            <v>pojedyncza chłopców M</v>
          </cell>
          <cell r="H209">
            <v>21</v>
          </cell>
          <cell r="I209">
            <v>14</v>
          </cell>
          <cell r="J209">
            <v>21</v>
          </cell>
          <cell r="K209">
            <v>19</v>
          </cell>
          <cell r="P209">
            <v>0.47222222222222227</v>
          </cell>
          <cell r="R209">
            <v>0.47222222222222227</v>
          </cell>
          <cell r="S209" t="str">
            <v>pt 11:10</v>
          </cell>
          <cell r="X209">
            <v>30</v>
          </cell>
          <cell r="Y209" t="str">
            <v>pojedyncza chłopców M</v>
          </cell>
          <cell r="Z209" t="str">
            <v>K4283</v>
          </cell>
          <cell r="AA209" t="str">
            <v/>
          </cell>
          <cell r="AB209" t="str">
            <v>K4563</v>
          </cell>
          <cell r="AC209" t="str">
            <v/>
          </cell>
          <cell r="AD209" t="str">
            <v>K4283</v>
          </cell>
          <cell r="AE209" t="str">
            <v/>
          </cell>
          <cell r="AF209" t="str">
            <v>21:14,21:19</v>
          </cell>
          <cell r="AG209" t="str">
            <v>14:21,19:21</v>
          </cell>
          <cell r="AH209" t="str">
            <v/>
          </cell>
          <cell r="AI209">
            <v>21</v>
          </cell>
          <cell r="AJ209">
            <v>14</v>
          </cell>
          <cell r="AK209">
            <v>21</v>
          </cell>
          <cell r="AL209">
            <v>19</v>
          </cell>
          <cell r="AM209">
            <v>0</v>
          </cell>
          <cell r="AN209">
            <v>0</v>
          </cell>
        </row>
        <row r="210">
          <cell r="A210" t="str">
            <v/>
          </cell>
          <cell r="B210" t="str">
            <v>Filip KRUKOWSKI (SKB Suwałki)</v>
          </cell>
          <cell r="H210" t="str">
            <v>K4283</v>
          </cell>
          <cell r="K210" t="str">
            <v>K4563</v>
          </cell>
          <cell r="N210" t="str">
            <v>Kordian KOBYLNIK (LKS Technik Głubczyce)</v>
          </cell>
        </row>
        <row r="211">
          <cell r="A211" t="str">
            <v/>
          </cell>
          <cell r="B211" t="str">
            <v/>
          </cell>
          <cell r="H211" t="str">
            <v/>
          </cell>
          <cell r="K211" t="str">
            <v/>
          </cell>
          <cell r="N211" t="str">
            <v/>
          </cell>
        </row>
        <row r="213">
          <cell r="B213" t="str">
            <v>zwycięzca(cy): 21:14,21:19</v>
          </cell>
          <cell r="K213" t="str">
            <v/>
          </cell>
        </row>
        <row r="214">
          <cell r="B214">
            <v>1</v>
          </cell>
          <cell r="C214" t="str">
            <v>dzień turnieju.</v>
          </cell>
          <cell r="I214" t="str">
            <v>Nr meczu</v>
          </cell>
          <cell r="N214" t="str">
            <v>Godz.</v>
          </cell>
          <cell r="R214" t="str">
            <v>S. prow.</v>
          </cell>
          <cell r="AF214" t="str">
            <v>wygrany</v>
          </cell>
          <cell r="AG214" t="str">
            <v>przegrany</v>
          </cell>
        </row>
        <row r="215">
          <cell r="B215" t="str">
            <v>Boisko</v>
          </cell>
          <cell r="C215" t="str">
            <v>Gra</v>
          </cell>
          <cell r="I215">
            <v>31</v>
          </cell>
          <cell r="N215" t="str">
            <v>rozp.</v>
          </cell>
          <cell r="P215" t="str">
            <v>zak.</v>
          </cell>
          <cell r="R215" t="str">
            <v>S. serw.</v>
          </cell>
        </row>
        <row r="216">
          <cell r="A216">
            <v>31</v>
          </cell>
          <cell r="B216">
            <v>4</v>
          </cell>
          <cell r="C216" t="str">
            <v>pojedyncza chłopców M</v>
          </cell>
          <cell r="H216">
            <v>21</v>
          </cell>
          <cell r="I216">
            <v>10</v>
          </cell>
          <cell r="J216">
            <v>21</v>
          </cell>
          <cell r="K216">
            <v>13</v>
          </cell>
          <cell r="P216">
            <v>0.47013888888888888</v>
          </cell>
          <cell r="R216">
            <v>0.47013888888888888</v>
          </cell>
          <cell r="S216" t="str">
            <v>pt 11:10</v>
          </cell>
          <cell r="X216">
            <v>31</v>
          </cell>
          <cell r="Y216" t="str">
            <v>pojedyncza chłopców M</v>
          </cell>
          <cell r="Z216" t="str">
            <v>W4657</v>
          </cell>
          <cell r="AA216" t="str">
            <v/>
          </cell>
          <cell r="AB216" t="str">
            <v>M4170</v>
          </cell>
          <cell r="AC216" t="str">
            <v/>
          </cell>
          <cell r="AD216" t="str">
            <v>W4657</v>
          </cell>
          <cell r="AE216" t="str">
            <v/>
          </cell>
          <cell r="AF216" t="str">
            <v>21:10,21:13</v>
          </cell>
          <cell r="AG216" t="str">
            <v>10:21,13:21</v>
          </cell>
          <cell r="AH216" t="str">
            <v/>
          </cell>
          <cell r="AI216">
            <v>21</v>
          </cell>
          <cell r="AJ216">
            <v>10</v>
          </cell>
          <cell r="AK216">
            <v>21</v>
          </cell>
          <cell r="AL216">
            <v>13</v>
          </cell>
          <cell r="AM216">
            <v>0</v>
          </cell>
          <cell r="AN216">
            <v>0</v>
          </cell>
        </row>
        <row r="217">
          <cell r="A217" t="str">
            <v/>
          </cell>
          <cell r="B217" t="str">
            <v>Aleksander WYŻYKOWSKI (KS Hubertus Zalesie Górne)</v>
          </cell>
          <cell r="H217" t="str">
            <v>W4657</v>
          </cell>
          <cell r="K217" t="str">
            <v>M4170</v>
          </cell>
          <cell r="N217" t="str">
            <v>Kamil MICHAŁEK (UKS Orbitek Straszęcin)</v>
          </cell>
        </row>
        <row r="218">
          <cell r="A218" t="str">
            <v/>
          </cell>
          <cell r="B218" t="str">
            <v/>
          </cell>
          <cell r="H218" t="str">
            <v/>
          </cell>
          <cell r="K218" t="str">
            <v/>
          </cell>
          <cell r="N218" t="str">
            <v/>
          </cell>
        </row>
        <row r="220">
          <cell r="B220" t="str">
            <v>zwycięzca(cy): 21:10,21:13</v>
          </cell>
          <cell r="K220" t="str">
            <v/>
          </cell>
        </row>
        <row r="221">
          <cell r="B221">
            <v>1</v>
          </cell>
          <cell r="C221" t="str">
            <v>dzień turnieju.</v>
          </cell>
          <cell r="I221" t="str">
            <v>Nr meczu</v>
          </cell>
          <cell r="N221" t="str">
            <v>Godz.</v>
          </cell>
          <cell r="R221" t="str">
            <v>S. prow.</v>
          </cell>
          <cell r="AF221" t="str">
            <v>wygrany</v>
          </cell>
          <cell r="AG221" t="str">
            <v>przegrany</v>
          </cell>
        </row>
        <row r="222">
          <cell r="B222" t="str">
            <v>Boisko</v>
          </cell>
          <cell r="C222" t="str">
            <v>Gra</v>
          </cell>
          <cell r="I222">
            <v>32</v>
          </cell>
          <cell r="N222" t="str">
            <v>rozp.</v>
          </cell>
          <cell r="P222" t="str">
            <v>zak.</v>
          </cell>
          <cell r="R222" t="str">
            <v>S. serw.</v>
          </cell>
        </row>
        <row r="223">
          <cell r="A223">
            <v>32</v>
          </cell>
          <cell r="B223">
            <v>5</v>
          </cell>
          <cell r="C223" t="str">
            <v>pojedyncza chłopców M</v>
          </cell>
          <cell r="H223">
            <v>15</v>
          </cell>
          <cell r="I223">
            <v>21</v>
          </cell>
          <cell r="J223">
            <v>17</v>
          </cell>
          <cell r="K223">
            <v>21</v>
          </cell>
          <cell r="P223">
            <v>0.47569444444444442</v>
          </cell>
          <cell r="R223">
            <v>0.47569444444444442</v>
          </cell>
          <cell r="S223" t="str">
            <v>pt 11:10</v>
          </cell>
          <cell r="X223">
            <v>32</v>
          </cell>
          <cell r="Y223" t="str">
            <v>pojedyncza chłopców M</v>
          </cell>
          <cell r="Z223" t="str">
            <v>X04</v>
          </cell>
          <cell r="AA223" t="str">
            <v/>
          </cell>
          <cell r="AB223" t="str">
            <v>P4530</v>
          </cell>
          <cell r="AC223" t="str">
            <v/>
          </cell>
          <cell r="AD223" t="str">
            <v>P4530</v>
          </cell>
          <cell r="AE223" t="str">
            <v/>
          </cell>
          <cell r="AF223" t="str">
            <v>21:15,21:17</v>
          </cell>
          <cell r="AG223" t="str">
            <v>15:21,17:21</v>
          </cell>
          <cell r="AH223" t="str">
            <v/>
          </cell>
          <cell r="AI223">
            <v>15</v>
          </cell>
          <cell r="AJ223">
            <v>21</v>
          </cell>
          <cell r="AK223">
            <v>17</v>
          </cell>
          <cell r="AL223">
            <v>21</v>
          </cell>
          <cell r="AM223">
            <v>0</v>
          </cell>
          <cell r="AN223">
            <v>0</v>
          </cell>
        </row>
        <row r="224">
          <cell r="A224" t="str">
            <v/>
          </cell>
          <cell r="B224" t="str">
            <v>Mantes  MAULE (Litwa)</v>
          </cell>
          <cell r="H224" t="str">
            <v>X04</v>
          </cell>
          <cell r="K224" t="str">
            <v>P4530</v>
          </cell>
          <cell r="N224" t="str">
            <v>Krzysztof PŁOCH (UKS Start Widełka)</v>
          </cell>
        </row>
        <row r="225">
          <cell r="A225" t="str">
            <v/>
          </cell>
          <cell r="B225" t="str">
            <v/>
          </cell>
          <cell r="H225" t="str">
            <v/>
          </cell>
          <cell r="K225" t="str">
            <v/>
          </cell>
          <cell r="N225" t="str">
            <v/>
          </cell>
        </row>
        <row r="227">
          <cell r="B227" t="str">
            <v/>
          </cell>
          <cell r="K227" t="str">
            <v>zwycięzca(cy): 21:15,21:17</v>
          </cell>
        </row>
        <row r="228">
          <cell r="B228">
            <v>1</v>
          </cell>
          <cell r="C228" t="str">
            <v>dzień turnieju.</v>
          </cell>
          <cell r="I228" t="str">
            <v>Nr meczu</v>
          </cell>
          <cell r="N228" t="str">
            <v>Godz.</v>
          </cell>
          <cell r="R228" t="str">
            <v>S. prow.</v>
          </cell>
          <cell r="AF228" t="str">
            <v>wygrany</v>
          </cell>
          <cell r="AG228" t="str">
            <v>przegrany</v>
          </cell>
        </row>
        <row r="229">
          <cell r="B229" t="str">
            <v>Boisko</v>
          </cell>
          <cell r="C229" t="str">
            <v>Gra</v>
          </cell>
          <cell r="I229">
            <v>33</v>
          </cell>
          <cell r="N229" t="str">
            <v>rozp.</v>
          </cell>
          <cell r="P229" t="str">
            <v>zak.</v>
          </cell>
          <cell r="R229" t="str">
            <v>S. serw.</v>
          </cell>
        </row>
        <row r="230">
          <cell r="A230">
            <v>33</v>
          </cell>
          <cell r="B230">
            <v>1</v>
          </cell>
          <cell r="C230" t="str">
            <v>pojedyncza chłopców M</v>
          </cell>
          <cell r="H230">
            <v>11</v>
          </cell>
          <cell r="I230">
            <v>21</v>
          </cell>
          <cell r="J230">
            <v>10</v>
          </cell>
          <cell r="K230">
            <v>21</v>
          </cell>
          <cell r="P230">
            <v>0.47499999999999998</v>
          </cell>
          <cell r="R230">
            <v>0.47499999999999998</v>
          </cell>
          <cell r="S230" t="str">
            <v>pt 11:10</v>
          </cell>
          <cell r="X230">
            <v>33</v>
          </cell>
          <cell r="Y230" t="str">
            <v>pojedyncza chłopców M</v>
          </cell>
          <cell r="Z230" t="str">
            <v>M4817</v>
          </cell>
          <cell r="AA230" t="str">
            <v/>
          </cell>
          <cell r="AB230" t="str">
            <v>S4265</v>
          </cell>
          <cell r="AC230" t="str">
            <v/>
          </cell>
          <cell r="AD230" t="str">
            <v>S4265</v>
          </cell>
          <cell r="AE230" t="str">
            <v/>
          </cell>
          <cell r="AF230" t="str">
            <v>21:11,21:10</v>
          </cell>
          <cell r="AG230" t="str">
            <v>11:21,10:21</v>
          </cell>
          <cell r="AH230" t="str">
            <v/>
          </cell>
          <cell r="AI230">
            <v>11</v>
          </cell>
          <cell r="AJ230">
            <v>21</v>
          </cell>
          <cell r="AK230">
            <v>10</v>
          </cell>
          <cell r="AL230">
            <v>21</v>
          </cell>
          <cell r="AM230">
            <v>0</v>
          </cell>
          <cell r="AN230">
            <v>0</v>
          </cell>
        </row>
        <row r="231">
          <cell r="A231" t="str">
            <v/>
          </cell>
          <cell r="B231" t="str">
            <v>Arkadiusz MIECZKOWSKI (UKS Hubal Białystok)</v>
          </cell>
          <cell r="H231" t="str">
            <v>M4817</v>
          </cell>
          <cell r="K231" t="str">
            <v>S4265</v>
          </cell>
          <cell r="N231" t="str">
            <v>Łukasz STĘPNIEWSKI (MKB Lednik Miastko)</v>
          </cell>
        </row>
        <row r="232">
          <cell r="A232" t="str">
            <v/>
          </cell>
          <cell r="B232" t="str">
            <v/>
          </cell>
          <cell r="H232" t="str">
            <v/>
          </cell>
          <cell r="K232" t="str">
            <v/>
          </cell>
          <cell r="N232" t="str">
            <v/>
          </cell>
        </row>
        <row r="234">
          <cell r="B234" t="str">
            <v/>
          </cell>
          <cell r="K234" t="str">
            <v>zwycięzca(cy): 21:11,21:10</v>
          </cell>
        </row>
        <row r="235">
          <cell r="B235">
            <v>1</v>
          </cell>
          <cell r="C235" t="str">
            <v>dzień turnieju.</v>
          </cell>
          <cell r="I235" t="str">
            <v>Nr meczu</v>
          </cell>
          <cell r="N235" t="str">
            <v>Godz.</v>
          </cell>
          <cell r="R235" t="str">
            <v>S. prow.</v>
          </cell>
          <cell r="AF235" t="str">
            <v>wygrany</v>
          </cell>
          <cell r="AG235" t="str">
            <v>przegrany</v>
          </cell>
        </row>
        <row r="236">
          <cell r="B236" t="str">
            <v>Boisko</v>
          </cell>
          <cell r="C236" t="str">
            <v>Gra</v>
          </cell>
          <cell r="I236">
            <v>34</v>
          </cell>
          <cell r="N236" t="str">
            <v>rozp.</v>
          </cell>
          <cell r="P236" t="str">
            <v>zak.</v>
          </cell>
          <cell r="R236" t="str">
            <v>S. serw.</v>
          </cell>
        </row>
        <row r="237">
          <cell r="A237">
            <v>34</v>
          </cell>
          <cell r="B237">
            <v>2</v>
          </cell>
          <cell r="C237" t="str">
            <v>pojedyncza chłopców M</v>
          </cell>
          <cell r="H237">
            <v>12</v>
          </cell>
          <cell r="I237">
            <v>21</v>
          </cell>
          <cell r="J237">
            <v>8</v>
          </cell>
          <cell r="K237">
            <v>21</v>
          </cell>
          <cell r="P237">
            <v>0.4826388888888889</v>
          </cell>
          <cell r="R237">
            <v>0.4826388888888889</v>
          </cell>
          <cell r="S237" t="str">
            <v>pt 11:10</v>
          </cell>
          <cell r="X237">
            <v>34</v>
          </cell>
          <cell r="Y237" t="str">
            <v>pojedyncza chłopców M</v>
          </cell>
          <cell r="Z237" t="str">
            <v>S5947</v>
          </cell>
          <cell r="AA237" t="str">
            <v/>
          </cell>
          <cell r="AB237" t="str">
            <v>X15</v>
          </cell>
          <cell r="AC237" t="str">
            <v/>
          </cell>
          <cell r="AD237" t="str">
            <v>X15</v>
          </cell>
          <cell r="AE237" t="str">
            <v/>
          </cell>
          <cell r="AF237" t="str">
            <v>21:12,21:8</v>
          </cell>
          <cell r="AG237" t="str">
            <v>12:21,8:21</v>
          </cell>
          <cell r="AH237" t="str">
            <v/>
          </cell>
          <cell r="AI237">
            <v>12</v>
          </cell>
          <cell r="AJ237">
            <v>21</v>
          </cell>
          <cell r="AK237">
            <v>8</v>
          </cell>
          <cell r="AL237">
            <v>21</v>
          </cell>
          <cell r="AM237">
            <v>0</v>
          </cell>
          <cell r="AN237">
            <v>0</v>
          </cell>
        </row>
        <row r="238">
          <cell r="A238" t="str">
            <v/>
          </cell>
          <cell r="B238" t="str">
            <v>Mateusz SADOWSKI (UKSB Milenium Warszawa)</v>
          </cell>
          <cell r="H238" t="str">
            <v>S5947</v>
          </cell>
          <cell r="K238" t="str">
            <v>X15</v>
          </cell>
          <cell r="N238" t="str">
            <v>Ilya SHCHARBENKA (Mińsk Białoruś)</v>
          </cell>
        </row>
        <row r="239">
          <cell r="A239" t="str">
            <v/>
          </cell>
          <cell r="B239" t="str">
            <v/>
          </cell>
          <cell r="H239" t="str">
            <v/>
          </cell>
          <cell r="K239" t="str">
            <v/>
          </cell>
          <cell r="N239" t="str">
            <v/>
          </cell>
        </row>
        <row r="241">
          <cell r="B241" t="str">
            <v/>
          </cell>
          <cell r="K241" t="str">
            <v>zwycięzca(cy): 21:12,21:8</v>
          </cell>
        </row>
        <row r="242">
          <cell r="B242">
            <v>1</v>
          </cell>
          <cell r="C242" t="str">
            <v>dzień turnieju.</v>
          </cell>
          <cell r="I242" t="str">
            <v>Nr meczu</v>
          </cell>
          <cell r="N242" t="str">
            <v>Godz.</v>
          </cell>
          <cell r="R242" t="str">
            <v>S. prow.</v>
          </cell>
          <cell r="AF242" t="str">
            <v>wygrany</v>
          </cell>
          <cell r="AG242" t="str">
            <v>przegrany</v>
          </cell>
        </row>
        <row r="243">
          <cell r="B243" t="str">
            <v>Boisko</v>
          </cell>
          <cell r="C243" t="str">
            <v>Gra</v>
          </cell>
          <cell r="I243">
            <v>35</v>
          </cell>
          <cell r="N243" t="str">
            <v>rozp.</v>
          </cell>
          <cell r="P243" t="str">
            <v>zak.</v>
          </cell>
          <cell r="R243" t="str">
            <v>S. serw.</v>
          </cell>
        </row>
        <row r="244">
          <cell r="A244">
            <v>35</v>
          </cell>
          <cell r="B244">
            <v>6</v>
          </cell>
          <cell r="C244" t="str">
            <v>pojedyncza chłopców M</v>
          </cell>
          <cell r="H244">
            <v>21</v>
          </cell>
          <cell r="I244">
            <v>11</v>
          </cell>
          <cell r="J244">
            <v>21</v>
          </cell>
          <cell r="K244">
            <v>18</v>
          </cell>
          <cell r="P244">
            <v>0.4861111111111111</v>
          </cell>
          <cell r="R244">
            <v>0.4861111111111111</v>
          </cell>
          <cell r="S244" t="str">
            <v>pt 11:10</v>
          </cell>
          <cell r="X244">
            <v>35</v>
          </cell>
          <cell r="Y244" t="str">
            <v>pojedyncza chłopców M</v>
          </cell>
          <cell r="Z244" t="str">
            <v>L4716</v>
          </cell>
          <cell r="AA244" t="str">
            <v/>
          </cell>
          <cell r="AB244" t="str">
            <v>G4178</v>
          </cell>
          <cell r="AC244" t="str">
            <v/>
          </cell>
          <cell r="AD244" t="str">
            <v>L4716</v>
          </cell>
          <cell r="AE244" t="str">
            <v/>
          </cell>
          <cell r="AF244" t="str">
            <v>21:11,21:18</v>
          </cell>
          <cell r="AG244" t="str">
            <v>11:21,18:21</v>
          </cell>
          <cell r="AH244" t="str">
            <v/>
          </cell>
          <cell r="AI244">
            <v>21</v>
          </cell>
          <cell r="AJ244">
            <v>11</v>
          </cell>
          <cell r="AK244">
            <v>21</v>
          </cell>
          <cell r="AL244">
            <v>18</v>
          </cell>
          <cell r="AM244">
            <v>0</v>
          </cell>
          <cell r="AN244">
            <v>0</v>
          </cell>
        </row>
        <row r="245">
          <cell r="A245" t="str">
            <v/>
          </cell>
          <cell r="B245" t="str">
            <v>Rafał LEJKO (MKS Stal Nowa Dęba)</v>
          </cell>
          <cell r="H245" t="str">
            <v>L4716</v>
          </cell>
          <cell r="K245" t="str">
            <v>G4178</v>
          </cell>
          <cell r="N245" t="str">
            <v>Piotr GAJDA (KS Chojnik Jelenia Góra)</v>
          </cell>
        </row>
        <row r="246">
          <cell r="A246" t="str">
            <v/>
          </cell>
          <cell r="B246" t="str">
            <v/>
          </cell>
          <cell r="H246" t="str">
            <v/>
          </cell>
          <cell r="K246" t="str">
            <v/>
          </cell>
          <cell r="N246" t="str">
            <v/>
          </cell>
        </row>
        <row r="248">
          <cell r="B248" t="str">
            <v>zwycięzca(cy): 21:11,21:18</v>
          </cell>
          <cell r="K248" t="str">
            <v/>
          </cell>
        </row>
        <row r="249">
          <cell r="B249">
            <v>1</v>
          </cell>
          <cell r="C249" t="str">
            <v>dzień turnieju.</v>
          </cell>
          <cell r="I249" t="str">
            <v>Nr meczu</v>
          </cell>
          <cell r="N249" t="str">
            <v>Godz.</v>
          </cell>
          <cell r="R249" t="str">
            <v>S. prow.</v>
          </cell>
          <cell r="AF249" t="str">
            <v>wygrany</v>
          </cell>
          <cell r="AG249" t="str">
            <v>przegrany</v>
          </cell>
        </row>
        <row r="250">
          <cell r="B250" t="str">
            <v>Boisko</v>
          </cell>
          <cell r="C250" t="str">
            <v>Gra</v>
          </cell>
          <cell r="I250">
            <v>36</v>
          </cell>
          <cell r="N250" t="str">
            <v>rozp.</v>
          </cell>
          <cell r="P250" t="str">
            <v>zak.</v>
          </cell>
          <cell r="R250" t="str">
            <v>S. serw.</v>
          </cell>
        </row>
        <row r="251">
          <cell r="A251">
            <v>36</v>
          </cell>
          <cell r="B251">
            <v>4</v>
          </cell>
          <cell r="C251" t="str">
            <v>pojedyncza chłopców M</v>
          </cell>
          <cell r="H251">
            <v>21</v>
          </cell>
          <cell r="I251">
            <v>9</v>
          </cell>
          <cell r="J251">
            <v>21</v>
          </cell>
          <cell r="K251">
            <v>19</v>
          </cell>
          <cell r="P251">
            <v>0.48958333333333331</v>
          </cell>
          <cell r="R251">
            <v>0.48958333333333331</v>
          </cell>
          <cell r="S251" t="str">
            <v>pt 11:10</v>
          </cell>
          <cell r="X251">
            <v>36</v>
          </cell>
          <cell r="Y251" t="str">
            <v>pojedyncza chłopców M</v>
          </cell>
          <cell r="Z251" t="str">
            <v>G4577</v>
          </cell>
          <cell r="AA251" t="str">
            <v/>
          </cell>
          <cell r="AB251" t="str">
            <v>W4753</v>
          </cell>
          <cell r="AC251" t="str">
            <v/>
          </cell>
          <cell r="AD251" t="str">
            <v>G4577</v>
          </cell>
          <cell r="AE251" t="str">
            <v/>
          </cell>
          <cell r="AF251" t="str">
            <v>21:9,21:19</v>
          </cell>
          <cell r="AG251" t="str">
            <v>9:21,19:21</v>
          </cell>
          <cell r="AH251" t="str">
            <v/>
          </cell>
          <cell r="AI251">
            <v>21</v>
          </cell>
          <cell r="AJ251">
            <v>9</v>
          </cell>
          <cell r="AK251">
            <v>21</v>
          </cell>
          <cell r="AL251">
            <v>19</v>
          </cell>
          <cell r="AM251">
            <v>0</v>
          </cell>
          <cell r="AN251">
            <v>0</v>
          </cell>
        </row>
        <row r="252">
          <cell r="A252" t="str">
            <v/>
          </cell>
          <cell r="B252" t="str">
            <v>Jakub GIREŃ (MKS Strzelce Opolskie)</v>
          </cell>
          <cell r="H252" t="str">
            <v>G4577</v>
          </cell>
          <cell r="K252" t="str">
            <v>W4753</v>
          </cell>
          <cell r="N252" t="str">
            <v>Natan VOGT (MMKS Kędzierzyn-Koźle)</v>
          </cell>
        </row>
        <row r="253">
          <cell r="A253" t="str">
            <v/>
          </cell>
          <cell r="B253" t="str">
            <v/>
          </cell>
          <cell r="H253" t="str">
            <v/>
          </cell>
          <cell r="K253" t="str">
            <v/>
          </cell>
          <cell r="N253" t="str">
            <v/>
          </cell>
        </row>
        <row r="255">
          <cell r="B255" t="str">
            <v>zwycięzca(cy): 21:9,21:19</v>
          </cell>
          <cell r="K255" t="str">
            <v/>
          </cell>
        </row>
        <row r="256">
          <cell r="B256">
            <v>1</v>
          </cell>
          <cell r="C256" t="str">
            <v>dzień turnieju.</v>
          </cell>
          <cell r="I256" t="str">
            <v>Nr meczu</v>
          </cell>
          <cell r="N256" t="str">
            <v>Godz.</v>
          </cell>
          <cell r="R256" t="str">
            <v>S. prow.</v>
          </cell>
          <cell r="AF256" t="str">
            <v>wygrany</v>
          </cell>
          <cell r="AG256" t="str">
            <v>przegrany</v>
          </cell>
        </row>
        <row r="257">
          <cell r="B257" t="str">
            <v>Boisko</v>
          </cell>
          <cell r="C257" t="str">
            <v>Gra</v>
          </cell>
          <cell r="I257">
            <v>37</v>
          </cell>
          <cell r="N257" t="str">
            <v>rozp.</v>
          </cell>
          <cell r="P257" t="str">
            <v>zak.</v>
          </cell>
          <cell r="R257" t="str">
            <v>S. serw.</v>
          </cell>
        </row>
        <row r="258">
          <cell r="A258">
            <v>37</v>
          </cell>
          <cell r="B258">
            <v>3</v>
          </cell>
          <cell r="C258" t="str">
            <v>pojedyncza chłopców M</v>
          </cell>
          <cell r="H258">
            <v>13</v>
          </cell>
          <cell r="I258">
            <v>21</v>
          </cell>
          <cell r="J258">
            <v>21</v>
          </cell>
          <cell r="K258">
            <v>17</v>
          </cell>
          <cell r="L258">
            <v>21</v>
          </cell>
          <cell r="M258">
            <v>18</v>
          </cell>
          <cell r="P258">
            <v>0.49652777777777773</v>
          </cell>
          <cell r="R258">
            <v>0.49652777777777773</v>
          </cell>
          <cell r="S258" t="str">
            <v>pt 11:10</v>
          </cell>
          <cell r="X258">
            <v>37</v>
          </cell>
          <cell r="Y258" t="str">
            <v>pojedyncza chłopców M</v>
          </cell>
          <cell r="Z258" t="str">
            <v>J4722</v>
          </cell>
          <cell r="AA258" t="str">
            <v/>
          </cell>
          <cell r="AB258" t="str">
            <v>F4652</v>
          </cell>
          <cell r="AC258" t="str">
            <v/>
          </cell>
          <cell r="AD258" t="str">
            <v>J4722</v>
          </cell>
          <cell r="AE258" t="str">
            <v/>
          </cell>
          <cell r="AF258" t="str">
            <v>13:21,21:17,21:18</v>
          </cell>
          <cell r="AG258" t="str">
            <v>21:13,17:21,18:21</v>
          </cell>
          <cell r="AH258" t="str">
            <v/>
          </cell>
          <cell r="AI258">
            <v>13</v>
          </cell>
          <cell r="AJ258">
            <v>21</v>
          </cell>
          <cell r="AK258">
            <v>21</v>
          </cell>
          <cell r="AL258">
            <v>17</v>
          </cell>
          <cell r="AM258">
            <v>21</v>
          </cell>
          <cell r="AN258">
            <v>18</v>
          </cell>
        </row>
        <row r="259">
          <cell r="A259" t="str">
            <v/>
          </cell>
          <cell r="B259" t="str">
            <v>Mikołaj JÓŹWIAK (KS Hubertus Zalesie Górne)</v>
          </cell>
          <cell r="H259" t="str">
            <v>J4722</v>
          </cell>
          <cell r="K259" t="str">
            <v>F4652</v>
          </cell>
          <cell r="N259" t="str">
            <v>Kamil FRĄTCZAK (UKS Iskra Sarbice)</v>
          </cell>
        </row>
        <row r="260">
          <cell r="A260" t="str">
            <v/>
          </cell>
          <cell r="B260" t="str">
            <v/>
          </cell>
          <cell r="H260" t="str">
            <v/>
          </cell>
          <cell r="K260" t="str">
            <v/>
          </cell>
          <cell r="N260" t="str">
            <v/>
          </cell>
        </row>
        <row r="262">
          <cell r="B262" t="str">
            <v>zwycięzca(cy): 13:21,21:17,21:18</v>
          </cell>
          <cell r="K262" t="str">
            <v/>
          </cell>
        </row>
        <row r="263">
          <cell r="B263">
            <v>1</v>
          </cell>
          <cell r="C263" t="str">
            <v>dzień turnieju.</v>
          </cell>
          <cell r="I263" t="str">
            <v>Nr meczu</v>
          </cell>
          <cell r="N263" t="str">
            <v>Godz.</v>
          </cell>
          <cell r="R263" t="str">
            <v>S. prow.</v>
          </cell>
          <cell r="AF263" t="str">
            <v>wygrany</v>
          </cell>
          <cell r="AG263" t="str">
            <v>przegrany</v>
          </cell>
        </row>
        <row r="264">
          <cell r="B264" t="str">
            <v>Boisko</v>
          </cell>
          <cell r="C264" t="str">
            <v>Gra</v>
          </cell>
          <cell r="I264">
            <v>38</v>
          </cell>
          <cell r="N264" t="str">
            <v>rozp.</v>
          </cell>
          <cell r="P264" t="str">
            <v>zak.</v>
          </cell>
          <cell r="R264" t="str">
            <v>S. serw.</v>
          </cell>
        </row>
        <row r="265">
          <cell r="A265">
            <v>38</v>
          </cell>
          <cell r="B265">
            <v>1</v>
          </cell>
          <cell r="C265" t="str">
            <v>pojedyncza chłopców M</v>
          </cell>
          <cell r="H265">
            <v>8</v>
          </cell>
          <cell r="I265">
            <v>21</v>
          </cell>
          <cell r="J265">
            <v>14</v>
          </cell>
          <cell r="K265">
            <v>21</v>
          </cell>
          <cell r="P265">
            <v>0.49305555555555558</v>
          </cell>
          <cell r="R265">
            <v>0.49305555555555558</v>
          </cell>
          <cell r="S265" t="str">
            <v>pt 11:10</v>
          </cell>
          <cell r="X265">
            <v>38</v>
          </cell>
          <cell r="Y265" t="str">
            <v>pojedyncza chłopców M</v>
          </cell>
          <cell r="Z265" t="str">
            <v>M4689</v>
          </cell>
          <cell r="AA265" t="str">
            <v/>
          </cell>
          <cell r="AB265" t="str">
            <v>K4579</v>
          </cell>
          <cell r="AC265" t="str">
            <v/>
          </cell>
          <cell r="AD265" t="str">
            <v>K4579</v>
          </cell>
          <cell r="AE265" t="str">
            <v/>
          </cell>
          <cell r="AF265" t="str">
            <v>21:8,21:14</v>
          </cell>
          <cell r="AG265" t="str">
            <v>8:21,14:21</v>
          </cell>
          <cell r="AH265" t="str">
            <v/>
          </cell>
          <cell r="AI265">
            <v>8</v>
          </cell>
          <cell r="AJ265">
            <v>21</v>
          </cell>
          <cell r="AK265">
            <v>14</v>
          </cell>
          <cell r="AL265">
            <v>21</v>
          </cell>
          <cell r="AM265">
            <v>0</v>
          </cell>
          <cell r="AN265">
            <v>0</v>
          </cell>
        </row>
        <row r="266">
          <cell r="A266" t="str">
            <v/>
          </cell>
          <cell r="B266" t="str">
            <v>Maciej MAŁACHOWSKI (UKS Kometa Sianów)</v>
          </cell>
          <cell r="H266" t="str">
            <v>M4689</v>
          </cell>
          <cell r="K266" t="str">
            <v>K4579</v>
          </cell>
          <cell r="N266" t="str">
            <v>Miłosz KAIM (KS Masovia Płock)</v>
          </cell>
        </row>
        <row r="267">
          <cell r="A267" t="str">
            <v/>
          </cell>
          <cell r="B267" t="str">
            <v/>
          </cell>
          <cell r="H267" t="str">
            <v/>
          </cell>
          <cell r="K267" t="str">
            <v/>
          </cell>
          <cell r="N267" t="str">
            <v/>
          </cell>
        </row>
        <row r="269">
          <cell r="B269" t="str">
            <v/>
          </cell>
          <cell r="K269" t="str">
            <v>zwycięzca(cy): 21:8,21:14</v>
          </cell>
        </row>
        <row r="270">
          <cell r="B270">
            <v>1</v>
          </cell>
          <cell r="C270" t="str">
            <v>dzień turnieju.</v>
          </cell>
          <cell r="I270" t="str">
            <v>Nr meczu</v>
          </cell>
          <cell r="N270" t="str">
            <v>Godz.</v>
          </cell>
          <cell r="R270" t="str">
            <v>S. prow.</v>
          </cell>
          <cell r="AF270" t="str">
            <v>wygrany</v>
          </cell>
          <cell r="AG270" t="str">
            <v>przegrany</v>
          </cell>
        </row>
        <row r="271">
          <cell r="B271" t="str">
            <v>Boisko</v>
          </cell>
          <cell r="C271" t="str">
            <v>Gra</v>
          </cell>
          <cell r="I271">
            <v>39</v>
          </cell>
          <cell r="N271" t="str">
            <v>rozp.</v>
          </cell>
          <cell r="P271" t="str">
            <v>zak.</v>
          </cell>
          <cell r="R271" t="str">
            <v>S. serw.</v>
          </cell>
        </row>
        <row r="272">
          <cell r="A272">
            <v>39</v>
          </cell>
          <cell r="B272">
            <v>5</v>
          </cell>
          <cell r="C272" t="str">
            <v>pojedyncza chłopców M</v>
          </cell>
          <cell r="H272">
            <v>21</v>
          </cell>
          <cell r="I272">
            <v>17</v>
          </cell>
          <cell r="J272">
            <v>21</v>
          </cell>
          <cell r="K272">
            <v>13</v>
          </cell>
          <cell r="P272">
            <v>0.49305555555555558</v>
          </cell>
          <cell r="R272">
            <v>0.49305555555555558</v>
          </cell>
          <cell r="S272" t="str">
            <v>pt 11:10</v>
          </cell>
          <cell r="X272">
            <v>39</v>
          </cell>
          <cell r="Y272" t="str">
            <v>pojedyncza chłopców M</v>
          </cell>
          <cell r="Z272" t="str">
            <v>T3691</v>
          </cell>
          <cell r="AA272" t="str">
            <v/>
          </cell>
          <cell r="AB272" t="str">
            <v>X02</v>
          </cell>
          <cell r="AC272" t="str">
            <v/>
          </cell>
          <cell r="AD272" t="str">
            <v>T3691</v>
          </cell>
          <cell r="AE272" t="str">
            <v/>
          </cell>
          <cell r="AF272" t="str">
            <v>21:17,21:13</v>
          </cell>
          <cell r="AG272" t="str">
            <v>17:21,13:21</v>
          </cell>
          <cell r="AH272" t="str">
            <v/>
          </cell>
          <cell r="AI272">
            <v>21</v>
          </cell>
          <cell r="AJ272">
            <v>17</v>
          </cell>
          <cell r="AK272">
            <v>21</v>
          </cell>
          <cell r="AL272">
            <v>13</v>
          </cell>
          <cell r="AM272">
            <v>0</v>
          </cell>
          <cell r="AN272">
            <v>0</v>
          </cell>
        </row>
        <row r="273">
          <cell r="A273" t="str">
            <v/>
          </cell>
          <cell r="B273" t="str">
            <v>Jakub TEMBIKOWSKI (UKS Badminton Stare Babice)</v>
          </cell>
          <cell r="H273" t="str">
            <v>T3691</v>
          </cell>
          <cell r="K273" t="str">
            <v>X02</v>
          </cell>
          <cell r="N273" t="str">
            <v>Matas GELZINIS (Litwa)</v>
          </cell>
        </row>
        <row r="274">
          <cell r="A274" t="str">
            <v/>
          </cell>
          <cell r="B274" t="str">
            <v/>
          </cell>
          <cell r="H274" t="str">
            <v/>
          </cell>
          <cell r="K274" t="str">
            <v/>
          </cell>
          <cell r="N274" t="str">
            <v/>
          </cell>
        </row>
        <row r="276">
          <cell r="B276" t="str">
            <v>zwycięzca(cy): 21:17,21:13</v>
          </cell>
          <cell r="K276" t="str">
            <v/>
          </cell>
        </row>
        <row r="277">
          <cell r="B277">
            <v>1</v>
          </cell>
          <cell r="C277" t="str">
            <v>dzień turnieju.</v>
          </cell>
          <cell r="I277" t="str">
            <v>Nr meczu</v>
          </cell>
          <cell r="N277" t="str">
            <v>Godz.</v>
          </cell>
          <cell r="R277" t="str">
            <v>S. prow.</v>
          </cell>
          <cell r="AF277" t="str">
            <v>wygrany</v>
          </cell>
          <cell r="AG277" t="str">
            <v>przegrany</v>
          </cell>
        </row>
        <row r="278">
          <cell r="B278" t="str">
            <v>Boisko</v>
          </cell>
          <cell r="C278" t="str">
            <v>Gra</v>
          </cell>
          <cell r="I278">
            <v>40</v>
          </cell>
          <cell r="N278" t="str">
            <v>rozp.</v>
          </cell>
          <cell r="P278" t="str">
            <v>zak.</v>
          </cell>
          <cell r="R278" t="str">
            <v>S. serw.</v>
          </cell>
        </row>
        <row r="279">
          <cell r="A279">
            <v>40</v>
          </cell>
          <cell r="B279">
            <v>2</v>
          </cell>
          <cell r="C279" t="str">
            <v>pojedyncza chłopców M</v>
          </cell>
          <cell r="H279">
            <v>21</v>
          </cell>
          <cell r="I279">
            <v>6</v>
          </cell>
          <cell r="J279">
            <v>21</v>
          </cell>
          <cell r="K279">
            <v>5</v>
          </cell>
          <cell r="P279">
            <v>0.48958333333333331</v>
          </cell>
          <cell r="R279">
            <v>0.48958333333333331</v>
          </cell>
          <cell r="S279" t="str">
            <v>pt 11:10</v>
          </cell>
          <cell r="X279">
            <v>40</v>
          </cell>
          <cell r="Y279" t="str">
            <v>pojedyncza chłopców M</v>
          </cell>
          <cell r="Z279" t="str">
            <v>S5092</v>
          </cell>
          <cell r="AA279" t="str">
            <v/>
          </cell>
          <cell r="AB279" t="str">
            <v>W4651</v>
          </cell>
          <cell r="AC279" t="str">
            <v/>
          </cell>
          <cell r="AD279" t="str">
            <v>S5092</v>
          </cell>
          <cell r="AE279" t="str">
            <v/>
          </cell>
          <cell r="AF279" t="str">
            <v>21:6,21:5</v>
          </cell>
          <cell r="AG279" t="str">
            <v>6:21,5:21</v>
          </cell>
          <cell r="AH279" t="str">
            <v/>
          </cell>
          <cell r="AI279">
            <v>21</v>
          </cell>
          <cell r="AJ279">
            <v>6</v>
          </cell>
          <cell r="AK279">
            <v>21</v>
          </cell>
          <cell r="AL279">
            <v>5</v>
          </cell>
          <cell r="AM279">
            <v>0</v>
          </cell>
          <cell r="AN279">
            <v>0</v>
          </cell>
        </row>
        <row r="280">
          <cell r="A280" t="str">
            <v/>
          </cell>
          <cell r="B280" t="str">
            <v>Andrzej SAWICKI (UKS Hubal Białystok)</v>
          </cell>
          <cell r="H280" t="str">
            <v>S5092</v>
          </cell>
          <cell r="K280" t="str">
            <v>W4651</v>
          </cell>
          <cell r="N280" t="str">
            <v>Mateusz WUDARSKI (UKS Iskra Sarbice)</v>
          </cell>
        </row>
        <row r="281">
          <cell r="A281" t="str">
            <v/>
          </cell>
          <cell r="B281" t="str">
            <v/>
          </cell>
          <cell r="H281" t="str">
            <v/>
          </cell>
          <cell r="K281" t="str">
            <v/>
          </cell>
          <cell r="N281" t="str">
            <v/>
          </cell>
        </row>
        <row r="283">
          <cell r="B283" t="str">
            <v>zwycięzca(cy): 21:6,21:5</v>
          </cell>
          <cell r="K283" t="str">
            <v/>
          </cell>
        </row>
        <row r="284">
          <cell r="B284">
            <v>1</v>
          </cell>
          <cell r="C284" t="str">
            <v>dzień turnieju.</v>
          </cell>
          <cell r="I284" t="str">
            <v>Nr meczu</v>
          </cell>
          <cell r="N284" t="str">
            <v>Godz.</v>
          </cell>
          <cell r="R284" t="str">
            <v>S. prow.</v>
          </cell>
          <cell r="AF284" t="str">
            <v>wygrany</v>
          </cell>
          <cell r="AG284" t="str">
            <v>przegrany</v>
          </cell>
        </row>
        <row r="285">
          <cell r="B285" t="str">
            <v>Boisko</v>
          </cell>
          <cell r="C285" t="str">
            <v>Gra</v>
          </cell>
          <cell r="I285">
            <v>41</v>
          </cell>
          <cell r="N285" t="str">
            <v>rozp.</v>
          </cell>
          <cell r="P285" t="str">
            <v>zak.</v>
          </cell>
          <cell r="R285" t="str">
            <v>S. serw.</v>
          </cell>
        </row>
        <row r="286">
          <cell r="A286">
            <v>41</v>
          </cell>
          <cell r="B286">
            <v>4</v>
          </cell>
          <cell r="C286" t="str">
            <v>pojedyncza chłopców M</v>
          </cell>
          <cell r="H286">
            <v>21</v>
          </cell>
          <cell r="I286">
            <v>6</v>
          </cell>
          <cell r="J286">
            <v>21</v>
          </cell>
          <cell r="K286">
            <v>11</v>
          </cell>
          <cell r="P286">
            <v>0.50694444444444442</v>
          </cell>
          <cell r="R286">
            <v>0.50694444444444442</v>
          </cell>
          <cell r="S286" t="str">
            <v>pt 11:10</v>
          </cell>
          <cell r="X286">
            <v>41</v>
          </cell>
          <cell r="Y286" t="str">
            <v>pojedyncza chłopców M</v>
          </cell>
          <cell r="Z286" t="str">
            <v>S4287</v>
          </cell>
          <cell r="AA286" t="str">
            <v/>
          </cell>
          <cell r="AB286" t="str">
            <v>K4556</v>
          </cell>
          <cell r="AC286" t="str">
            <v/>
          </cell>
          <cell r="AD286" t="str">
            <v>S4287</v>
          </cell>
          <cell r="AE286" t="str">
            <v/>
          </cell>
          <cell r="AF286" t="str">
            <v>21:6,21:11</v>
          </cell>
          <cell r="AG286" t="str">
            <v>6:21,11:21</v>
          </cell>
          <cell r="AH286" t="str">
            <v/>
          </cell>
          <cell r="AI286">
            <v>21</v>
          </cell>
          <cell r="AJ286">
            <v>6</v>
          </cell>
          <cell r="AK286">
            <v>21</v>
          </cell>
          <cell r="AL286">
            <v>11</v>
          </cell>
          <cell r="AM286">
            <v>0</v>
          </cell>
          <cell r="AN286">
            <v>0</v>
          </cell>
        </row>
        <row r="287">
          <cell r="A287" t="str">
            <v/>
          </cell>
          <cell r="B287" t="str">
            <v>Michał SOBOLEWSKI (SKB Suwałki)</v>
          </cell>
          <cell r="H287" t="str">
            <v>S4287</v>
          </cell>
          <cell r="K287" t="str">
            <v>K4556</v>
          </cell>
          <cell r="N287" t="str">
            <v>Piotr KUKUŁA (UKS Orliki Ropica Polska)</v>
          </cell>
        </row>
        <row r="288">
          <cell r="A288" t="str">
            <v/>
          </cell>
          <cell r="B288" t="str">
            <v/>
          </cell>
          <cell r="H288" t="str">
            <v/>
          </cell>
          <cell r="K288" t="str">
            <v/>
          </cell>
          <cell r="N288" t="str">
            <v/>
          </cell>
        </row>
        <row r="290">
          <cell r="B290" t="str">
            <v>zwycięzca(cy): 21:6,21:11</v>
          </cell>
          <cell r="K290" t="str">
            <v/>
          </cell>
        </row>
        <row r="291">
          <cell r="B291">
            <v>1</v>
          </cell>
          <cell r="C291" t="str">
            <v>dzień turnieju.</v>
          </cell>
          <cell r="I291" t="str">
            <v>Nr meczu</v>
          </cell>
          <cell r="N291" t="str">
            <v>Godz.</v>
          </cell>
          <cell r="R291" t="str">
            <v>S. prow.</v>
          </cell>
          <cell r="AF291" t="str">
            <v>wygrany</v>
          </cell>
          <cell r="AG291" t="str">
            <v>przegrany</v>
          </cell>
        </row>
        <row r="292">
          <cell r="B292" t="str">
            <v>Boisko</v>
          </cell>
          <cell r="C292" t="str">
            <v>Gra</v>
          </cell>
          <cell r="I292">
            <v>42</v>
          </cell>
          <cell r="N292" t="str">
            <v>rozp.</v>
          </cell>
          <cell r="P292" t="str">
            <v>zak.</v>
          </cell>
          <cell r="R292" t="str">
            <v>S. serw.</v>
          </cell>
        </row>
        <row r="293">
          <cell r="A293">
            <v>42</v>
          </cell>
          <cell r="B293">
            <v>1</v>
          </cell>
          <cell r="C293" t="str">
            <v>pojedyncza chłopców M</v>
          </cell>
          <cell r="H293">
            <v>10</v>
          </cell>
          <cell r="I293">
            <v>21</v>
          </cell>
          <cell r="J293">
            <v>11</v>
          </cell>
          <cell r="K293">
            <v>21</v>
          </cell>
          <cell r="P293">
            <v>0.5083333333333333</v>
          </cell>
          <cell r="R293">
            <v>0.5083333333333333</v>
          </cell>
          <cell r="S293" t="str">
            <v>pt 11:10</v>
          </cell>
          <cell r="X293">
            <v>42</v>
          </cell>
          <cell r="Y293" t="str">
            <v>pojedyncza chłopców M</v>
          </cell>
          <cell r="Z293" t="str">
            <v>M5027</v>
          </cell>
          <cell r="AA293" t="str">
            <v/>
          </cell>
          <cell r="AB293" t="str">
            <v>E4320</v>
          </cell>
          <cell r="AC293" t="str">
            <v/>
          </cell>
          <cell r="AD293" t="str">
            <v>E4320</v>
          </cell>
          <cell r="AE293" t="str">
            <v/>
          </cell>
          <cell r="AF293" t="str">
            <v>21:10,21:11</v>
          </cell>
          <cell r="AG293" t="str">
            <v>10:21,11:21</v>
          </cell>
          <cell r="AH293" t="str">
            <v/>
          </cell>
          <cell r="AI293">
            <v>10</v>
          </cell>
          <cell r="AJ293">
            <v>21</v>
          </cell>
          <cell r="AK293">
            <v>11</v>
          </cell>
          <cell r="AL293">
            <v>21</v>
          </cell>
          <cell r="AM293">
            <v>0</v>
          </cell>
          <cell r="AN293">
            <v>0</v>
          </cell>
        </row>
        <row r="294">
          <cell r="A294" t="str">
            <v/>
          </cell>
          <cell r="B294" t="str">
            <v>Kamil MACIOŁEK (MKS Strzelce Opolskie)</v>
          </cell>
          <cell r="H294" t="str">
            <v>M5027</v>
          </cell>
          <cell r="K294" t="str">
            <v>E4320</v>
          </cell>
          <cell r="N294" t="str">
            <v>Franciszek EBERT (KS Hubertus Zalesie Górne)</v>
          </cell>
        </row>
        <row r="295">
          <cell r="A295" t="str">
            <v/>
          </cell>
          <cell r="B295" t="str">
            <v/>
          </cell>
          <cell r="H295" t="str">
            <v/>
          </cell>
          <cell r="K295" t="str">
            <v/>
          </cell>
          <cell r="N295" t="str">
            <v/>
          </cell>
        </row>
        <row r="297">
          <cell r="B297" t="str">
            <v/>
          </cell>
          <cell r="K297" t="str">
            <v>zwycięzca(cy): 21:10,21:11</v>
          </cell>
        </row>
        <row r="298">
          <cell r="B298">
            <v>1</v>
          </cell>
          <cell r="C298" t="str">
            <v>dzień turnieju.</v>
          </cell>
          <cell r="I298" t="str">
            <v>Nr meczu</v>
          </cell>
          <cell r="N298" t="str">
            <v>Godz.</v>
          </cell>
          <cell r="R298" t="str">
            <v>S. prow.</v>
          </cell>
          <cell r="AF298" t="str">
            <v>wygrany</v>
          </cell>
          <cell r="AG298" t="str">
            <v>przegrany</v>
          </cell>
        </row>
        <row r="299">
          <cell r="B299" t="str">
            <v>Boisko</v>
          </cell>
          <cell r="C299" t="str">
            <v>Gra</v>
          </cell>
          <cell r="I299">
            <v>43</v>
          </cell>
          <cell r="N299" t="str">
            <v>rozp.</v>
          </cell>
          <cell r="P299" t="str">
            <v>zak.</v>
          </cell>
          <cell r="R299" t="str">
            <v>S. serw.</v>
          </cell>
        </row>
        <row r="300">
          <cell r="A300">
            <v>43</v>
          </cell>
          <cell r="B300">
            <v>6</v>
          </cell>
          <cell r="C300" t="str">
            <v>pojedyncza chłopców M</v>
          </cell>
          <cell r="H300">
            <v>6</v>
          </cell>
          <cell r="I300">
            <v>21</v>
          </cell>
          <cell r="J300">
            <v>19</v>
          </cell>
          <cell r="K300">
            <v>21</v>
          </cell>
          <cell r="P300">
            <v>0.5083333333333333</v>
          </cell>
          <cell r="R300">
            <v>0.5083333333333333</v>
          </cell>
          <cell r="S300" t="str">
            <v>pt 11:10</v>
          </cell>
          <cell r="X300">
            <v>43</v>
          </cell>
          <cell r="Y300" t="str">
            <v>pojedyncza chłopców M</v>
          </cell>
          <cell r="Z300" t="str">
            <v>B5525</v>
          </cell>
          <cell r="AA300" t="str">
            <v/>
          </cell>
          <cell r="AB300" t="str">
            <v>M4588</v>
          </cell>
          <cell r="AC300" t="str">
            <v/>
          </cell>
          <cell r="AD300" t="str">
            <v>M4588</v>
          </cell>
          <cell r="AE300" t="str">
            <v/>
          </cell>
          <cell r="AF300" t="str">
            <v>21:6,21:19</v>
          </cell>
          <cell r="AG300" t="str">
            <v>6:21,19:21</v>
          </cell>
          <cell r="AH300" t="str">
            <v/>
          </cell>
          <cell r="AI300">
            <v>6</v>
          </cell>
          <cell r="AJ300">
            <v>21</v>
          </cell>
          <cell r="AK300">
            <v>19</v>
          </cell>
          <cell r="AL300">
            <v>21</v>
          </cell>
          <cell r="AM300">
            <v>0</v>
          </cell>
          <cell r="AN300">
            <v>0</v>
          </cell>
        </row>
        <row r="301">
          <cell r="A301" t="str">
            <v/>
          </cell>
          <cell r="B301" t="str">
            <v>Michał BARAŃSKI (SKB Suwałki)</v>
          </cell>
          <cell r="H301" t="str">
            <v>B5525</v>
          </cell>
          <cell r="K301" t="str">
            <v>M4588</v>
          </cell>
          <cell r="N301" t="str">
            <v>Jakub MINARTOWICZ (LKS Technik Głubczyce)</v>
          </cell>
        </row>
        <row r="302">
          <cell r="A302" t="str">
            <v/>
          </cell>
          <cell r="B302" t="str">
            <v/>
          </cell>
          <cell r="H302" t="str">
            <v/>
          </cell>
          <cell r="K302" t="str">
            <v/>
          </cell>
          <cell r="N302" t="str">
            <v/>
          </cell>
        </row>
        <row r="304">
          <cell r="B304" t="str">
            <v/>
          </cell>
          <cell r="K304" t="str">
            <v>zwycięzca(cy): 21:6,21:19</v>
          </cell>
        </row>
        <row r="305">
          <cell r="B305">
            <v>1</v>
          </cell>
          <cell r="C305" t="str">
            <v>dzień turnieju.</v>
          </cell>
          <cell r="I305" t="str">
            <v>Nr meczu</v>
          </cell>
          <cell r="N305" t="str">
            <v>Godz.</v>
          </cell>
          <cell r="R305" t="str">
            <v>S. prow.</v>
          </cell>
          <cell r="AF305" t="str">
            <v>wygrany</v>
          </cell>
          <cell r="AG305" t="str">
            <v>przegrany</v>
          </cell>
        </row>
        <row r="306">
          <cell r="B306" t="str">
            <v>Boisko</v>
          </cell>
          <cell r="C306" t="str">
            <v>Gra</v>
          </cell>
          <cell r="I306">
            <v>44</v>
          </cell>
          <cell r="N306" t="str">
            <v>rozp.</v>
          </cell>
          <cell r="P306" t="str">
            <v>zak.</v>
          </cell>
          <cell r="R306" t="str">
            <v>S. serw.</v>
          </cell>
        </row>
        <row r="307">
          <cell r="A307">
            <v>44</v>
          </cell>
          <cell r="B307">
            <v>2</v>
          </cell>
          <cell r="C307" t="str">
            <v>pojedyncza chłopców M</v>
          </cell>
          <cell r="H307">
            <v>21</v>
          </cell>
          <cell r="I307">
            <v>14</v>
          </cell>
          <cell r="J307">
            <v>21</v>
          </cell>
          <cell r="K307">
            <v>7</v>
          </cell>
          <cell r="P307">
            <v>0.50694444444444442</v>
          </cell>
          <cell r="R307">
            <v>0.50694444444444442</v>
          </cell>
          <cell r="S307" t="str">
            <v>pt 11:10</v>
          </cell>
          <cell r="X307">
            <v>44</v>
          </cell>
          <cell r="Y307" t="str">
            <v>pojedyncza chłopców M</v>
          </cell>
          <cell r="Z307" t="str">
            <v>K4613</v>
          </cell>
          <cell r="AA307" t="str">
            <v/>
          </cell>
          <cell r="AB307" t="str">
            <v>T3692</v>
          </cell>
          <cell r="AC307" t="str">
            <v/>
          </cell>
          <cell r="AD307" t="str">
            <v>K4613</v>
          </cell>
          <cell r="AE307" t="str">
            <v/>
          </cell>
          <cell r="AF307" t="str">
            <v>21:14,21:7</v>
          </cell>
          <cell r="AG307" t="str">
            <v>14:21,7:21</v>
          </cell>
          <cell r="AH307" t="str">
            <v/>
          </cell>
          <cell r="AI307">
            <v>21</v>
          </cell>
          <cell r="AJ307">
            <v>14</v>
          </cell>
          <cell r="AK307">
            <v>21</v>
          </cell>
          <cell r="AL307">
            <v>7</v>
          </cell>
          <cell r="AM307">
            <v>0</v>
          </cell>
          <cell r="AN307">
            <v>0</v>
          </cell>
        </row>
        <row r="308">
          <cell r="A308" t="str">
            <v/>
          </cell>
          <cell r="B308" t="str">
            <v>Jakub KUFEL (UKS Orbitek Straszęcin)</v>
          </cell>
          <cell r="H308" t="str">
            <v>K4613</v>
          </cell>
          <cell r="K308" t="str">
            <v>T3692</v>
          </cell>
          <cell r="N308" t="str">
            <v>Kacper TROCHIM (UKS Hubal Białystok)</v>
          </cell>
        </row>
        <row r="309">
          <cell r="A309" t="str">
            <v/>
          </cell>
          <cell r="B309" t="str">
            <v/>
          </cell>
          <cell r="H309" t="str">
            <v/>
          </cell>
          <cell r="K309" t="str">
            <v/>
          </cell>
          <cell r="N309" t="str">
            <v/>
          </cell>
        </row>
        <row r="311">
          <cell r="B311" t="str">
            <v>zwycięzca(cy): 21:14,21:7</v>
          </cell>
          <cell r="K311" t="str">
            <v/>
          </cell>
        </row>
        <row r="312">
          <cell r="B312">
            <v>1</v>
          </cell>
          <cell r="C312" t="str">
            <v>dzień turnieju.</v>
          </cell>
          <cell r="I312" t="str">
            <v>Nr meczu</v>
          </cell>
          <cell r="N312" t="str">
            <v>Godz.</v>
          </cell>
          <cell r="R312" t="str">
            <v>S. prow.</v>
          </cell>
          <cell r="AF312" t="str">
            <v>wygrany</v>
          </cell>
          <cell r="AG312" t="str">
            <v>przegrany</v>
          </cell>
        </row>
        <row r="313">
          <cell r="B313" t="str">
            <v>Boisko</v>
          </cell>
          <cell r="C313" t="str">
            <v>Gra</v>
          </cell>
          <cell r="I313">
            <v>45</v>
          </cell>
          <cell r="N313" t="str">
            <v>rozp.</v>
          </cell>
          <cell r="P313" t="str">
            <v>zak.</v>
          </cell>
          <cell r="R313" t="str">
            <v>S. serw.</v>
          </cell>
        </row>
        <row r="314">
          <cell r="A314">
            <v>45</v>
          </cell>
          <cell r="B314">
            <v>6</v>
          </cell>
          <cell r="C314" t="str">
            <v>pojedyncza chłopców M</v>
          </cell>
          <cell r="H314">
            <v>21</v>
          </cell>
          <cell r="I314">
            <v>16</v>
          </cell>
          <cell r="J314">
            <v>18</v>
          </cell>
          <cell r="K314">
            <v>21</v>
          </cell>
          <cell r="L314">
            <v>16</v>
          </cell>
          <cell r="M314">
            <v>21</v>
          </cell>
          <cell r="P314">
            <v>0.53125</v>
          </cell>
          <cell r="R314">
            <v>0.53125</v>
          </cell>
          <cell r="S314" t="str">
            <v>pt 11:10</v>
          </cell>
          <cell r="X314">
            <v>45</v>
          </cell>
          <cell r="Y314" t="str">
            <v>pojedyncza chłopców M</v>
          </cell>
          <cell r="Z314" t="str">
            <v>K4432</v>
          </cell>
          <cell r="AA314" t="str">
            <v/>
          </cell>
          <cell r="AB314" t="str">
            <v>M3747</v>
          </cell>
          <cell r="AC314" t="str">
            <v/>
          </cell>
          <cell r="AD314" t="str">
            <v>M3747</v>
          </cell>
          <cell r="AE314" t="str">
            <v/>
          </cell>
          <cell r="AF314" t="str">
            <v>16:21,21:18,21:16</v>
          </cell>
          <cell r="AG314" t="str">
            <v>21:16,18:21,16:21</v>
          </cell>
          <cell r="AH314" t="str">
            <v/>
          </cell>
          <cell r="AI314">
            <v>21</v>
          </cell>
          <cell r="AJ314">
            <v>16</v>
          </cell>
          <cell r="AK314">
            <v>18</v>
          </cell>
          <cell r="AL314">
            <v>21</v>
          </cell>
          <cell r="AM314">
            <v>16</v>
          </cell>
          <cell r="AN314">
            <v>21</v>
          </cell>
        </row>
        <row r="315">
          <cell r="A315" t="str">
            <v/>
          </cell>
          <cell r="B315" t="str">
            <v>Daniel KNAP (UKS Aktywna Piątka Przemyśl)</v>
          </cell>
          <cell r="H315" t="str">
            <v>K4432</v>
          </cell>
          <cell r="K315" t="str">
            <v>M3747</v>
          </cell>
          <cell r="N315" t="str">
            <v>Michał MATYSIAK (KS Hubertus Zalesie Górne)</v>
          </cell>
        </row>
        <row r="316">
          <cell r="A316" t="str">
            <v/>
          </cell>
          <cell r="B316" t="str">
            <v/>
          </cell>
          <cell r="H316" t="str">
            <v/>
          </cell>
          <cell r="K316" t="str">
            <v/>
          </cell>
          <cell r="N316" t="str">
            <v/>
          </cell>
        </row>
        <row r="318">
          <cell r="B318" t="str">
            <v/>
          </cell>
          <cell r="K318" t="str">
            <v>zwycięzca(cy): 16:21,21:18,21:16</v>
          </cell>
        </row>
        <row r="319">
          <cell r="B319">
            <v>1</v>
          </cell>
          <cell r="C319" t="str">
            <v>dzień turnieju.</v>
          </cell>
          <cell r="I319" t="str">
            <v>Nr meczu</v>
          </cell>
          <cell r="N319" t="str">
            <v>Godz.</v>
          </cell>
          <cell r="R319" t="str">
            <v>S. prow.</v>
          </cell>
          <cell r="AF319" t="str">
            <v>wygrany</v>
          </cell>
          <cell r="AG319" t="str">
            <v>przegrany</v>
          </cell>
        </row>
        <row r="320">
          <cell r="B320" t="str">
            <v>Boisko</v>
          </cell>
          <cell r="C320" t="str">
            <v>Gra</v>
          </cell>
          <cell r="I320">
            <v>46</v>
          </cell>
          <cell r="N320" t="str">
            <v>rozp.</v>
          </cell>
          <cell r="P320" t="str">
            <v>zak.</v>
          </cell>
          <cell r="R320" t="str">
            <v>S. serw.</v>
          </cell>
        </row>
        <row r="321">
          <cell r="A321">
            <v>46</v>
          </cell>
          <cell r="B321">
            <v>4</v>
          </cell>
          <cell r="C321" t="str">
            <v>pojedyncza chłopców M</v>
          </cell>
          <cell r="H321">
            <v>19</v>
          </cell>
          <cell r="I321">
            <v>21</v>
          </cell>
          <cell r="J321">
            <v>15</v>
          </cell>
          <cell r="K321">
            <v>21</v>
          </cell>
          <cell r="P321">
            <v>0.52013888888888882</v>
          </cell>
          <cell r="R321">
            <v>0.52013888888888882</v>
          </cell>
          <cell r="S321" t="str">
            <v>pt 11:10</v>
          </cell>
          <cell r="X321">
            <v>46</v>
          </cell>
          <cell r="Y321" t="str">
            <v>pojedyncza chłopców M</v>
          </cell>
          <cell r="Z321" t="str">
            <v>S5036</v>
          </cell>
          <cell r="AA321" t="str">
            <v/>
          </cell>
          <cell r="AB321" t="str">
            <v>G4559</v>
          </cell>
          <cell r="AC321" t="str">
            <v/>
          </cell>
          <cell r="AD321" t="str">
            <v>G4559</v>
          </cell>
          <cell r="AE321" t="str">
            <v/>
          </cell>
          <cell r="AF321" t="str">
            <v>21:19,21:15</v>
          </cell>
          <cell r="AG321" t="str">
            <v>19:21,15:21</v>
          </cell>
          <cell r="AH321" t="str">
            <v/>
          </cell>
          <cell r="AI321">
            <v>19</v>
          </cell>
          <cell r="AJ321">
            <v>21</v>
          </cell>
          <cell r="AK321">
            <v>15</v>
          </cell>
          <cell r="AL321">
            <v>21</v>
          </cell>
          <cell r="AM321">
            <v>0</v>
          </cell>
          <cell r="AN321">
            <v>0</v>
          </cell>
        </row>
        <row r="322">
          <cell r="A322" t="str">
            <v/>
          </cell>
          <cell r="B322" t="str">
            <v>Wojciech SAJDOK (UKS Unia Bieruń)</v>
          </cell>
          <cell r="H322" t="str">
            <v>S5036</v>
          </cell>
          <cell r="K322" t="str">
            <v>G4559</v>
          </cell>
          <cell r="N322" t="str">
            <v>Maciej GOMOŁA (KS Masovia Płock)</v>
          </cell>
        </row>
        <row r="323">
          <cell r="A323" t="str">
            <v/>
          </cell>
          <cell r="B323" t="str">
            <v/>
          </cell>
          <cell r="H323" t="str">
            <v/>
          </cell>
          <cell r="K323" t="str">
            <v/>
          </cell>
          <cell r="N323" t="str">
            <v/>
          </cell>
        </row>
        <row r="325">
          <cell r="B325" t="str">
            <v/>
          </cell>
          <cell r="K325" t="str">
            <v>zwycięzca(cy): 21:19,21:15</v>
          </cell>
        </row>
        <row r="326">
          <cell r="B326">
            <v>1</v>
          </cell>
          <cell r="C326" t="str">
            <v>dzień turnieju.</v>
          </cell>
          <cell r="I326" t="str">
            <v>Nr meczu</v>
          </cell>
          <cell r="N326" t="str">
            <v>Godz.</v>
          </cell>
          <cell r="R326" t="str">
            <v>S. prow.</v>
          </cell>
          <cell r="AF326" t="str">
            <v>wygrany</v>
          </cell>
          <cell r="AG326" t="str">
            <v>przegrany</v>
          </cell>
        </row>
        <row r="327">
          <cell r="B327" t="str">
            <v>Boisko</v>
          </cell>
          <cell r="C327" t="str">
            <v>Gra</v>
          </cell>
          <cell r="I327">
            <v>47</v>
          </cell>
          <cell r="N327" t="str">
            <v>rozp.</v>
          </cell>
          <cell r="P327" t="str">
            <v>zak.</v>
          </cell>
          <cell r="R327" t="str">
            <v>S. serw.</v>
          </cell>
        </row>
        <row r="328">
          <cell r="A328">
            <v>47</v>
          </cell>
          <cell r="B328">
            <v>2</v>
          </cell>
          <cell r="C328" t="str">
            <v>pojedyncza chłopców M</v>
          </cell>
          <cell r="H328">
            <v>21</v>
          </cell>
          <cell r="I328">
            <v>16</v>
          </cell>
          <cell r="J328">
            <v>19</v>
          </cell>
          <cell r="K328">
            <v>21</v>
          </cell>
          <cell r="L328">
            <v>22</v>
          </cell>
          <cell r="M328">
            <v>20</v>
          </cell>
          <cell r="P328">
            <v>0.53402777777777777</v>
          </cell>
          <cell r="R328">
            <v>0.53402777777777777</v>
          </cell>
          <cell r="S328" t="str">
            <v>pt 11:10</v>
          </cell>
          <cell r="X328">
            <v>47</v>
          </cell>
          <cell r="Y328" t="str">
            <v>pojedyncza chłopców M</v>
          </cell>
          <cell r="Z328" t="str">
            <v>X23</v>
          </cell>
          <cell r="AA328" t="str">
            <v/>
          </cell>
          <cell r="AB328" t="str">
            <v>K4676</v>
          </cell>
          <cell r="AC328" t="str">
            <v/>
          </cell>
          <cell r="AD328" t="str">
            <v>X23</v>
          </cell>
          <cell r="AE328" t="str">
            <v/>
          </cell>
          <cell r="AF328" t="str">
            <v>21:16,19:21,22:20</v>
          </cell>
          <cell r="AG328" t="str">
            <v>16:21,21:19,20:22</v>
          </cell>
          <cell r="AH328" t="str">
            <v/>
          </cell>
          <cell r="AI328">
            <v>21</v>
          </cell>
          <cell r="AJ328">
            <v>16</v>
          </cell>
          <cell r="AK328">
            <v>19</v>
          </cell>
          <cell r="AL328">
            <v>21</v>
          </cell>
          <cell r="AM328">
            <v>22</v>
          </cell>
          <cell r="AN328">
            <v>20</v>
          </cell>
        </row>
        <row r="329">
          <cell r="A329" t="str">
            <v/>
          </cell>
          <cell r="B329" t="str">
            <v>Bogdan BRYCHUK (Vinnica Ukraina)</v>
          </cell>
          <cell r="H329" t="str">
            <v>X23</v>
          </cell>
          <cell r="K329" t="str">
            <v>K4676</v>
          </cell>
          <cell r="N329" t="str">
            <v>Damian KASPERSKI (UKS Kiko Zamość)</v>
          </cell>
        </row>
        <row r="330">
          <cell r="A330" t="str">
            <v/>
          </cell>
          <cell r="B330" t="str">
            <v/>
          </cell>
          <cell r="H330" t="str">
            <v/>
          </cell>
          <cell r="K330" t="str">
            <v/>
          </cell>
          <cell r="N330" t="str">
            <v/>
          </cell>
        </row>
        <row r="332">
          <cell r="B332" t="str">
            <v>zwycięzca(cy): 21:16,19:21,22:20</v>
          </cell>
          <cell r="K332" t="str">
            <v/>
          </cell>
        </row>
        <row r="333">
          <cell r="B333">
            <v>1</v>
          </cell>
          <cell r="C333" t="str">
            <v>dzień turnieju.</v>
          </cell>
          <cell r="I333" t="str">
            <v>Nr meczu</v>
          </cell>
          <cell r="N333" t="str">
            <v>Godz.</v>
          </cell>
          <cell r="R333" t="str">
            <v>S. prow.</v>
          </cell>
          <cell r="AF333" t="str">
            <v>wygrany</v>
          </cell>
          <cell r="AG333" t="str">
            <v>przegrany</v>
          </cell>
        </row>
        <row r="334">
          <cell r="B334" t="str">
            <v>Boisko</v>
          </cell>
          <cell r="C334" t="str">
            <v>Gra</v>
          </cell>
          <cell r="I334">
            <v>48</v>
          </cell>
          <cell r="N334" t="str">
            <v>rozp.</v>
          </cell>
          <cell r="P334" t="str">
            <v>zak.</v>
          </cell>
          <cell r="R334" t="str">
            <v>S. serw.</v>
          </cell>
        </row>
        <row r="335">
          <cell r="A335">
            <v>48</v>
          </cell>
          <cell r="B335">
            <v>3</v>
          </cell>
          <cell r="C335" t="str">
            <v>mieszana M</v>
          </cell>
          <cell r="H335">
            <v>21</v>
          </cell>
          <cell r="I335">
            <v>6</v>
          </cell>
          <cell r="J335">
            <v>21</v>
          </cell>
          <cell r="K335">
            <v>11</v>
          </cell>
          <cell r="P335">
            <v>0.52430555555555558</v>
          </cell>
          <cell r="R335">
            <v>0.52430555555555558</v>
          </cell>
          <cell r="S335" t="str">
            <v>pt 12:10</v>
          </cell>
          <cell r="X335">
            <v>48</v>
          </cell>
          <cell r="Y335" t="str">
            <v>mieszana M</v>
          </cell>
          <cell r="Z335" t="str">
            <v>W4701</v>
          </cell>
          <cell r="AA335" t="str">
            <v>F3777</v>
          </cell>
          <cell r="AB335" t="str">
            <v>Ś5003</v>
          </cell>
          <cell r="AC335" t="str">
            <v>K5206</v>
          </cell>
          <cell r="AD335" t="str">
            <v>W4701</v>
          </cell>
          <cell r="AE335" t="str">
            <v>F3777</v>
          </cell>
          <cell r="AF335" t="str">
            <v>21:6,21:11</v>
          </cell>
          <cell r="AG335" t="str">
            <v>6:21,11:21</v>
          </cell>
          <cell r="AH335" t="str">
            <v/>
          </cell>
          <cell r="AI335">
            <v>21</v>
          </cell>
          <cell r="AJ335">
            <v>6</v>
          </cell>
          <cell r="AK335">
            <v>21</v>
          </cell>
          <cell r="AL335">
            <v>11</v>
          </cell>
          <cell r="AM335">
            <v>0</v>
          </cell>
          <cell r="AN335">
            <v>0</v>
          </cell>
        </row>
        <row r="336">
          <cell r="A336" t="str">
            <v/>
          </cell>
          <cell r="B336" t="str">
            <v>Radosław WRÓBEL (KB Vol-Trick Kępno)</v>
          </cell>
          <cell r="H336" t="str">
            <v>W4701</v>
          </cell>
          <cell r="K336" t="str">
            <v>Ś5003</v>
          </cell>
          <cell r="N336" t="str">
            <v>Norbert ŚWIERK (UKS Aktywna Piątka Przemyśl)</v>
          </cell>
        </row>
        <row r="337">
          <cell r="A337" t="str">
            <v/>
          </cell>
          <cell r="B337" t="str">
            <v>Aleksandra FELSKA (UKS Orkan Przeźmierowo)</v>
          </cell>
          <cell r="H337" t="str">
            <v>F3777</v>
          </cell>
          <cell r="K337" t="str">
            <v>K5206</v>
          </cell>
          <cell r="N337" t="str">
            <v>Klaudia KORDEK (UKS Jagiellonka Medyka)</v>
          </cell>
        </row>
        <row r="339">
          <cell r="B339" t="str">
            <v>zwycięzca(cy): 21:6,21:11</v>
          </cell>
          <cell r="K339" t="str">
            <v/>
          </cell>
        </row>
        <row r="340">
          <cell r="B340">
            <v>1</v>
          </cell>
          <cell r="C340" t="str">
            <v>dzień turnieju.</v>
          </cell>
          <cell r="I340" t="str">
            <v>Nr meczu</v>
          </cell>
          <cell r="N340" t="str">
            <v>Godz.</v>
          </cell>
          <cell r="R340" t="str">
            <v>S. prow.</v>
          </cell>
          <cell r="AF340" t="str">
            <v>wygrany</v>
          </cell>
          <cell r="AG340" t="str">
            <v>przegrany</v>
          </cell>
        </row>
        <row r="341">
          <cell r="B341" t="str">
            <v>Boisko</v>
          </cell>
          <cell r="C341" t="str">
            <v>Gra</v>
          </cell>
          <cell r="I341">
            <v>49</v>
          </cell>
          <cell r="N341" t="str">
            <v>rozp.</v>
          </cell>
          <cell r="P341" t="str">
            <v>zak.</v>
          </cell>
          <cell r="R341" t="str">
            <v>S. serw.</v>
          </cell>
        </row>
        <row r="342">
          <cell r="A342">
            <v>49</v>
          </cell>
          <cell r="B342">
            <v>5</v>
          </cell>
          <cell r="C342" t="str">
            <v>mieszana M</v>
          </cell>
          <cell r="H342">
            <v>21</v>
          </cell>
          <cell r="I342">
            <v>15</v>
          </cell>
          <cell r="J342">
            <v>23</v>
          </cell>
          <cell r="K342">
            <v>21</v>
          </cell>
          <cell r="P342">
            <v>0.53263888888888888</v>
          </cell>
          <cell r="R342">
            <v>0.53263888888888888</v>
          </cell>
          <cell r="S342" t="str">
            <v>pt 12:10</v>
          </cell>
          <cell r="X342">
            <v>49</v>
          </cell>
          <cell r="Y342" t="str">
            <v>mieszana M</v>
          </cell>
          <cell r="Z342" t="str">
            <v>B5525</v>
          </cell>
          <cell r="AA342" t="str">
            <v>T5056</v>
          </cell>
          <cell r="AB342" t="str">
            <v>S5947</v>
          </cell>
          <cell r="AC342" t="str">
            <v>G3854</v>
          </cell>
          <cell r="AD342" t="str">
            <v>B5525</v>
          </cell>
          <cell r="AE342" t="str">
            <v>T5056</v>
          </cell>
          <cell r="AF342" t="str">
            <v>21:15,23:21</v>
          </cell>
          <cell r="AG342" t="str">
            <v>15:21,21:23</v>
          </cell>
          <cell r="AH342" t="str">
            <v/>
          </cell>
          <cell r="AI342">
            <v>21</v>
          </cell>
          <cell r="AJ342">
            <v>15</v>
          </cell>
          <cell r="AK342">
            <v>23</v>
          </cell>
          <cell r="AL342">
            <v>21</v>
          </cell>
          <cell r="AM342">
            <v>0</v>
          </cell>
          <cell r="AN342">
            <v>0</v>
          </cell>
        </row>
        <row r="343">
          <cell r="A343" t="str">
            <v/>
          </cell>
          <cell r="B343" t="str">
            <v>Michał BARAŃSKI (SKB Suwałki)</v>
          </cell>
          <cell r="H343" t="str">
            <v>B5525</v>
          </cell>
          <cell r="K343" t="str">
            <v>S5947</v>
          </cell>
          <cell r="N343" t="str">
            <v>Mateusz SADOWSKI (UKSB Milenium Warszawa)</v>
          </cell>
        </row>
        <row r="344">
          <cell r="A344" t="str">
            <v/>
          </cell>
          <cell r="B344" t="str">
            <v>Martyna TROJNIAR (SKB Suwałki)</v>
          </cell>
          <cell r="H344" t="str">
            <v>T5056</v>
          </cell>
          <cell r="K344" t="str">
            <v>G3854</v>
          </cell>
          <cell r="N344" t="str">
            <v>Katarzyna GĘSICKA (KS Hubertus Zalesie Górne)</v>
          </cell>
        </row>
        <row r="346">
          <cell r="B346" t="str">
            <v>zwycięzca(cy): 21:15,23:21</v>
          </cell>
          <cell r="K346" t="str">
            <v/>
          </cell>
        </row>
        <row r="347">
          <cell r="B347">
            <v>1</v>
          </cell>
          <cell r="C347" t="str">
            <v>dzień turnieju.</v>
          </cell>
          <cell r="I347" t="str">
            <v>Nr meczu</v>
          </cell>
          <cell r="N347" t="str">
            <v>Godz.</v>
          </cell>
          <cell r="R347" t="str">
            <v>S. prow.</v>
          </cell>
          <cell r="AF347" t="str">
            <v>wygrany</v>
          </cell>
          <cell r="AG347" t="str">
            <v>przegrany</v>
          </cell>
        </row>
        <row r="348">
          <cell r="B348" t="str">
            <v>Boisko</v>
          </cell>
          <cell r="C348" t="str">
            <v>Gra</v>
          </cell>
          <cell r="I348">
            <v>50</v>
          </cell>
          <cell r="N348" t="str">
            <v>rozp.</v>
          </cell>
          <cell r="P348" t="str">
            <v>zak.</v>
          </cell>
          <cell r="R348" t="str">
            <v>S. serw.</v>
          </cell>
        </row>
        <row r="349">
          <cell r="A349">
            <v>50</v>
          </cell>
          <cell r="B349">
            <v>4</v>
          </cell>
          <cell r="C349" t="str">
            <v>mieszana M</v>
          </cell>
          <cell r="H349">
            <v>21</v>
          </cell>
          <cell r="I349">
            <v>10</v>
          </cell>
          <cell r="J349">
            <v>21</v>
          </cell>
          <cell r="K349">
            <v>4</v>
          </cell>
          <cell r="P349">
            <v>0.53194444444444444</v>
          </cell>
          <cell r="R349">
            <v>0.53194444444444444</v>
          </cell>
          <cell r="S349" t="str">
            <v>pt 12:10</v>
          </cell>
          <cell r="X349">
            <v>50</v>
          </cell>
          <cell r="Y349" t="str">
            <v>mieszana M</v>
          </cell>
          <cell r="Z349" t="str">
            <v>M4170</v>
          </cell>
          <cell r="AA349" t="str">
            <v>J4555</v>
          </cell>
          <cell r="AB349" t="str">
            <v>X04</v>
          </cell>
          <cell r="AC349" t="str">
            <v>X01</v>
          </cell>
          <cell r="AD349" t="str">
            <v>M4170</v>
          </cell>
          <cell r="AE349" t="str">
            <v>J4555</v>
          </cell>
          <cell r="AF349" t="str">
            <v>21:10,21:4</v>
          </cell>
          <cell r="AG349" t="str">
            <v>10:21,4:21</v>
          </cell>
          <cell r="AH349" t="str">
            <v/>
          </cell>
          <cell r="AI349">
            <v>21</v>
          </cell>
          <cell r="AJ349">
            <v>10</v>
          </cell>
          <cell r="AK349">
            <v>21</v>
          </cell>
          <cell r="AL349">
            <v>4</v>
          </cell>
          <cell r="AM349">
            <v>0</v>
          </cell>
          <cell r="AN349">
            <v>0</v>
          </cell>
        </row>
        <row r="350">
          <cell r="A350" t="str">
            <v/>
          </cell>
          <cell r="B350" t="str">
            <v>Kamil MICHAŁEK (UKS Orbitek Straszęcin)</v>
          </cell>
          <cell r="H350" t="str">
            <v>M4170</v>
          </cell>
          <cell r="K350" t="str">
            <v>X04</v>
          </cell>
          <cell r="N350" t="str">
            <v>Mantes  MAULE (Litwa)</v>
          </cell>
        </row>
        <row r="351">
          <cell r="A351" t="str">
            <v/>
          </cell>
          <cell r="B351" t="str">
            <v>Izabela JAJKO (UKS Orliki Ropica Polska)</v>
          </cell>
          <cell r="H351" t="str">
            <v>J4555</v>
          </cell>
          <cell r="K351" t="str">
            <v>X01</v>
          </cell>
          <cell r="N351" t="str">
            <v>Sofija ORLOVAITE (Litwa)</v>
          </cell>
        </row>
        <row r="353">
          <cell r="B353" t="str">
            <v>zwycięzca(cy): 21:10,21:4</v>
          </cell>
          <cell r="K353" t="str">
            <v/>
          </cell>
        </row>
        <row r="354">
          <cell r="B354">
            <v>1</v>
          </cell>
          <cell r="C354" t="str">
            <v>dzień turnieju.</v>
          </cell>
          <cell r="I354" t="str">
            <v>Nr meczu</v>
          </cell>
          <cell r="N354" t="str">
            <v>Godz.</v>
          </cell>
          <cell r="R354" t="str">
            <v>S. prow.</v>
          </cell>
          <cell r="AF354" t="str">
            <v>wygrany</v>
          </cell>
          <cell r="AG354" t="str">
            <v>przegrany</v>
          </cell>
        </row>
        <row r="355">
          <cell r="B355" t="str">
            <v>Boisko</v>
          </cell>
          <cell r="C355" t="str">
            <v>Gra</v>
          </cell>
          <cell r="I355">
            <v>51</v>
          </cell>
          <cell r="N355" t="str">
            <v>rozp.</v>
          </cell>
          <cell r="P355" t="str">
            <v>zak.</v>
          </cell>
          <cell r="R355" t="str">
            <v>S. serw.</v>
          </cell>
        </row>
        <row r="356">
          <cell r="A356">
            <v>51</v>
          </cell>
          <cell r="B356">
            <v>3</v>
          </cell>
          <cell r="C356" t="str">
            <v>mieszana M</v>
          </cell>
          <cell r="H356">
            <v>21</v>
          </cell>
          <cell r="I356">
            <v>13</v>
          </cell>
          <cell r="J356">
            <v>21</v>
          </cell>
          <cell r="K356">
            <v>15</v>
          </cell>
          <cell r="P356">
            <v>0.53611111111111109</v>
          </cell>
          <cell r="R356">
            <v>0.53611111111111109</v>
          </cell>
          <cell r="S356" t="str">
            <v>pt 12:10</v>
          </cell>
          <cell r="X356">
            <v>51</v>
          </cell>
          <cell r="Y356" t="str">
            <v>mieszana M</v>
          </cell>
          <cell r="Z356" t="str">
            <v>K4283</v>
          </cell>
          <cell r="AA356" t="str">
            <v>J4598</v>
          </cell>
          <cell r="AB356" t="str">
            <v>X08</v>
          </cell>
          <cell r="AC356" t="str">
            <v>X06</v>
          </cell>
          <cell r="AD356" t="str">
            <v>K4283</v>
          </cell>
          <cell r="AE356" t="str">
            <v>J4598</v>
          </cell>
          <cell r="AF356" t="str">
            <v>21:13,21:15</v>
          </cell>
          <cell r="AG356" t="str">
            <v>13:21,15:21</v>
          </cell>
          <cell r="AH356" t="str">
            <v/>
          </cell>
          <cell r="AI356">
            <v>21</v>
          </cell>
          <cell r="AJ356">
            <v>13</v>
          </cell>
          <cell r="AK356">
            <v>21</v>
          </cell>
          <cell r="AL356">
            <v>15</v>
          </cell>
          <cell r="AM356">
            <v>0</v>
          </cell>
          <cell r="AN356">
            <v>0</v>
          </cell>
        </row>
        <row r="357">
          <cell r="A357" t="str">
            <v/>
          </cell>
          <cell r="B357" t="str">
            <v>Filip KRUKOWSKI (SKB Suwałki)</v>
          </cell>
          <cell r="H357" t="str">
            <v>K4283</v>
          </cell>
          <cell r="K357" t="str">
            <v>X08</v>
          </cell>
          <cell r="N357" t="str">
            <v>Ilia LARUSIN (Brześć Białoruś)</v>
          </cell>
        </row>
        <row r="358">
          <cell r="A358" t="str">
            <v/>
          </cell>
          <cell r="B358" t="str">
            <v>Karolina JODZIO (SKB Suwałki)</v>
          </cell>
          <cell r="H358" t="str">
            <v>J4598</v>
          </cell>
          <cell r="K358" t="str">
            <v>X06</v>
          </cell>
          <cell r="N358" t="str">
            <v>Uliana ZACHROVA (Brześć Białoruś)</v>
          </cell>
        </row>
        <row r="360">
          <cell r="B360" t="str">
            <v>zwycięzca(cy): 21:13,21:15</v>
          </cell>
          <cell r="K360" t="str">
            <v/>
          </cell>
        </row>
        <row r="361">
          <cell r="B361">
            <v>1</v>
          </cell>
          <cell r="C361" t="str">
            <v>dzień turnieju.</v>
          </cell>
          <cell r="I361" t="str">
            <v>Nr meczu</v>
          </cell>
          <cell r="N361" t="str">
            <v>Godz.</v>
          </cell>
          <cell r="R361" t="str">
            <v>S. prow.</v>
          </cell>
          <cell r="AF361" t="str">
            <v>wygrany</v>
          </cell>
          <cell r="AG361" t="str">
            <v>przegrany</v>
          </cell>
        </row>
        <row r="362">
          <cell r="B362" t="str">
            <v>Boisko</v>
          </cell>
          <cell r="C362" t="str">
            <v>Gra</v>
          </cell>
          <cell r="I362">
            <v>52</v>
          </cell>
          <cell r="N362" t="str">
            <v>rozp.</v>
          </cell>
          <cell r="P362" t="str">
            <v>zak.</v>
          </cell>
          <cell r="R362" t="str">
            <v>S. serw.</v>
          </cell>
        </row>
        <row r="363">
          <cell r="A363">
            <v>52</v>
          </cell>
          <cell r="B363">
            <v>1</v>
          </cell>
          <cell r="C363" t="str">
            <v>mieszana M</v>
          </cell>
          <cell r="H363">
            <v>21</v>
          </cell>
          <cell r="I363">
            <v>13</v>
          </cell>
          <cell r="J363">
            <v>25</v>
          </cell>
          <cell r="K363">
            <v>23</v>
          </cell>
          <cell r="P363">
            <v>0.54166666666666663</v>
          </cell>
          <cell r="R363">
            <v>0.54166666666666663</v>
          </cell>
          <cell r="S363" t="str">
            <v>pt 12:10</v>
          </cell>
          <cell r="X363">
            <v>52</v>
          </cell>
          <cell r="Y363" t="str">
            <v>mieszana M</v>
          </cell>
          <cell r="Z363" t="str">
            <v>K4579</v>
          </cell>
          <cell r="AA363" t="str">
            <v>G4680</v>
          </cell>
          <cell r="AB363" t="str">
            <v>C3670</v>
          </cell>
          <cell r="AC363" t="str">
            <v>J4505</v>
          </cell>
          <cell r="AD363" t="str">
            <v>K4579</v>
          </cell>
          <cell r="AE363" t="str">
            <v>G4680</v>
          </cell>
          <cell r="AF363" t="str">
            <v>21:13,25:23</v>
          </cell>
          <cell r="AG363" t="str">
            <v>13:21,23:25</v>
          </cell>
          <cell r="AH363" t="str">
            <v/>
          </cell>
          <cell r="AI363">
            <v>21</v>
          </cell>
          <cell r="AJ363">
            <v>13</v>
          </cell>
          <cell r="AK363">
            <v>25</v>
          </cell>
          <cell r="AL363">
            <v>23</v>
          </cell>
          <cell r="AM363">
            <v>0</v>
          </cell>
          <cell r="AN363">
            <v>0</v>
          </cell>
        </row>
        <row r="364">
          <cell r="A364" t="str">
            <v/>
          </cell>
          <cell r="B364" t="str">
            <v>Miłosz KAIM (KS Masovia Płock)</v>
          </cell>
          <cell r="H364" t="str">
            <v>K4579</v>
          </cell>
          <cell r="K364" t="str">
            <v>C3670</v>
          </cell>
          <cell r="N364" t="str">
            <v>Robert CYBULSKI (MKB Lednik Miastko)</v>
          </cell>
        </row>
        <row r="365">
          <cell r="A365" t="str">
            <v/>
          </cell>
          <cell r="B365" t="str">
            <v>Aneta GADOMSKA (UTS Akro-Bad Warszawa)</v>
          </cell>
          <cell r="H365" t="str">
            <v>G4680</v>
          </cell>
          <cell r="K365" t="str">
            <v>J4505</v>
          </cell>
          <cell r="N365" t="str">
            <v>Wiktoria JUSZCZAK (MMKS Gdańsk)</v>
          </cell>
        </row>
        <row r="367">
          <cell r="B367" t="str">
            <v>zwycięzca(cy): 21:13,25:23</v>
          </cell>
          <cell r="K367" t="str">
            <v/>
          </cell>
        </row>
        <row r="368">
          <cell r="B368">
            <v>1</v>
          </cell>
          <cell r="C368" t="str">
            <v>dzień turnieju.</v>
          </cell>
          <cell r="I368" t="str">
            <v>Nr meczu</v>
          </cell>
          <cell r="N368" t="str">
            <v>Godz.</v>
          </cell>
          <cell r="R368" t="str">
            <v>S. prow.</v>
          </cell>
          <cell r="AF368" t="str">
            <v>wygrany</v>
          </cell>
          <cell r="AG368" t="str">
            <v>przegrany</v>
          </cell>
        </row>
        <row r="369">
          <cell r="B369" t="str">
            <v>Boisko</v>
          </cell>
          <cell r="C369" t="str">
            <v>Gra</v>
          </cell>
          <cell r="I369">
            <v>53</v>
          </cell>
          <cell r="N369" t="str">
            <v>rozp.</v>
          </cell>
          <cell r="P369" t="str">
            <v>zak.</v>
          </cell>
          <cell r="R369" t="str">
            <v>S. serw.</v>
          </cell>
        </row>
        <row r="370">
          <cell r="A370">
            <v>53</v>
          </cell>
          <cell r="B370">
            <v>6</v>
          </cell>
          <cell r="C370" t="str">
            <v>mieszana M</v>
          </cell>
          <cell r="H370">
            <v>13</v>
          </cell>
          <cell r="I370">
            <v>21</v>
          </cell>
          <cell r="J370">
            <v>18</v>
          </cell>
          <cell r="K370">
            <v>21</v>
          </cell>
          <cell r="P370">
            <v>0.54583333333333328</v>
          </cell>
          <cell r="R370">
            <v>0.54583333333333328</v>
          </cell>
          <cell r="S370" t="str">
            <v>pt 12:10</v>
          </cell>
          <cell r="X370">
            <v>53</v>
          </cell>
          <cell r="Y370" t="str">
            <v>mieszana M</v>
          </cell>
          <cell r="Z370" t="str">
            <v>T4723</v>
          </cell>
          <cell r="AA370" t="str">
            <v>S4873</v>
          </cell>
          <cell r="AB370" t="str">
            <v>T3691</v>
          </cell>
          <cell r="AC370" t="str">
            <v>K4023</v>
          </cell>
          <cell r="AD370" t="str">
            <v>T3691</v>
          </cell>
          <cell r="AE370" t="str">
            <v>K4023</v>
          </cell>
          <cell r="AF370" t="str">
            <v>21:13,21:18</v>
          </cell>
          <cell r="AG370" t="str">
            <v>13:21,18:21</v>
          </cell>
          <cell r="AH370" t="str">
            <v/>
          </cell>
          <cell r="AI370">
            <v>13</v>
          </cell>
          <cell r="AJ370">
            <v>21</v>
          </cell>
          <cell r="AK370">
            <v>18</v>
          </cell>
          <cell r="AL370">
            <v>21</v>
          </cell>
          <cell r="AM370">
            <v>0</v>
          </cell>
          <cell r="AN370">
            <v>0</v>
          </cell>
        </row>
        <row r="371">
          <cell r="A371" t="str">
            <v/>
          </cell>
          <cell r="B371" t="str">
            <v>Dominik TELAKOWIEC (KS Hubertus Zalesie Górne)</v>
          </cell>
          <cell r="H371" t="str">
            <v>T4723</v>
          </cell>
          <cell r="K371" t="str">
            <v>T3691</v>
          </cell>
          <cell r="N371" t="str">
            <v>Jakub TEMBIKOWSKI (UKS Badminton Stare Babice)</v>
          </cell>
        </row>
        <row r="372">
          <cell r="A372" t="str">
            <v/>
          </cell>
          <cell r="B372" t="str">
            <v>Natalia STRZELCZYK (KS Hubertus Zalesie Górne)</v>
          </cell>
          <cell r="H372" t="str">
            <v>S4873</v>
          </cell>
          <cell r="K372" t="str">
            <v>K4023</v>
          </cell>
          <cell r="N372" t="str">
            <v>Agnieszka KOPER (KKS Warmia Olsztyn)</v>
          </cell>
        </row>
        <row r="374">
          <cell r="B374" t="str">
            <v/>
          </cell>
          <cell r="K374" t="str">
            <v>zwycięzca(cy): 21:13,21:18</v>
          </cell>
        </row>
        <row r="375">
          <cell r="B375">
            <v>1</v>
          </cell>
          <cell r="C375" t="str">
            <v>dzień turnieju.</v>
          </cell>
          <cell r="I375" t="str">
            <v>Nr meczu</v>
          </cell>
          <cell r="N375" t="str">
            <v>Godz.</v>
          </cell>
          <cell r="R375" t="str">
            <v>S. prow.</v>
          </cell>
          <cell r="AF375" t="str">
            <v>wygrany</v>
          </cell>
          <cell r="AG375" t="str">
            <v>przegrany</v>
          </cell>
        </row>
        <row r="376">
          <cell r="B376" t="str">
            <v>Boisko</v>
          </cell>
          <cell r="C376" t="str">
            <v>Gra</v>
          </cell>
          <cell r="I376">
            <v>54</v>
          </cell>
          <cell r="N376" t="str">
            <v>rozp.</v>
          </cell>
          <cell r="P376" t="str">
            <v>zak.</v>
          </cell>
          <cell r="R376" t="str">
            <v>S. serw.</v>
          </cell>
        </row>
        <row r="377">
          <cell r="A377">
            <v>54</v>
          </cell>
          <cell r="B377">
            <v>5</v>
          </cell>
          <cell r="C377" t="str">
            <v>mieszana M</v>
          </cell>
          <cell r="H377">
            <v>21</v>
          </cell>
          <cell r="I377">
            <v>6</v>
          </cell>
          <cell r="J377">
            <v>21</v>
          </cell>
          <cell r="K377">
            <v>4</v>
          </cell>
          <cell r="P377">
            <v>0.54166666666666663</v>
          </cell>
          <cell r="R377">
            <v>0.54166666666666663</v>
          </cell>
          <cell r="S377" t="str">
            <v>pt 12:10</v>
          </cell>
          <cell r="X377">
            <v>54</v>
          </cell>
          <cell r="Y377" t="str">
            <v>mieszana M</v>
          </cell>
          <cell r="Z377" t="str">
            <v>M4689</v>
          </cell>
          <cell r="AA377" t="str">
            <v>D3427</v>
          </cell>
          <cell r="AB377" t="str">
            <v>X02</v>
          </cell>
          <cell r="AC377" t="str">
            <v>X03</v>
          </cell>
          <cell r="AD377" t="str">
            <v>M4689</v>
          </cell>
          <cell r="AE377" t="str">
            <v>D3427</v>
          </cell>
          <cell r="AF377" t="str">
            <v>21:6,21:4</v>
          </cell>
          <cell r="AG377" t="str">
            <v>6:21,4:21</v>
          </cell>
          <cell r="AH377" t="str">
            <v/>
          </cell>
          <cell r="AI377">
            <v>21</v>
          </cell>
          <cell r="AJ377">
            <v>6</v>
          </cell>
          <cell r="AK377">
            <v>21</v>
          </cell>
          <cell r="AL377">
            <v>4</v>
          </cell>
          <cell r="AM377">
            <v>0</v>
          </cell>
          <cell r="AN377">
            <v>0</v>
          </cell>
        </row>
        <row r="378">
          <cell r="A378" t="str">
            <v/>
          </cell>
          <cell r="B378" t="str">
            <v>Maciej MAŁACHOWSKI (UKS Kometa Sianów)</v>
          </cell>
          <cell r="H378" t="str">
            <v>M4689</v>
          </cell>
          <cell r="K378" t="str">
            <v>X02</v>
          </cell>
          <cell r="N378" t="str">
            <v>Matas GELZINIS (Litwa)</v>
          </cell>
        </row>
        <row r="379">
          <cell r="A379" t="str">
            <v/>
          </cell>
          <cell r="B379" t="str">
            <v>Wiktoria DĄBCZYŃSKA (MKS Orlicz Suchedniów)</v>
          </cell>
          <cell r="H379" t="str">
            <v>D3427</v>
          </cell>
          <cell r="K379" t="str">
            <v>X03</v>
          </cell>
          <cell r="N379" t="str">
            <v>Ugne MASILIONYTE (Litwa)</v>
          </cell>
        </row>
        <row r="381">
          <cell r="B381" t="str">
            <v>zwycięzca(cy): 21:6,21:4</v>
          </cell>
          <cell r="K381" t="str">
            <v/>
          </cell>
        </row>
        <row r="382">
          <cell r="B382">
            <v>1</v>
          </cell>
          <cell r="C382" t="str">
            <v>dzień turnieju.</v>
          </cell>
          <cell r="I382" t="str">
            <v>Nr meczu</v>
          </cell>
          <cell r="N382" t="str">
            <v>Godz.</v>
          </cell>
          <cell r="R382" t="str">
            <v>S. prow.</v>
          </cell>
          <cell r="AF382" t="str">
            <v>wygrany</v>
          </cell>
          <cell r="AG382" t="str">
            <v>przegrany</v>
          </cell>
        </row>
        <row r="383">
          <cell r="B383" t="str">
            <v>Boisko</v>
          </cell>
          <cell r="C383" t="str">
            <v>Gra</v>
          </cell>
          <cell r="I383">
            <v>55</v>
          </cell>
          <cell r="N383" t="str">
            <v>rozp.</v>
          </cell>
          <cell r="P383" t="str">
            <v>zak.</v>
          </cell>
          <cell r="R383" t="str">
            <v>S. serw.</v>
          </cell>
        </row>
        <row r="384">
          <cell r="A384">
            <v>55</v>
          </cell>
          <cell r="B384">
            <v>4</v>
          </cell>
          <cell r="C384" t="str">
            <v>mieszana M</v>
          </cell>
          <cell r="H384">
            <v>12</v>
          </cell>
          <cell r="I384">
            <v>21</v>
          </cell>
          <cell r="J384">
            <v>21</v>
          </cell>
          <cell r="K384">
            <v>10</v>
          </cell>
          <cell r="L384">
            <v>15</v>
          </cell>
          <cell r="M384">
            <v>21</v>
          </cell>
          <cell r="P384">
            <v>0.55347222222222225</v>
          </cell>
          <cell r="R384">
            <v>0.55347222222222225</v>
          </cell>
          <cell r="S384" t="str">
            <v>pt 12:10</v>
          </cell>
          <cell r="X384">
            <v>55</v>
          </cell>
          <cell r="Y384" t="str">
            <v>mieszana M</v>
          </cell>
          <cell r="Z384" t="str">
            <v>G4577</v>
          </cell>
          <cell r="AA384" t="str">
            <v>K4136</v>
          </cell>
          <cell r="AB384" t="str">
            <v>B4431</v>
          </cell>
          <cell r="AC384" t="str">
            <v>G3411</v>
          </cell>
          <cell r="AD384" t="str">
            <v>B4431</v>
          </cell>
          <cell r="AE384" t="str">
            <v>G3411</v>
          </cell>
          <cell r="AF384" t="str">
            <v>21:12,10:21,21:15</v>
          </cell>
          <cell r="AG384" t="str">
            <v>12:21,21:10,15:21</v>
          </cell>
          <cell r="AH384" t="str">
            <v/>
          </cell>
          <cell r="AI384">
            <v>12</v>
          </cell>
          <cell r="AJ384">
            <v>21</v>
          </cell>
          <cell r="AK384">
            <v>21</v>
          </cell>
          <cell r="AL384">
            <v>10</v>
          </cell>
          <cell r="AM384">
            <v>15</v>
          </cell>
          <cell r="AN384">
            <v>21</v>
          </cell>
        </row>
        <row r="385">
          <cell r="A385" t="str">
            <v/>
          </cell>
          <cell r="B385" t="str">
            <v>Jakub GIREŃ (MKS Strzelce Opolskie)</v>
          </cell>
          <cell r="H385" t="str">
            <v>G4577</v>
          </cell>
          <cell r="K385" t="str">
            <v>B4431</v>
          </cell>
          <cell r="N385" t="str">
            <v>Michał BIENIA (UKS Aktywna Piątka Przemyśl)</v>
          </cell>
        </row>
        <row r="386">
          <cell r="A386" t="str">
            <v/>
          </cell>
          <cell r="B386" t="str">
            <v>Weronika KOŚCIÓŁEK (LKS Technik Głubczyce)</v>
          </cell>
          <cell r="H386" t="str">
            <v>K4136</v>
          </cell>
          <cell r="K386" t="str">
            <v>G3411</v>
          </cell>
          <cell r="N386" t="str">
            <v>Magdalena GOLENIA (UKS Sokół Ropczyce)</v>
          </cell>
        </row>
        <row r="388">
          <cell r="B388" t="str">
            <v/>
          </cell>
          <cell r="K388" t="str">
            <v>zwycięzca(cy): 21:12,10:21,21:15</v>
          </cell>
        </row>
        <row r="389">
          <cell r="B389">
            <v>1</v>
          </cell>
          <cell r="C389" t="str">
            <v>dzień turnieju.</v>
          </cell>
          <cell r="I389" t="str">
            <v>Nr meczu</v>
          </cell>
          <cell r="N389" t="str">
            <v>Godz.</v>
          </cell>
          <cell r="R389" t="str">
            <v>S. prow.</v>
          </cell>
          <cell r="AF389" t="str">
            <v>wygrany</v>
          </cell>
          <cell r="AG389" t="str">
            <v>przegrany</v>
          </cell>
        </row>
        <row r="390">
          <cell r="B390" t="str">
            <v>Boisko</v>
          </cell>
          <cell r="C390" t="str">
            <v>Gra</v>
          </cell>
          <cell r="I390">
            <v>56</v>
          </cell>
          <cell r="N390" t="str">
            <v>rozp.</v>
          </cell>
          <cell r="P390" t="str">
            <v>zak.</v>
          </cell>
          <cell r="R390" t="str">
            <v>S. serw.</v>
          </cell>
        </row>
        <row r="391">
          <cell r="A391">
            <v>56</v>
          </cell>
          <cell r="B391">
            <v>2</v>
          </cell>
          <cell r="C391" t="str">
            <v>mieszana M</v>
          </cell>
          <cell r="H391">
            <v>14</v>
          </cell>
          <cell r="I391">
            <v>21</v>
          </cell>
          <cell r="J391">
            <v>21</v>
          </cell>
          <cell r="K391">
            <v>19</v>
          </cell>
          <cell r="L391">
            <v>21</v>
          </cell>
          <cell r="M391">
            <v>16</v>
          </cell>
          <cell r="P391">
            <v>0.55902777777777779</v>
          </cell>
          <cell r="R391">
            <v>0.55902777777777779</v>
          </cell>
          <cell r="S391" t="str">
            <v>pt 12:10</v>
          </cell>
          <cell r="X391">
            <v>56</v>
          </cell>
          <cell r="Y391" t="str">
            <v>mieszana M</v>
          </cell>
          <cell r="Z391" t="str">
            <v>S4287</v>
          </cell>
          <cell r="AA391" t="str">
            <v>P4286</v>
          </cell>
          <cell r="AB391" t="str">
            <v>P4121</v>
          </cell>
          <cell r="AC391" t="str">
            <v>R4591</v>
          </cell>
          <cell r="AD391" t="str">
            <v>S4287</v>
          </cell>
          <cell r="AE391" t="str">
            <v>P4286</v>
          </cell>
          <cell r="AF391" t="str">
            <v>14:21,21:19,21:16</v>
          </cell>
          <cell r="AG391" t="str">
            <v>21:14,19:21,16:21</v>
          </cell>
          <cell r="AH391" t="str">
            <v/>
          </cell>
          <cell r="AI391">
            <v>14</v>
          </cell>
          <cell r="AJ391">
            <v>21</v>
          </cell>
          <cell r="AK391">
            <v>21</v>
          </cell>
          <cell r="AL391">
            <v>19</v>
          </cell>
          <cell r="AM391">
            <v>21</v>
          </cell>
          <cell r="AN391">
            <v>16</v>
          </cell>
        </row>
        <row r="392">
          <cell r="A392" t="str">
            <v/>
          </cell>
          <cell r="B392" t="str">
            <v>Michał SOBOLEWSKI (SKB Suwałki)</v>
          </cell>
          <cell r="H392" t="str">
            <v>S4287</v>
          </cell>
          <cell r="K392" t="str">
            <v>P4121</v>
          </cell>
          <cell r="N392" t="str">
            <v>Konrad PŁOCH (UKS Start Widełka)</v>
          </cell>
        </row>
        <row r="393">
          <cell r="A393" t="str">
            <v/>
          </cell>
          <cell r="B393" t="str">
            <v>Ewelina PODZIEWSKA (SKB Suwałki)</v>
          </cell>
          <cell r="H393" t="str">
            <v>P4286</v>
          </cell>
          <cell r="K393" t="str">
            <v>R4591</v>
          </cell>
          <cell r="N393" t="str">
            <v>Natalia RÓG (MKS Stal Nowa Dęba)</v>
          </cell>
        </row>
        <row r="395">
          <cell r="B395" t="str">
            <v>zwycięzca(cy): 14:21,21:19,21:16</v>
          </cell>
          <cell r="K395" t="str">
            <v/>
          </cell>
        </row>
        <row r="396">
          <cell r="B396">
            <v>1</v>
          </cell>
          <cell r="C396" t="str">
            <v>dzień turnieju.</v>
          </cell>
          <cell r="I396" t="str">
            <v>Nr meczu</v>
          </cell>
          <cell r="N396" t="str">
            <v>Godz.</v>
          </cell>
          <cell r="R396" t="str">
            <v>S. prow.</v>
          </cell>
          <cell r="AF396" t="str">
            <v>wygrany</v>
          </cell>
          <cell r="AG396" t="str">
            <v>przegrany</v>
          </cell>
        </row>
        <row r="397">
          <cell r="B397" t="str">
            <v>Boisko</v>
          </cell>
          <cell r="C397" t="str">
            <v>Gra</v>
          </cell>
          <cell r="I397">
            <v>57</v>
          </cell>
          <cell r="N397" t="str">
            <v>rozp.</v>
          </cell>
          <cell r="P397" t="str">
            <v>zak.</v>
          </cell>
          <cell r="R397" t="str">
            <v>S. serw.</v>
          </cell>
        </row>
        <row r="398">
          <cell r="A398">
            <v>57</v>
          </cell>
          <cell r="B398">
            <v>3</v>
          </cell>
          <cell r="C398" t="str">
            <v>mieszana M</v>
          </cell>
          <cell r="H398">
            <v>18</v>
          </cell>
          <cell r="I398">
            <v>21</v>
          </cell>
          <cell r="J398">
            <v>21</v>
          </cell>
          <cell r="K398">
            <v>15</v>
          </cell>
          <cell r="L398">
            <v>21</v>
          </cell>
          <cell r="M398">
            <v>9</v>
          </cell>
          <cell r="P398">
            <v>0.55555555555555558</v>
          </cell>
          <cell r="R398">
            <v>0.55555555555555558</v>
          </cell>
          <cell r="S398" t="str">
            <v>pt 12:10</v>
          </cell>
          <cell r="X398">
            <v>57</v>
          </cell>
          <cell r="Y398" t="str">
            <v>mieszana M</v>
          </cell>
          <cell r="Z398" t="str">
            <v>R4718</v>
          </cell>
          <cell r="AA398" t="str">
            <v>X22</v>
          </cell>
          <cell r="AB398" t="str">
            <v>K5874</v>
          </cell>
          <cell r="AC398" t="str">
            <v>W4281</v>
          </cell>
          <cell r="AD398" t="str">
            <v>R4718</v>
          </cell>
          <cell r="AE398" t="str">
            <v>X22</v>
          </cell>
          <cell r="AF398" t="str">
            <v>18:21,21:15,21:9</v>
          </cell>
          <cell r="AG398" t="str">
            <v>21:18,15:21,9:21</v>
          </cell>
          <cell r="AH398" t="str">
            <v/>
          </cell>
          <cell r="AI398">
            <v>18</v>
          </cell>
          <cell r="AJ398">
            <v>21</v>
          </cell>
          <cell r="AK398">
            <v>21</v>
          </cell>
          <cell r="AL398">
            <v>15</v>
          </cell>
          <cell r="AM398">
            <v>21</v>
          </cell>
          <cell r="AN398">
            <v>9</v>
          </cell>
        </row>
        <row r="399">
          <cell r="A399" t="str">
            <v/>
          </cell>
          <cell r="B399" t="str">
            <v>Patryk RÓG (MKS Stal Nowa Dęba)</v>
          </cell>
          <cell r="H399" t="str">
            <v>R4718</v>
          </cell>
          <cell r="K399" t="str">
            <v>K5874</v>
          </cell>
          <cell r="N399" t="str">
            <v>Maciej KURAN (----)</v>
          </cell>
        </row>
        <row r="400">
          <cell r="A400" t="str">
            <v/>
          </cell>
          <cell r="B400" t="str">
            <v>Elyzaveta NIKOLAEVA (Vinnica Ukraina)</v>
          </cell>
          <cell r="H400" t="str">
            <v>X22</v>
          </cell>
          <cell r="K400" t="str">
            <v>W4281</v>
          </cell>
          <cell r="N400" t="str">
            <v>Ida WIŚNIEWSKA (----)</v>
          </cell>
        </row>
        <row r="402">
          <cell r="B402" t="str">
            <v>zwycięzca(cy): 18:21,21:15,21:9</v>
          </cell>
          <cell r="K402" t="str">
            <v/>
          </cell>
        </row>
        <row r="403">
          <cell r="B403">
            <v>1</v>
          </cell>
          <cell r="C403" t="str">
            <v>dzień turnieju.</v>
          </cell>
          <cell r="I403" t="str">
            <v>Nr meczu</v>
          </cell>
          <cell r="N403" t="str">
            <v>Godz.</v>
          </cell>
          <cell r="R403" t="str">
            <v>S. prow.</v>
          </cell>
          <cell r="AF403" t="str">
            <v>wygrany</v>
          </cell>
          <cell r="AG403" t="str">
            <v>przegrany</v>
          </cell>
        </row>
        <row r="404">
          <cell r="B404" t="str">
            <v>Boisko</v>
          </cell>
          <cell r="C404" t="str">
            <v>Gra</v>
          </cell>
          <cell r="I404">
            <v>58</v>
          </cell>
          <cell r="N404" t="str">
            <v>rozp.</v>
          </cell>
          <cell r="P404" t="str">
            <v>zak.</v>
          </cell>
          <cell r="R404" t="str">
            <v>S. serw.</v>
          </cell>
        </row>
        <row r="405">
          <cell r="A405">
            <v>58</v>
          </cell>
          <cell r="B405">
            <v>6</v>
          </cell>
          <cell r="C405" t="str">
            <v>podwójna dziewcząt M</v>
          </cell>
          <cell r="H405">
            <v>11</v>
          </cell>
          <cell r="I405">
            <v>21</v>
          </cell>
          <cell r="J405">
            <v>17</v>
          </cell>
          <cell r="K405">
            <v>21</v>
          </cell>
          <cell r="P405">
            <v>0.5625</v>
          </cell>
          <cell r="R405">
            <v>0.5625</v>
          </cell>
          <cell r="S405" t="str">
            <v>pt 13:00</v>
          </cell>
          <cell r="X405">
            <v>58</v>
          </cell>
          <cell r="Y405" t="str">
            <v>podwójna dziewcząt M</v>
          </cell>
          <cell r="Z405" t="str">
            <v>B4737</v>
          </cell>
          <cell r="AA405" t="str">
            <v>t4823</v>
          </cell>
          <cell r="AB405" t="str">
            <v>J4505</v>
          </cell>
          <cell r="AC405" t="str">
            <v>K5041</v>
          </cell>
          <cell r="AD405" t="str">
            <v>J4505</v>
          </cell>
          <cell r="AE405" t="str">
            <v>K5041</v>
          </cell>
          <cell r="AF405" t="str">
            <v>21:11,21:17</v>
          </cell>
          <cell r="AG405" t="str">
            <v>11:21,17:21</v>
          </cell>
          <cell r="AH405" t="str">
            <v/>
          </cell>
          <cell r="AI405">
            <v>11</v>
          </cell>
          <cell r="AJ405">
            <v>21</v>
          </cell>
          <cell r="AK405">
            <v>17</v>
          </cell>
          <cell r="AL405">
            <v>21</v>
          </cell>
          <cell r="AM405">
            <v>0</v>
          </cell>
          <cell r="AN405">
            <v>0</v>
          </cell>
        </row>
        <row r="406">
          <cell r="A406" t="str">
            <v/>
          </cell>
          <cell r="B406" t="str">
            <v>Wiktoria BUDZISZEWSKA (UKS Kiko Zamość)</v>
          </cell>
          <cell r="H406" t="str">
            <v>B4737</v>
          </cell>
          <cell r="K406" t="str">
            <v>J4505</v>
          </cell>
          <cell r="N406" t="str">
            <v>Wiktoria JUSZCZAK (MMKS Gdańsk)</v>
          </cell>
        </row>
        <row r="407">
          <cell r="A407" t="str">
            <v/>
          </cell>
          <cell r="B407" t="str">
            <v>Sandra TATARELIS (UKS Kiko Zamość)</v>
          </cell>
          <cell r="H407" t="str">
            <v>t4823</v>
          </cell>
          <cell r="K407" t="str">
            <v>K5041</v>
          </cell>
          <cell r="N407" t="str">
            <v>Aleksandra KOŁODZIEJ (KSR Wolant Łódź)</v>
          </cell>
        </row>
        <row r="409">
          <cell r="B409" t="str">
            <v/>
          </cell>
          <cell r="K409" t="str">
            <v>zwycięzca(cy): 21:11,21:17</v>
          </cell>
        </row>
        <row r="410">
          <cell r="B410">
            <v>1</v>
          </cell>
          <cell r="C410" t="str">
            <v>dzień turnieju.</v>
          </cell>
          <cell r="I410" t="str">
            <v>Nr meczu</v>
          </cell>
          <cell r="N410" t="str">
            <v>Godz.</v>
          </cell>
          <cell r="R410" t="str">
            <v>S. prow.</v>
          </cell>
          <cell r="AF410" t="str">
            <v>wygrany</v>
          </cell>
          <cell r="AG410" t="str">
            <v>przegrany</v>
          </cell>
        </row>
        <row r="411">
          <cell r="B411" t="str">
            <v>Boisko</v>
          </cell>
          <cell r="C411" t="str">
            <v>Gra</v>
          </cell>
          <cell r="I411">
            <v>59</v>
          </cell>
          <cell r="N411" t="str">
            <v>rozp.</v>
          </cell>
          <cell r="P411" t="str">
            <v>zak.</v>
          </cell>
          <cell r="R411" t="str">
            <v>S. serw.</v>
          </cell>
        </row>
        <row r="412">
          <cell r="A412">
            <v>59</v>
          </cell>
          <cell r="B412">
            <v>6</v>
          </cell>
          <cell r="C412" t="str">
            <v>podwójna dziewcząt M</v>
          </cell>
          <cell r="H412">
            <v>19</v>
          </cell>
          <cell r="I412">
            <v>21</v>
          </cell>
          <cell r="J412">
            <v>19</v>
          </cell>
          <cell r="K412">
            <v>21</v>
          </cell>
          <cell r="P412">
            <v>0.58333333333333337</v>
          </cell>
          <cell r="R412">
            <v>0.58333333333333337</v>
          </cell>
          <cell r="S412" t="str">
            <v>pt 13:00</v>
          </cell>
          <cell r="X412">
            <v>59</v>
          </cell>
          <cell r="Y412" t="str">
            <v>podwójna dziewcząt M</v>
          </cell>
          <cell r="Z412" t="str">
            <v>F4339</v>
          </cell>
          <cell r="AA412" t="str">
            <v>P4758</v>
          </cell>
          <cell r="AB412" t="str">
            <v>B4564</v>
          </cell>
          <cell r="AC412" t="str">
            <v>K4136</v>
          </cell>
          <cell r="AD412" t="str">
            <v>B4564</v>
          </cell>
          <cell r="AE412" t="str">
            <v>K4136</v>
          </cell>
          <cell r="AF412" t="str">
            <v>21:19,21:19</v>
          </cell>
          <cell r="AG412" t="str">
            <v>19:21,19:21</v>
          </cell>
          <cell r="AH412" t="str">
            <v/>
          </cell>
          <cell r="AI412">
            <v>19</v>
          </cell>
          <cell r="AJ412">
            <v>21</v>
          </cell>
          <cell r="AK412">
            <v>19</v>
          </cell>
          <cell r="AL412">
            <v>21</v>
          </cell>
          <cell r="AM412">
            <v>0</v>
          </cell>
          <cell r="AN412">
            <v>0</v>
          </cell>
        </row>
        <row r="413">
          <cell r="A413" t="str">
            <v/>
          </cell>
          <cell r="B413" t="str">
            <v>Martyna FILIPIAK (MLKS Solec Kuj.)</v>
          </cell>
          <cell r="H413" t="str">
            <v>F4339</v>
          </cell>
          <cell r="K413" t="str">
            <v>B4564</v>
          </cell>
          <cell r="N413" t="str">
            <v>Laura BERESTECKA (LKS Technik Głubczyce)</v>
          </cell>
        </row>
        <row r="414">
          <cell r="A414" t="str">
            <v/>
          </cell>
          <cell r="B414" t="str">
            <v>Natalia PIETRZAK (MLKS Solec Kuj.)</v>
          </cell>
          <cell r="H414" t="str">
            <v>P4758</v>
          </cell>
          <cell r="K414" t="str">
            <v>K4136</v>
          </cell>
          <cell r="N414" t="str">
            <v>Weronika KOŚCIÓŁEK (LKS Technik Głubczyce)</v>
          </cell>
        </row>
        <row r="416">
          <cell r="B416" t="str">
            <v/>
          </cell>
          <cell r="K416" t="str">
            <v>zwycięzca(cy): 21:19,21:19</v>
          </cell>
        </row>
        <row r="417">
          <cell r="B417">
            <v>1</v>
          </cell>
          <cell r="C417" t="str">
            <v>dzień turnieju.</v>
          </cell>
          <cell r="I417" t="str">
            <v>Nr meczu</v>
          </cell>
          <cell r="N417" t="str">
            <v>Godz.</v>
          </cell>
          <cell r="R417" t="str">
            <v>S. prow.</v>
          </cell>
          <cell r="AF417" t="str">
            <v>wygrany</v>
          </cell>
          <cell r="AG417" t="str">
            <v>przegrany</v>
          </cell>
        </row>
        <row r="418">
          <cell r="B418" t="str">
            <v>Boisko</v>
          </cell>
          <cell r="C418" t="str">
            <v>Gra</v>
          </cell>
          <cell r="I418">
            <v>60</v>
          </cell>
          <cell r="N418" t="str">
            <v>rozp.</v>
          </cell>
          <cell r="P418" t="str">
            <v>zak.</v>
          </cell>
          <cell r="R418" t="str">
            <v>S. serw.</v>
          </cell>
        </row>
        <row r="419">
          <cell r="A419">
            <v>60</v>
          </cell>
          <cell r="B419">
            <v>1</v>
          </cell>
          <cell r="C419" t="str">
            <v>podwójna dziewcząt M</v>
          </cell>
          <cell r="H419">
            <v>21</v>
          </cell>
          <cell r="I419">
            <v>0</v>
          </cell>
          <cell r="J419">
            <v>21</v>
          </cell>
          <cell r="K419">
            <v>0</v>
          </cell>
          <cell r="P419">
            <v>0.375</v>
          </cell>
          <cell r="R419">
            <v>0.375</v>
          </cell>
          <cell r="S419" t="str">
            <v>pt 13:00</v>
          </cell>
          <cell r="X419">
            <v>60</v>
          </cell>
          <cell r="Y419" t="str">
            <v>podwójna dziewcząt M</v>
          </cell>
          <cell r="Z419" t="str">
            <v>S4547</v>
          </cell>
          <cell r="AA419" t="str">
            <v>W4550</v>
          </cell>
          <cell r="AB419" t="str">
            <v>D3427</v>
          </cell>
          <cell r="AC419" t="str">
            <v>X63</v>
          </cell>
          <cell r="AD419" t="str">
            <v>S4547</v>
          </cell>
          <cell r="AE419" t="str">
            <v>W4550</v>
          </cell>
          <cell r="AF419" t="str">
            <v>21:0,21:0</v>
          </cell>
          <cell r="AG419" t="str">
            <v>0:21,0:21</v>
          </cell>
          <cell r="AH419" t="str">
            <v/>
          </cell>
          <cell r="AI419">
            <v>21</v>
          </cell>
          <cell r="AJ419">
            <v>0</v>
          </cell>
          <cell r="AK419">
            <v>21</v>
          </cell>
          <cell r="AL419">
            <v>0</v>
          </cell>
          <cell r="AM419">
            <v>0</v>
          </cell>
          <cell r="AN419">
            <v>0</v>
          </cell>
        </row>
        <row r="420">
          <cell r="A420" t="str">
            <v/>
          </cell>
          <cell r="B420" t="str">
            <v>Aleksandra SZWEDA (MKB Lednik Miastko)</v>
          </cell>
          <cell r="H420" t="str">
            <v>S4547</v>
          </cell>
          <cell r="K420" t="str">
            <v>D3427</v>
          </cell>
          <cell r="N420" t="str">
            <v>Wiktoria DĄBCZYŃSKA (MKS Orlicz Suchedniów)</v>
          </cell>
        </row>
        <row r="421">
          <cell r="A421" t="str">
            <v/>
          </cell>
          <cell r="B421" t="str">
            <v>Magdalena WOLSKA (MKB Lednik Miastko)</v>
          </cell>
          <cell r="H421" t="str">
            <v>W4550</v>
          </cell>
          <cell r="K421" t="str">
            <v>X63</v>
          </cell>
          <cell r="N421" t="str">
            <v>Anna  KRAMCHANINA (Brześć 2 Białoruś)</v>
          </cell>
        </row>
        <row r="423">
          <cell r="B423" t="str">
            <v>zwycięzca(cy): 21:0,21:0</v>
          </cell>
          <cell r="K423" t="str">
            <v/>
          </cell>
        </row>
        <row r="424">
          <cell r="B424">
            <v>1</v>
          </cell>
          <cell r="C424" t="str">
            <v>dzień turnieju.</v>
          </cell>
          <cell r="I424" t="str">
            <v>Nr meczu</v>
          </cell>
          <cell r="N424" t="str">
            <v>Godz.</v>
          </cell>
          <cell r="R424" t="str">
            <v>S. prow.</v>
          </cell>
          <cell r="AF424" t="str">
            <v>wygrany</v>
          </cell>
          <cell r="AG424" t="str">
            <v>przegrany</v>
          </cell>
        </row>
        <row r="425">
          <cell r="B425" t="str">
            <v>Boisko</v>
          </cell>
          <cell r="C425" t="str">
            <v>Gra</v>
          </cell>
          <cell r="I425">
            <v>61</v>
          </cell>
          <cell r="N425" t="str">
            <v>rozp.</v>
          </cell>
          <cell r="P425" t="str">
            <v>zak.</v>
          </cell>
          <cell r="R425" t="str">
            <v>S. serw.</v>
          </cell>
        </row>
        <row r="426">
          <cell r="A426">
            <v>61</v>
          </cell>
          <cell r="B426">
            <v>5</v>
          </cell>
          <cell r="C426" t="str">
            <v>podwójna dziewcząt M</v>
          </cell>
          <cell r="H426">
            <v>21</v>
          </cell>
          <cell r="I426">
            <v>19</v>
          </cell>
          <cell r="J426">
            <v>17</v>
          </cell>
          <cell r="K426">
            <v>21</v>
          </cell>
          <cell r="L426">
            <v>19</v>
          </cell>
          <cell r="M426">
            <v>21</v>
          </cell>
          <cell r="P426">
            <v>0.58125000000000004</v>
          </cell>
          <cell r="R426">
            <v>0.58125000000000004</v>
          </cell>
          <cell r="S426" t="str">
            <v>pt 13:00</v>
          </cell>
          <cell r="X426">
            <v>61</v>
          </cell>
          <cell r="Y426" t="str">
            <v>podwójna dziewcząt M</v>
          </cell>
          <cell r="Z426" t="str">
            <v>F4371</v>
          </cell>
          <cell r="AA426" t="str">
            <v>S4370</v>
          </cell>
          <cell r="AB426" t="str">
            <v>x13</v>
          </cell>
          <cell r="AC426" t="str">
            <v>x12</v>
          </cell>
          <cell r="AD426" t="str">
            <v>x13</v>
          </cell>
          <cell r="AE426" t="str">
            <v>x12</v>
          </cell>
          <cell r="AF426" t="str">
            <v>19:21,21:17,21:19</v>
          </cell>
          <cell r="AG426" t="str">
            <v>21:19,17:21,19:21</v>
          </cell>
          <cell r="AH426" t="str">
            <v/>
          </cell>
          <cell r="AI426">
            <v>21</v>
          </cell>
          <cell r="AJ426">
            <v>19</v>
          </cell>
          <cell r="AK426">
            <v>17</v>
          </cell>
          <cell r="AL426">
            <v>21</v>
          </cell>
          <cell r="AM426">
            <v>19</v>
          </cell>
          <cell r="AN426">
            <v>21</v>
          </cell>
        </row>
        <row r="427">
          <cell r="A427" t="str">
            <v/>
          </cell>
          <cell r="B427" t="str">
            <v>Agnieszka FORYTA (STB Energia Lubliniec)</v>
          </cell>
          <cell r="H427" t="str">
            <v>F4371</v>
          </cell>
          <cell r="K427" t="str">
            <v>x13</v>
          </cell>
          <cell r="N427" t="str">
            <v>Ylija BITSOUKOVA (Mińsk Białoruś)</v>
          </cell>
        </row>
        <row r="428">
          <cell r="A428" t="str">
            <v/>
          </cell>
          <cell r="B428" t="str">
            <v>Hanna SZYMAŃSKA (STB Energia Lubliniec)</v>
          </cell>
          <cell r="H428" t="str">
            <v>S4370</v>
          </cell>
          <cell r="K428" t="str">
            <v>x12</v>
          </cell>
          <cell r="N428" t="str">
            <v>Katsiaryna ZABLOTSKAYA (Mińsk Białoruś)</v>
          </cell>
        </row>
        <row r="430">
          <cell r="B430" t="str">
            <v/>
          </cell>
          <cell r="K430" t="str">
            <v>zwycięzca(cy): 19:21,21:17,21:19</v>
          </cell>
        </row>
        <row r="431">
          <cell r="B431">
            <v>1</v>
          </cell>
          <cell r="C431" t="str">
            <v>dzień turnieju.</v>
          </cell>
          <cell r="I431" t="str">
            <v>Nr meczu</v>
          </cell>
          <cell r="N431" t="str">
            <v>Godz.</v>
          </cell>
          <cell r="R431" t="str">
            <v>S. prow.</v>
          </cell>
          <cell r="AF431" t="str">
            <v>wygrany</v>
          </cell>
          <cell r="AG431" t="str">
            <v>przegrany</v>
          </cell>
        </row>
        <row r="432">
          <cell r="B432" t="str">
            <v>Boisko</v>
          </cell>
          <cell r="C432" t="str">
            <v>Gra</v>
          </cell>
          <cell r="I432">
            <v>62</v>
          </cell>
          <cell r="N432" t="str">
            <v>rozp.</v>
          </cell>
          <cell r="P432" t="str">
            <v>zak.</v>
          </cell>
          <cell r="R432" t="str">
            <v>S. serw.</v>
          </cell>
        </row>
        <row r="433">
          <cell r="A433">
            <v>62</v>
          </cell>
          <cell r="B433">
            <v>4</v>
          </cell>
          <cell r="C433" t="str">
            <v>podwójna dziewcząt M</v>
          </cell>
          <cell r="H433">
            <v>12</v>
          </cell>
          <cell r="I433">
            <v>21</v>
          </cell>
          <cell r="J433">
            <v>18</v>
          </cell>
          <cell r="K433">
            <v>21</v>
          </cell>
          <cell r="P433">
            <v>0.58333333333333337</v>
          </cell>
          <cell r="R433">
            <v>0.58333333333333337</v>
          </cell>
          <cell r="S433" t="str">
            <v>pt 13:00</v>
          </cell>
          <cell r="X433">
            <v>62</v>
          </cell>
          <cell r="Y433" t="str">
            <v>podwójna dziewcząt M</v>
          </cell>
          <cell r="Z433" t="str">
            <v>J4598</v>
          </cell>
          <cell r="AA433" t="str">
            <v>S4609</v>
          </cell>
          <cell r="AB433" t="str">
            <v>J4555</v>
          </cell>
          <cell r="AC433" t="str">
            <v>R4591</v>
          </cell>
          <cell r="AD433" t="str">
            <v>J4555</v>
          </cell>
          <cell r="AE433" t="str">
            <v>R4591</v>
          </cell>
          <cell r="AF433" t="str">
            <v>21:12,21:18</v>
          </cell>
          <cell r="AG433" t="str">
            <v>12:21,18:21</v>
          </cell>
          <cell r="AH433" t="str">
            <v/>
          </cell>
          <cell r="AI433">
            <v>12</v>
          </cell>
          <cell r="AJ433">
            <v>21</v>
          </cell>
          <cell r="AK433">
            <v>18</v>
          </cell>
          <cell r="AL433">
            <v>21</v>
          </cell>
          <cell r="AM433">
            <v>0</v>
          </cell>
          <cell r="AN433">
            <v>0</v>
          </cell>
        </row>
        <row r="434">
          <cell r="A434" t="str">
            <v/>
          </cell>
          <cell r="B434" t="str">
            <v>Karolina JODZIO (SKB Suwałki)</v>
          </cell>
          <cell r="H434" t="str">
            <v>J4598</v>
          </cell>
          <cell r="K434" t="str">
            <v>J4555</v>
          </cell>
          <cell r="N434" t="str">
            <v>Izabela JAJKO (UKS Orliki Ropica Polska)</v>
          </cell>
        </row>
        <row r="435">
          <cell r="A435" t="str">
            <v/>
          </cell>
          <cell r="B435" t="str">
            <v>Jolanta SZYMAŃSKA (SKB Suwałki)</v>
          </cell>
          <cell r="H435" t="str">
            <v>S4609</v>
          </cell>
          <cell r="K435" t="str">
            <v>R4591</v>
          </cell>
          <cell r="N435" t="str">
            <v>Natalia RÓG (MKS Stal Nowa Dęba)</v>
          </cell>
        </row>
        <row r="437">
          <cell r="B437" t="str">
            <v/>
          </cell>
          <cell r="K437" t="str">
            <v>zwycięzca(cy): 21:12,21:18</v>
          </cell>
        </row>
        <row r="438">
          <cell r="B438">
            <v>1</v>
          </cell>
          <cell r="C438" t="str">
            <v>dzień turnieju.</v>
          </cell>
          <cell r="I438" t="str">
            <v>Nr meczu</v>
          </cell>
          <cell r="N438" t="str">
            <v>Godz.</v>
          </cell>
          <cell r="R438" t="str">
            <v>S. prow.</v>
          </cell>
          <cell r="AF438" t="str">
            <v>wygrany</v>
          </cell>
          <cell r="AG438" t="str">
            <v>przegrany</v>
          </cell>
        </row>
        <row r="439">
          <cell r="B439" t="str">
            <v>Boisko</v>
          </cell>
          <cell r="C439" t="str">
            <v>Gra</v>
          </cell>
          <cell r="I439">
            <v>63</v>
          </cell>
          <cell r="N439" t="str">
            <v>rozp.</v>
          </cell>
          <cell r="P439" t="str">
            <v>zak.</v>
          </cell>
          <cell r="R439" t="str">
            <v>S. serw.</v>
          </cell>
        </row>
        <row r="440">
          <cell r="A440">
            <v>63</v>
          </cell>
          <cell r="B440">
            <v>1</v>
          </cell>
          <cell r="C440" t="str">
            <v>podwójna dziewcząt M</v>
          </cell>
          <cell r="H440">
            <v>21</v>
          </cell>
          <cell r="I440">
            <v>10</v>
          </cell>
          <cell r="J440">
            <v>21</v>
          </cell>
          <cell r="K440">
            <v>9</v>
          </cell>
          <cell r="P440">
            <v>0.55902777777777779</v>
          </cell>
          <cell r="R440">
            <v>0.55902777777777779</v>
          </cell>
          <cell r="S440" t="str">
            <v>pt 13:00</v>
          </cell>
          <cell r="X440">
            <v>63</v>
          </cell>
          <cell r="Y440" t="str">
            <v>podwójna dziewcząt M</v>
          </cell>
          <cell r="Z440" t="str">
            <v>D4545</v>
          </cell>
          <cell r="AA440" t="str">
            <v>O4640</v>
          </cell>
          <cell r="AB440" t="str">
            <v>G4142</v>
          </cell>
          <cell r="AC440" t="str">
            <v>M4152</v>
          </cell>
          <cell r="AD440" t="str">
            <v>D4545</v>
          </cell>
          <cell r="AE440" t="str">
            <v>O4640</v>
          </cell>
          <cell r="AF440" t="str">
            <v>21:10,21:9</v>
          </cell>
          <cell r="AG440" t="str">
            <v>10:21,9:21</v>
          </cell>
          <cell r="AH440" t="str">
            <v/>
          </cell>
          <cell r="AI440">
            <v>21</v>
          </cell>
          <cell r="AJ440">
            <v>10</v>
          </cell>
          <cell r="AK440">
            <v>21</v>
          </cell>
          <cell r="AL440">
            <v>9</v>
          </cell>
          <cell r="AM440">
            <v>0</v>
          </cell>
          <cell r="AN440">
            <v>0</v>
          </cell>
        </row>
        <row r="441">
          <cell r="A441" t="str">
            <v/>
          </cell>
          <cell r="B441" t="str">
            <v>Joanna DORAWA (MKB Lednik Miastko)</v>
          </cell>
          <cell r="H441" t="str">
            <v>D4545</v>
          </cell>
          <cell r="K441" t="str">
            <v>G4142</v>
          </cell>
          <cell r="N441" t="str">
            <v>Agnieszka GRZEMPA (UKS Lotka Lubiewo)</v>
          </cell>
        </row>
        <row r="442">
          <cell r="A442" t="str">
            <v/>
          </cell>
          <cell r="B442" t="str">
            <v>Klaudia OSTROWSKA (MKB Lednik Miastko)</v>
          </cell>
          <cell r="H442" t="str">
            <v>O4640</v>
          </cell>
          <cell r="K442" t="str">
            <v>M4152</v>
          </cell>
          <cell r="N442" t="str">
            <v>Aleksandra MARTIN (UKS Lotka Lubiewo)</v>
          </cell>
        </row>
        <row r="444">
          <cell r="B444" t="str">
            <v>zwycięzca(cy): 21:10,21:9</v>
          </cell>
          <cell r="K444" t="str">
            <v/>
          </cell>
        </row>
        <row r="445">
          <cell r="B445">
            <v>1</v>
          </cell>
          <cell r="C445" t="str">
            <v>dzień turnieju.</v>
          </cell>
          <cell r="I445" t="str">
            <v>Nr meczu</v>
          </cell>
          <cell r="N445" t="str">
            <v>Godz.</v>
          </cell>
          <cell r="R445" t="str">
            <v>S. prow.</v>
          </cell>
          <cell r="AF445" t="str">
            <v>wygrany</v>
          </cell>
          <cell r="AG445" t="str">
            <v>przegrany</v>
          </cell>
        </row>
        <row r="446">
          <cell r="B446" t="str">
            <v>Boisko</v>
          </cell>
          <cell r="C446" t="str">
            <v>Gra</v>
          </cell>
          <cell r="I446">
            <v>64</v>
          </cell>
          <cell r="N446" t="str">
            <v>rozp.</v>
          </cell>
          <cell r="P446" t="str">
            <v>zak.</v>
          </cell>
          <cell r="R446" t="str">
            <v>S. serw.</v>
          </cell>
        </row>
        <row r="447">
          <cell r="A447">
            <v>64</v>
          </cell>
          <cell r="B447">
            <v>3</v>
          </cell>
          <cell r="C447" t="str">
            <v>podwójna dziewcząt M</v>
          </cell>
          <cell r="H447">
            <v>21</v>
          </cell>
          <cell r="I447">
            <v>8</v>
          </cell>
          <cell r="J447">
            <v>21</v>
          </cell>
          <cell r="K447">
            <v>11</v>
          </cell>
          <cell r="P447">
            <v>0.57986111111111105</v>
          </cell>
          <cell r="R447">
            <v>0.57986111111111105</v>
          </cell>
          <cell r="S447" t="str">
            <v>pt 13:00</v>
          </cell>
          <cell r="X447">
            <v>64</v>
          </cell>
          <cell r="Y447" t="str">
            <v>podwójna dziewcząt M</v>
          </cell>
          <cell r="Z447" t="str">
            <v>K5033</v>
          </cell>
          <cell r="AA447" t="str">
            <v>P4197</v>
          </cell>
          <cell r="AB447" t="str">
            <v>S5167</v>
          </cell>
          <cell r="AC447" t="str">
            <v>S4873</v>
          </cell>
          <cell r="AD447" t="str">
            <v>K5033</v>
          </cell>
          <cell r="AE447" t="str">
            <v>P4197</v>
          </cell>
          <cell r="AF447" t="str">
            <v>21:8,21:11</v>
          </cell>
          <cell r="AG447" t="str">
            <v>8:21,11:21</v>
          </cell>
          <cell r="AH447" t="str">
            <v/>
          </cell>
          <cell r="AI447">
            <v>21</v>
          </cell>
          <cell r="AJ447">
            <v>8</v>
          </cell>
          <cell r="AK447">
            <v>21</v>
          </cell>
          <cell r="AL447">
            <v>11</v>
          </cell>
          <cell r="AM447">
            <v>0</v>
          </cell>
          <cell r="AN447">
            <v>0</v>
          </cell>
        </row>
        <row r="448">
          <cell r="A448" t="str">
            <v/>
          </cell>
          <cell r="B448" t="str">
            <v>Magdalena KULSKA (UKS Unia Bieruń)</v>
          </cell>
          <cell r="H448" t="str">
            <v>K5033</v>
          </cell>
          <cell r="K448" t="str">
            <v>S5167</v>
          </cell>
          <cell r="N448" t="str">
            <v>Roksana STOKOWSKA (UTS Akro-Bad Warszawa)</v>
          </cell>
        </row>
        <row r="449">
          <cell r="A449" t="str">
            <v/>
          </cell>
          <cell r="B449" t="str">
            <v>Zuzanna PARYSZ (UKS Unia Bieruń)</v>
          </cell>
          <cell r="H449" t="str">
            <v>P4197</v>
          </cell>
          <cell r="K449" t="str">
            <v>S4873</v>
          </cell>
          <cell r="N449" t="str">
            <v>Natalia STRZELCZYK (KS Hubertus Zalesie Górne)</v>
          </cell>
        </row>
        <row r="451">
          <cell r="B451" t="str">
            <v>zwycięzca(cy): 21:8,21:11</v>
          </cell>
          <cell r="K451" t="str">
            <v/>
          </cell>
        </row>
        <row r="452">
          <cell r="B452">
            <v>1</v>
          </cell>
          <cell r="C452" t="str">
            <v>dzień turnieju.</v>
          </cell>
          <cell r="I452" t="str">
            <v>Nr meczu</v>
          </cell>
          <cell r="N452" t="str">
            <v>Godz.</v>
          </cell>
          <cell r="R452" t="str">
            <v>S. prow.</v>
          </cell>
          <cell r="AF452" t="str">
            <v>wygrany</v>
          </cell>
          <cell r="AG452" t="str">
            <v>przegrany</v>
          </cell>
        </row>
        <row r="453">
          <cell r="B453" t="str">
            <v>Boisko</v>
          </cell>
          <cell r="C453" t="str">
            <v>Gra</v>
          </cell>
          <cell r="I453">
            <v>65</v>
          </cell>
          <cell r="N453" t="str">
            <v>rozp.</v>
          </cell>
          <cell r="P453" t="str">
            <v>zak.</v>
          </cell>
          <cell r="R453" t="str">
            <v>S. serw.</v>
          </cell>
        </row>
        <row r="454">
          <cell r="A454">
            <v>65</v>
          </cell>
          <cell r="B454">
            <v>4</v>
          </cell>
          <cell r="C454" t="str">
            <v>podwójna dziewcząt M</v>
          </cell>
          <cell r="H454">
            <v>10</v>
          </cell>
          <cell r="I454">
            <v>21</v>
          </cell>
          <cell r="J454">
            <v>5</v>
          </cell>
          <cell r="K454">
            <v>21</v>
          </cell>
          <cell r="P454">
            <v>0.57986111111111105</v>
          </cell>
          <cell r="R454">
            <v>0.57986111111111105</v>
          </cell>
          <cell r="S454" t="str">
            <v>pt 13:00</v>
          </cell>
          <cell r="X454">
            <v>65</v>
          </cell>
          <cell r="Y454" t="str">
            <v>podwójna dziewcząt M</v>
          </cell>
          <cell r="Z454" t="str">
            <v>P5195</v>
          </cell>
          <cell r="AA454" t="str">
            <v>Ż5193</v>
          </cell>
          <cell r="AB454" t="str">
            <v>G4208</v>
          </cell>
          <cell r="AC454" t="str">
            <v>M3746</v>
          </cell>
          <cell r="AD454" t="str">
            <v>G4208</v>
          </cell>
          <cell r="AE454" t="str">
            <v>M3746</v>
          </cell>
          <cell r="AF454" t="str">
            <v>21:10,21:5</v>
          </cell>
          <cell r="AG454" t="str">
            <v>10:21,5:21</v>
          </cell>
          <cell r="AH454" t="str">
            <v/>
          </cell>
          <cell r="AI454">
            <v>10</v>
          </cell>
          <cell r="AJ454">
            <v>21</v>
          </cell>
          <cell r="AK454">
            <v>5</v>
          </cell>
          <cell r="AL454">
            <v>21</v>
          </cell>
          <cell r="AM454">
            <v>0</v>
          </cell>
          <cell r="AN454">
            <v>0</v>
          </cell>
        </row>
        <row r="455">
          <cell r="A455" t="str">
            <v/>
          </cell>
          <cell r="B455" t="str">
            <v>Monika PIOTROWSKA (UKS Kiko Zamość)</v>
          </cell>
          <cell r="H455" t="str">
            <v>P5195</v>
          </cell>
          <cell r="K455" t="str">
            <v>G4208</v>
          </cell>
          <cell r="N455" t="str">
            <v>Aleksandra GOSZCZYŃSKA (UKSB Milenium Warszawa)</v>
          </cell>
        </row>
        <row r="456">
          <cell r="A456" t="str">
            <v/>
          </cell>
          <cell r="B456" t="str">
            <v>Natalia ŻUJEWSKA (UKS Kiko Zamość)</v>
          </cell>
          <cell r="H456" t="str">
            <v>Ż5193</v>
          </cell>
          <cell r="K456" t="str">
            <v>M3746</v>
          </cell>
          <cell r="N456" t="str">
            <v>Dorota MATYSIAK (KS Hubertus Zalesie Górne)</v>
          </cell>
        </row>
        <row r="458">
          <cell r="B458" t="str">
            <v/>
          </cell>
          <cell r="K458" t="str">
            <v>zwycięzca(cy): 21:10,21:5</v>
          </cell>
        </row>
        <row r="459">
          <cell r="B459">
            <v>1</v>
          </cell>
          <cell r="C459" t="str">
            <v>dzień turnieju.</v>
          </cell>
          <cell r="I459" t="str">
            <v>Nr meczu</v>
          </cell>
          <cell r="N459" t="str">
            <v>Godz.</v>
          </cell>
          <cell r="R459" t="str">
            <v>S. prow.</v>
          </cell>
          <cell r="AF459" t="str">
            <v>wygrany</v>
          </cell>
          <cell r="AG459" t="str">
            <v>przegrany</v>
          </cell>
        </row>
        <row r="460">
          <cell r="B460" t="str">
            <v>Boisko</v>
          </cell>
          <cell r="C460" t="str">
            <v>Gra</v>
          </cell>
          <cell r="I460">
            <v>66</v>
          </cell>
          <cell r="N460" t="str">
            <v>rozp.</v>
          </cell>
          <cell r="P460" t="str">
            <v>zak.</v>
          </cell>
          <cell r="R460" t="str">
            <v>S. serw.</v>
          </cell>
        </row>
        <row r="461">
          <cell r="A461">
            <v>66</v>
          </cell>
          <cell r="B461">
            <v>1</v>
          </cell>
          <cell r="C461" t="str">
            <v>podwójna dziewcząt M</v>
          </cell>
          <cell r="H461">
            <v>21</v>
          </cell>
          <cell r="I461">
            <v>18</v>
          </cell>
          <cell r="J461">
            <v>15</v>
          </cell>
          <cell r="K461">
            <v>21</v>
          </cell>
          <cell r="L461">
            <v>21</v>
          </cell>
          <cell r="M461">
            <v>14</v>
          </cell>
          <cell r="P461">
            <v>0.58333333333333337</v>
          </cell>
          <cell r="R461">
            <v>0.58333333333333337</v>
          </cell>
          <cell r="S461" t="str">
            <v>pt 13:00</v>
          </cell>
          <cell r="X461">
            <v>66</v>
          </cell>
          <cell r="Y461" t="str">
            <v>podwójna dziewcząt M</v>
          </cell>
          <cell r="Z461" t="str">
            <v>M4285</v>
          </cell>
          <cell r="AA461" t="str">
            <v>T5056</v>
          </cell>
          <cell r="AB461" t="str">
            <v>D4724</v>
          </cell>
          <cell r="AC461" t="str">
            <v>K4576</v>
          </cell>
          <cell r="AD461" t="str">
            <v>M4285</v>
          </cell>
          <cell r="AE461" t="str">
            <v>T5056</v>
          </cell>
          <cell r="AF461" t="str">
            <v>21:18,15:21,21:14</v>
          </cell>
          <cell r="AG461" t="str">
            <v>18:21,21:15,14:21</v>
          </cell>
          <cell r="AH461" t="str">
            <v/>
          </cell>
          <cell r="AI461">
            <v>21</v>
          </cell>
          <cell r="AJ461">
            <v>18</v>
          </cell>
          <cell r="AK461">
            <v>15</v>
          </cell>
          <cell r="AL461">
            <v>21</v>
          </cell>
          <cell r="AM461">
            <v>21</v>
          </cell>
          <cell r="AN461">
            <v>14</v>
          </cell>
        </row>
        <row r="462">
          <cell r="A462" t="str">
            <v/>
          </cell>
          <cell r="B462" t="str">
            <v>Beata MICHALUK (SKB Suwałki)</v>
          </cell>
          <cell r="H462" t="str">
            <v>M4285</v>
          </cell>
          <cell r="K462" t="str">
            <v>D4724</v>
          </cell>
          <cell r="N462" t="str">
            <v>Wiktoria DZIKI (LKS Technik Głubczyce)</v>
          </cell>
        </row>
        <row r="463">
          <cell r="A463" t="str">
            <v/>
          </cell>
          <cell r="B463" t="str">
            <v>Martyna TROJNIAR (SKB Suwałki)</v>
          </cell>
          <cell r="H463" t="str">
            <v>T5056</v>
          </cell>
          <cell r="K463" t="str">
            <v>K4576</v>
          </cell>
          <cell r="N463" t="str">
            <v>Paulina KLIMEK (MKS Strzelce Opolskie)</v>
          </cell>
        </row>
        <row r="465">
          <cell r="B465" t="str">
            <v>zwycięzca(cy): 21:18,15:21,21:14</v>
          </cell>
          <cell r="K465" t="str">
            <v/>
          </cell>
        </row>
        <row r="466">
          <cell r="B466">
            <v>1</v>
          </cell>
          <cell r="C466" t="str">
            <v>dzień turnieju.</v>
          </cell>
          <cell r="I466" t="str">
            <v>Nr meczu</v>
          </cell>
          <cell r="N466" t="str">
            <v>Godz.</v>
          </cell>
          <cell r="R466" t="str">
            <v>S. prow.</v>
          </cell>
          <cell r="AF466" t="str">
            <v>wygrany</v>
          </cell>
          <cell r="AG466" t="str">
            <v>przegrany</v>
          </cell>
        </row>
        <row r="467">
          <cell r="B467" t="str">
            <v>Boisko</v>
          </cell>
          <cell r="C467" t="str">
            <v>Gra</v>
          </cell>
          <cell r="I467">
            <v>67</v>
          </cell>
          <cell r="N467" t="str">
            <v>rozp.</v>
          </cell>
          <cell r="P467" t="str">
            <v>zak.</v>
          </cell>
          <cell r="R467" t="str">
            <v>S. serw.</v>
          </cell>
        </row>
        <row r="468">
          <cell r="A468">
            <v>67</v>
          </cell>
          <cell r="B468">
            <v>2</v>
          </cell>
          <cell r="C468" t="str">
            <v>podwójna dziewcząt M</v>
          </cell>
          <cell r="H468">
            <v>21</v>
          </cell>
          <cell r="I468">
            <v>19</v>
          </cell>
          <cell r="J468">
            <v>21</v>
          </cell>
          <cell r="K468">
            <v>15</v>
          </cell>
          <cell r="P468">
            <v>0.57986111111111105</v>
          </cell>
          <cell r="R468">
            <v>0.57986111111111105</v>
          </cell>
          <cell r="S468" t="str">
            <v>pt 13:00</v>
          </cell>
          <cell r="X468">
            <v>67</v>
          </cell>
          <cell r="Y468" t="str">
            <v>podwójna dziewcząt M</v>
          </cell>
          <cell r="Z468" t="str">
            <v>K4735</v>
          </cell>
          <cell r="AA468" t="str">
            <v>Z4822</v>
          </cell>
          <cell r="AB468" t="str">
            <v>X21</v>
          </cell>
          <cell r="AC468" t="str">
            <v>G3411</v>
          </cell>
          <cell r="AD468" t="str">
            <v>K4735</v>
          </cell>
          <cell r="AE468" t="str">
            <v>Z4822</v>
          </cell>
          <cell r="AF468" t="str">
            <v>21:19,21:15</v>
          </cell>
          <cell r="AG468" t="str">
            <v>19:21,15:21</v>
          </cell>
          <cell r="AH468" t="str">
            <v/>
          </cell>
          <cell r="AI468">
            <v>21</v>
          </cell>
          <cell r="AJ468">
            <v>19</v>
          </cell>
          <cell r="AK468">
            <v>21</v>
          </cell>
          <cell r="AL468">
            <v>15</v>
          </cell>
          <cell r="AM468">
            <v>0</v>
          </cell>
          <cell r="AN468">
            <v>0</v>
          </cell>
        </row>
        <row r="469">
          <cell r="A469" t="str">
            <v/>
          </cell>
          <cell r="B469" t="str">
            <v>Oktawia KOISZ (UKS Kiko Zamość)</v>
          </cell>
          <cell r="H469" t="str">
            <v>K4735</v>
          </cell>
          <cell r="K469" t="str">
            <v>X21</v>
          </cell>
          <cell r="N469" t="str">
            <v>Tetiana ABRAMOVA (Vinnica Ukraina)</v>
          </cell>
        </row>
        <row r="470">
          <cell r="A470" t="str">
            <v/>
          </cell>
          <cell r="B470" t="str">
            <v>Julia ZIEMIŃSKA (UKS Kiko Zamość)</v>
          </cell>
          <cell r="H470" t="str">
            <v>Z4822</v>
          </cell>
          <cell r="K470" t="str">
            <v>G3411</v>
          </cell>
          <cell r="N470" t="str">
            <v>Magdalena GOLENIA (UKS Sokół Ropczyce)</v>
          </cell>
        </row>
        <row r="472">
          <cell r="B472" t="str">
            <v>zwycięzca(cy): 21:19,21:15</v>
          </cell>
          <cell r="K472" t="str">
            <v/>
          </cell>
        </row>
        <row r="473">
          <cell r="B473">
            <v>1</v>
          </cell>
          <cell r="C473" t="str">
            <v>dzień turnieju.</v>
          </cell>
          <cell r="I473" t="str">
            <v>Nr meczu</v>
          </cell>
          <cell r="N473" t="str">
            <v>Godz.</v>
          </cell>
          <cell r="R473" t="str">
            <v>S. prow.</v>
          </cell>
          <cell r="AF473" t="str">
            <v>wygrany</v>
          </cell>
          <cell r="AG473" t="str">
            <v>przegrany</v>
          </cell>
        </row>
        <row r="474">
          <cell r="B474" t="str">
            <v>Boisko</v>
          </cell>
          <cell r="C474" t="str">
            <v>Gra</v>
          </cell>
          <cell r="I474">
            <v>68</v>
          </cell>
          <cell r="N474" t="str">
            <v>rozp.</v>
          </cell>
          <cell r="P474" t="str">
            <v>zak.</v>
          </cell>
          <cell r="R474" t="str">
            <v>S. serw.</v>
          </cell>
        </row>
        <row r="475">
          <cell r="A475">
            <v>68</v>
          </cell>
          <cell r="B475">
            <v>5</v>
          </cell>
          <cell r="C475" t="str">
            <v>podwójna dziewcząt M</v>
          </cell>
          <cell r="H475">
            <v>21</v>
          </cell>
          <cell r="I475">
            <v>4</v>
          </cell>
          <cell r="J475">
            <v>21</v>
          </cell>
          <cell r="K475">
            <v>5</v>
          </cell>
          <cell r="P475">
            <v>0.57986111111111105</v>
          </cell>
          <cell r="R475">
            <v>0.57986111111111105</v>
          </cell>
          <cell r="S475" t="str">
            <v>pt 13:00</v>
          </cell>
          <cell r="X475">
            <v>68</v>
          </cell>
          <cell r="Y475" t="str">
            <v>podwójna dziewcząt M</v>
          </cell>
          <cell r="Z475" t="str">
            <v>A4292</v>
          </cell>
          <cell r="AA475" t="str">
            <v>P4786</v>
          </cell>
          <cell r="AB475" t="str">
            <v>R5590</v>
          </cell>
          <cell r="AC475" t="str">
            <v>S5361</v>
          </cell>
          <cell r="AD475" t="str">
            <v>A4292</v>
          </cell>
          <cell r="AE475" t="str">
            <v>P4786</v>
          </cell>
          <cell r="AF475" t="str">
            <v>21:4,21:5</v>
          </cell>
          <cell r="AG475" t="str">
            <v>4:21,5:21</v>
          </cell>
          <cell r="AH475" t="str">
            <v/>
          </cell>
          <cell r="AI475">
            <v>21</v>
          </cell>
          <cell r="AJ475">
            <v>4</v>
          </cell>
          <cell r="AK475">
            <v>21</v>
          </cell>
          <cell r="AL475">
            <v>5</v>
          </cell>
          <cell r="AM475">
            <v>0</v>
          </cell>
          <cell r="AN475">
            <v>0</v>
          </cell>
        </row>
        <row r="476">
          <cell r="A476" t="str">
            <v/>
          </cell>
          <cell r="B476" t="str">
            <v>Wiktoria ADAMEK (UKS Ząbkowice Dąbrowa Górn.)</v>
          </cell>
          <cell r="H476" t="str">
            <v>A4292</v>
          </cell>
          <cell r="K476" t="str">
            <v>R5590</v>
          </cell>
          <cell r="N476" t="str">
            <v>Julia RUSZKOWSKA (KSR Wolant Łódź)</v>
          </cell>
        </row>
        <row r="477">
          <cell r="A477" t="str">
            <v/>
          </cell>
          <cell r="B477" t="str">
            <v>Aleksandra PTAK (STB Energia Lubliniec)</v>
          </cell>
          <cell r="H477" t="str">
            <v>P4786</v>
          </cell>
          <cell r="K477" t="str">
            <v>S5361</v>
          </cell>
          <cell r="N477" t="str">
            <v>Hanna SZEJN (KSR Wolant Łódź)</v>
          </cell>
        </row>
        <row r="479">
          <cell r="B479" t="str">
            <v>zwycięzca(cy): 21:4,21:5</v>
          </cell>
          <cell r="K479" t="str">
            <v/>
          </cell>
        </row>
        <row r="480">
          <cell r="B480">
            <v>1</v>
          </cell>
          <cell r="C480" t="str">
            <v>dzień turnieju.</v>
          </cell>
          <cell r="I480" t="str">
            <v>Nr meczu</v>
          </cell>
          <cell r="N480" t="str">
            <v>Godz.</v>
          </cell>
          <cell r="R480" t="str">
            <v>S. prow.</v>
          </cell>
          <cell r="AF480" t="str">
            <v>wygrany</v>
          </cell>
          <cell r="AG480" t="str">
            <v>przegrany</v>
          </cell>
        </row>
        <row r="481">
          <cell r="B481" t="str">
            <v>Boisko</v>
          </cell>
          <cell r="C481" t="str">
            <v>Gra</v>
          </cell>
          <cell r="I481">
            <v>69</v>
          </cell>
          <cell r="N481" t="str">
            <v>rozp.</v>
          </cell>
          <cell r="P481" t="str">
            <v>zak.</v>
          </cell>
          <cell r="R481" t="str">
            <v>S. serw.</v>
          </cell>
        </row>
        <row r="482">
          <cell r="A482">
            <v>69</v>
          </cell>
          <cell r="B482">
            <v>3</v>
          </cell>
          <cell r="C482" t="str">
            <v>podwójna chłopców M</v>
          </cell>
          <cell r="H482">
            <v>21</v>
          </cell>
          <cell r="I482">
            <v>17</v>
          </cell>
          <cell r="J482">
            <v>21</v>
          </cell>
          <cell r="K482">
            <v>16</v>
          </cell>
          <cell r="P482">
            <v>0.58958333333333335</v>
          </cell>
          <cell r="R482">
            <v>0.58958333333333335</v>
          </cell>
          <cell r="S482" t="str">
            <v>pt 13:40</v>
          </cell>
          <cell r="X482">
            <v>69</v>
          </cell>
          <cell r="Y482" t="str">
            <v>podwójna chłopców M</v>
          </cell>
          <cell r="Z482" t="str">
            <v>A4673</v>
          </cell>
          <cell r="AA482" t="str">
            <v>J4677</v>
          </cell>
          <cell r="AB482" t="str">
            <v>K4579</v>
          </cell>
          <cell r="AC482" t="str">
            <v>S5541</v>
          </cell>
          <cell r="AD482" t="str">
            <v>A4673</v>
          </cell>
          <cell r="AE482" t="str">
            <v>J4677</v>
          </cell>
          <cell r="AF482" t="str">
            <v>21:17,21:16</v>
          </cell>
          <cell r="AG482" t="str">
            <v>17:21,16:21</v>
          </cell>
          <cell r="AH482" t="str">
            <v/>
          </cell>
          <cell r="AI482">
            <v>21</v>
          </cell>
          <cell r="AJ482">
            <v>17</v>
          </cell>
          <cell r="AK482">
            <v>21</v>
          </cell>
          <cell r="AL482">
            <v>16</v>
          </cell>
          <cell r="AM482">
            <v>0</v>
          </cell>
          <cell r="AN482">
            <v>0</v>
          </cell>
        </row>
        <row r="483">
          <cell r="A483" t="str">
            <v/>
          </cell>
          <cell r="B483" t="str">
            <v>Szymon ADAMCZUK (UKS Kiko Zamość)</v>
          </cell>
          <cell r="H483" t="str">
            <v>A4673</v>
          </cell>
          <cell r="K483" t="str">
            <v>K4579</v>
          </cell>
          <cell r="N483" t="str">
            <v>Miłosz KAIM (KS Masovia Płock)</v>
          </cell>
        </row>
        <row r="484">
          <cell r="A484" t="str">
            <v/>
          </cell>
          <cell r="B484" t="str">
            <v>Adam JAGODA (UKS Kiko Zamość)</v>
          </cell>
          <cell r="H484" t="str">
            <v>J4677</v>
          </cell>
          <cell r="K484" t="str">
            <v>S5541</v>
          </cell>
          <cell r="N484" t="str">
            <v>Kamil SOKOŁOWSKI (KS Masovia Płock)</v>
          </cell>
        </row>
        <row r="486">
          <cell r="B486" t="str">
            <v>zwycięzca(cy): 21:17,21:16</v>
          </cell>
          <cell r="K486" t="str">
            <v/>
          </cell>
        </row>
        <row r="487">
          <cell r="B487">
            <v>1</v>
          </cell>
          <cell r="C487" t="str">
            <v>dzień turnieju.</v>
          </cell>
          <cell r="I487" t="str">
            <v>Nr meczu</v>
          </cell>
          <cell r="N487" t="str">
            <v>Godz.</v>
          </cell>
          <cell r="R487" t="str">
            <v>S. prow.</v>
          </cell>
          <cell r="AF487" t="str">
            <v>wygrany</v>
          </cell>
          <cell r="AG487" t="str">
            <v>przegrany</v>
          </cell>
        </row>
        <row r="488">
          <cell r="B488" t="str">
            <v>Boisko</v>
          </cell>
          <cell r="C488" t="str">
            <v>Gra</v>
          </cell>
          <cell r="I488">
            <v>70</v>
          </cell>
          <cell r="N488" t="str">
            <v>rozp.</v>
          </cell>
          <cell r="P488" t="str">
            <v>zak.</v>
          </cell>
          <cell r="R488" t="str">
            <v>S. serw.</v>
          </cell>
        </row>
        <row r="489">
          <cell r="A489">
            <v>70</v>
          </cell>
          <cell r="B489">
            <v>2</v>
          </cell>
          <cell r="C489" t="str">
            <v>podwójna chłopców M</v>
          </cell>
          <cell r="H489">
            <v>8</v>
          </cell>
          <cell r="I489">
            <v>21</v>
          </cell>
          <cell r="J489">
            <v>9</v>
          </cell>
          <cell r="K489">
            <v>21</v>
          </cell>
          <cell r="P489">
            <v>0.59375</v>
          </cell>
          <cell r="R489">
            <v>0.59375</v>
          </cell>
          <cell r="S489" t="str">
            <v>pt 13:40</v>
          </cell>
          <cell r="X489">
            <v>70</v>
          </cell>
          <cell r="Y489" t="str">
            <v>podwójna chłopców M</v>
          </cell>
          <cell r="Z489" t="str">
            <v>M5027</v>
          </cell>
          <cell r="AA489" t="str">
            <v>M4588</v>
          </cell>
          <cell r="AB489" t="str">
            <v>K4613</v>
          </cell>
          <cell r="AC489" t="str">
            <v>L4716</v>
          </cell>
          <cell r="AD489" t="str">
            <v>K4613</v>
          </cell>
          <cell r="AE489" t="str">
            <v>L4716</v>
          </cell>
          <cell r="AF489" t="str">
            <v>21:8,21:9</v>
          </cell>
          <cell r="AG489" t="str">
            <v>8:21,9:21</v>
          </cell>
          <cell r="AH489" t="str">
            <v/>
          </cell>
          <cell r="AI489">
            <v>8</v>
          </cell>
          <cell r="AJ489">
            <v>21</v>
          </cell>
          <cell r="AK489">
            <v>9</v>
          </cell>
          <cell r="AL489">
            <v>21</v>
          </cell>
          <cell r="AM489">
            <v>0</v>
          </cell>
          <cell r="AN489">
            <v>0</v>
          </cell>
        </row>
        <row r="490">
          <cell r="A490" t="str">
            <v/>
          </cell>
          <cell r="B490" t="str">
            <v>Kamil MACIOŁEK (MKS Strzelce Opolskie)</v>
          </cell>
          <cell r="H490" t="str">
            <v>M5027</v>
          </cell>
          <cell r="K490" t="str">
            <v>K4613</v>
          </cell>
          <cell r="N490" t="str">
            <v>Jakub KUFEL (UKS Orbitek Straszęcin)</v>
          </cell>
        </row>
        <row r="491">
          <cell r="A491" t="str">
            <v/>
          </cell>
          <cell r="B491" t="str">
            <v>Jakub MINARTOWICZ (LKS Technik Głubczyce)</v>
          </cell>
          <cell r="H491" t="str">
            <v>M4588</v>
          </cell>
          <cell r="K491" t="str">
            <v>L4716</v>
          </cell>
          <cell r="N491" t="str">
            <v>Rafał LEJKO (MKS Stal Nowa Dęba)</v>
          </cell>
        </row>
        <row r="493">
          <cell r="B493" t="str">
            <v/>
          </cell>
          <cell r="K493" t="str">
            <v>zwycięzca(cy): 21:8,21:9</v>
          </cell>
        </row>
        <row r="494">
          <cell r="B494">
            <v>1</v>
          </cell>
          <cell r="C494" t="str">
            <v>dzień turnieju.</v>
          </cell>
          <cell r="I494" t="str">
            <v>Nr meczu</v>
          </cell>
          <cell r="N494" t="str">
            <v>Godz.</v>
          </cell>
          <cell r="R494" t="str">
            <v>S. prow.</v>
          </cell>
          <cell r="AF494" t="str">
            <v>wygrany</v>
          </cell>
          <cell r="AG494" t="str">
            <v>przegrany</v>
          </cell>
        </row>
        <row r="495">
          <cell r="B495" t="str">
            <v>Boisko</v>
          </cell>
          <cell r="C495" t="str">
            <v>Gra</v>
          </cell>
          <cell r="I495">
            <v>71</v>
          </cell>
          <cell r="N495" t="str">
            <v>rozp.</v>
          </cell>
          <cell r="P495" t="str">
            <v>zak.</v>
          </cell>
          <cell r="R495" t="str">
            <v>S. serw.</v>
          </cell>
        </row>
        <row r="496">
          <cell r="A496">
            <v>71</v>
          </cell>
          <cell r="B496">
            <v>5</v>
          </cell>
          <cell r="C496" t="str">
            <v>podwójna chłopców M</v>
          </cell>
          <cell r="H496">
            <v>21</v>
          </cell>
          <cell r="I496">
            <v>10</v>
          </cell>
          <cell r="J496">
            <v>21</v>
          </cell>
          <cell r="K496">
            <v>9</v>
          </cell>
          <cell r="P496">
            <v>0.59375</v>
          </cell>
          <cell r="R496">
            <v>0.59375</v>
          </cell>
          <cell r="S496" t="str">
            <v>pt 13:40</v>
          </cell>
          <cell r="X496">
            <v>71</v>
          </cell>
          <cell r="Y496" t="str">
            <v>podwójna chłopców M</v>
          </cell>
          <cell r="Z496" t="str">
            <v>B4431</v>
          </cell>
          <cell r="AA496" t="str">
            <v>K4432</v>
          </cell>
          <cell r="AB496" t="str">
            <v>X02</v>
          </cell>
          <cell r="AC496" t="str">
            <v>X04</v>
          </cell>
          <cell r="AD496" t="str">
            <v>B4431</v>
          </cell>
          <cell r="AE496" t="str">
            <v>K4432</v>
          </cell>
          <cell r="AF496" t="str">
            <v>21:10,21:9</v>
          </cell>
          <cell r="AG496" t="str">
            <v>10:21,9:21</v>
          </cell>
          <cell r="AH496" t="str">
            <v/>
          </cell>
          <cell r="AI496">
            <v>21</v>
          </cell>
          <cell r="AJ496">
            <v>10</v>
          </cell>
          <cell r="AK496">
            <v>21</v>
          </cell>
          <cell r="AL496">
            <v>9</v>
          </cell>
          <cell r="AM496">
            <v>0</v>
          </cell>
          <cell r="AN496">
            <v>0</v>
          </cell>
        </row>
        <row r="497">
          <cell r="A497" t="str">
            <v/>
          </cell>
          <cell r="B497" t="str">
            <v>Michał BIENIA (UKS Aktywna Piątka Przemyśl)</v>
          </cell>
          <cell r="H497" t="str">
            <v>B4431</v>
          </cell>
          <cell r="K497" t="str">
            <v>X02</v>
          </cell>
          <cell r="N497" t="str">
            <v>Matas GELZINIS (Litwa)</v>
          </cell>
        </row>
        <row r="498">
          <cell r="A498" t="str">
            <v/>
          </cell>
          <cell r="B498" t="str">
            <v>Daniel KNAP (UKS Aktywna Piątka Przemyśl)</v>
          </cell>
          <cell r="H498" t="str">
            <v>K4432</v>
          </cell>
          <cell r="K498" t="str">
            <v>X04</v>
          </cell>
          <cell r="N498" t="str">
            <v>Mantes  MAULE (Litwa)</v>
          </cell>
        </row>
        <row r="500">
          <cell r="B500" t="str">
            <v>zwycięzca(cy): 21:10,21:9</v>
          </cell>
          <cell r="K500" t="str">
            <v/>
          </cell>
        </row>
        <row r="501">
          <cell r="B501">
            <v>1</v>
          </cell>
          <cell r="C501" t="str">
            <v>dzień turnieju.</v>
          </cell>
          <cell r="I501" t="str">
            <v>Nr meczu</v>
          </cell>
          <cell r="N501" t="str">
            <v>Godz.</v>
          </cell>
          <cell r="R501" t="str">
            <v>S. prow.</v>
          </cell>
          <cell r="AF501" t="str">
            <v>wygrany</v>
          </cell>
          <cell r="AG501" t="str">
            <v>przegrany</v>
          </cell>
        </row>
        <row r="502">
          <cell r="B502" t="str">
            <v>Boisko</v>
          </cell>
          <cell r="C502" t="str">
            <v>Gra</v>
          </cell>
          <cell r="I502">
            <v>72</v>
          </cell>
          <cell r="N502" t="str">
            <v>rozp.</v>
          </cell>
          <cell r="P502" t="str">
            <v>zak.</v>
          </cell>
          <cell r="R502" t="str">
            <v>S. serw.</v>
          </cell>
        </row>
        <row r="503">
          <cell r="A503">
            <v>72</v>
          </cell>
          <cell r="B503">
            <v>6</v>
          </cell>
          <cell r="C503" t="str">
            <v>podwójna chłopców M</v>
          </cell>
          <cell r="H503">
            <v>21</v>
          </cell>
          <cell r="I503">
            <v>6</v>
          </cell>
          <cell r="J503">
            <v>21</v>
          </cell>
          <cell r="K503">
            <v>7</v>
          </cell>
          <cell r="P503">
            <v>0.59375</v>
          </cell>
          <cell r="R503">
            <v>0.59375</v>
          </cell>
          <cell r="S503" t="str">
            <v>pt 13:40</v>
          </cell>
          <cell r="X503">
            <v>72</v>
          </cell>
          <cell r="Y503" t="str">
            <v>podwójna chłopców M</v>
          </cell>
          <cell r="Z503" t="str">
            <v>P4121</v>
          </cell>
          <cell r="AA503" t="str">
            <v>P4530</v>
          </cell>
          <cell r="AB503" t="str">
            <v>F4652</v>
          </cell>
          <cell r="AC503" t="str">
            <v>W4651</v>
          </cell>
          <cell r="AD503" t="str">
            <v>P4121</v>
          </cell>
          <cell r="AE503" t="str">
            <v>P4530</v>
          </cell>
          <cell r="AF503" t="str">
            <v>21:6,21:7</v>
          </cell>
          <cell r="AG503" t="str">
            <v>6:21,7:21</v>
          </cell>
          <cell r="AH503" t="str">
            <v/>
          </cell>
          <cell r="AI503">
            <v>21</v>
          </cell>
          <cell r="AJ503">
            <v>6</v>
          </cell>
          <cell r="AK503">
            <v>21</v>
          </cell>
          <cell r="AL503">
            <v>7</v>
          </cell>
          <cell r="AM503">
            <v>0</v>
          </cell>
          <cell r="AN503">
            <v>0</v>
          </cell>
        </row>
        <row r="504">
          <cell r="A504" t="str">
            <v/>
          </cell>
          <cell r="B504" t="str">
            <v>Konrad PŁOCH (UKS Start Widełka)</v>
          </cell>
          <cell r="H504" t="str">
            <v>P4121</v>
          </cell>
          <cell r="K504" t="str">
            <v>F4652</v>
          </cell>
          <cell r="N504" t="str">
            <v>Kamil FRĄTCZAK (UKS Iskra Sarbice)</v>
          </cell>
        </row>
        <row r="505">
          <cell r="A505" t="str">
            <v/>
          </cell>
          <cell r="B505" t="str">
            <v>Krzysztof PŁOCH (UKS Start Widełka)</v>
          </cell>
          <cell r="H505" t="str">
            <v>P4530</v>
          </cell>
          <cell r="K505" t="str">
            <v>W4651</v>
          </cell>
          <cell r="N505" t="str">
            <v>Mateusz WUDARSKI (UKS Iskra Sarbice)</v>
          </cell>
        </row>
        <row r="507">
          <cell r="B507" t="str">
            <v>zwycięzca(cy): 21:6,21:7</v>
          </cell>
          <cell r="K507" t="str">
            <v/>
          </cell>
        </row>
        <row r="508">
          <cell r="B508">
            <v>1</v>
          </cell>
          <cell r="C508" t="str">
            <v>dzień turnieju.</v>
          </cell>
          <cell r="I508" t="str">
            <v>Nr meczu</v>
          </cell>
          <cell r="N508" t="str">
            <v>Godz.</v>
          </cell>
          <cell r="R508" t="str">
            <v>S. prow.</v>
          </cell>
          <cell r="AF508" t="str">
            <v>wygrany</v>
          </cell>
          <cell r="AG508" t="str">
            <v>przegrany</v>
          </cell>
        </row>
        <row r="509">
          <cell r="B509" t="str">
            <v>Boisko</v>
          </cell>
          <cell r="C509" t="str">
            <v>Gra</v>
          </cell>
          <cell r="I509">
            <v>73</v>
          </cell>
          <cell r="N509" t="str">
            <v>rozp.</v>
          </cell>
          <cell r="P509" t="str">
            <v>zak.</v>
          </cell>
          <cell r="R509" t="str">
            <v>S. serw.</v>
          </cell>
        </row>
        <row r="510">
          <cell r="A510">
            <v>73</v>
          </cell>
          <cell r="B510">
            <v>1</v>
          </cell>
          <cell r="C510" t="str">
            <v>podwójna chłopców M</v>
          </cell>
          <cell r="H510">
            <v>21</v>
          </cell>
          <cell r="I510">
            <v>9</v>
          </cell>
          <cell r="J510">
            <v>21</v>
          </cell>
          <cell r="K510">
            <v>11</v>
          </cell>
          <cell r="P510">
            <v>0.59722222222222221</v>
          </cell>
          <cell r="R510">
            <v>0.59722222222222221</v>
          </cell>
          <cell r="S510" t="str">
            <v>pt 13:40</v>
          </cell>
          <cell r="X510">
            <v>73</v>
          </cell>
          <cell r="Y510" t="str">
            <v>podwójna chłopców M</v>
          </cell>
          <cell r="Z510" t="str">
            <v>K4283</v>
          </cell>
          <cell r="AA510" t="str">
            <v>S4287</v>
          </cell>
          <cell r="AB510" t="str">
            <v>K5874</v>
          </cell>
          <cell r="AC510" t="str">
            <v>R4718</v>
          </cell>
          <cell r="AD510" t="str">
            <v>K4283</v>
          </cell>
          <cell r="AE510" t="str">
            <v>S4287</v>
          </cell>
          <cell r="AF510" t="str">
            <v>21:9,21:11</v>
          </cell>
          <cell r="AG510" t="str">
            <v>9:21,11:21</v>
          </cell>
          <cell r="AH510" t="str">
            <v/>
          </cell>
          <cell r="AI510">
            <v>21</v>
          </cell>
          <cell r="AJ510">
            <v>9</v>
          </cell>
          <cell r="AK510">
            <v>21</v>
          </cell>
          <cell r="AL510">
            <v>11</v>
          </cell>
          <cell r="AM510">
            <v>0</v>
          </cell>
          <cell r="AN510">
            <v>0</v>
          </cell>
        </row>
        <row r="511">
          <cell r="A511" t="str">
            <v/>
          </cell>
          <cell r="B511" t="str">
            <v>Filip KRUKOWSKI (SKB Suwałki)</v>
          </cell>
          <cell r="H511" t="str">
            <v>K4283</v>
          </cell>
          <cell r="K511" t="str">
            <v>K5874</v>
          </cell>
          <cell r="N511" t="str">
            <v>Maciej KURAN (----)</v>
          </cell>
        </row>
        <row r="512">
          <cell r="A512" t="str">
            <v/>
          </cell>
          <cell r="B512" t="str">
            <v>Michał SOBOLEWSKI (SKB Suwałki)</v>
          </cell>
          <cell r="H512" t="str">
            <v>S4287</v>
          </cell>
          <cell r="K512" t="str">
            <v>R4718</v>
          </cell>
          <cell r="N512" t="str">
            <v>Patryk RÓG (MKS Stal Nowa Dęba)</v>
          </cell>
        </row>
        <row r="514">
          <cell r="B514" t="str">
            <v>zwycięzca(cy): 21:9,21:11</v>
          </cell>
          <cell r="K514" t="str">
            <v/>
          </cell>
        </row>
        <row r="515">
          <cell r="B515">
            <v>1</v>
          </cell>
          <cell r="C515" t="str">
            <v>dzień turnieju.</v>
          </cell>
          <cell r="I515" t="str">
            <v>Nr meczu</v>
          </cell>
          <cell r="N515" t="str">
            <v>Godz.</v>
          </cell>
          <cell r="R515" t="str">
            <v>S. prow.</v>
          </cell>
          <cell r="AF515" t="str">
            <v>wygrany</v>
          </cell>
          <cell r="AG515" t="str">
            <v>przegrany</v>
          </cell>
        </row>
        <row r="516">
          <cell r="B516" t="str">
            <v>Boisko</v>
          </cell>
          <cell r="C516" t="str">
            <v>Gra</v>
          </cell>
          <cell r="I516">
            <v>74</v>
          </cell>
          <cell r="N516" t="str">
            <v>rozp.</v>
          </cell>
          <cell r="P516" t="str">
            <v>zak.</v>
          </cell>
          <cell r="R516" t="str">
            <v>S. serw.</v>
          </cell>
        </row>
        <row r="517">
          <cell r="A517">
            <v>74</v>
          </cell>
          <cell r="B517">
            <v>4</v>
          </cell>
          <cell r="C517" t="str">
            <v>podwójna chłopców M</v>
          </cell>
          <cell r="H517">
            <v>21</v>
          </cell>
          <cell r="I517">
            <v>16</v>
          </cell>
          <cell r="J517">
            <v>19</v>
          </cell>
          <cell r="K517">
            <v>21</v>
          </cell>
          <cell r="L517">
            <v>21</v>
          </cell>
          <cell r="M517">
            <v>14</v>
          </cell>
          <cell r="P517">
            <v>0.60763888888888895</v>
          </cell>
          <cell r="R517">
            <v>0.60763888888888895</v>
          </cell>
          <cell r="S517" t="str">
            <v>pt 13:40</v>
          </cell>
          <cell r="X517">
            <v>74</v>
          </cell>
          <cell r="Y517" t="str">
            <v>podwójna chłopców M</v>
          </cell>
          <cell r="Z517" t="str">
            <v>F4551</v>
          </cell>
          <cell r="AA517" t="str">
            <v>K4556</v>
          </cell>
          <cell r="AB517" t="str">
            <v>X23</v>
          </cell>
          <cell r="AC517" t="str">
            <v>X15</v>
          </cell>
          <cell r="AD517" t="str">
            <v>F4551</v>
          </cell>
          <cell r="AE517" t="str">
            <v>K4556</v>
          </cell>
          <cell r="AF517" t="str">
            <v>21:16,19:21,21:14</v>
          </cell>
          <cell r="AG517" t="str">
            <v>16:21,21:19,14:21</v>
          </cell>
          <cell r="AH517" t="str">
            <v/>
          </cell>
          <cell r="AI517">
            <v>21</v>
          </cell>
          <cell r="AJ517">
            <v>16</v>
          </cell>
          <cell r="AK517">
            <v>19</v>
          </cell>
          <cell r="AL517">
            <v>21</v>
          </cell>
          <cell r="AM517">
            <v>21</v>
          </cell>
          <cell r="AN517">
            <v>14</v>
          </cell>
        </row>
        <row r="518">
          <cell r="A518" t="str">
            <v/>
          </cell>
          <cell r="B518" t="str">
            <v>Grzegorz FRAŚ (MKS Spartakus Niepołomice)</v>
          </cell>
          <cell r="H518" t="str">
            <v>F4551</v>
          </cell>
          <cell r="K518" t="str">
            <v>X23</v>
          </cell>
          <cell r="N518" t="str">
            <v>Bogdan BRYCHUK (Vinnica Ukraina)</v>
          </cell>
        </row>
        <row r="519">
          <cell r="A519" t="str">
            <v/>
          </cell>
          <cell r="B519" t="str">
            <v>Piotr KUKUŁA (UKS Orliki Ropica Polska)</v>
          </cell>
          <cell r="H519" t="str">
            <v>K4556</v>
          </cell>
          <cell r="K519" t="str">
            <v>X15</v>
          </cell>
          <cell r="N519" t="str">
            <v>Ilya SHCHARBENKA (Mińsk Białoruś)</v>
          </cell>
        </row>
        <row r="521">
          <cell r="B521" t="str">
            <v>zwycięzca(cy): 21:16,19:21,21:14</v>
          </cell>
          <cell r="K521" t="str">
            <v/>
          </cell>
        </row>
        <row r="522">
          <cell r="B522">
            <v>1</v>
          </cell>
          <cell r="C522" t="str">
            <v>dzień turnieju.</v>
          </cell>
          <cell r="I522" t="str">
            <v>Nr meczu</v>
          </cell>
          <cell r="N522" t="str">
            <v>Godz.</v>
          </cell>
          <cell r="R522" t="str">
            <v>S. prow.</v>
          </cell>
          <cell r="AF522" t="str">
            <v>wygrany</v>
          </cell>
          <cell r="AG522" t="str">
            <v>przegrany</v>
          </cell>
        </row>
        <row r="523">
          <cell r="B523" t="str">
            <v>Boisko</v>
          </cell>
          <cell r="C523" t="str">
            <v>Gra</v>
          </cell>
          <cell r="I523">
            <v>75</v>
          </cell>
          <cell r="N523" t="str">
            <v>rozp.</v>
          </cell>
          <cell r="P523" t="str">
            <v>zak.</v>
          </cell>
          <cell r="R523" t="str">
            <v>S. serw.</v>
          </cell>
        </row>
        <row r="524">
          <cell r="A524">
            <v>75</v>
          </cell>
          <cell r="B524">
            <v>3</v>
          </cell>
          <cell r="C524" t="str">
            <v>podwójna chłopców M</v>
          </cell>
          <cell r="H524">
            <v>21</v>
          </cell>
          <cell r="I524">
            <v>3</v>
          </cell>
          <cell r="J524">
            <v>21</v>
          </cell>
          <cell r="K524">
            <v>10</v>
          </cell>
          <cell r="P524">
            <v>0.60763888888888895</v>
          </cell>
          <cell r="R524">
            <v>0.60763888888888895</v>
          </cell>
          <cell r="S524" t="str">
            <v>pt 13:40</v>
          </cell>
          <cell r="X524">
            <v>75</v>
          </cell>
          <cell r="Y524" t="str">
            <v>podwójna chłopców M</v>
          </cell>
          <cell r="Z524" t="str">
            <v>C3670</v>
          </cell>
          <cell r="AA524" t="str">
            <v>S3748</v>
          </cell>
          <cell r="AB524" t="str">
            <v>G5275</v>
          </cell>
          <cell r="AC524" t="str">
            <v>K4676</v>
          </cell>
          <cell r="AD524" t="str">
            <v>C3670</v>
          </cell>
          <cell r="AE524" t="str">
            <v>S3748</v>
          </cell>
          <cell r="AF524" t="str">
            <v>21:3,21:10</v>
          </cell>
          <cell r="AG524" t="str">
            <v>3:21,10:21</v>
          </cell>
          <cell r="AH524" t="str">
            <v/>
          </cell>
          <cell r="AI524">
            <v>21</v>
          </cell>
          <cell r="AJ524">
            <v>3</v>
          </cell>
          <cell r="AK524">
            <v>21</v>
          </cell>
          <cell r="AL524">
            <v>10</v>
          </cell>
          <cell r="AM524">
            <v>0</v>
          </cell>
          <cell r="AN524">
            <v>0</v>
          </cell>
        </row>
        <row r="525">
          <cell r="A525" t="str">
            <v/>
          </cell>
          <cell r="B525" t="str">
            <v>Robert CYBULSKI (MKB Lednik Miastko)</v>
          </cell>
          <cell r="H525" t="str">
            <v>C3670</v>
          </cell>
          <cell r="K525" t="str">
            <v>G5275</v>
          </cell>
          <cell r="N525" t="str">
            <v>Konrad GORGOL (PMKS Chrobry Piotrowice)</v>
          </cell>
        </row>
        <row r="526">
          <cell r="A526" t="str">
            <v/>
          </cell>
          <cell r="B526" t="str">
            <v>Adam SZOLC (KS Hubertus Zalesie Górne)</v>
          </cell>
          <cell r="H526" t="str">
            <v>S3748</v>
          </cell>
          <cell r="K526" t="str">
            <v>K4676</v>
          </cell>
          <cell r="N526" t="str">
            <v>Damian KASPERSKI (UKS Kiko Zamość)</v>
          </cell>
        </row>
        <row r="528">
          <cell r="B528" t="str">
            <v>zwycięzca(cy): 21:3,21:10</v>
          </cell>
          <cell r="K528" t="str">
            <v/>
          </cell>
        </row>
        <row r="529">
          <cell r="B529">
            <v>1</v>
          </cell>
          <cell r="C529" t="str">
            <v>dzień turnieju.</v>
          </cell>
          <cell r="I529" t="str">
            <v>Nr meczu</v>
          </cell>
          <cell r="N529" t="str">
            <v>Godz.</v>
          </cell>
          <cell r="R529" t="str">
            <v>S. prow.</v>
          </cell>
          <cell r="AF529" t="str">
            <v>wygrany</v>
          </cell>
          <cell r="AG529" t="str">
            <v>przegrany</v>
          </cell>
        </row>
        <row r="530">
          <cell r="B530" t="str">
            <v>Boisko</v>
          </cell>
          <cell r="C530" t="str">
            <v>Gra</v>
          </cell>
          <cell r="I530">
            <v>76</v>
          </cell>
          <cell r="N530" t="str">
            <v>rozp.</v>
          </cell>
          <cell r="P530" t="str">
            <v>zak.</v>
          </cell>
          <cell r="R530" t="str">
            <v>S. serw.</v>
          </cell>
        </row>
        <row r="531">
          <cell r="A531">
            <v>76</v>
          </cell>
          <cell r="B531">
            <v>5</v>
          </cell>
          <cell r="C531" t="str">
            <v>podwójna chłopców M</v>
          </cell>
          <cell r="H531">
            <v>21</v>
          </cell>
          <cell r="I531">
            <v>0</v>
          </cell>
          <cell r="J531">
            <v>21</v>
          </cell>
          <cell r="K531">
            <v>0</v>
          </cell>
          <cell r="P531">
            <v>0.59722222222222221</v>
          </cell>
          <cell r="R531">
            <v>0.59722222222222221</v>
          </cell>
          <cell r="S531" t="str">
            <v>pt 13:40</v>
          </cell>
          <cell r="X531">
            <v>76</v>
          </cell>
          <cell r="Y531" t="str">
            <v>podwójna chłopców M</v>
          </cell>
          <cell r="Z531" t="str">
            <v>G4577</v>
          </cell>
          <cell r="AA531" t="str">
            <v>K4563</v>
          </cell>
          <cell r="AB531" t="str">
            <v>K4124</v>
          </cell>
          <cell r="AC531" t="str">
            <v>R5482</v>
          </cell>
          <cell r="AD531" t="str">
            <v>G4577</v>
          </cell>
          <cell r="AE531" t="str">
            <v>K4563</v>
          </cell>
          <cell r="AF531" t="str">
            <v>21:0,21:0</v>
          </cell>
          <cell r="AG531" t="str">
            <v>0:21,0:21</v>
          </cell>
          <cell r="AH531" t="str">
            <v/>
          </cell>
          <cell r="AI531">
            <v>21</v>
          </cell>
          <cell r="AJ531">
            <v>0</v>
          </cell>
          <cell r="AK531">
            <v>21</v>
          </cell>
          <cell r="AL531">
            <v>0</v>
          </cell>
          <cell r="AM531">
            <v>0</v>
          </cell>
          <cell r="AN531">
            <v>0</v>
          </cell>
        </row>
        <row r="532">
          <cell r="A532" t="str">
            <v/>
          </cell>
          <cell r="B532" t="str">
            <v>Jakub GIREŃ (MKS Strzelce Opolskie)</v>
          </cell>
          <cell r="H532" t="str">
            <v>G4577</v>
          </cell>
          <cell r="K532" t="str">
            <v>K4124</v>
          </cell>
          <cell r="N532" t="str">
            <v>Adam KRZYMOWSKI (ŚKBad Harcownik Warszawa)</v>
          </cell>
        </row>
        <row r="533">
          <cell r="A533" t="str">
            <v/>
          </cell>
          <cell r="B533" t="str">
            <v>Kordian KOBYLNIK (LKS Technik Głubczyce)</v>
          </cell>
          <cell r="H533" t="str">
            <v>K4563</v>
          </cell>
          <cell r="K533" t="str">
            <v>R5482</v>
          </cell>
          <cell r="N533" t="str">
            <v>Jan RADZIEJEWSKI (ŚKBad Harcownik Warszawa)</v>
          </cell>
        </row>
        <row r="535">
          <cell r="B535" t="str">
            <v>zwycięzca(cy): 21:0,21:0</v>
          </cell>
          <cell r="K535" t="str">
            <v/>
          </cell>
        </row>
        <row r="536">
          <cell r="B536">
            <v>1</v>
          </cell>
          <cell r="C536" t="str">
            <v>dzień turnieju.</v>
          </cell>
          <cell r="I536" t="str">
            <v>Nr meczu</v>
          </cell>
          <cell r="N536" t="str">
            <v>Godz.</v>
          </cell>
          <cell r="R536" t="str">
            <v>S. prow.</v>
          </cell>
          <cell r="AF536" t="str">
            <v>wygrany</v>
          </cell>
          <cell r="AG536" t="str">
            <v>przegrany</v>
          </cell>
        </row>
        <row r="537">
          <cell r="B537" t="str">
            <v>Boisko</v>
          </cell>
          <cell r="C537" t="str">
            <v>Gra</v>
          </cell>
          <cell r="I537">
            <v>77</v>
          </cell>
          <cell r="N537" t="str">
            <v>rozp.</v>
          </cell>
          <cell r="P537" t="str">
            <v>zak.</v>
          </cell>
          <cell r="R537" t="str">
            <v>S. serw.</v>
          </cell>
        </row>
        <row r="538">
          <cell r="A538">
            <v>77</v>
          </cell>
          <cell r="B538">
            <v>2</v>
          </cell>
          <cell r="C538" t="str">
            <v>podwójna chłopców M</v>
          </cell>
          <cell r="H538">
            <v>21</v>
          </cell>
          <cell r="I538">
            <v>12</v>
          </cell>
          <cell r="J538">
            <v>21</v>
          </cell>
          <cell r="K538">
            <v>16</v>
          </cell>
          <cell r="P538">
            <v>0.60763888888888895</v>
          </cell>
          <cell r="R538">
            <v>0.60763888888888895</v>
          </cell>
          <cell r="S538" t="str">
            <v>pt 13:40</v>
          </cell>
          <cell r="X538">
            <v>77</v>
          </cell>
          <cell r="Y538" t="str">
            <v>podwójna chłopców M</v>
          </cell>
          <cell r="Z538" t="str">
            <v>G4559</v>
          </cell>
          <cell r="AA538" t="str">
            <v>G4560</v>
          </cell>
          <cell r="AB538" t="str">
            <v>G4178</v>
          </cell>
          <cell r="AC538" t="str">
            <v>S4265</v>
          </cell>
          <cell r="AD538" t="str">
            <v>G4559</v>
          </cell>
          <cell r="AE538" t="str">
            <v>G4560</v>
          </cell>
          <cell r="AF538" t="str">
            <v>21:12,21:16</v>
          </cell>
          <cell r="AG538" t="str">
            <v>12:21,16:21</v>
          </cell>
          <cell r="AH538" t="str">
            <v/>
          </cell>
          <cell r="AI538">
            <v>21</v>
          </cell>
          <cell r="AJ538">
            <v>12</v>
          </cell>
          <cell r="AK538">
            <v>21</v>
          </cell>
          <cell r="AL538">
            <v>16</v>
          </cell>
          <cell r="AM538">
            <v>0</v>
          </cell>
          <cell r="AN538">
            <v>0</v>
          </cell>
        </row>
        <row r="539">
          <cell r="A539" t="str">
            <v/>
          </cell>
          <cell r="B539" t="str">
            <v>Maciej GOMOŁA (KS Masovia Płock)</v>
          </cell>
          <cell r="H539" t="str">
            <v>G4559</v>
          </cell>
          <cell r="K539" t="str">
            <v>G4178</v>
          </cell>
          <cell r="N539" t="str">
            <v>Piotr GAJDA (KS Chojnik Jelenia Góra)</v>
          </cell>
        </row>
        <row r="540">
          <cell r="A540" t="str">
            <v/>
          </cell>
          <cell r="B540" t="str">
            <v>Michał GOMOŁA (KS Masovia Płock)</v>
          </cell>
          <cell r="H540" t="str">
            <v>G4560</v>
          </cell>
          <cell r="K540" t="str">
            <v>S4265</v>
          </cell>
          <cell r="N540" t="str">
            <v>Łukasz STĘPNIEWSKI (MKB Lednik Miastko)</v>
          </cell>
        </row>
        <row r="542">
          <cell r="B542" t="str">
            <v>zwycięzca(cy): 21:12,21:16</v>
          </cell>
          <cell r="K542" t="str">
            <v/>
          </cell>
        </row>
        <row r="543">
          <cell r="B543">
            <v>1</v>
          </cell>
          <cell r="C543" t="str">
            <v>dzień turnieju.</v>
          </cell>
          <cell r="I543" t="str">
            <v>Nr meczu</v>
          </cell>
          <cell r="N543" t="str">
            <v>Godz.</v>
          </cell>
          <cell r="R543" t="str">
            <v>S. prow.</v>
          </cell>
          <cell r="AF543" t="str">
            <v>wygrany</v>
          </cell>
          <cell r="AG543" t="str">
            <v>przegrany</v>
          </cell>
        </row>
        <row r="544">
          <cell r="B544" t="str">
            <v>Boisko</v>
          </cell>
          <cell r="C544" t="str">
            <v>Gra</v>
          </cell>
          <cell r="I544">
            <v>78</v>
          </cell>
          <cell r="N544" t="str">
            <v>rozp.</v>
          </cell>
          <cell r="P544" t="str">
            <v>zak.</v>
          </cell>
          <cell r="R544" t="str">
            <v>S. serw.</v>
          </cell>
        </row>
        <row r="545">
          <cell r="A545">
            <v>78</v>
          </cell>
          <cell r="B545">
            <v>6</v>
          </cell>
          <cell r="C545" t="str">
            <v>mieszana MM</v>
          </cell>
          <cell r="H545">
            <v>21</v>
          </cell>
          <cell r="I545">
            <v>4</v>
          </cell>
          <cell r="J545">
            <v>21</v>
          </cell>
          <cell r="K545">
            <v>4</v>
          </cell>
          <cell r="P545">
            <v>0.60763888888888895</v>
          </cell>
          <cell r="R545">
            <v>0.60763888888888895</v>
          </cell>
          <cell r="S545" t="str">
            <v>pt 14:15</v>
          </cell>
          <cell r="X545">
            <v>78</v>
          </cell>
          <cell r="Y545" t="str">
            <v>mieszana MM</v>
          </cell>
          <cell r="Z545" t="str">
            <v>P5025</v>
          </cell>
          <cell r="AA545" t="str">
            <v>J5024</v>
          </cell>
          <cell r="AB545" t="str">
            <v>M5475</v>
          </cell>
          <cell r="AC545" t="str">
            <v>P5477</v>
          </cell>
          <cell r="AD545" t="str">
            <v>P5025</v>
          </cell>
          <cell r="AE545" t="str">
            <v>J5024</v>
          </cell>
          <cell r="AF545" t="str">
            <v>21:4,21:4</v>
          </cell>
          <cell r="AG545" t="str">
            <v>4:21,4:21</v>
          </cell>
          <cell r="AH545" t="str">
            <v/>
          </cell>
          <cell r="AI545">
            <v>21</v>
          </cell>
          <cell r="AJ545">
            <v>4</v>
          </cell>
          <cell r="AK545">
            <v>21</v>
          </cell>
          <cell r="AL545">
            <v>4</v>
          </cell>
          <cell r="AM545">
            <v>0</v>
          </cell>
          <cell r="AN545">
            <v>0</v>
          </cell>
        </row>
        <row r="546">
          <cell r="A546" t="str">
            <v/>
          </cell>
          <cell r="B546" t="str">
            <v>Jakub PLASZCZYK (MKS Strzelce Opolskie)</v>
          </cell>
          <cell r="H546" t="str">
            <v>P5025</v>
          </cell>
          <cell r="K546" t="str">
            <v>M5475</v>
          </cell>
          <cell r="N546" t="str">
            <v>Jakub MYSŁOWSKI (UKS Iskra Sarbice)</v>
          </cell>
        </row>
        <row r="547">
          <cell r="A547" t="str">
            <v/>
          </cell>
          <cell r="B547" t="str">
            <v>Zuzanna JANKOWSKA (MKS Strzelce Opolskie)</v>
          </cell>
          <cell r="H547" t="str">
            <v>J5024</v>
          </cell>
          <cell r="K547" t="str">
            <v>P5477</v>
          </cell>
          <cell r="N547" t="str">
            <v>Paulina PRZYBYŁ (UKS Iskra Sarbice)</v>
          </cell>
        </row>
        <row r="549">
          <cell r="B549" t="str">
            <v>zwycięzca(cy): 21:4,21:4</v>
          </cell>
          <cell r="K549" t="str">
            <v/>
          </cell>
        </row>
        <row r="550">
          <cell r="B550">
            <v>1</v>
          </cell>
          <cell r="C550" t="str">
            <v>dzień turnieju.</v>
          </cell>
          <cell r="I550" t="str">
            <v>Nr meczu</v>
          </cell>
          <cell r="N550" t="str">
            <v>Godz.</v>
          </cell>
          <cell r="R550" t="str">
            <v>S. prow.</v>
          </cell>
          <cell r="AF550" t="str">
            <v>wygrany</v>
          </cell>
          <cell r="AG550" t="str">
            <v>przegrany</v>
          </cell>
        </row>
        <row r="551">
          <cell r="B551" t="str">
            <v>Boisko</v>
          </cell>
          <cell r="C551" t="str">
            <v>Gra</v>
          </cell>
          <cell r="I551">
            <v>79</v>
          </cell>
          <cell r="N551" t="str">
            <v>rozp.</v>
          </cell>
          <cell r="P551" t="str">
            <v>zak.</v>
          </cell>
          <cell r="R551" t="str">
            <v>S. serw.</v>
          </cell>
        </row>
        <row r="552">
          <cell r="A552">
            <v>79</v>
          </cell>
          <cell r="B552">
            <v>1</v>
          </cell>
          <cell r="C552" t="str">
            <v>mieszana MM</v>
          </cell>
          <cell r="H552">
            <v>21</v>
          </cell>
          <cell r="I552">
            <v>11</v>
          </cell>
          <cell r="J552">
            <v>18</v>
          </cell>
          <cell r="K552">
            <v>21</v>
          </cell>
          <cell r="L552">
            <v>21</v>
          </cell>
          <cell r="M552">
            <v>9</v>
          </cell>
          <cell r="P552">
            <v>0.62083333333333335</v>
          </cell>
          <cell r="R552">
            <v>0.62083333333333335</v>
          </cell>
          <cell r="S552" t="str">
            <v>pt 14:15</v>
          </cell>
          <cell r="X552">
            <v>79</v>
          </cell>
          <cell r="Y552" t="str">
            <v>mieszana MM</v>
          </cell>
          <cell r="Z552" t="str">
            <v>M4933</v>
          </cell>
          <cell r="AA552" t="str">
            <v>C5063</v>
          </cell>
          <cell r="AB552" t="str">
            <v>M5942</v>
          </cell>
          <cell r="AC552" t="str">
            <v>S5479</v>
          </cell>
          <cell r="AD552" t="str">
            <v>M4933</v>
          </cell>
          <cell r="AE552" t="str">
            <v>C5063</v>
          </cell>
          <cell r="AF552" t="str">
            <v>21:11,18:21,21:9</v>
          </cell>
          <cell r="AG552" t="str">
            <v>11:21,21:18,9:21</v>
          </cell>
          <cell r="AH552" t="str">
            <v/>
          </cell>
          <cell r="AI552">
            <v>21</v>
          </cell>
          <cell r="AJ552">
            <v>11</v>
          </cell>
          <cell r="AK552">
            <v>18</v>
          </cell>
          <cell r="AL552">
            <v>21</v>
          </cell>
          <cell r="AM552">
            <v>21</v>
          </cell>
          <cell r="AN552">
            <v>9</v>
          </cell>
        </row>
        <row r="553">
          <cell r="A553" t="str">
            <v/>
          </cell>
          <cell r="B553" t="str">
            <v>Kacper MAKAREWICZ (UKS Hubal Białystok)</v>
          </cell>
          <cell r="H553" t="str">
            <v>M4933</v>
          </cell>
          <cell r="K553" t="str">
            <v>M5942</v>
          </cell>
          <cell r="N553" t="str">
            <v>Jakub MELANIUK (UKSB Milenium Warszawa)</v>
          </cell>
        </row>
        <row r="554">
          <cell r="A554" t="str">
            <v/>
          </cell>
          <cell r="B554" t="str">
            <v>Karolina CIEŚLUK (UKS Hubal Białystok)</v>
          </cell>
          <cell r="H554" t="str">
            <v>C5063</v>
          </cell>
          <cell r="K554" t="str">
            <v>S5479</v>
          </cell>
          <cell r="N554" t="str">
            <v>Aleksandra SZYMAŃSKA (UKSB Milenium Warszawa)</v>
          </cell>
        </row>
        <row r="556">
          <cell r="B556" t="str">
            <v>zwycięzca(cy): 21:11,18:21,21:9</v>
          </cell>
          <cell r="K556" t="str">
            <v/>
          </cell>
        </row>
        <row r="557">
          <cell r="B557">
            <v>1</v>
          </cell>
          <cell r="C557" t="str">
            <v>dzień turnieju.</v>
          </cell>
          <cell r="I557" t="str">
            <v>Nr meczu</v>
          </cell>
          <cell r="N557" t="str">
            <v>Godz.</v>
          </cell>
          <cell r="R557" t="str">
            <v>S. prow.</v>
          </cell>
          <cell r="AF557" t="str">
            <v>wygrany</v>
          </cell>
          <cell r="AG557" t="str">
            <v>przegrany</v>
          </cell>
        </row>
        <row r="558">
          <cell r="B558" t="str">
            <v>Boisko</v>
          </cell>
          <cell r="C558" t="str">
            <v>Gra</v>
          </cell>
          <cell r="I558">
            <v>80</v>
          </cell>
          <cell r="N558" t="str">
            <v>rozp.</v>
          </cell>
          <cell r="P558" t="str">
            <v>zak.</v>
          </cell>
          <cell r="R558" t="str">
            <v>S. serw.</v>
          </cell>
        </row>
        <row r="559">
          <cell r="A559">
            <v>80</v>
          </cell>
          <cell r="B559">
            <v>5</v>
          </cell>
          <cell r="C559" t="str">
            <v>mieszana MM</v>
          </cell>
          <cell r="H559">
            <v>21</v>
          </cell>
          <cell r="I559">
            <v>23</v>
          </cell>
          <cell r="J559">
            <v>21</v>
          </cell>
          <cell r="K559">
            <v>19</v>
          </cell>
          <cell r="L559">
            <v>17</v>
          </cell>
          <cell r="M559">
            <v>21</v>
          </cell>
          <cell r="P559">
            <v>0.62152777777777779</v>
          </cell>
          <cell r="R559">
            <v>0.62152777777777779</v>
          </cell>
          <cell r="S559" t="str">
            <v>pt 14:15</v>
          </cell>
          <cell r="X559">
            <v>80</v>
          </cell>
          <cell r="Y559" t="str">
            <v>mieszana MM</v>
          </cell>
          <cell r="Z559" t="str">
            <v>G4725</v>
          </cell>
          <cell r="AA559" t="str">
            <v>K5208</v>
          </cell>
          <cell r="AB559" t="str">
            <v>X26</v>
          </cell>
          <cell r="AC559" t="str">
            <v>X25</v>
          </cell>
          <cell r="AD559" t="str">
            <v>X26</v>
          </cell>
          <cell r="AE559" t="str">
            <v>X25</v>
          </cell>
          <cell r="AF559" t="str">
            <v>23:21,19:21,21:17</v>
          </cell>
          <cell r="AG559" t="str">
            <v>21:23,21:19,17:21</v>
          </cell>
          <cell r="AH559" t="str">
            <v/>
          </cell>
          <cell r="AI559">
            <v>21</v>
          </cell>
          <cell r="AJ559">
            <v>23</v>
          </cell>
          <cell r="AK559">
            <v>21</v>
          </cell>
          <cell r="AL559">
            <v>19</v>
          </cell>
          <cell r="AM559">
            <v>17</v>
          </cell>
          <cell r="AN559">
            <v>21</v>
          </cell>
        </row>
        <row r="560">
          <cell r="A560" t="str">
            <v/>
          </cell>
          <cell r="B560" t="str">
            <v>Bartosz GAŁĄZKA (LKS Technik Głubczyce)</v>
          </cell>
          <cell r="H560" t="str">
            <v>G4725</v>
          </cell>
          <cell r="K560" t="str">
            <v>X26</v>
          </cell>
          <cell r="N560" t="str">
            <v>Igor SENICHKYN (Vinnica Ukraina)</v>
          </cell>
        </row>
        <row r="561">
          <cell r="A561" t="str">
            <v/>
          </cell>
          <cell r="B561" t="str">
            <v>Dominika KWAŚNIK (UKS Feniks Kędzierzyn-Koźle)</v>
          </cell>
          <cell r="H561" t="str">
            <v>K5208</v>
          </cell>
          <cell r="K561" t="str">
            <v>X25</v>
          </cell>
          <cell r="N561" t="str">
            <v>Yana  HALYTSKA (Vinnica Ukraina)</v>
          </cell>
        </row>
        <row r="563">
          <cell r="B563" t="str">
            <v/>
          </cell>
          <cell r="K563" t="str">
            <v>zwycięzca(cy): 23:21,19:21,21:17</v>
          </cell>
        </row>
        <row r="564">
          <cell r="B564">
            <v>1</v>
          </cell>
          <cell r="C564" t="str">
            <v>dzień turnieju.</v>
          </cell>
          <cell r="I564" t="str">
            <v>Nr meczu</v>
          </cell>
          <cell r="N564" t="str">
            <v>Godz.</v>
          </cell>
          <cell r="R564" t="str">
            <v>S. prow.</v>
          </cell>
          <cell r="AF564" t="str">
            <v>wygrany</v>
          </cell>
          <cell r="AG564" t="str">
            <v>przegrany</v>
          </cell>
        </row>
        <row r="565">
          <cell r="B565" t="str">
            <v>Boisko</v>
          </cell>
          <cell r="C565" t="str">
            <v>Gra</v>
          </cell>
          <cell r="I565">
            <v>81</v>
          </cell>
          <cell r="N565" t="str">
            <v>rozp.</v>
          </cell>
          <cell r="P565" t="str">
            <v>zak.</v>
          </cell>
          <cell r="R565" t="str">
            <v>S. serw.</v>
          </cell>
        </row>
        <row r="566">
          <cell r="A566">
            <v>81</v>
          </cell>
          <cell r="B566">
            <v>3</v>
          </cell>
          <cell r="C566" t="str">
            <v>mieszana MM</v>
          </cell>
          <cell r="H566">
            <v>16</v>
          </cell>
          <cell r="I566">
            <v>21</v>
          </cell>
          <cell r="J566">
            <v>15</v>
          </cell>
          <cell r="K566">
            <v>21</v>
          </cell>
          <cell r="P566">
            <v>0.61805555555555558</v>
          </cell>
          <cell r="R566">
            <v>0.61805555555555558</v>
          </cell>
          <cell r="S566" t="str">
            <v>pt 14:15</v>
          </cell>
          <cell r="X566">
            <v>81</v>
          </cell>
          <cell r="Y566" t="str">
            <v>mieszana MM</v>
          </cell>
          <cell r="Z566" t="str">
            <v>C4406</v>
          </cell>
          <cell r="AA566" t="str">
            <v>S4730</v>
          </cell>
          <cell r="AB566" t="str">
            <v>M4565</v>
          </cell>
          <cell r="AC566" t="str">
            <v>X05</v>
          </cell>
          <cell r="AD566" t="str">
            <v>M4565</v>
          </cell>
          <cell r="AE566" t="str">
            <v>X05</v>
          </cell>
          <cell r="AF566" t="str">
            <v>21:16,21:15</v>
          </cell>
          <cell r="AG566" t="str">
            <v>16:21,15:21</v>
          </cell>
          <cell r="AH566" t="str">
            <v/>
          </cell>
          <cell r="AI566">
            <v>16</v>
          </cell>
          <cell r="AJ566">
            <v>21</v>
          </cell>
          <cell r="AK566">
            <v>15</v>
          </cell>
          <cell r="AL566">
            <v>21</v>
          </cell>
          <cell r="AM566">
            <v>0</v>
          </cell>
          <cell r="AN566">
            <v>0</v>
          </cell>
        </row>
        <row r="567">
          <cell r="A567" t="str">
            <v/>
          </cell>
          <cell r="B567" t="str">
            <v>Łukasz CIMOSZ (KS Chojnik Jelenia Góra)</v>
          </cell>
          <cell r="H567" t="str">
            <v>C4406</v>
          </cell>
          <cell r="K567" t="str">
            <v>M4565</v>
          </cell>
          <cell r="N567" t="str">
            <v>Maciej MATUSZ (LKS Technik Głubczyce)</v>
          </cell>
        </row>
        <row r="568">
          <cell r="A568" t="str">
            <v/>
          </cell>
          <cell r="B568" t="str">
            <v>Karolina SZUBERT (KS Match Point Ślęza)</v>
          </cell>
          <cell r="H568" t="str">
            <v>S4730</v>
          </cell>
          <cell r="K568" t="str">
            <v>X05</v>
          </cell>
          <cell r="N568" t="str">
            <v>Alesia  KRAMCHANINA (Białoruś)</v>
          </cell>
        </row>
        <row r="570">
          <cell r="B570" t="str">
            <v/>
          </cell>
          <cell r="K570" t="str">
            <v>zwycięzca(cy): 21:16,21:15</v>
          </cell>
        </row>
        <row r="571">
          <cell r="B571">
            <v>1</v>
          </cell>
          <cell r="C571" t="str">
            <v>dzień turnieju.</v>
          </cell>
          <cell r="I571" t="str">
            <v>Nr meczu</v>
          </cell>
          <cell r="N571" t="str">
            <v>Godz.</v>
          </cell>
          <cell r="R571" t="str">
            <v>S. prow.</v>
          </cell>
          <cell r="AF571" t="str">
            <v>wygrany</v>
          </cell>
          <cell r="AG571" t="str">
            <v>przegrany</v>
          </cell>
        </row>
        <row r="572">
          <cell r="B572" t="str">
            <v>Boisko</v>
          </cell>
          <cell r="C572" t="str">
            <v>Gra</v>
          </cell>
          <cell r="I572">
            <v>82</v>
          </cell>
          <cell r="N572" t="str">
            <v>rozp.</v>
          </cell>
          <cell r="P572" t="str">
            <v>zak.</v>
          </cell>
          <cell r="R572" t="str">
            <v>S. serw.</v>
          </cell>
        </row>
        <row r="573">
          <cell r="A573">
            <v>82</v>
          </cell>
          <cell r="B573">
            <v>1</v>
          </cell>
          <cell r="C573" t="str">
            <v>mieszana MM</v>
          </cell>
          <cell r="H573">
            <v>21</v>
          </cell>
          <cell r="I573">
            <v>0</v>
          </cell>
          <cell r="J573">
            <v>21</v>
          </cell>
          <cell r="K573">
            <v>0</v>
          </cell>
          <cell r="P573">
            <v>0.375</v>
          </cell>
          <cell r="R573">
            <v>0.375</v>
          </cell>
          <cell r="S573" t="str">
            <v>pt 14:15</v>
          </cell>
          <cell r="X573">
            <v>82</v>
          </cell>
          <cell r="Y573" t="str">
            <v>mieszana MM</v>
          </cell>
          <cell r="Z573" t="str">
            <v>Z4312</v>
          </cell>
          <cell r="AA573" t="str">
            <v>H5946</v>
          </cell>
          <cell r="AB573" t="str">
            <v>S5627</v>
          </cell>
          <cell r="AC573" t="str">
            <v>S5705</v>
          </cell>
          <cell r="AD573" t="str">
            <v>Z4312</v>
          </cell>
          <cell r="AE573" t="str">
            <v>H5946</v>
          </cell>
          <cell r="AF573" t="str">
            <v>21:0,21:0</v>
          </cell>
          <cell r="AG573" t="str">
            <v>0:21,0:21</v>
          </cell>
          <cell r="AH573" t="str">
            <v/>
          </cell>
          <cell r="AI573">
            <v>21</v>
          </cell>
          <cell r="AJ573">
            <v>0</v>
          </cell>
          <cell r="AK573">
            <v>21</v>
          </cell>
          <cell r="AL573">
            <v>0</v>
          </cell>
          <cell r="AM573">
            <v>0</v>
          </cell>
          <cell r="AN573">
            <v>0</v>
          </cell>
        </row>
        <row r="574">
          <cell r="A574" t="str">
            <v/>
          </cell>
          <cell r="B574" t="str">
            <v>Łukasz ZWIERZCHOWSKI (UKSB Milenium Warszawa)</v>
          </cell>
          <cell r="H574" t="str">
            <v>Z4312</v>
          </cell>
          <cell r="K574" t="str">
            <v>S5627</v>
          </cell>
          <cell r="N574" t="str">
            <v>Piotr SIERZPUTOWSKI (ULKS U-2 Lotka Bytów)</v>
          </cell>
        </row>
        <row r="575">
          <cell r="A575" t="str">
            <v/>
          </cell>
          <cell r="B575" t="str">
            <v>Paulina HANKIEWICZ (UKSB Milenium Warszawa)</v>
          </cell>
          <cell r="H575" t="str">
            <v>H5946</v>
          </cell>
          <cell r="K575" t="str">
            <v>S5705</v>
          </cell>
          <cell r="N575" t="str">
            <v>Natalia STASZKIEWICZ (ULKS U-2 Lotka Bytów)</v>
          </cell>
        </row>
        <row r="577">
          <cell r="B577" t="str">
            <v>zwycięzca(cy): 21:0,21:0</v>
          </cell>
          <cell r="K577" t="str">
            <v/>
          </cell>
        </row>
        <row r="578">
          <cell r="B578">
            <v>1</v>
          </cell>
          <cell r="C578" t="str">
            <v>dzień turnieju.</v>
          </cell>
          <cell r="I578" t="str">
            <v>Nr meczu</v>
          </cell>
          <cell r="N578" t="str">
            <v>Godz.</v>
          </cell>
          <cell r="R578" t="str">
            <v>S. prow.</v>
          </cell>
          <cell r="AF578" t="str">
            <v>wygrany</v>
          </cell>
          <cell r="AG578" t="str">
            <v>przegrany</v>
          </cell>
        </row>
        <row r="579">
          <cell r="B579" t="str">
            <v>Boisko</v>
          </cell>
          <cell r="C579" t="str">
            <v>Gra</v>
          </cell>
          <cell r="I579">
            <v>83</v>
          </cell>
          <cell r="N579" t="str">
            <v>rozp.</v>
          </cell>
          <cell r="P579" t="str">
            <v>zak.</v>
          </cell>
          <cell r="R579" t="str">
            <v>S. serw.</v>
          </cell>
        </row>
        <row r="580">
          <cell r="A580">
            <v>83</v>
          </cell>
          <cell r="B580">
            <v>1</v>
          </cell>
          <cell r="C580" t="str">
            <v>mieszana MM</v>
          </cell>
          <cell r="H580">
            <v>21</v>
          </cell>
          <cell r="I580">
            <v>0</v>
          </cell>
          <cell r="J580">
            <v>21</v>
          </cell>
          <cell r="K580">
            <v>0</v>
          </cell>
          <cell r="P580">
            <v>0.375</v>
          </cell>
          <cell r="R580">
            <v>0.375</v>
          </cell>
          <cell r="S580" t="str">
            <v>pt 14:15</v>
          </cell>
          <cell r="X580">
            <v>83</v>
          </cell>
          <cell r="Y580" t="str">
            <v>mieszana MM</v>
          </cell>
          <cell r="Z580" t="str">
            <v>Ż4858</v>
          </cell>
          <cell r="AA580" t="str">
            <v>D5062</v>
          </cell>
          <cell r="AB580" t="str">
            <v>X49</v>
          </cell>
          <cell r="AC580" t="str">
            <v>X50</v>
          </cell>
          <cell r="AD580" t="str">
            <v>Ż4858</v>
          </cell>
          <cell r="AE580" t="str">
            <v>D5062</v>
          </cell>
          <cell r="AF580" t="str">
            <v>21:0,21:0</v>
          </cell>
          <cell r="AG580" t="str">
            <v>0:21,0:21</v>
          </cell>
          <cell r="AH580" t="str">
            <v/>
          </cell>
          <cell r="AI580">
            <v>21</v>
          </cell>
          <cell r="AJ580">
            <v>0</v>
          </cell>
          <cell r="AK580">
            <v>21</v>
          </cell>
          <cell r="AL580">
            <v>0</v>
          </cell>
          <cell r="AM580">
            <v>0</v>
          </cell>
          <cell r="AN580">
            <v>0</v>
          </cell>
        </row>
        <row r="581">
          <cell r="A581" t="str">
            <v/>
          </cell>
          <cell r="B581" t="str">
            <v>Dawid ŻMÓJDZIN (UKS Hubal Białystok)</v>
          </cell>
          <cell r="H581" t="str">
            <v>Ż4858</v>
          </cell>
          <cell r="K581" t="str">
            <v>X49</v>
          </cell>
          <cell r="N581" t="str">
            <v>Tomas Miksa  (Slavoj Cesky Tesin)</v>
          </cell>
        </row>
        <row r="582">
          <cell r="A582" t="str">
            <v/>
          </cell>
          <cell r="B582" t="str">
            <v>Emilia DRĄGOWSKA (UKS Hubal Białystok)</v>
          </cell>
          <cell r="H582" t="str">
            <v>D5062</v>
          </cell>
          <cell r="K582" t="str">
            <v>X50</v>
          </cell>
          <cell r="N582" t="str">
            <v>Sara Skoupilová  (Slavoj Cesky Tesin)</v>
          </cell>
        </row>
        <row r="584">
          <cell r="B584" t="str">
            <v>zwycięzca(cy): 21:0,21:0</v>
          </cell>
          <cell r="K584" t="str">
            <v/>
          </cell>
        </row>
        <row r="585">
          <cell r="B585">
            <v>1</v>
          </cell>
          <cell r="C585" t="str">
            <v>dzień turnieju.</v>
          </cell>
          <cell r="I585" t="str">
            <v>Nr meczu</v>
          </cell>
          <cell r="N585" t="str">
            <v>Godz.</v>
          </cell>
          <cell r="R585" t="str">
            <v>S. prow.</v>
          </cell>
          <cell r="AF585" t="str">
            <v>wygrany</v>
          </cell>
          <cell r="AG585" t="str">
            <v>przegrany</v>
          </cell>
        </row>
        <row r="586">
          <cell r="B586" t="str">
            <v>Boisko</v>
          </cell>
          <cell r="C586" t="str">
            <v>Gra</v>
          </cell>
          <cell r="I586">
            <v>84</v>
          </cell>
          <cell r="N586" t="str">
            <v>rozp.</v>
          </cell>
          <cell r="P586" t="str">
            <v>zak.</v>
          </cell>
          <cell r="R586" t="str">
            <v>S. serw.</v>
          </cell>
        </row>
        <row r="587">
          <cell r="A587">
            <v>84</v>
          </cell>
          <cell r="B587">
            <v>4</v>
          </cell>
          <cell r="C587" t="str">
            <v>mieszana MM</v>
          </cell>
          <cell r="H587">
            <v>21</v>
          </cell>
          <cell r="I587">
            <v>6</v>
          </cell>
          <cell r="J587">
            <v>21</v>
          </cell>
          <cell r="K587">
            <v>17</v>
          </cell>
          <cell r="P587">
            <v>0.62430555555555556</v>
          </cell>
          <cell r="R587">
            <v>0.62430555555555556</v>
          </cell>
          <cell r="S587" t="str">
            <v>pt 14:15</v>
          </cell>
          <cell r="X587">
            <v>84</v>
          </cell>
          <cell r="Y587" t="str">
            <v>mieszana MM</v>
          </cell>
          <cell r="Z587" t="str">
            <v>T5801</v>
          </cell>
          <cell r="AA587" t="str">
            <v>T5222</v>
          </cell>
          <cell r="AB587" t="str">
            <v>K5476</v>
          </cell>
          <cell r="AC587" t="str">
            <v>G5478</v>
          </cell>
          <cell r="AD587" t="str">
            <v>T5801</v>
          </cell>
          <cell r="AE587" t="str">
            <v>T5222</v>
          </cell>
          <cell r="AF587" t="str">
            <v>21:6,21:17</v>
          </cell>
          <cell r="AG587" t="str">
            <v>6:21,17:21</v>
          </cell>
          <cell r="AH587" t="str">
            <v/>
          </cell>
          <cell r="AI587">
            <v>21</v>
          </cell>
          <cell r="AJ587">
            <v>6</v>
          </cell>
          <cell r="AK587">
            <v>21</v>
          </cell>
          <cell r="AL587">
            <v>17</v>
          </cell>
          <cell r="AM587">
            <v>0</v>
          </cell>
          <cell r="AN587">
            <v>0</v>
          </cell>
        </row>
        <row r="588">
          <cell r="A588" t="str">
            <v/>
          </cell>
          <cell r="B588" t="str">
            <v>Wiktor TRECKI (UKS Unia Bieruń)</v>
          </cell>
          <cell r="H588" t="str">
            <v>T5801</v>
          </cell>
          <cell r="K588" t="str">
            <v>K5476</v>
          </cell>
          <cell r="N588" t="str">
            <v>Marcin KARBOWY (UKS Iskra Sarbice)</v>
          </cell>
        </row>
        <row r="589">
          <cell r="A589" t="str">
            <v/>
          </cell>
          <cell r="B589" t="str">
            <v>Miriam TOMALA (UKS Unia Bieruń)</v>
          </cell>
          <cell r="H589" t="str">
            <v>T5222</v>
          </cell>
          <cell r="K589" t="str">
            <v>G5478</v>
          </cell>
          <cell r="N589" t="str">
            <v>Paulina GAPSA (UKS Iskra Sarbice)</v>
          </cell>
        </row>
        <row r="591">
          <cell r="B591" t="str">
            <v>zwycięzca(cy): 21:6,21:17</v>
          </cell>
          <cell r="K591" t="str">
            <v/>
          </cell>
        </row>
        <row r="592">
          <cell r="B592">
            <v>1</v>
          </cell>
          <cell r="C592" t="str">
            <v>dzień turnieju.</v>
          </cell>
          <cell r="I592" t="str">
            <v>Nr meczu</v>
          </cell>
          <cell r="N592" t="str">
            <v>Godz.</v>
          </cell>
          <cell r="R592" t="str">
            <v>S. prow.</v>
          </cell>
          <cell r="AF592" t="str">
            <v>wygrany</v>
          </cell>
          <cell r="AG592" t="str">
            <v>przegrany</v>
          </cell>
        </row>
        <row r="593">
          <cell r="B593" t="str">
            <v>Boisko</v>
          </cell>
          <cell r="C593" t="str">
            <v>Gra</v>
          </cell>
          <cell r="I593">
            <v>85</v>
          </cell>
          <cell r="N593" t="str">
            <v>rozp.</v>
          </cell>
          <cell r="P593" t="str">
            <v>zak.</v>
          </cell>
          <cell r="R593" t="str">
            <v>S. serw.</v>
          </cell>
        </row>
        <row r="594">
          <cell r="A594">
            <v>85</v>
          </cell>
          <cell r="B594">
            <v>2</v>
          </cell>
          <cell r="C594" t="str">
            <v>mieszana MM</v>
          </cell>
          <cell r="H594">
            <v>21</v>
          </cell>
          <cell r="I594">
            <v>4</v>
          </cell>
          <cell r="J594">
            <v>21</v>
          </cell>
          <cell r="K594">
            <v>11</v>
          </cell>
          <cell r="P594">
            <v>0.625</v>
          </cell>
          <cell r="R594">
            <v>0.625</v>
          </cell>
          <cell r="S594" t="str">
            <v>pt 14:15</v>
          </cell>
          <cell r="X594">
            <v>85</v>
          </cell>
          <cell r="Y594" t="str">
            <v>mieszana MM</v>
          </cell>
          <cell r="Z594" t="str">
            <v>R4145</v>
          </cell>
          <cell r="AA594" t="str">
            <v>P4759</v>
          </cell>
          <cell r="AB594" t="str">
            <v>G5536</v>
          </cell>
          <cell r="AC594" t="str">
            <v>O5218</v>
          </cell>
          <cell r="AD594" t="str">
            <v>R4145</v>
          </cell>
          <cell r="AE594" t="str">
            <v>P4759</v>
          </cell>
          <cell r="AF594" t="str">
            <v>21:4,21:11</v>
          </cell>
          <cell r="AG594" t="str">
            <v>4:21,11:21</v>
          </cell>
          <cell r="AH594" t="str">
            <v/>
          </cell>
          <cell r="AI594">
            <v>21</v>
          </cell>
          <cell r="AJ594">
            <v>4</v>
          </cell>
          <cell r="AK594">
            <v>21</v>
          </cell>
          <cell r="AL594">
            <v>11</v>
          </cell>
          <cell r="AM594">
            <v>0</v>
          </cell>
          <cell r="AN594">
            <v>0</v>
          </cell>
        </row>
        <row r="595">
          <cell r="A595" t="str">
            <v/>
          </cell>
          <cell r="B595" t="str">
            <v>Michał RECKI (UKS Lotka Lubiewo)</v>
          </cell>
          <cell r="H595" t="str">
            <v>R4145</v>
          </cell>
          <cell r="K595" t="str">
            <v>G5536</v>
          </cell>
          <cell r="N595" t="str">
            <v>Filip GRABOWSKI (SKB Suwałki)</v>
          </cell>
        </row>
        <row r="596">
          <cell r="A596" t="str">
            <v/>
          </cell>
          <cell r="B596" t="str">
            <v>Martyna PIETRZAK (MLKS Solec Kuj.)</v>
          </cell>
          <cell r="H596" t="str">
            <v>P4759</v>
          </cell>
          <cell r="K596" t="str">
            <v>O5218</v>
          </cell>
          <cell r="N596" t="str">
            <v>Natalia OWSIEJEW (SKB Suwałki)</v>
          </cell>
        </row>
        <row r="598">
          <cell r="B598" t="str">
            <v>zwycięzca(cy): 21:4,21:11</v>
          </cell>
          <cell r="K598" t="str">
            <v/>
          </cell>
        </row>
        <row r="599">
          <cell r="B599">
            <v>1</v>
          </cell>
          <cell r="C599" t="str">
            <v>dzień turnieju.</v>
          </cell>
          <cell r="I599" t="str">
            <v>Nr meczu</v>
          </cell>
          <cell r="N599" t="str">
            <v>Godz.</v>
          </cell>
          <cell r="R599" t="str">
            <v>S. prow.</v>
          </cell>
          <cell r="AF599" t="str">
            <v>wygrany</v>
          </cell>
          <cell r="AG599" t="str">
            <v>przegrany</v>
          </cell>
        </row>
        <row r="600">
          <cell r="B600" t="str">
            <v>Boisko</v>
          </cell>
          <cell r="C600" t="str">
            <v>Gra</v>
          </cell>
          <cell r="I600">
            <v>86</v>
          </cell>
          <cell r="N600" t="str">
            <v>rozp.</v>
          </cell>
          <cell r="P600" t="str">
            <v>zak.</v>
          </cell>
          <cell r="R600" t="str">
            <v>S. serw.</v>
          </cell>
        </row>
        <row r="601">
          <cell r="A601">
            <v>86</v>
          </cell>
          <cell r="B601">
            <v>1</v>
          </cell>
          <cell r="C601" t="str">
            <v>podwójna dziewcząt MM</v>
          </cell>
          <cell r="H601">
            <v>18</v>
          </cell>
          <cell r="I601">
            <v>21</v>
          </cell>
          <cell r="J601">
            <v>19</v>
          </cell>
          <cell r="K601">
            <v>21</v>
          </cell>
          <cell r="P601">
            <v>0.63888888888888895</v>
          </cell>
          <cell r="R601">
            <v>0.63888888888888895</v>
          </cell>
          <cell r="S601" t="str">
            <v>pt 14:30</v>
          </cell>
          <cell r="X601">
            <v>86</v>
          </cell>
          <cell r="Y601" t="str">
            <v>podwójna dziewcząt MM</v>
          </cell>
          <cell r="Z601" t="str">
            <v>B4319</v>
          </cell>
          <cell r="AA601" t="str">
            <v>D4628</v>
          </cell>
          <cell r="AB601" t="str">
            <v>x05</v>
          </cell>
          <cell r="AC601" t="str">
            <v>P4820</v>
          </cell>
          <cell r="AD601" t="str">
            <v>x05</v>
          </cell>
          <cell r="AE601" t="str">
            <v>P4820</v>
          </cell>
          <cell r="AF601" t="str">
            <v>21:18,21:19</v>
          </cell>
          <cell r="AG601" t="str">
            <v>18:21,19:21</v>
          </cell>
          <cell r="AH601" t="str">
            <v/>
          </cell>
          <cell r="AI601">
            <v>18</v>
          </cell>
          <cell r="AJ601">
            <v>21</v>
          </cell>
          <cell r="AK601">
            <v>19</v>
          </cell>
          <cell r="AL601">
            <v>21</v>
          </cell>
          <cell r="AM601">
            <v>0</v>
          </cell>
          <cell r="AN601">
            <v>0</v>
          </cell>
        </row>
        <row r="602">
          <cell r="A602" t="str">
            <v/>
          </cell>
          <cell r="B602" t="str">
            <v>Laura BUJAK (ULKS U-2 Lotka Bytów)</v>
          </cell>
          <cell r="H602" t="str">
            <v>B4319</v>
          </cell>
          <cell r="K602" t="str">
            <v>x05</v>
          </cell>
          <cell r="N602" t="str">
            <v>Alesia  KRAMCHANINA (Białoruś)</v>
          </cell>
        </row>
        <row r="603">
          <cell r="A603" t="str">
            <v/>
          </cell>
          <cell r="B603" t="str">
            <v>Anna DUDA (ULKS U-2 Lotka Bytów)</v>
          </cell>
          <cell r="H603" t="str">
            <v>D4628</v>
          </cell>
          <cell r="K603" t="str">
            <v>P4820</v>
          </cell>
          <cell r="N603" t="str">
            <v>Aleksandra PAJĄK (MKS Orlicz Suchedniów)</v>
          </cell>
        </row>
        <row r="605">
          <cell r="B605" t="str">
            <v/>
          </cell>
          <cell r="K605" t="str">
            <v>zwycięzca(cy): 21:18,21:19</v>
          </cell>
        </row>
        <row r="606">
          <cell r="B606">
            <v>1</v>
          </cell>
          <cell r="C606" t="str">
            <v>dzień turnieju.</v>
          </cell>
          <cell r="I606" t="str">
            <v>Nr meczu</v>
          </cell>
          <cell r="N606" t="str">
            <v>Godz.</v>
          </cell>
          <cell r="R606" t="str">
            <v>S. prow.</v>
          </cell>
          <cell r="AF606" t="str">
            <v>wygrany</v>
          </cell>
          <cell r="AG606" t="str">
            <v>przegrany</v>
          </cell>
        </row>
        <row r="607">
          <cell r="B607" t="str">
            <v>Boisko</v>
          </cell>
          <cell r="C607" t="str">
            <v>Gra</v>
          </cell>
          <cell r="I607">
            <v>87</v>
          </cell>
          <cell r="N607" t="str">
            <v>rozp.</v>
          </cell>
          <cell r="P607" t="str">
            <v>zak.</v>
          </cell>
          <cell r="R607" t="str">
            <v>S. serw.</v>
          </cell>
        </row>
        <row r="608">
          <cell r="A608">
            <v>87</v>
          </cell>
          <cell r="B608">
            <v>4</v>
          </cell>
          <cell r="C608" t="str">
            <v>podwójna dziewcząt MM</v>
          </cell>
          <cell r="H608">
            <v>21</v>
          </cell>
          <cell r="I608">
            <v>17</v>
          </cell>
          <cell r="J608">
            <v>21</v>
          </cell>
          <cell r="K608">
            <v>18</v>
          </cell>
          <cell r="P608">
            <v>0.64375000000000004</v>
          </cell>
          <cell r="R608">
            <v>0.64375000000000004</v>
          </cell>
          <cell r="S608" t="str">
            <v>pt 14:30</v>
          </cell>
          <cell r="X608">
            <v>87</v>
          </cell>
          <cell r="Y608" t="str">
            <v>podwójna dziewcząt MM</v>
          </cell>
          <cell r="Z608" t="str">
            <v>J5024</v>
          </cell>
          <cell r="AA608" t="str">
            <v>K5208</v>
          </cell>
          <cell r="AB608" t="str">
            <v>X31</v>
          </cell>
          <cell r="AC608" t="str">
            <v>X32</v>
          </cell>
          <cell r="AD608" t="str">
            <v>J5024</v>
          </cell>
          <cell r="AE608" t="str">
            <v>K5208</v>
          </cell>
          <cell r="AF608" t="str">
            <v>21:17,21:18</v>
          </cell>
          <cell r="AG608" t="str">
            <v>17:21,18:21</v>
          </cell>
          <cell r="AH608" t="str">
            <v/>
          </cell>
          <cell r="AI608">
            <v>21</v>
          </cell>
          <cell r="AJ608">
            <v>17</v>
          </cell>
          <cell r="AK608">
            <v>21</v>
          </cell>
          <cell r="AL608">
            <v>18</v>
          </cell>
          <cell r="AM608">
            <v>0</v>
          </cell>
          <cell r="AN608">
            <v>0</v>
          </cell>
        </row>
        <row r="609">
          <cell r="A609" t="str">
            <v/>
          </cell>
          <cell r="B609" t="str">
            <v>Zuzanna JANKOWSKA (MKS Strzelce Opolskie)</v>
          </cell>
          <cell r="H609" t="str">
            <v>J5024</v>
          </cell>
          <cell r="K609" t="str">
            <v>X31</v>
          </cell>
          <cell r="N609" t="str">
            <v>Kseniya MATYSIK (Białoruś)</v>
          </cell>
        </row>
        <row r="610">
          <cell r="A610" t="str">
            <v/>
          </cell>
          <cell r="B610" t="str">
            <v>Dominika KWAŚNIK (UKS Feniks Kędzierzyn-Koźle)</v>
          </cell>
          <cell r="H610" t="str">
            <v>K5208</v>
          </cell>
          <cell r="K610" t="str">
            <v>X32</v>
          </cell>
          <cell r="N610" t="str">
            <v>Anastsiya TAMASHEUSKAYA (Białoruś)</v>
          </cell>
        </row>
        <row r="612">
          <cell r="B612" t="str">
            <v>zwycięzca(cy): 21:17,21:18</v>
          </cell>
          <cell r="K612" t="str">
            <v/>
          </cell>
        </row>
        <row r="613">
          <cell r="B613">
            <v>1</v>
          </cell>
          <cell r="C613" t="str">
            <v>dzień turnieju.</v>
          </cell>
          <cell r="I613" t="str">
            <v>Nr meczu</v>
          </cell>
          <cell r="N613" t="str">
            <v>Godz.</v>
          </cell>
          <cell r="R613" t="str">
            <v>S. prow.</v>
          </cell>
          <cell r="AF613" t="str">
            <v>wygrany</v>
          </cell>
          <cell r="AG613" t="str">
            <v>przegrany</v>
          </cell>
        </row>
        <row r="614">
          <cell r="B614" t="str">
            <v>Boisko</v>
          </cell>
          <cell r="C614" t="str">
            <v>Gra</v>
          </cell>
          <cell r="I614">
            <v>88</v>
          </cell>
          <cell r="N614" t="str">
            <v>rozp.</v>
          </cell>
          <cell r="P614" t="str">
            <v>zak.</v>
          </cell>
          <cell r="R614" t="str">
            <v>S. serw.</v>
          </cell>
        </row>
        <row r="615">
          <cell r="A615">
            <v>88</v>
          </cell>
          <cell r="B615">
            <v>6</v>
          </cell>
          <cell r="C615" t="str">
            <v>podwójna dziewcząt MM</v>
          </cell>
          <cell r="H615">
            <v>15</v>
          </cell>
          <cell r="I615">
            <v>21</v>
          </cell>
          <cell r="J615">
            <v>21</v>
          </cell>
          <cell r="K615">
            <v>12</v>
          </cell>
          <cell r="L615">
            <v>16</v>
          </cell>
          <cell r="M615">
            <v>21</v>
          </cell>
          <cell r="P615">
            <v>0.63888888888888895</v>
          </cell>
          <cell r="R615">
            <v>0.63888888888888895</v>
          </cell>
          <cell r="S615" t="str">
            <v>pt 14:30</v>
          </cell>
          <cell r="X615">
            <v>88</v>
          </cell>
          <cell r="Y615" t="str">
            <v>podwójna dziewcząt MM</v>
          </cell>
          <cell r="Z615" t="str">
            <v>D5062</v>
          </cell>
          <cell r="AA615" t="str">
            <v>R5603</v>
          </cell>
          <cell r="AB615" t="str">
            <v>X16</v>
          </cell>
          <cell r="AC615" t="str">
            <v>X18</v>
          </cell>
          <cell r="AD615" t="str">
            <v>X16</v>
          </cell>
          <cell r="AE615" t="str">
            <v>X18</v>
          </cell>
          <cell r="AF615" t="str">
            <v>21:15,12:21,21:16</v>
          </cell>
          <cell r="AG615" t="str">
            <v>15:21,21:12,16:21</v>
          </cell>
          <cell r="AH615" t="str">
            <v/>
          </cell>
          <cell r="AI615">
            <v>15</v>
          </cell>
          <cell r="AJ615">
            <v>21</v>
          </cell>
          <cell r="AK615">
            <v>21</v>
          </cell>
          <cell r="AL615">
            <v>12</v>
          </cell>
          <cell r="AM615">
            <v>16</v>
          </cell>
          <cell r="AN615">
            <v>21</v>
          </cell>
        </row>
        <row r="616">
          <cell r="A616" t="str">
            <v/>
          </cell>
          <cell r="B616" t="str">
            <v>Emilia DRĄGOWSKA (UKS Hubal Białystok)</v>
          </cell>
          <cell r="H616" t="str">
            <v>D5062</v>
          </cell>
          <cell r="K616" t="str">
            <v>X16</v>
          </cell>
          <cell r="N616" t="str">
            <v>Yelizaveta KAMINSKAYA (Mińsk Białoruś)</v>
          </cell>
        </row>
        <row r="617">
          <cell r="A617" t="str">
            <v/>
          </cell>
          <cell r="B617" t="str">
            <v>Aleksandra RADZISZEWSKA (UKS Hubal Białystok)</v>
          </cell>
          <cell r="H617" t="str">
            <v>R5603</v>
          </cell>
          <cell r="K617" t="str">
            <v>X18</v>
          </cell>
          <cell r="N617" t="str">
            <v>Veranika TARUSAVA (Mińsk Białoruś)</v>
          </cell>
        </row>
        <row r="619">
          <cell r="B619" t="str">
            <v/>
          </cell>
          <cell r="K619" t="str">
            <v>zwycięzca(cy): 21:15,12:21,21:16</v>
          </cell>
        </row>
        <row r="620">
          <cell r="B620">
            <v>1</v>
          </cell>
          <cell r="C620" t="str">
            <v>dzień turnieju.</v>
          </cell>
          <cell r="I620" t="str">
            <v>Nr meczu</v>
          </cell>
          <cell r="N620" t="str">
            <v>Godz.</v>
          </cell>
          <cell r="R620" t="str">
            <v>S. prow.</v>
          </cell>
          <cell r="AF620" t="str">
            <v>wygrany</v>
          </cell>
          <cell r="AG620" t="str">
            <v>przegrany</v>
          </cell>
        </row>
        <row r="621">
          <cell r="B621" t="str">
            <v>Boisko</v>
          </cell>
          <cell r="C621" t="str">
            <v>Gra</v>
          </cell>
          <cell r="I621">
            <v>89</v>
          </cell>
          <cell r="N621" t="str">
            <v>rozp.</v>
          </cell>
          <cell r="P621" t="str">
            <v>zak.</v>
          </cell>
          <cell r="R621" t="str">
            <v>S. serw.</v>
          </cell>
        </row>
        <row r="622">
          <cell r="A622">
            <v>89</v>
          </cell>
          <cell r="B622">
            <v>1</v>
          </cell>
          <cell r="C622" t="str">
            <v>podwójna dziewcząt MM</v>
          </cell>
          <cell r="H622">
            <v>21</v>
          </cell>
          <cell r="I622">
            <v>8</v>
          </cell>
          <cell r="J622">
            <v>21</v>
          </cell>
          <cell r="K622">
            <v>2</v>
          </cell>
          <cell r="P622">
            <v>0.64930555555555558</v>
          </cell>
          <cell r="R622">
            <v>0.64930555555555558</v>
          </cell>
          <cell r="S622" t="str">
            <v>pt 14:30</v>
          </cell>
          <cell r="X622">
            <v>89</v>
          </cell>
          <cell r="Y622" t="str">
            <v>podwójna dziewcząt MM</v>
          </cell>
          <cell r="Z622" t="str">
            <v>K5262</v>
          </cell>
          <cell r="AA622" t="str">
            <v>L5359</v>
          </cell>
          <cell r="AB622" t="str">
            <v>G5478</v>
          </cell>
          <cell r="AC622" t="str">
            <v>W5473</v>
          </cell>
          <cell r="AD622" t="str">
            <v>K5262</v>
          </cell>
          <cell r="AE622" t="str">
            <v>L5359</v>
          </cell>
          <cell r="AF622" t="str">
            <v>21:8,21:2</v>
          </cell>
          <cell r="AG622" t="str">
            <v>8:21,2:21</v>
          </cell>
          <cell r="AH622" t="str">
            <v/>
          </cell>
          <cell r="AI622">
            <v>21</v>
          </cell>
          <cell r="AJ622">
            <v>8</v>
          </cell>
          <cell r="AK622">
            <v>21</v>
          </cell>
          <cell r="AL622">
            <v>2</v>
          </cell>
          <cell r="AM622">
            <v>0</v>
          </cell>
          <cell r="AN622">
            <v>0</v>
          </cell>
        </row>
        <row r="623">
          <cell r="A623" t="str">
            <v/>
          </cell>
          <cell r="B623" t="str">
            <v>Wiktoria KASPRZAK (UKS Kiko Zamość)</v>
          </cell>
          <cell r="H623" t="str">
            <v>K5262</v>
          </cell>
          <cell r="K623" t="str">
            <v>G5478</v>
          </cell>
          <cell r="N623" t="str">
            <v>Paulina GAPSA (UKS Iskra Sarbice)</v>
          </cell>
        </row>
        <row r="624">
          <cell r="A624" t="str">
            <v/>
          </cell>
          <cell r="B624" t="str">
            <v>Aleksandra LASKOWSKA (UKS Kiko Zamość)</v>
          </cell>
          <cell r="H624" t="str">
            <v>L5359</v>
          </cell>
          <cell r="K624" t="str">
            <v>W5473</v>
          </cell>
          <cell r="N624" t="str">
            <v>Paulina WUDARSKA (UKS Iskra Sarbice)</v>
          </cell>
        </row>
        <row r="626">
          <cell r="B626" t="str">
            <v>zwycięzca(cy): 21:8,21:2</v>
          </cell>
          <cell r="K626" t="str">
            <v/>
          </cell>
        </row>
        <row r="627">
          <cell r="B627">
            <v>1</v>
          </cell>
          <cell r="C627" t="str">
            <v>dzień turnieju.</v>
          </cell>
          <cell r="I627" t="str">
            <v>Nr meczu</v>
          </cell>
          <cell r="N627" t="str">
            <v>Godz.</v>
          </cell>
          <cell r="R627" t="str">
            <v>S. prow.</v>
          </cell>
          <cell r="AF627" t="str">
            <v>wygrany</v>
          </cell>
          <cell r="AG627" t="str">
            <v>przegrany</v>
          </cell>
        </row>
        <row r="628">
          <cell r="B628" t="str">
            <v>Boisko</v>
          </cell>
          <cell r="C628" t="str">
            <v>Gra</v>
          </cell>
          <cell r="I628">
            <v>90</v>
          </cell>
          <cell r="N628" t="str">
            <v>rozp.</v>
          </cell>
          <cell r="P628" t="str">
            <v>zak.</v>
          </cell>
          <cell r="R628" t="str">
            <v>S. serw.</v>
          </cell>
        </row>
        <row r="629">
          <cell r="A629">
            <v>90</v>
          </cell>
          <cell r="B629">
            <v>6</v>
          </cell>
          <cell r="C629" t="str">
            <v>podwójna dziewcząt MM</v>
          </cell>
          <cell r="H629">
            <v>21</v>
          </cell>
          <cell r="I629">
            <v>13</v>
          </cell>
          <cell r="J629">
            <v>21</v>
          </cell>
          <cell r="K629">
            <v>12</v>
          </cell>
          <cell r="P629">
            <v>0.64930555555555558</v>
          </cell>
          <cell r="R629">
            <v>0.64930555555555558</v>
          </cell>
          <cell r="S629" t="str">
            <v>pt 14:30</v>
          </cell>
          <cell r="X629">
            <v>90</v>
          </cell>
          <cell r="Y629" t="str">
            <v>podwójna dziewcząt MM</v>
          </cell>
          <cell r="Z629" t="str">
            <v>M4792</v>
          </cell>
          <cell r="AA629" t="str">
            <v>O5218</v>
          </cell>
          <cell r="AB629" t="str">
            <v>G5951</v>
          </cell>
          <cell r="AC629" t="str">
            <v>K5950</v>
          </cell>
          <cell r="AD629" t="str">
            <v>M4792</v>
          </cell>
          <cell r="AE629" t="str">
            <v>O5218</v>
          </cell>
          <cell r="AF629" t="str">
            <v>21:13,21:12</v>
          </cell>
          <cell r="AG629" t="str">
            <v>13:21,12:21</v>
          </cell>
          <cell r="AH629" t="str">
            <v/>
          </cell>
          <cell r="AI629">
            <v>21</v>
          </cell>
          <cell r="AJ629">
            <v>13</v>
          </cell>
          <cell r="AK629">
            <v>21</v>
          </cell>
          <cell r="AL629">
            <v>12</v>
          </cell>
          <cell r="AM629">
            <v>0</v>
          </cell>
          <cell r="AN629">
            <v>0</v>
          </cell>
        </row>
        <row r="630">
          <cell r="A630" t="str">
            <v/>
          </cell>
          <cell r="B630" t="str">
            <v>Urszula MISZKIEL (SKB Suwałki)</v>
          </cell>
          <cell r="H630" t="str">
            <v>M4792</v>
          </cell>
          <cell r="K630" t="str">
            <v>G5951</v>
          </cell>
          <cell r="N630" t="str">
            <v>Laura GRONKIEWICZ (KS Masovia Płock)</v>
          </cell>
        </row>
        <row r="631">
          <cell r="A631" t="str">
            <v/>
          </cell>
          <cell r="B631" t="str">
            <v>Natalia OWSIEJEW (SKB Suwałki)</v>
          </cell>
          <cell r="H631" t="str">
            <v>O5218</v>
          </cell>
          <cell r="K631" t="str">
            <v>K5950</v>
          </cell>
          <cell r="N631" t="str">
            <v>Olga KRZEMIŃSKA (KS Masovia Płock)</v>
          </cell>
        </row>
        <row r="633">
          <cell r="B633" t="str">
            <v>zwycięzca(cy): 21:13,21:12</v>
          </cell>
          <cell r="K633" t="str">
            <v/>
          </cell>
        </row>
        <row r="634">
          <cell r="B634">
            <v>1</v>
          </cell>
          <cell r="C634" t="str">
            <v>dzień turnieju.</v>
          </cell>
          <cell r="I634" t="str">
            <v>Nr meczu</v>
          </cell>
          <cell r="N634" t="str">
            <v>Godz.</v>
          </cell>
          <cell r="R634" t="str">
            <v>S. prow.</v>
          </cell>
          <cell r="AF634" t="str">
            <v>wygrany</v>
          </cell>
          <cell r="AG634" t="str">
            <v>przegrany</v>
          </cell>
        </row>
        <row r="635">
          <cell r="B635" t="str">
            <v>Boisko</v>
          </cell>
          <cell r="C635" t="str">
            <v>Gra</v>
          </cell>
          <cell r="I635">
            <v>91</v>
          </cell>
          <cell r="N635" t="str">
            <v>rozp.</v>
          </cell>
          <cell r="P635" t="str">
            <v>zak.</v>
          </cell>
          <cell r="R635" t="str">
            <v>S. serw.</v>
          </cell>
        </row>
        <row r="636">
          <cell r="A636">
            <v>91</v>
          </cell>
          <cell r="B636">
            <v>2</v>
          </cell>
          <cell r="C636" t="str">
            <v>podwójna dziewcząt MM</v>
          </cell>
          <cell r="H636">
            <v>21</v>
          </cell>
          <cell r="I636">
            <v>10</v>
          </cell>
          <cell r="J636">
            <v>21</v>
          </cell>
          <cell r="K636">
            <v>5</v>
          </cell>
          <cell r="P636">
            <v>0.65277777777777779</v>
          </cell>
          <cell r="R636">
            <v>0.65277777777777779</v>
          </cell>
          <cell r="S636" t="str">
            <v>pt 14:30</v>
          </cell>
          <cell r="X636">
            <v>91</v>
          </cell>
          <cell r="Y636" t="str">
            <v>podwójna dziewcząt MM</v>
          </cell>
          <cell r="Z636" t="str">
            <v>C5063</v>
          </cell>
          <cell r="AA636" t="str">
            <v>K5600</v>
          </cell>
          <cell r="AB636" t="str">
            <v>X35</v>
          </cell>
          <cell r="AC636" t="str">
            <v>X36</v>
          </cell>
          <cell r="AD636" t="str">
            <v>C5063</v>
          </cell>
          <cell r="AE636" t="str">
            <v>K5600</v>
          </cell>
          <cell r="AF636" t="str">
            <v>21:10,21:5</v>
          </cell>
          <cell r="AG636" t="str">
            <v>10:21,5:21</v>
          </cell>
          <cell r="AH636" t="str">
            <v/>
          </cell>
          <cell r="AI636">
            <v>21</v>
          </cell>
          <cell r="AJ636">
            <v>10</v>
          </cell>
          <cell r="AK636">
            <v>21</v>
          </cell>
          <cell r="AL636">
            <v>5</v>
          </cell>
          <cell r="AM636">
            <v>0</v>
          </cell>
          <cell r="AN636">
            <v>0</v>
          </cell>
        </row>
        <row r="637">
          <cell r="A637" t="str">
            <v/>
          </cell>
          <cell r="B637" t="str">
            <v>Karolina CIEŚLUK (UKS Hubal Białystok)</v>
          </cell>
          <cell r="H637" t="str">
            <v>C5063</v>
          </cell>
          <cell r="K637" t="str">
            <v>X35</v>
          </cell>
          <cell r="N637" t="str">
            <v>Hanna ABRAMAVA (Białoruś)</v>
          </cell>
        </row>
        <row r="638">
          <cell r="A638" t="str">
            <v/>
          </cell>
          <cell r="B638" t="str">
            <v>Gabriela KUŁAKOWSKA (UKS Hubal Białystok)</v>
          </cell>
          <cell r="H638" t="str">
            <v>K5600</v>
          </cell>
          <cell r="K638" t="str">
            <v>X36</v>
          </cell>
          <cell r="N638" t="str">
            <v>Aliaksndra PILIPTSEVICH (Białoruś)</v>
          </cell>
        </row>
        <row r="640">
          <cell r="B640" t="str">
            <v>zwycięzca(cy): 21:10,21:5</v>
          </cell>
          <cell r="K640" t="str">
            <v/>
          </cell>
        </row>
        <row r="641">
          <cell r="B641">
            <v>1</v>
          </cell>
          <cell r="C641" t="str">
            <v>dzień turnieju.</v>
          </cell>
          <cell r="I641" t="str">
            <v>Nr meczu</v>
          </cell>
          <cell r="N641" t="str">
            <v>Godz.</v>
          </cell>
          <cell r="R641" t="str">
            <v>S. prow.</v>
          </cell>
          <cell r="AF641" t="str">
            <v>wygrany</v>
          </cell>
          <cell r="AG641" t="str">
            <v>przegrany</v>
          </cell>
        </row>
        <row r="642">
          <cell r="B642" t="str">
            <v>Boisko</v>
          </cell>
          <cell r="C642" t="str">
            <v>Gra</v>
          </cell>
          <cell r="I642">
            <v>92</v>
          </cell>
          <cell r="N642" t="str">
            <v>rozp.</v>
          </cell>
          <cell r="P642" t="str">
            <v>zak.</v>
          </cell>
          <cell r="R642" t="str">
            <v>S. serw.</v>
          </cell>
        </row>
        <row r="643">
          <cell r="A643">
            <v>92</v>
          </cell>
          <cell r="B643">
            <v>3</v>
          </cell>
          <cell r="C643" t="str">
            <v>podwójna chłopców MM</v>
          </cell>
          <cell r="H643">
            <v>21</v>
          </cell>
          <cell r="I643">
            <v>10</v>
          </cell>
          <cell r="J643">
            <v>21</v>
          </cell>
          <cell r="K643">
            <v>14</v>
          </cell>
          <cell r="P643">
            <v>0.64930555555555558</v>
          </cell>
          <cell r="R643">
            <v>0.64930555555555558</v>
          </cell>
          <cell r="S643" t="str">
            <v>pt 14:30</v>
          </cell>
          <cell r="X643">
            <v>92</v>
          </cell>
          <cell r="Y643" t="str">
            <v>podwójna chłopców MM</v>
          </cell>
          <cell r="Z643" t="str">
            <v>C4406</v>
          </cell>
          <cell r="AA643" t="str">
            <v>C4264</v>
          </cell>
          <cell r="AB643" t="str">
            <v>B4655</v>
          </cell>
          <cell r="AC643" t="str">
            <v>G5536</v>
          </cell>
          <cell r="AD643" t="str">
            <v>C4406</v>
          </cell>
          <cell r="AE643" t="str">
            <v>C4264</v>
          </cell>
          <cell r="AF643" t="str">
            <v>21:10,21:14</v>
          </cell>
          <cell r="AG643" t="str">
            <v>10:21,14:21</v>
          </cell>
          <cell r="AH643" t="str">
            <v/>
          </cell>
          <cell r="AI643">
            <v>21</v>
          </cell>
          <cell r="AJ643">
            <v>10</v>
          </cell>
          <cell r="AK643">
            <v>21</v>
          </cell>
          <cell r="AL643">
            <v>14</v>
          </cell>
          <cell r="AM643">
            <v>0</v>
          </cell>
          <cell r="AN643">
            <v>0</v>
          </cell>
        </row>
        <row r="644">
          <cell r="A644" t="str">
            <v/>
          </cell>
          <cell r="B644" t="str">
            <v>Łukasz CIMOSZ (KS Chojnik Jelenia Góra)</v>
          </cell>
          <cell r="H644" t="str">
            <v>C4406</v>
          </cell>
          <cell r="K644" t="str">
            <v>B4655</v>
          </cell>
          <cell r="N644" t="str">
            <v>Sebastian BILBIN (SKB Suwałki)</v>
          </cell>
        </row>
        <row r="645">
          <cell r="A645" t="str">
            <v/>
          </cell>
          <cell r="B645" t="str">
            <v>Szymon CYBULSKI (MKB Lednik Miastko)</v>
          </cell>
          <cell r="H645" t="str">
            <v>C4264</v>
          </cell>
          <cell r="K645" t="str">
            <v>G5536</v>
          </cell>
          <cell r="N645" t="str">
            <v>Filip GRABOWSKI (SKB Suwałki)</v>
          </cell>
        </row>
        <row r="647">
          <cell r="B647" t="str">
            <v>zwycięzca(cy): 21:10,21:14</v>
          </cell>
          <cell r="K647" t="str">
            <v/>
          </cell>
        </row>
        <row r="648">
          <cell r="B648">
            <v>1</v>
          </cell>
          <cell r="C648" t="str">
            <v>dzień turnieju.</v>
          </cell>
          <cell r="I648" t="str">
            <v>Nr meczu</v>
          </cell>
          <cell r="N648" t="str">
            <v>Godz.</v>
          </cell>
          <cell r="R648" t="str">
            <v>S. prow.</v>
          </cell>
          <cell r="AF648" t="str">
            <v>wygrany</v>
          </cell>
          <cell r="AG648" t="str">
            <v>przegrany</v>
          </cell>
        </row>
        <row r="649">
          <cell r="B649" t="str">
            <v>Boisko</v>
          </cell>
          <cell r="C649" t="str">
            <v>Gra</v>
          </cell>
          <cell r="I649">
            <v>93</v>
          </cell>
          <cell r="N649" t="str">
            <v>rozp.</v>
          </cell>
          <cell r="P649" t="str">
            <v>zak.</v>
          </cell>
          <cell r="R649" t="str">
            <v>S. serw.</v>
          </cell>
        </row>
        <row r="650">
          <cell r="A650">
            <v>93</v>
          </cell>
          <cell r="B650">
            <v>3</v>
          </cell>
          <cell r="C650" t="str">
            <v>podwójna chłopców MM</v>
          </cell>
          <cell r="H650">
            <v>15</v>
          </cell>
          <cell r="I650">
            <v>21</v>
          </cell>
          <cell r="J650">
            <v>3</v>
          </cell>
          <cell r="K650">
            <v>21</v>
          </cell>
          <cell r="P650">
            <v>0.63888888888888895</v>
          </cell>
          <cell r="R650">
            <v>0.63888888888888895</v>
          </cell>
          <cell r="S650" t="str">
            <v>pt 14:30</v>
          </cell>
          <cell r="X650">
            <v>93</v>
          </cell>
          <cell r="Y650" t="str">
            <v>podwójna chłopców MM</v>
          </cell>
          <cell r="Z650" t="str">
            <v>P5629</v>
          </cell>
          <cell r="AA650" t="str">
            <v>P5601</v>
          </cell>
          <cell r="AB650" t="str">
            <v>G5128</v>
          </cell>
          <cell r="AC650" t="str">
            <v>H5129</v>
          </cell>
          <cell r="AD650" t="str">
            <v>G5128</v>
          </cell>
          <cell r="AE650" t="str">
            <v>H5129</v>
          </cell>
          <cell r="AF650" t="str">
            <v>21:15,21:3</v>
          </cell>
          <cell r="AG650" t="str">
            <v>15:21,3:21</v>
          </cell>
          <cell r="AH650" t="str">
            <v/>
          </cell>
          <cell r="AI650">
            <v>15</v>
          </cell>
          <cell r="AJ650">
            <v>21</v>
          </cell>
          <cell r="AK650">
            <v>3</v>
          </cell>
          <cell r="AL650">
            <v>21</v>
          </cell>
          <cell r="AM650">
            <v>0</v>
          </cell>
          <cell r="AN650">
            <v>0</v>
          </cell>
        </row>
        <row r="651">
          <cell r="A651" t="str">
            <v/>
          </cell>
          <cell r="B651" t="str">
            <v>Konrad PIECH (UKS Hubal Białystok)</v>
          </cell>
          <cell r="H651" t="str">
            <v>P5629</v>
          </cell>
          <cell r="K651" t="str">
            <v>G5128</v>
          </cell>
          <cell r="N651" t="str">
            <v>Artur GWIAZDOWSKI (UKS Korona Pabianice)</v>
          </cell>
        </row>
        <row r="652">
          <cell r="A652" t="str">
            <v/>
          </cell>
          <cell r="B652" t="str">
            <v>Hubert PUCIŁOWSKI (UKS Hubal Białystok)</v>
          </cell>
          <cell r="H652" t="str">
            <v>P5601</v>
          </cell>
          <cell r="K652" t="str">
            <v>H5129</v>
          </cell>
          <cell r="N652" t="str">
            <v>Natan HEMER (UKS Korona Pabianice)</v>
          </cell>
        </row>
        <row r="654">
          <cell r="B654" t="str">
            <v/>
          </cell>
          <cell r="K654" t="str">
            <v>zwycięzca(cy): 21:15,21:3</v>
          </cell>
        </row>
        <row r="655">
          <cell r="B655">
            <v>1</v>
          </cell>
          <cell r="C655" t="str">
            <v>dzień turnieju.</v>
          </cell>
          <cell r="I655" t="str">
            <v>Nr meczu</v>
          </cell>
          <cell r="N655" t="str">
            <v>Godz.</v>
          </cell>
          <cell r="R655" t="str">
            <v>S. prow.</v>
          </cell>
          <cell r="AF655" t="str">
            <v>wygrany</v>
          </cell>
          <cell r="AG655" t="str">
            <v>przegrany</v>
          </cell>
        </row>
        <row r="656">
          <cell r="B656" t="str">
            <v>Boisko</v>
          </cell>
          <cell r="C656" t="str">
            <v>Gra</v>
          </cell>
          <cell r="I656">
            <v>94</v>
          </cell>
          <cell r="N656" t="str">
            <v>rozp.</v>
          </cell>
          <cell r="P656" t="str">
            <v>zak.</v>
          </cell>
          <cell r="R656" t="str">
            <v>S. serw.</v>
          </cell>
        </row>
        <row r="657">
          <cell r="A657">
            <v>94</v>
          </cell>
          <cell r="B657">
            <v>5</v>
          </cell>
          <cell r="C657" t="str">
            <v>podwójna chłopców MM</v>
          </cell>
          <cell r="H657">
            <v>21</v>
          </cell>
          <cell r="I657">
            <v>0</v>
          </cell>
          <cell r="J657">
            <v>21</v>
          </cell>
          <cell r="K657">
            <v>0</v>
          </cell>
          <cell r="P657">
            <v>0.62847222222222221</v>
          </cell>
          <cell r="R657">
            <v>0.62847222222222221</v>
          </cell>
          <cell r="S657" t="str">
            <v>pt 14:30</v>
          </cell>
          <cell r="X657">
            <v>94</v>
          </cell>
          <cell r="Y657" t="str">
            <v>podwójna chłopców MM</v>
          </cell>
          <cell r="Z657" t="str">
            <v>M5584</v>
          </cell>
          <cell r="AA657" t="str">
            <v>Ś5585</v>
          </cell>
          <cell r="AB657" t="str">
            <v>X47</v>
          </cell>
          <cell r="AC657" t="str">
            <v>X48</v>
          </cell>
          <cell r="AD657" t="str">
            <v>M5584</v>
          </cell>
          <cell r="AE657" t="str">
            <v>Ś5585</v>
          </cell>
          <cell r="AF657" t="str">
            <v>21:0,21:0</v>
          </cell>
          <cell r="AG657" t="str">
            <v>0:21,0:21</v>
          </cell>
          <cell r="AH657" t="str">
            <v/>
          </cell>
          <cell r="AI657">
            <v>21</v>
          </cell>
          <cell r="AJ657">
            <v>0</v>
          </cell>
          <cell r="AK657">
            <v>21</v>
          </cell>
          <cell r="AL657">
            <v>0</v>
          </cell>
          <cell r="AM657">
            <v>0</v>
          </cell>
          <cell r="AN657">
            <v>0</v>
          </cell>
        </row>
        <row r="658">
          <cell r="A658" t="str">
            <v/>
          </cell>
          <cell r="B658" t="str">
            <v>Jakub MAZUR (LKS Technik Głubczyce)</v>
          </cell>
          <cell r="H658" t="str">
            <v>M5584</v>
          </cell>
          <cell r="K658" t="str">
            <v>X47</v>
          </cell>
          <cell r="N658" t="str">
            <v>Jan Hrabiec (Slavoj Cesky Tesin)</v>
          </cell>
        </row>
        <row r="659">
          <cell r="A659" t="str">
            <v/>
          </cell>
          <cell r="B659" t="str">
            <v>Szymon ŚLEPECKI (LKS Technik Głubczyce)</v>
          </cell>
          <cell r="H659" t="str">
            <v>Ś5585</v>
          </cell>
          <cell r="K659" t="str">
            <v>X48</v>
          </cell>
          <cell r="N659" t="str">
            <v>Tom Kůr  (Slavoj Cesky Tesin)</v>
          </cell>
        </row>
        <row r="661">
          <cell r="B661" t="str">
            <v>zwycięzca(cy): 21:0,21:0</v>
          </cell>
          <cell r="K661" t="str">
            <v/>
          </cell>
        </row>
        <row r="662">
          <cell r="B662">
            <v>1</v>
          </cell>
          <cell r="C662" t="str">
            <v>dzień turnieju.</v>
          </cell>
          <cell r="I662" t="str">
            <v>Nr meczu</v>
          </cell>
          <cell r="N662" t="str">
            <v>Godz.</v>
          </cell>
          <cell r="R662" t="str">
            <v>S. prow.</v>
          </cell>
          <cell r="AF662" t="str">
            <v>wygrany</v>
          </cell>
          <cell r="AG662" t="str">
            <v>przegrany</v>
          </cell>
        </row>
        <row r="663">
          <cell r="B663" t="str">
            <v>Boisko</v>
          </cell>
          <cell r="C663" t="str">
            <v>Gra</v>
          </cell>
          <cell r="I663">
            <v>95</v>
          </cell>
          <cell r="N663" t="str">
            <v>rozp.</v>
          </cell>
          <cell r="P663" t="str">
            <v>zak.</v>
          </cell>
          <cell r="R663" t="str">
            <v>S. serw.</v>
          </cell>
        </row>
        <row r="664">
          <cell r="A664">
            <v>95</v>
          </cell>
          <cell r="B664">
            <v>2</v>
          </cell>
          <cell r="C664" t="str">
            <v>podwójna chłopców MM</v>
          </cell>
          <cell r="H664">
            <v>19</v>
          </cell>
          <cell r="I664">
            <v>21</v>
          </cell>
          <cell r="J664">
            <v>18</v>
          </cell>
          <cell r="K664">
            <v>21</v>
          </cell>
          <cell r="P664">
            <v>0.375</v>
          </cell>
          <cell r="R664">
            <v>0.375</v>
          </cell>
          <cell r="S664" t="str">
            <v>pt 14:30</v>
          </cell>
          <cell r="X664">
            <v>95</v>
          </cell>
          <cell r="Y664" t="str">
            <v>podwójna chłopców MM</v>
          </cell>
          <cell r="Z664" t="str">
            <v>K4239</v>
          </cell>
          <cell r="AA664" t="str">
            <v>M4698</v>
          </cell>
          <cell r="AB664" t="str">
            <v>F4888</v>
          </cell>
          <cell r="AC664" t="str">
            <v>Z4312</v>
          </cell>
          <cell r="AD664" t="str">
            <v>F4888</v>
          </cell>
          <cell r="AE664" t="str">
            <v>Z4312</v>
          </cell>
          <cell r="AF664" t="str">
            <v>21:19,21:18</v>
          </cell>
          <cell r="AG664" t="str">
            <v>19:21,18:21</v>
          </cell>
          <cell r="AH664" t="str">
            <v/>
          </cell>
          <cell r="AI664">
            <v>19</v>
          </cell>
          <cell r="AJ664">
            <v>21</v>
          </cell>
          <cell r="AK664">
            <v>18</v>
          </cell>
          <cell r="AL664">
            <v>21</v>
          </cell>
          <cell r="AM664">
            <v>0</v>
          </cell>
          <cell r="AN664">
            <v>0</v>
          </cell>
        </row>
        <row r="665">
          <cell r="A665" t="str">
            <v/>
          </cell>
          <cell r="B665" t="str">
            <v>Paweł KAŹMIERCZYK (UKSB Milenium Warszawa)</v>
          </cell>
          <cell r="H665" t="str">
            <v>K4239</v>
          </cell>
          <cell r="K665" t="str">
            <v>F4888</v>
          </cell>
          <cell r="N665" t="str">
            <v>Jarosław FIJAŁKOWSKI (UKSB Milenium Warszawa)</v>
          </cell>
        </row>
        <row r="666">
          <cell r="A666" t="str">
            <v/>
          </cell>
          <cell r="B666" t="str">
            <v>Norbert MARKOWSKI (UKS Kometa Sianów)</v>
          </cell>
          <cell r="H666" t="str">
            <v>M4698</v>
          </cell>
          <cell r="K666" t="str">
            <v>Z4312</v>
          </cell>
          <cell r="N666" t="str">
            <v>Łukasz ZWIERZCHOWSKI (UKSB Milenium Warszawa)</v>
          </cell>
        </row>
        <row r="668">
          <cell r="B668" t="str">
            <v/>
          </cell>
          <cell r="K668" t="str">
            <v>zwycięzca(cy): 21:19,21:18</v>
          </cell>
        </row>
        <row r="669">
          <cell r="B669">
            <v>1</v>
          </cell>
          <cell r="C669" t="str">
            <v>dzień turnieju.</v>
          </cell>
          <cell r="I669" t="str">
            <v>Nr meczu</v>
          </cell>
          <cell r="N669" t="str">
            <v>Godz.</v>
          </cell>
          <cell r="R669" t="str">
            <v>S. prow.</v>
          </cell>
          <cell r="AF669" t="str">
            <v>wygrany</v>
          </cell>
          <cell r="AG669" t="str">
            <v>przegrany</v>
          </cell>
        </row>
        <row r="670">
          <cell r="B670" t="str">
            <v>Boisko</v>
          </cell>
          <cell r="C670" t="str">
            <v>Gra</v>
          </cell>
          <cell r="I670">
            <v>96</v>
          </cell>
          <cell r="N670" t="str">
            <v>rozp.</v>
          </cell>
          <cell r="P670" t="str">
            <v>zak.</v>
          </cell>
          <cell r="R670" t="str">
            <v>S. serw.</v>
          </cell>
        </row>
        <row r="671">
          <cell r="A671">
            <v>96</v>
          </cell>
          <cell r="B671">
            <v>5</v>
          </cell>
          <cell r="C671" t="str">
            <v>podwójna chłopców MM</v>
          </cell>
          <cell r="H671">
            <v>21</v>
          </cell>
          <cell r="I671">
            <v>11</v>
          </cell>
          <cell r="J671">
            <v>21</v>
          </cell>
          <cell r="K671">
            <v>13</v>
          </cell>
          <cell r="P671">
            <v>0.65277777777777779</v>
          </cell>
          <cell r="R671">
            <v>0.65277777777777779</v>
          </cell>
          <cell r="S671" t="str">
            <v>pt 14:30</v>
          </cell>
          <cell r="X671">
            <v>96</v>
          </cell>
          <cell r="Y671" t="str">
            <v>podwójna chłopców MM</v>
          </cell>
          <cell r="Z671" t="str">
            <v>G4725</v>
          </cell>
          <cell r="AA671" t="str">
            <v>M4565</v>
          </cell>
          <cell r="AB671" t="str">
            <v>K4670</v>
          </cell>
          <cell r="AC671" t="str">
            <v>U5145</v>
          </cell>
          <cell r="AD671" t="str">
            <v>G4725</v>
          </cell>
          <cell r="AE671" t="str">
            <v>M4565</v>
          </cell>
          <cell r="AF671" t="str">
            <v>21:11,21:13</v>
          </cell>
          <cell r="AG671" t="str">
            <v>11:21,13:21</v>
          </cell>
          <cell r="AH671" t="str">
            <v/>
          </cell>
          <cell r="AI671">
            <v>21</v>
          </cell>
          <cell r="AJ671">
            <v>11</v>
          </cell>
          <cell r="AK671">
            <v>21</v>
          </cell>
          <cell r="AL671">
            <v>13</v>
          </cell>
          <cell r="AM671">
            <v>0</v>
          </cell>
          <cell r="AN671">
            <v>0</v>
          </cell>
        </row>
        <row r="672">
          <cell r="A672" t="str">
            <v/>
          </cell>
          <cell r="B672" t="str">
            <v>Bartosz GAŁĄZKA (LKS Technik Głubczyce)</v>
          </cell>
          <cell r="H672" t="str">
            <v>G4725</v>
          </cell>
          <cell r="K672" t="str">
            <v>K4670</v>
          </cell>
          <cell r="N672" t="str">
            <v>Kamil KOZERA (UKSMTB Smecz Konin)</v>
          </cell>
        </row>
        <row r="673">
          <cell r="A673" t="str">
            <v/>
          </cell>
          <cell r="B673" t="str">
            <v>Maciej MATUSZ (LKS Technik Głubczyce)</v>
          </cell>
          <cell r="H673" t="str">
            <v>M4565</v>
          </cell>
          <cell r="K673" t="str">
            <v>U5145</v>
          </cell>
          <cell r="N673" t="str">
            <v>Maciej URBANIAK (UKS Kopernik Słupca)</v>
          </cell>
        </row>
        <row r="675">
          <cell r="B675" t="str">
            <v>zwycięzca(cy): 21:11,21:13</v>
          </cell>
          <cell r="K675" t="str">
            <v/>
          </cell>
        </row>
        <row r="676">
          <cell r="B676">
            <v>1</v>
          </cell>
          <cell r="C676" t="str">
            <v>dzień turnieju.</v>
          </cell>
          <cell r="I676" t="str">
            <v>Nr meczu</v>
          </cell>
          <cell r="N676" t="str">
            <v>Godz.</v>
          </cell>
          <cell r="R676" t="str">
            <v>S. prow.</v>
          </cell>
          <cell r="AF676" t="str">
            <v>wygrany</v>
          </cell>
          <cell r="AG676" t="str">
            <v>przegrany</v>
          </cell>
        </row>
        <row r="677">
          <cell r="B677" t="str">
            <v>Boisko</v>
          </cell>
          <cell r="C677" t="str">
            <v>Gra</v>
          </cell>
          <cell r="I677">
            <v>97</v>
          </cell>
          <cell r="N677" t="str">
            <v>rozp.</v>
          </cell>
          <cell r="P677" t="str">
            <v>zak.</v>
          </cell>
          <cell r="R677" t="str">
            <v>S. serw.</v>
          </cell>
        </row>
        <row r="678">
          <cell r="A678">
            <v>97</v>
          </cell>
          <cell r="B678">
            <v>4</v>
          </cell>
          <cell r="C678" t="str">
            <v>podwójna chłopców MM</v>
          </cell>
          <cell r="H678">
            <v>21</v>
          </cell>
          <cell r="I678">
            <v>7</v>
          </cell>
          <cell r="J678">
            <v>21</v>
          </cell>
          <cell r="K678">
            <v>19</v>
          </cell>
          <cell r="P678">
            <v>0.65625</v>
          </cell>
          <cell r="R678">
            <v>0.65625</v>
          </cell>
          <cell r="S678" t="str">
            <v>pt 14:30</v>
          </cell>
          <cell r="X678">
            <v>97</v>
          </cell>
          <cell r="Y678" t="str">
            <v>podwójna chłopców MM</v>
          </cell>
          <cell r="Z678" t="str">
            <v>G5058</v>
          </cell>
          <cell r="AA678" t="str">
            <v>K4981</v>
          </cell>
          <cell r="AB678" t="str">
            <v>K5476</v>
          </cell>
          <cell r="AC678" t="str">
            <v>M5475</v>
          </cell>
          <cell r="AD678" t="str">
            <v>G5058</v>
          </cell>
          <cell r="AE678" t="str">
            <v>K4981</v>
          </cell>
          <cell r="AF678" t="str">
            <v>21:7,21:19</v>
          </cell>
          <cell r="AG678" t="str">
            <v>7:21,19:21</v>
          </cell>
          <cell r="AH678" t="str">
            <v/>
          </cell>
          <cell r="AI678">
            <v>21</v>
          </cell>
          <cell r="AJ678">
            <v>7</v>
          </cell>
          <cell r="AK678">
            <v>21</v>
          </cell>
          <cell r="AL678">
            <v>19</v>
          </cell>
          <cell r="AM678">
            <v>0</v>
          </cell>
          <cell r="AN678">
            <v>0</v>
          </cell>
        </row>
        <row r="679">
          <cell r="A679" t="str">
            <v/>
          </cell>
          <cell r="B679" t="str">
            <v>Wiktor GRZYB (UKS Orbitek Straszęcin)</v>
          </cell>
          <cell r="H679" t="str">
            <v>G5058</v>
          </cell>
          <cell r="K679" t="str">
            <v>K5476</v>
          </cell>
          <cell r="N679" t="str">
            <v>Marcin KARBOWY (UKS Iskra Sarbice)</v>
          </cell>
        </row>
        <row r="680">
          <cell r="A680" t="str">
            <v/>
          </cell>
          <cell r="B680" t="str">
            <v>Michał KOSZTYŁO (UKS Orbitek Straszęcin)</v>
          </cell>
          <cell r="H680" t="str">
            <v>K4981</v>
          </cell>
          <cell r="K680" t="str">
            <v>M5475</v>
          </cell>
          <cell r="N680" t="str">
            <v>Jakub MYSŁOWSKI (UKS Iskra Sarbice)</v>
          </cell>
        </row>
        <row r="682">
          <cell r="B682" t="str">
            <v>zwycięzca(cy): 21:7,21:19</v>
          </cell>
          <cell r="K682" t="str">
            <v/>
          </cell>
        </row>
        <row r="683">
          <cell r="B683">
            <v>1</v>
          </cell>
          <cell r="C683" t="str">
            <v>dzień turnieju.</v>
          </cell>
          <cell r="I683" t="str">
            <v>Nr meczu</v>
          </cell>
          <cell r="N683" t="str">
            <v>Godz.</v>
          </cell>
          <cell r="R683" t="str">
            <v>S. prow.</v>
          </cell>
          <cell r="AF683" t="str">
            <v>wygrany</v>
          </cell>
          <cell r="AG683" t="str">
            <v>przegrany</v>
          </cell>
        </row>
        <row r="684">
          <cell r="B684" t="str">
            <v>Boisko</v>
          </cell>
          <cell r="C684" t="str">
            <v>Gra</v>
          </cell>
          <cell r="I684">
            <v>98</v>
          </cell>
          <cell r="N684" t="str">
            <v>rozp.</v>
          </cell>
          <cell r="P684" t="str">
            <v>zak.</v>
          </cell>
          <cell r="R684" t="str">
            <v>S. serw.</v>
          </cell>
        </row>
        <row r="685">
          <cell r="A685">
            <v>98</v>
          </cell>
          <cell r="B685">
            <v>5</v>
          </cell>
          <cell r="C685" t="str">
            <v>podwójna chłopców MM</v>
          </cell>
          <cell r="H685">
            <v>8</v>
          </cell>
          <cell r="I685">
            <v>21</v>
          </cell>
          <cell r="J685">
            <v>8</v>
          </cell>
          <cell r="K685">
            <v>21</v>
          </cell>
          <cell r="P685">
            <v>0.64166666666666672</v>
          </cell>
          <cell r="R685">
            <v>0.64166666666666672</v>
          </cell>
          <cell r="S685" t="str">
            <v>pt 14:30</v>
          </cell>
          <cell r="X685">
            <v>98</v>
          </cell>
          <cell r="Y685" t="str">
            <v>podwójna chłopców MM</v>
          </cell>
          <cell r="Z685" t="str">
            <v>K4702</v>
          </cell>
          <cell r="AA685" t="str">
            <v>L4492</v>
          </cell>
          <cell r="AB685" t="str">
            <v>G5026</v>
          </cell>
          <cell r="AC685" t="str">
            <v>P5025</v>
          </cell>
          <cell r="AD685" t="str">
            <v>G5026</v>
          </cell>
          <cell r="AE685" t="str">
            <v>P5025</v>
          </cell>
          <cell r="AF685" t="str">
            <v>21:8,21:8</v>
          </cell>
          <cell r="AG685" t="str">
            <v>8:21,8:21</v>
          </cell>
          <cell r="AH685" t="str">
            <v/>
          </cell>
          <cell r="AI685">
            <v>8</v>
          </cell>
          <cell r="AJ685">
            <v>21</v>
          </cell>
          <cell r="AK685">
            <v>8</v>
          </cell>
          <cell r="AL685">
            <v>21</v>
          </cell>
          <cell r="AM685">
            <v>0</v>
          </cell>
          <cell r="AN685">
            <v>0</v>
          </cell>
        </row>
        <row r="686">
          <cell r="A686" t="str">
            <v/>
          </cell>
          <cell r="B686" t="str">
            <v>Kacper KOPACZ (UTS Akro-Bad Warszawa)</v>
          </cell>
          <cell r="H686" t="str">
            <v>K4702</v>
          </cell>
          <cell r="K686" t="str">
            <v>G5026</v>
          </cell>
          <cell r="N686" t="str">
            <v>Maciej GAJEWSKI (MKS Strzelce Opolskie)</v>
          </cell>
        </row>
        <row r="687">
          <cell r="A687" t="str">
            <v/>
          </cell>
          <cell r="B687" t="str">
            <v>Kacper LINKE (UTS Akro-Bad Warszawa)</v>
          </cell>
          <cell r="H687" t="str">
            <v>L4492</v>
          </cell>
          <cell r="K687" t="str">
            <v>P5025</v>
          </cell>
          <cell r="N687" t="str">
            <v>Jakub PLASZCZYK (MKS Strzelce Opolskie)</v>
          </cell>
        </row>
        <row r="689">
          <cell r="B689" t="str">
            <v/>
          </cell>
          <cell r="K689" t="str">
            <v>zwycięzca(cy): 21:8,21:8</v>
          </cell>
        </row>
        <row r="690">
          <cell r="B690">
            <v>1</v>
          </cell>
          <cell r="C690" t="str">
            <v>dzień turnieju.</v>
          </cell>
          <cell r="I690" t="str">
            <v>Nr meczu</v>
          </cell>
          <cell r="N690" t="str">
            <v>Godz.</v>
          </cell>
          <cell r="R690" t="str">
            <v>S. prow.</v>
          </cell>
          <cell r="AF690" t="str">
            <v>wygrany</v>
          </cell>
          <cell r="AG690" t="str">
            <v>przegrany</v>
          </cell>
        </row>
        <row r="691">
          <cell r="B691" t="str">
            <v>Boisko</v>
          </cell>
          <cell r="C691" t="str">
            <v>Gra</v>
          </cell>
          <cell r="I691">
            <v>99</v>
          </cell>
          <cell r="N691" t="str">
            <v>rozp.</v>
          </cell>
          <cell r="P691" t="str">
            <v>zak.</v>
          </cell>
          <cell r="R691" t="str">
            <v>S. serw.</v>
          </cell>
        </row>
        <row r="692">
          <cell r="A692">
            <v>99</v>
          </cell>
          <cell r="B692">
            <v>3</v>
          </cell>
          <cell r="C692" t="str">
            <v>podwójna chłopców MM</v>
          </cell>
          <cell r="H692">
            <v>13</v>
          </cell>
          <cell r="I692">
            <v>21</v>
          </cell>
          <cell r="J692">
            <v>15</v>
          </cell>
          <cell r="K692">
            <v>21</v>
          </cell>
          <cell r="P692">
            <v>0.66527777777777775</v>
          </cell>
          <cell r="R692">
            <v>0.66527777777777775</v>
          </cell>
          <cell r="S692" t="str">
            <v>pt 14:30</v>
          </cell>
          <cell r="X692">
            <v>99</v>
          </cell>
          <cell r="Y692" t="str">
            <v>podwójna chłopców MM</v>
          </cell>
          <cell r="Z692" t="str">
            <v>M4933</v>
          </cell>
          <cell r="AA692" t="str">
            <v>R4700</v>
          </cell>
          <cell r="AB692" t="str">
            <v>K5180</v>
          </cell>
          <cell r="AC692" t="str">
            <v>M4612</v>
          </cell>
          <cell r="AD692" t="str">
            <v>K5180</v>
          </cell>
          <cell r="AE692" t="str">
            <v>M4612</v>
          </cell>
          <cell r="AF692" t="str">
            <v>21:13,21:15</v>
          </cell>
          <cell r="AG692" t="str">
            <v>13:21,15:21</v>
          </cell>
          <cell r="AH692" t="str">
            <v/>
          </cell>
          <cell r="AI692">
            <v>13</v>
          </cell>
          <cell r="AJ692">
            <v>21</v>
          </cell>
          <cell r="AK692">
            <v>15</v>
          </cell>
          <cell r="AL692">
            <v>21</v>
          </cell>
          <cell r="AM692">
            <v>0</v>
          </cell>
          <cell r="AN692">
            <v>0</v>
          </cell>
        </row>
        <row r="693">
          <cell r="A693" t="str">
            <v/>
          </cell>
          <cell r="B693" t="str">
            <v>Kacper MAKAREWICZ (UKS Hubal Białystok)</v>
          </cell>
          <cell r="H693" t="str">
            <v>M4933</v>
          </cell>
          <cell r="K693" t="str">
            <v>K5180</v>
          </cell>
          <cell r="N693" t="str">
            <v>Patryk KORDEK (UKS Aktywna Piątka Przemyśl)</v>
          </cell>
        </row>
        <row r="694">
          <cell r="A694" t="str">
            <v/>
          </cell>
          <cell r="B694" t="str">
            <v>Paweł RADZIWON (UKS Hubal Białystok)</v>
          </cell>
          <cell r="H694" t="str">
            <v>R4700</v>
          </cell>
          <cell r="K694" t="str">
            <v>M4612</v>
          </cell>
          <cell r="N694" t="str">
            <v>Patryk MICHAŁEK (UKS Orbitek Straszęcin)</v>
          </cell>
        </row>
        <row r="696">
          <cell r="B696" t="str">
            <v/>
          </cell>
          <cell r="K696" t="str">
            <v>zwycięzca(cy): 21:13,21:15</v>
          </cell>
        </row>
        <row r="697">
          <cell r="B697">
            <v>1</v>
          </cell>
          <cell r="C697" t="str">
            <v>dzień turnieju.</v>
          </cell>
          <cell r="I697" t="str">
            <v>Nr meczu</v>
          </cell>
          <cell r="N697" t="str">
            <v>Godz.</v>
          </cell>
          <cell r="R697" t="str">
            <v>S. prow.</v>
          </cell>
          <cell r="AF697" t="str">
            <v>wygrany</v>
          </cell>
          <cell r="AG697" t="str">
            <v>przegrany</v>
          </cell>
        </row>
        <row r="698">
          <cell r="B698" t="str">
            <v>Boisko</v>
          </cell>
          <cell r="C698" t="str">
            <v>Gra</v>
          </cell>
          <cell r="I698">
            <v>100</v>
          </cell>
          <cell r="N698" t="str">
            <v>rozp.</v>
          </cell>
          <cell r="P698" t="str">
            <v>zak.</v>
          </cell>
          <cell r="R698" t="str">
            <v>S. serw.</v>
          </cell>
        </row>
        <row r="699">
          <cell r="A699">
            <v>100</v>
          </cell>
          <cell r="B699">
            <v>1</v>
          </cell>
          <cell r="C699" t="str">
            <v>pojedyncza dziewcząt MM</v>
          </cell>
          <cell r="H699">
            <v>21</v>
          </cell>
          <cell r="I699">
            <v>12</v>
          </cell>
          <cell r="J699">
            <v>21</v>
          </cell>
          <cell r="K699">
            <v>9</v>
          </cell>
          <cell r="P699">
            <v>0.66319444444444442</v>
          </cell>
          <cell r="R699">
            <v>0.66319444444444442</v>
          </cell>
          <cell r="S699" t="str">
            <v>pt 15:15</v>
          </cell>
          <cell r="X699">
            <v>100</v>
          </cell>
          <cell r="Y699" t="str">
            <v>pojedyncza dziewcząt MM</v>
          </cell>
          <cell r="Z699" t="str">
            <v>D4628</v>
          </cell>
          <cell r="AA699" t="str">
            <v/>
          </cell>
          <cell r="AB699" t="str">
            <v>W5952</v>
          </cell>
          <cell r="AC699" t="str">
            <v/>
          </cell>
          <cell r="AD699" t="str">
            <v>D4628</v>
          </cell>
          <cell r="AE699" t="str">
            <v/>
          </cell>
          <cell r="AF699" t="str">
            <v>21:12,21:9</v>
          </cell>
          <cell r="AG699" t="str">
            <v>12:21,9:21</v>
          </cell>
          <cell r="AH699" t="str">
            <v/>
          </cell>
          <cell r="AI699">
            <v>21</v>
          </cell>
          <cell r="AJ699">
            <v>12</v>
          </cell>
          <cell r="AK699">
            <v>21</v>
          </cell>
          <cell r="AL699">
            <v>9</v>
          </cell>
          <cell r="AM699">
            <v>0</v>
          </cell>
          <cell r="AN699">
            <v>0</v>
          </cell>
        </row>
        <row r="700">
          <cell r="A700" t="str">
            <v/>
          </cell>
          <cell r="B700" t="str">
            <v>Anna DUDA (ULKS U-2 Lotka Bytów)</v>
          </cell>
          <cell r="H700" t="str">
            <v>D4628</v>
          </cell>
          <cell r="K700" t="str">
            <v>W5952</v>
          </cell>
          <cell r="N700" t="str">
            <v>Małgorzata WILCZAK (----)</v>
          </cell>
        </row>
        <row r="701">
          <cell r="A701" t="str">
            <v/>
          </cell>
          <cell r="B701" t="str">
            <v/>
          </cell>
          <cell r="H701" t="str">
            <v/>
          </cell>
          <cell r="K701" t="str">
            <v/>
          </cell>
          <cell r="N701" t="str">
            <v/>
          </cell>
        </row>
        <row r="703">
          <cell r="B703" t="str">
            <v>zwycięzca(cy): 21:12,21:9</v>
          </cell>
          <cell r="K703" t="str">
            <v/>
          </cell>
        </row>
        <row r="704">
          <cell r="B704">
            <v>1</v>
          </cell>
          <cell r="C704" t="str">
            <v>dzień turnieju.</v>
          </cell>
          <cell r="I704" t="str">
            <v>Nr meczu</v>
          </cell>
          <cell r="N704" t="str">
            <v>Godz.</v>
          </cell>
          <cell r="R704" t="str">
            <v>S. prow.</v>
          </cell>
          <cell r="AF704" t="str">
            <v>wygrany</v>
          </cell>
          <cell r="AG704" t="str">
            <v>przegrany</v>
          </cell>
        </row>
        <row r="705">
          <cell r="B705" t="str">
            <v>Boisko</v>
          </cell>
          <cell r="C705" t="str">
            <v>Gra</v>
          </cell>
          <cell r="I705">
            <v>101</v>
          </cell>
          <cell r="N705" t="str">
            <v>rozp.</v>
          </cell>
          <cell r="P705" t="str">
            <v>zak.</v>
          </cell>
          <cell r="R705" t="str">
            <v>S. serw.</v>
          </cell>
        </row>
        <row r="706">
          <cell r="A706">
            <v>101</v>
          </cell>
          <cell r="B706">
            <v>5</v>
          </cell>
          <cell r="C706" t="str">
            <v>pojedyncza dziewcząt MM</v>
          </cell>
          <cell r="H706">
            <v>21</v>
          </cell>
          <cell r="I706">
            <v>14</v>
          </cell>
          <cell r="J706">
            <v>21</v>
          </cell>
          <cell r="K706">
            <v>13</v>
          </cell>
          <cell r="P706">
            <v>0.68055555555555547</v>
          </cell>
          <cell r="R706">
            <v>0.68055555555555547</v>
          </cell>
          <cell r="S706" t="str">
            <v>pt 15:15</v>
          </cell>
          <cell r="X706">
            <v>101</v>
          </cell>
          <cell r="Y706" t="str">
            <v>pojedyncza dziewcząt MM</v>
          </cell>
          <cell r="Z706" t="str">
            <v>K5208</v>
          </cell>
          <cell r="AA706" t="str">
            <v/>
          </cell>
          <cell r="AB706" t="str">
            <v>F4870</v>
          </cell>
          <cell r="AC706" t="str">
            <v/>
          </cell>
          <cell r="AD706" t="str">
            <v>K5208</v>
          </cell>
          <cell r="AE706" t="str">
            <v/>
          </cell>
          <cell r="AF706" t="str">
            <v>21:14,21:13</v>
          </cell>
          <cell r="AG706" t="str">
            <v>14:21,13:21</v>
          </cell>
          <cell r="AH706" t="str">
            <v/>
          </cell>
          <cell r="AI706">
            <v>21</v>
          </cell>
          <cell r="AJ706">
            <v>14</v>
          </cell>
          <cell r="AK706">
            <v>21</v>
          </cell>
          <cell r="AL706">
            <v>13</v>
          </cell>
          <cell r="AM706">
            <v>0</v>
          </cell>
          <cell r="AN706">
            <v>0</v>
          </cell>
        </row>
        <row r="707">
          <cell r="A707" t="str">
            <v/>
          </cell>
          <cell r="B707" t="str">
            <v>Dominika KWAŚNIK (UKS Feniks Kędzierzyn-Koźle)</v>
          </cell>
          <cell r="H707" t="str">
            <v>K5208</v>
          </cell>
          <cell r="K707" t="str">
            <v>F4870</v>
          </cell>
          <cell r="N707" t="str">
            <v>Marcelina FRANCZUK (MMKS Gdańsk)</v>
          </cell>
        </row>
        <row r="708">
          <cell r="A708" t="str">
            <v/>
          </cell>
          <cell r="B708" t="str">
            <v/>
          </cell>
          <cell r="H708" t="str">
            <v/>
          </cell>
          <cell r="K708" t="str">
            <v/>
          </cell>
          <cell r="N708" t="str">
            <v/>
          </cell>
        </row>
        <row r="710">
          <cell r="B710" t="str">
            <v>zwycięzca(cy): 21:14,21:13</v>
          </cell>
          <cell r="K710" t="str">
            <v/>
          </cell>
        </row>
        <row r="711">
          <cell r="B711">
            <v>1</v>
          </cell>
          <cell r="C711" t="str">
            <v>dzień turnieju.</v>
          </cell>
          <cell r="I711" t="str">
            <v>Nr meczu</v>
          </cell>
          <cell r="N711" t="str">
            <v>Godz.</v>
          </cell>
          <cell r="R711" t="str">
            <v>S. prow.</v>
          </cell>
          <cell r="AF711" t="str">
            <v>wygrany</v>
          </cell>
          <cell r="AG711" t="str">
            <v>przegrany</v>
          </cell>
        </row>
        <row r="712">
          <cell r="B712" t="str">
            <v>Boisko</v>
          </cell>
          <cell r="C712" t="str">
            <v>Gra</v>
          </cell>
          <cell r="I712">
            <v>102</v>
          </cell>
          <cell r="N712" t="str">
            <v>rozp.</v>
          </cell>
          <cell r="P712" t="str">
            <v>zak.</v>
          </cell>
          <cell r="R712" t="str">
            <v>S. serw.</v>
          </cell>
        </row>
        <row r="713">
          <cell r="A713">
            <v>102</v>
          </cell>
          <cell r="B713">
            <v>2</v>
          </cell>
          <cell r="C713" t="str">
            <v>pojedyncza dziewcząt MM</v>
          </cell>
          <cell r="H713">
            <v>21</v>
          </cell>
          <cell r="I713">
            <v>12</v>
          </cell>
          <cell r="J713">
            <v>21</v>
          </cell>
          <cell r="K713">
            <v>18</v>
          </cell>
          <cell r="P713">
            <v>0.67361111111111116</v>
          </cell>
          <cell r="R713">
            <v>0.67361111111111116</v>
          </cell>
          <cell r="S713" t="str">
            <v>pt 15:15</v>
          </cell>
          <cell r="X713">
            <v>102</v>
          </cell>
          <cell r="Y713" t="str">
            <v>pojedyncza dziewcząt MM</v>
          </cell>
          <cell r="Z713" t="str">
            <v>P4759</v>
          </cell>
          <cell r="AA713" t="str">
            <v/>
          </cell>
          <cell r="AB713" t="str">
            <v>T5222</v>
          </cell>
          <cell r="AC713" t="str">
            <v/>
          </cell>
          <cell r="AD713" t="str">
            <v>P4759</v>
          </cell>
          <cell r="AE713" t="str">
            <v/>
          </cell>
          <cell r="AF713" t="str">
            <v>21:12,21:18</v>
          </cell>
          <cell r="AG713" t="str">
            <v>12:21,18:21</v>
          </cell>
          <cell r="AH713" t="str">
            <v/>
          </cell>
          <cell r="AI713">
            <v>21</v>
          </cell>
          <cell r="AJ713">
            <v>12</v>
          </cell>
          <cell r="AK713">
            <v>21</v>
          </cell>
          <cell r="AL713">
            <v>18</v>
          </cell>
          <cell r="AM713">
            <v>0</v>
          </cell>
          <cell r="AN713">
            <v>0</v>
          </cell>
        </row>
        <row r="714">
          <cell r="A714" t="str">
            <v/>
          </cell>
          <cell r="B714" t="str">
            <v>Martyna PIETRZAK (MLKS Solec Kuj.)</v>
          </cell>
          <cell r="H714" t="str">
            <v>P4759</v>
          </cell>
          <cell r="K714" t="str">
            <v>T5222</v>
          </cell>
          <cell r="N714" t="str">
            <v>Miriam TOMALA (UKS Unia Bieruń)</v>
          </cell>
        </row>
        <row r="715">
          <cell r="A715" t="str">
            <v/>
          </cell>
          <cell r="B715" t="str">
            <v/>
          </cell>
          <cell r="H715" t="str">
            <v/>
          </cell>
          <cell r="K715" t="str">
            <v/>
          </cell>
          <cell r="N715" t="str">
            <v/>
          </cell>
        </row>
        <row r="717">
          <cell r="B717" t="str">
            <v>zwycięzca(cy): 21:12,21:18</v>
          </cell>
          <cell r="K717" t="str">
            <v/>
          </cell>
        </row>
        <row r="718">
          <cell r="B718">
            <v>1</v>
          </cell>
          <cell r="C718" t="str">
            <v>dzień turnieju.</v>
          </cell>
          <cell r="I718" t="str">
            <v>Nr meczu</v>
          </cell>
          <cell r="N718" t="str">
            <v>Godz.</v>
          </cell>
          <cell r="R718" t="str">
            <v>S. prow.</v>
          </cell>
          <cell r="AF718" t="str">
            <v>wygrany</v>
          </cell>
          <cell r="AG718" t="str">
            <v>przegrany</v>
          </cell>
        </row>
        <row r="719">
          <cell r="B719" t="str">
            <v>Boisko</v>
          </cell>
          <cell r="C719" t="str">
            <v>Gra</v>
          </cell>
          <cell r="I719">
            <v>103</v>
          </cell>
          <cell r="N719" t="str">
            <v>rozp.</v>
          </cell>
          <cell r="P719" t="str">
            <v>zak.</v>
          </cell>
          <cell r="R719" t="str">
            <v>S. serw.</v>
          </cell>
        </row>
        <row r="720">
          <cell r="A720">
            <v>103</v>
          </cell>
          <cell r="B720">
            <v>5</v>
          </cell>
          <cell r="C720" t="str">
            <v>pojedyncza dziewcząt MM</v>
          </cell>
          <cell r="H720">
            <v>21</v>
          </cell>
          <cell r="I720">
            <v>17</v>
          </cell>
          <cell r="J720">
            <v>21</v>
          </cell>
          <cell r="K720">
            <v>14</v>
          </cell>
          <cell r="P720">
            <v>0.66874999999999996</v>
          </cell>
          <cell r="R720">
            <v>0.66874999999999996</v>
          </cell>
          <cell r="S720" t="str">
            <v>pt 15:15</v>
          </cell>
          <cell r="X720">
            <v>103</v>
          </cell>
          <cell r="Y720" t="str">
            <v>pojedyncza dziewcząt MM</v>
          </cell>
          <cell r="Z720" t="str">
            <v>D5062</v>
          </cell>
          <cell r="AA720" t="str">
            <v/>
          </cell>
          <cell r="AB720" t="str">
            <v>Ż5592</v>
          </cell>
          <cell r="AC720" t="str">
            <v/>
          </cell>
          <cell r="AD720" t="str">
            <v>D5062</v>
          </cell>
          <cell r="AE720" t="str">
            <v/>
          </cell>
          <cell r="AF720" t="str">
            <v>21:17,21:14</v>
          </cell>
          <cell r="AG720" t="str">
            <v>17:21,14:21</v>
          </cell>
          <cell r="AH720" t="str">
            <v/>
          </cell>
          <cell r="AI720">
            <v>21</v>
          </cell>
          <cell r="AJ720">
            <v>17</v>
          </cell>
          <cell r="AK720">
            <v>21</v>
          </cell>
          <cell r="AL720">
            <v>14</v>
          </cell>
          <cell r="AM720">
            <v>0</v>
          </cell>
          <cell r="AN720">
            <v>0</v>
          </cell>
        </row>
        <row r="721">
          <cell r="A721" t="str">
            <v/>
          </cell>
          <cell r="B721" t="str">
            <v>Emilia DRĄGOWSKA (UKS Hubal Białystok)</v>
          </cell>
          <cell r="H721" t="str">
            <v>D5062</v>
          </cell>
          <cell r="K721" t="str">
            <v>Ż5592</v>
          </cell>
          <cell r="N721" t="str">
            <v>Nina ŻWAN (UTS Akro-Bad Warszawa)</v>
          </cell>
        </row>
        <row r="722">
          <cell r="A722" t="str">
            <v/>
          </cell>
          <cell r="B722" t="str">
            <v/>
          </cell>
          <cell r="H722" t="str">
            <v/>
          </cell>
          <cell r="K722" t="str">
            <v/>
          </cell>
          <cell r="N722" t="str">
            <v/>
          </cell>
        </row>
        <row r="724">
          <cell r="B724" t="str">
            <v>zwycięzca(cy): 21:17,21:14</v>
          </cell>
          <cell r="K724" t="str">
            <v/>
          </cell>
        </row>
        <row r="725">
          <cell r="B725">
            <v>1</v>
          </cell>
          <cell r="C725" t="str">
            <v>dzień turnieju.</v>
          </cell>
          <cell r="I725" t="str">
            <v>Nr meczu</v>
          </cell>
          <cell r="N725" t="str">
            <v>Godz.</v>
          </cell>
          <cell r="R725" t="str">
            <v>S. prow.</v>
          </cell>
          <cell r="AF725" t="str">
            <v>wygrany</v>
          </cell>
          <cell r="AG725" t="str">
            <v>przegrany</v>
          </cell>
        </row>
        <row r="726">
          <cell r="B726" t="str">
            <v>Boisko</v>
          </cell>
          <cell r="C726" t="str">
            <v>Gra</v>
          </cell>
          <cell r="I726">
            <v>104</v>
          </cell>
          <cell r="N726" t="str">
            <v>rozp.</v>
          </cell>
          <cell r="P726" t="str">
            <v>zak.</v>
          </cell>
          <cell r="R726" t="str">
            <v>S. serw.</v>
          </cell>
        </row>
        <row r="727">
          <cell r="A727">
            <v>104</v>
          </cell>
          <cell r="B727">
            <v>1</v>
          </cell>
          <cell r="C727" t="str">
            <v>pojedyncza dziewcząt MM</v>
          </cell>
          <cell r="H727">
            <v>21</v>
          </cell>
          <cell r="I727">
            <v>4</v>
          </cell>
          <cell r="J727">
            <v>21</v>
          </cell>
          <cell r="K727">
            <v>16</v>
          </cell>
          <cell r="P727">
            <v>0.67361111111111116</v>
          </cell>
          <cell r="R727">
            <v>0.67361111111111116</v>
          </cell>
          <cell r="S727" t="str">
            <v>pt 15:15</v>
          </cell>
          <cell r="X727">
            <v>104</v>
          </cell>
          <cell r="Y727" t="str">
            <v>pojedyncza dziewcząt MM</v>
          </cell>
          <cell r="Z727" t="str">
            <v>L5359</v>
          </cell>
          <cell r="AA727" t="str">
            <v/>
          </cell>
          <cell r="AB727" t="str">
            <v>K5733</v>
          </cell>
          <cell r="AC727" t="str">
            <v/>
          </cell>
          <cell r="AD727" t="str">
            <v>L5359</v>
          </cell>
          <cell r="AE727" t="str">
            <v/>
          </cell>
          <cell r="AF727" t="str">
            <v>21:4,21:16</v>
          </cell>
          <cell r="AG727" t="str">
            <v>4:21,16:21</v>
          </cell>
          <cell r="AH727" t="str">
            <v/>
          </cell>
          <cell r="AI727">
            <v>21</v>
          </cell>
          <cell r="AJ727">
            <v>4</v>
          </cell>
          <cell r="AK727">
            <v>21</v>
          </cell>
          <cell r="AL727">
            <v>16</v>
          </cell>
          <cell r="AM727">
            <v>0</v>
          </cell>
          <cell r="AN727">
            <v>0</v>
          </cell>
        </row>
        <row r="728">
          <cell r="A728" t="str">
            <v/>
          </cell>
          <cell r="B728" t="str">
            <v>Aleksandra LASKOWSKA (UKS Kiko Zamość)</v>
          </cell>
          <cell r="H728" t="str">
            <v>L5359</v>
          </cell>
          <cell r="K728" t="str">
            <v>K5733</v>
          </cell>
          <cell r="N728" t="str">
            <v>Paulina KARSKA (UKS Lotka Łódź)</v>
          </cell>
        </row>
        <row r="729">
          <cell r="A729" t="str">
            <v/>
          </cell>
          <cell r="B729" t="str">
            <v/>
          </cell>
          <cell r="H729" t="str">
            <v/>
          </cell>
          <cell r="K729" t="str">
            <v/>
          </cell>
          <cell r="N729" t="str">
            <v/>
          </cell>
        </row>
        <row r="731">
          <cell r="B731" t="str">
            <v>zwycięzca(cy): 21:4,21:16</v>
          </cell>
          <cell r="K731" t="str">
            <v/>
          </cell>
        </row>
        <row r="732">
          <cell r="B732">
            <v>1</v>
          </cell>
          <cell r="C732" t="str">
            <v>dzień turnieju.</v>
          </cell>
          <cell r="I732" t="str">
            <v>Nr meczu</v>
          </cell>
          <cell r="N732" t="str">
            <v>Godz.</v>
          </cell>
          <cell r="R732" t="str">
            <v>S. prow.</v>
          </cell>
          <cell r="AF732" t="str">
            <v>wygrany</v>
          </cell>
          <cell r="AG732" t="str">
            <v>przegrany</v>
          </cell>
        </row>
        <row r="733">
          <cell r="B733" t="str">
            <v>Boisko</v>
          </cell>
          <cell r="C733" t="str">
            <v>Gra</v>
          </cell>
          <cell r="I733">
            <v>105</v>
          </cell>
          <cell r="N733" t="str">
            <v>rozp.</v>
          </cell>
          <cell r="P733" t="str">
            <v>zak.</v>
          </cell>
          <cell r="R733" t="str">
            <v>S. serw.</v>
          </cell>
        </row>
        <row r="734">
          <cell r="A734">
            <v>105</v>
          </cell>
          <cell r="B734">
            <v>6</v>
          </cell>
          <cell r="C734" t="str">
            <v>pojedyncza dziewcząt MM</v>
          </cell>
          <cell r="H734">
            <v>21</v>
          </cell>
          <cell r="I734">
            <v>9</v>
          </cell>
          <cell r="J734">
            <v>21</v>
          </cell>
          <cell r="K734">
            <v>10</v>
          </cell>
          <cell r="P734">
            <v>0.66666666666666663</v>
          </cell>
          <cell r="R734">
            <v>0.66666666666666663</v>
          </cell>
          <cell r="S734" t="str">
            <v>pt 15:15</v>
          </cell>
          <cell r="X734">
            <v>105</v>
          </cell>
          <cell r="Y734" t="str">
            <v>pojedyncza dziewcząt MM</v>
          </cell>
          <cell r="Z734" t="str">
            <v>P4820</v>
          </cell>
          <cell r="AA734" t="str">
            <v/>
          </cell>
          <cell r="AB734" t="str">
            <v>P5477</v>
          </cell>
          <cell r="AC734" t="str">
            <v/>
          </cell>
          <cell r="AD734" t="str">
            <v>P4820</v>
          </cell>
          <cell r="AE734" t="str">
            <v/>
          </cell>
          <cell r="AF734" t="str">
            <v>21:9,21:10</v>
          </cell>
          <cell r="AG734" t="str">
            <v>9:21,10:21</v>
          </cell>
          <cell r="AH734" t="str">
            <v/>
          </cell>
          <cell r="AI734">
            <v>21</v>
          </cell>
          <cell r="AJ734">
            <v>9</v>
          </cell>
          <cell r="AK734">
            <v>21</v>
          </cell>
          <cell r="AL734">
            <v>10</v>
          </cell>
          <cell r="AM734">
            <v>0</v>
          </cell>
          <cell r="AN734">
            <v>0</v>
          </cell>
        </row>
        <row r="735">
          <cell r="A735" t="str">
            <v/>
          </cell>
          <cell r="B735" t="str">
            <v>Aleksandra PAJĄK (MKS Orlicz Suchedniów)</v>
          </cell>
          <cell r="H735" t="str">
            <v>P4820</v>
          </cell>
          <cell r="K735" t="str">
            <v>P5477</v>
          </cell>
          <cell r="N735" t="str">
            <v>Paulina PRZYBYŁ (UKS Iskra Sarbice)</v>
          </cell>
        </row>
        <row r="736">
          <cell r="A736" t="str">
            <v/>
          </cell>
          <cell r="B736" t="str">
            <v/>
          </cell>
          <cell r="H736" t="str">
            <v/>
          </cell>
          <cell r="K736" t="str">
            <v/>
          </cell>
          <cell r="N736" t="str">
            <v/>
          </cell>
        </row>
        <row r="738">
          <cell r="B738" t="str">
            <v>zwycięzca(cy): 21:9,21:10</v>
          </cell>
          <cell r="K738" t="str">
            <v/>
          </cell>
        </row>
        <row r="739">
          <cell r="B739">
            <v>1</v>
          </cell>
          <cell r="C739" t="str">
            <v>dzień turnieju.</v>
          </cell>
          <cell r="I739" t="str">
            <v>Nr meczu</v>
          </cell>
          <cell r="N739" t="str">
            <v>Godz.</v>
          </cell>
          <cell r="R739" t="str">
            <v>S. prow.</v>
          </cell>
          <cell r="AF739" t="str">
            <v>wygrany</v>
          </cell>
          <cell r="AG739" t="str">
            <v>przegrany</v>
          </cell>
        </row>
        <row r="740">
          <cell r="B740" t="str">
            <v>Boisko</v>
          </cell>
          <cell r="C740" t="str">
            <v>Gra</v>
          </cell>
          <cell r="I740">
            <v>106</v>
          </cell>
          <cell r="N740" t="str">
            <v>rozp.</v>
          </cell>
          <cell r="P740" t="str">
            <v>zak.</v>
          </cell>
          <cell r="R740" t="str">
            <v>S. serw.</v>
          </cell>
        </row>
        <row r="741">
          <cell r="A741">
            <v>106</v>
          </cell>
          <cell r="B741">
            <v>4</v>
          </cell>
          <cell r="C741" t="str">
            <v>pojedyncza dziewcząt MM</v>
          </cell>
          <cell r="H741">
            <v>9</v>
          </cell>
          <cell r="I741">
            <v>21</v>
          </cell>
          <cell r="J741">
            <v>16</v>
          </cell>
          <cell r="K741">
            <v>21</v>
          </cell>
          <cell r="P741">
            <v>0.66666666666666663</v>
          </cell>
          <cell r="R741">
            <v>0.66666666666666663</v>
          </cell>
          <cell r="S741" t="str">
            <v>pt 15:15</v>
          </cell>
          <cell r="X741">
            <v>106</v>
          </cell>
          <cell r="Y741" t="str">
            <v>pojedyncza dziewcząt MM</v>
          </cell>
          <cell r="Z741" t="str">
            <v>O5218</v>
          </cell>
          <cell r="AA741" t="str">
            <v/>
          </cell>
          <cell r="AB741" t="str">
            <v>X17</v>
          </cell>
          <cell r="AC741" t="str">
            <v/>
          </cell>
          <cell r="AD741" t="str">
            <v>X17</v>
          </cell>
          <cell r="AE741" t="str">
            <v/>
          </cell>
          <cell r="AF741" t="str">
            <v>21:9,21:16</v>
          </cell>
          <cell r="AG741" t="str">
            <v>9:21,16:21</v>
          </cell>
          <cell r="AH741" t="str">
            <v/>
          </cell>
          <cell r="AI741">
            <v>9</v>
          </cell>
          <cell r="AJ741">
            <v>21</v>
          </cell>
          <cell r="AK741">
            <v>16</v>
          </cell>
          <cell r="AL741">
            <v>21</v>
          </cell>
          <cell r="AM741">
            <v>0</v>
          </cell>
          <cell r="AN741">
            <v>0</v>
          </cell>
        </row>
        <row r="742">
          <cell r="A742" t="str">
            <v/>
          </cell>
          <cell r="B742" t="str">
            <v>Natalia OWSIEJEW (SKB Suwałki)</v>
          </cell>
          <cell r="H742" t="str">
            <v>O5218</v>
          </cell>
          <cell r="K742" t="str">
            <v>X17</v>
          </cell>
          <cell r="N742" t="str">
            <v>Anna BANDARENKA (Mińsk Białoruś)</v>
          </cell>
        </row>
        <row r="743">
          <cell r="A743" t="str">
            <v/>
          </cell>
          <cell r="B743" t="str">
            <v/>
          </cell>
          <cell r="H743" t="str">
            <v/>
          </cell>
          <cell r="K743" t="str">
            <v/>
          </cell>
          <cell r="N743" t="str">
            <v/>
          </cell>
        </row>
        <row r="745">
          <cell r="B745" t="str">
            <v/>
          </cell>
          <cell r="K745" t="str">
            <v>zwycięzca(cy): 21:9,21:16</v>
          </cell>
        </row>
        <row r="746">
          <cell r="B746">
            <v>1</v>
          </cell>
          <cell r="C746" t="str">
            <v>dzień turnieju.</v>
          </cell>
          <cell r="I746" t="str">
            <v>Nr meczu</v>
          </cell>
          <cell r="N746" t="str">
            <v>Godz.</v>
          </cell>
          <cell r="R746" t="str">
            <v>S. prow.</v>
          </cell>
          <cell r="AF746" t="str">
            <v>wygrany</v>
          </cell>
          <cell r="AG746" t="str">
            <v>przegrany</v>
          </cell>
        </row>
        <row r="747">
          <cell r="B747" t="str">
            <v>Boisko</v>
          </cell>
          <cell r="C747" t="str">
            <v>Gra</v>
          </cell>
          <cell r="I747">
            <v>107</v>
          </cell>
          <cell r="N747" t="str">
            <v>rozp.</v>
          </cell>
          <cell r="P747" t="str">
            <v>zak.</v>
          </cell>
          <cell r="R747" t="str">
            <v>S. serw.</v>
          </cell>
        </row>
        <row r="748">
          <cell r="A748">
            <v>107</v>
          </cell>
          <cell r="B748">
            <v>1</v>
          </cell>
          <cell r="C748" t="str">
            <v>pojedyncza dziewcząt MM</v>
          </cell>
          <cell r="H748">
            <v>21</v>
          </cell>
          <cell r="I748">
            <v>0</v>
          </cell>
          <cell r="J748">
            <v>21</v>
          </cell>
          <cell r="K748">
            <v>0</v>
          </cell>
          <cell r="P748">
            <v>0.375</v>
          </cell>
          <cell r="R748">
            <v>0.375</v>
          </cell>
          <cell r="S748" t="str">
            <v>pt 15:15</v>
          </cell>
          <cell r="X748">
            <v>107</v>
          </cell>
          <cell r="Y748" t="str">
            <v>pojedyncza dziewcząt MM</v>
          </cell>
          <cell r="Z748" t="str">
            <v>C5063</v>
          </cell>
          <cell r="AA748" t="str">
            <v/>
          </cell>
          <cell r="AB748" t="str">
            <v>F4799</v>
          </cell>
          <cell r="AC748" t="str">
            <v/>
          </cell>
          <cell r="AD748" t="str">
            <v>C5063</v>
          </cell>
          <cell r="AE748" t="str">
            <v/>
          </cell>
          <cell r="AF748" t="str">
            <v>21:0,21:0</v>
          </cell>
          <cell r="AG748" t="str">
            <v>0:21,0:21</v>
          </cell>
          <cell r="AH748" t="str">
            <v/>
          </cell>
          <cell r="AI748">
            <v>21</v>
          </cell>
          <cell r="AJ748">
            <v>0</v>
          </cell>
          <cell r="AK748">
            <v>21</v>
          </cell>
          <cell r="AL748">
            <v>0</v>
          </cell>
          <cell r="AM748">
            <v>0</v>
          </cell>
          <cell r="AN748">
            <v>0</v>
          </cell>
        </row>
        <row r="749">
          <cell r="A749" t="str">
            <v/>
          </cell>
          <cell r="B749" t="str">
            <v>Karolina CIEŚLUK (UKS Hubal Białystok)</v>
          </cell>
          <cell r="H749" t="str">
            <v>C5063</v>
          </cell>
          <cell r="K749" t="str">
            <v>F4799</v>
          </cell>
          <cell r="N749" t="str">
            <v>Adrianna FILIPIAK (MLKS Solec Kuj.)</v>
          </cell>
        </row>
        <row r="750">
          <cell r="A750" t="str">
            <v/>
          </cell>
          <cell r="B750" t="str">
            <v/>
          </cell>
          <cell r="H750" t="str">
            <v/>
          </cell>
          <cell r="K750" t="str">
            <v/>
          </cell>
          <cell r="N750" t="str">
            <v/>
          </cell>
        </row>
        <row r="752">
          <cell r="B752" t="str">
            <v>zwycięzca(cy): 21:0,21:0</v>
          </cell>
          <cell r="K752" t="str">
            <v/>
          </cell>
        </row>
        <row r="753">
          <cell r="B753">
            <v>1</v>
          </cell>
          <cell r="C753" t="str">
            <v>dzień turnieju.</v>
          </cell>
          <cell r="I753" t="str">
            <v>Nr meczu</v>
          </cell>
          <cell r="N753" t="str">
            <v>Godz.</v>
          </cell>
          <cell r="R753" t="str">
            <v>S. prow.</v>
          </cell>
          <cell r="AF753" t="str">
            <v>wygrany</v>
          </cell>
          <cell r="AG753" t="str">
            <v>przegrany</v>
          </cell>
        </row>
        <row r="754">
          <cell r="B754" t="str">
            <v>Boisko</v>
          </cell>
          <cell r="C754" t="str">
            <v>Gra</v>
          </cell>
          <cell r="I754">
            <v>108</v>
          </cell>
          <cell r="N754" t="str">
            <v>rozp.</v>
          </cell>
          <cell r="P754" t="str">
            <v>zak.</v>
          </cell>
          <cell r="R754" t="str">
            <v>S. serw.</v>
          </cell>
        </row>
        <row r="755">
          <cell r="A755">
            <v>108</v>
          </cell>
          <cell r="B755">
            <v>3</v>
          </cell>
          <cell r="C755" t="str">
            <v>pojedyncza dziewcząt MM</v>
          </cell>
          <cell r="H755">
            <v>21</v>
          </cell>
          <cell r="I755">
            <v>7</v>
          </cell>
          <cell r="J755">
            <v>21</v>
          </cell>
          <cell r="K755">
            <v>6</v>
          </cell>
          <cell r="P755">
            <v>0.67638888888888893</v>
          </cell>
          <cell r="R755">
            <v>0.67638888888888893</v>
          </cell>
          <cell r="S755" t="str">
            <v>pt 15:15</v>
          </cell>
          <cell r="X755">
            <v>108</v>
          </cell>
          <cell r="Y755" t="str">
            <v>pojedyncza dziewcząt MM</v>
          </cell>
          <cell r="Z755" t="str">
            <v>S4730</v>
          </cell>
          <cell r="AA755" t="str">
            <v/>
          </cell>
          <cell r="AB755" t="str">
            <v>K5950</v>
          </cell>
          <cell r="AC755" t="str">
            <v/>
          </cell>
          <cell r="AD755" t="str">
            <v>S4730</v>
          </cell>
          <cell r="AE755" t="str">
            <v/>
          </cell>
          <cell r="AF755" t="str">
            <v>21:7,21:6</v>
          </cell>
          <cell r="AG755" t="str">
            <v>7:21,6:21</v>
          </cell>
          <cell r="AH755" t="str">
            <v/>
          </cell>
          <cell r="AI755">
            <v>21</v>
          </cell>
          <cell r="AJ755">
            <v>7</v>
          </cell>
          <cell r="AK755">
            <v>21</v>
          </cell>
          <cell r="AL755">
            <v>6</v>
          </cell>
          <cell r="AM755">
            <v>0</v>
          </cell>
          <cell r="AN755">
            <v>0</v>
          </cell>
        </row>
        <row r="756">
          <cell r="A756" t="str">
            <v/>
          </cell>
          <cell r="B756" t="str">
            <v>Karolina SZUBERT (KS Match Point Ślęza)</v>
          </cell>
          <cell r="H756" t="str">
            <v>S4730</v>
          </cell>
          <cell r="K756" t="str">
            <v>K5950</v>
          </cell>
          <cell r="N756" t="str">
            <v>Olga KRZEMIŃSKA (KS Masovia Płock)</v>
          </cell>
        </row>
        <row r="757">
          <cell r="A757" t="str">
            <v/>
          </cell>
          <cell r="B757" t="str">
            <v/>
          </cell>
          <cell r="H757" t="str">
            <v/>
          </cell>
          <cell r="K757" t="str">
            <v/>
          </cell>
          <cell r="N757" t="str">
            <v/>
          </cell>
        </row>
        <row r="759">
          <cell r="B759" t="str">
            <v>zwycięzca(cy): 21:7,21:6</v>
          </cell>
          <cell r="K759" t="str">
            <v/>
          </cell>
        </row>
        <row r="760">
          <cell r="B760">
            <v>1</v>
          </cell>
          <cell r="C760" t="str">
            <v>dzień turnieju.</v>
          </cell>
          <cell r="I760" t="str">
            <v>Nr meczu</v>
          </cell>
          <cell r="N760" t="str">
            <v>Godz.</v>
          </cell>
          <cell r="R760" t="str">
            <v>S. prow.</v>
          </cell>
          <cell r="AF760" t="str">
            <v>wygrany</v>
          </cell>
          <cell r="AG760" t="str">
            <v>przegrany</v>
          </cell>
        </row>
        <row r="761">
          <cell r="B761" t="str">
            <v>Boisko</v>
          </cell>
          <cell r="C761" t="str">
            <v>Gra</v>
          </cell>
          <cell r="I761">
            <v>109</v>
          </cell>
          <cell r="N761" t="str">
            <v>rozp.</v>
          </cell>
          <cell r="P761" t="str">
            <v>zak.</v>
          </cell>
          <cell r="R761" t="str">
            <v>S. serw.</v>
          </cell>
        </row>
        <row r="762">
          <cell r="A762">
            <v>109</v>
          </cell>
          <cell r="B762">
            <v>6</v>
          </cell>
          <cell r="C762" t="str">
            <v>pojedyncza dziewcząt MM</v>
          </cell>
          <cell r="H762">
            <v>21</v>
          </cell>
          <cell r="I762">
            <v>3</v>
          </cell>
          <cell r="J762">
            <v>21</v>
          </cell>
          <cell r="K762">
            <v>4</v>
          </cell>
          <cell r="P762">
            <v>0.68402777777777779</v>
          </cell>
          <cell r="R762">
            <v>0.68402777777777779</v>
          </cell>
          <cell r="S762" t="str">
            <v>pt 15:15</v>
          </cell>
          <cell r="X762">
            <v>109</v>
          </cell>
          <cell r="Y762" t="str">
            <v>pojedyncza dziewcząt MM</v>
          </cell>
          <cell r="Z762" t="str">
            <v>B4319</v>
          </cell>
          <cell r="AA762" t="str">
            <v/>
          </cell>
          <cell r="AB762" t="str">
            <v>K5949</v>
          </cell>
          <cell r="AC762" t="str">
            <v/>
          </cell>
          <cell r="AD762" t="str">
            <v>B4319</v>
          </cell>
          <cell r="AE762" t="str">
            <v/>
          </cell>
          <cell r="AF762" t="str">
            <v>21:3,21:4</v>
          </cell>
          <cell r="AG762" t="str">
            <v>3:21,4:21</v>
          </cell>
          <cell r="AH762" t="str">
            <v/>
          </cell>
          <cell r="AI762">
            <v>21</v>
          </cell>
          <cell r="AJ762">
            <v>3</v>
          </cell>
          <cell r="AK762">
            <v>21</v>
          </cell>
          <cell r="AL762">
            <v>4</v>
          </cell>
          <cell r="AM762">
            <v>0</v>
          </cell>
          <cell r="AN762">
            <v>0</v>
          </cell>
        </row>
        <row r="763">
          <cell r="A763" t="str">
            <v/>
          </cell>
          <cell r="B763" t="str">
            <v>Laura BUJAK (ULKS U-2 Lotka Bytów)</v>
          </cell>
          <cell r="H763" t="str">
            <v>B4319</v>
          </cell>
          <cell r="K763" t="str">
            <v>K5949</v>
          </cell>
          <cell r="N763" t="str">
            <v>Joanna KLIMCZAK (UKS Korona Pabianice)</v>
          </cell>
        </row>
        <row r="764">
          <cell r="A764" t="str">
            <v/>
          </cell>
          <cell r="B764" t="str">
            <v/>
          </cell>
          <cell r="H764" t="str">
            <v/>
          </cell>
          <cell r="K764" t="str">
            <v/>
          </cell>
          <cell r="N764" t="str">
            <v/>
          </cell>
        </row>
        <row r="766">
          <cell r="B766" t="str">
            <v>zwycięzca(cy): 21:3,21:4</v>
          </cell>
          <cell r="K766" t="str">
            <v/>
          </cell>
        </row>
        <row r="767">
          <cell r="B767">
            <v>1</v>
          </cell>
          <cell r="C767" t="str">
            <v>dzień turnieju.</v>
          </cell>
          <cell r="I767" t="str">
            <v>Nr meczu</v>
          </cell>
          <cell r="N767" t="str">
            <v>Godz.</v>
          </cell>
          <cell r="R767" t="str">
            <v>S. prow.</v>
          </cell>
          <cell r="AF767" t="str">
            <v>wygrany</v>
          </cell>
          <cell r="AG767" t="str">
            <v>przegrany</v>
          </cell>
        </row>
        <row r="768">
          <cell r="B768" t="str">
            <v>Boisko</v>
          </cell>
          <cell r="C768" t="str">
            <v>Gra</v>
          </cell>
          <cell r="I768">
            <v>110</v>
          </cell>
          <cell r="N768" t="str">
            <v>rozp.</v>
          </cell>
          <cell r="P768" t="str">
            <v>zak.</v>
          </cell>
          <cell r="R768" t="str">
            <v>S. serw.</v>
          </cell>
        </row>
        <row r="769">
          <cell r="A769">
            <v>110</v>
          </cell>
          <cell r="B769">
            <v>4</v>
          </cell>
          <cell r="C769" t="str">
            <v>pojedyncza dziewcząt MM</v>
          </cell>
          <cell r="H769">
            <v>21</v>
          </cell>
          <cell r="I769">
            <v>7</v>
          </cell>
          <cell r="J769">
            <v>21</v>
          </cell>
          <cell r="K769">
            <v>6</v>
          </cell>
          <cell r="P769">
            <v>0.68402777777777779</v>
          </cell>
          <cell r="R769">
            <v>0.68402777777777779</v>
          </cell>
          <cell r="S769" t="str">
            <v>pt 15:15</v>
          </cell>
          <cell r="X769">
            <v>110</v>
          </cell>
          <cell r="Y769" t="str">
            <v>pojedyncza dziewcząt MM</v>
          </cell>
          <cell r="Z769" t="str">
            <v>J5024</v>
          </cell>
          <cell r="AA769" t="str">
            <v/>
          </cell>
          <cell r="AB769" t="str">
            <v>W5473</v>
          </cell>
          <cell r="AC769" t="str">
            <v/>
          </cell>
          <cell r="AD769" t="str">
            <v>J5024</v>
          </cell>
          <cell r="AE769" t="str">
            <v/>
          </cell>
          <cell r="AF769" t="str">
            <v>21:7,21:6</v>
          </cell>
          <cell r="AG769" t="str">
            <v>7:21,6:21</v>
          </cell>
          <cell r="AH769" t="str">
            <v/>
          </cell>
          <cell r="AI769">
            <v>21</v>
          </cell>
          <cell r="AJ769">
            <v>7</v>
          </cell>
          <cell r="AK769">
            <v>21</v>
          </cell>
          <cell r="AL769">
            <v>6</v>
          </cell>
          <cell r="AM769">
            <v>0</v>
          </cell>
          <cell r="AN769">
            <v>0</v>
          </cell>
        </row>
        <row r="770">
          <cell r="A770" t="str">
            <v/>
          </cell>
          <cell r="B770" t="str">
            <v>Zuzanna JANKOWSKA (MKS Strzelce Opolskie)</v>
          </cell>
          <cell r="H770" t="str">
            <v>J5024</v>
          </cell>
          <cell r="K770" t="str">
            <v>W5473</v>
          </cell>
          <cell r="N770" t="str">
            <v>Paulina WUDARSKA (UKS Iskra Sarbice)</v>
          </cell>
        </row>
        <row r="771">
          <cell r="A771" t="str">
            <v/>
          </cell>
          <cell r="B771" t="str">
            <v/>
          </cell>
          <cell r="H771" t="str">
            <v/>
          </cell>
          <cell r="K771" t="str">
            <v/>
          </cell>
          <cell r="N771" t="str">
            <v/>
          </cell>
        </row>
        <row r="773">
          <cell r="B773" t="str">
            <v>zwycięzca(cy): 21:7,21:6</v>
          </cell>
          <cell r="K773" t="str">
            <v/>
          </cell>
        </row>
        <row r="774">
          <cell r="B774">
            <v>1</v>
          </cell>
          <cell r="C774" t="str">
            <v>dzień turnieju.</v>
          </cell>
          <cell r="I774" t="str">
            <v>Nr meczu</v>
          </cell>
          <cell r="N774" t="str">
            <v>Godz.</v>
          </cell>
          <cell r="R774" t="str">
            <v>S. prow.</v>
          </cell>
          <cell r="AF774" t="str">
            <v>wygrany</v>
          </cell>
          <cell r="AG774" t="str">
            <v>przegrany</v>
          </cell>
        </row>
        <row r="775">
          <cell r="B775" t="str">
            <v>Boisko</v>
          </cell>
          <cell r="C775" t="str">
            <v>Gra</v>
          </cell>
          <cell r="I775">
            <v>111</v>
          </cell>
          <cell r="N775" t="str">
            <v>rozp.</v>
          </cell>
          <cell r="P775" t="str">
            <v>zak.</v>
          </cell>
          <cell r="R775" t="str">
            <v>S. serw.</v>
          </cell>
        </row>
        <row r="776">
          <cell r="A776">
            <v>111</v>
          </cell>
          <cell r="B776">
            <v>2</v>
          </cell>
          <cell r="C776" t="str">
            <v>pojedyncza dziewcząt MM</v>
          </cell>
          <cell r="H776">
            <v>21</v>
          </cell>
          <cell r="I776">
            <v>8</v>
          </cell>
          <cell r="J776">
            <v>21</v>
          </cell>
          <cell r="K776">
            <v>16</v>
          </cell>
          <cell r="P776">
            <v>0.6875</v>
          </cell>
          <cell r="R776">
            <v>0.6875</v>
          </cell>
          <cell r="S776" t="str">
            <v>pt 15:15</v>
          </cell>
          <cell r="X776">
            <v>111</v>
          </cell>
          <cell r="Y776" t="str">
            <v>pojedyncza dziewcząt MM</v>
          </cell>
          <cell r="Z776" t="str">
            <v>R5603</v>
          </cell>
          <cell r="AA776" t="str">
            <v/>
          </cell>
          <cell r="AB776" t="str">
            <v>X32</v>
          </cell>
          <cell r="AC776" t="str">
            <v/>
          </cell>
          <cell r="AD776" t="str">
            <v>R5603</v>
          </cell>
          <cell r="AE776" t="str">
            <v/>
          </cell>
          <cell r="AF776" t="str">
            <v>21:8,21:16</v>
          </cell>
          <cell r="AG776" t="str">
            <v>8:21,16:21</v>
          </cell>
          <cell r="AH776" t="str">
            <v/>
          </cell>
          <cell r="AI776">
            <v>21</v>
          </cell>
          <cell r="AJ776">
            <v>8</v>
          </cell>
          <cell r="AK776">
            <v>21</v>
          </cell>
          <cell r="AL776">
            <v>16</v>
          </cell>
          <cell r="AM776">
            <v>0</v>
          </cell>
          <cell r="AN776">
            <v>0</v>
          </cell>
        </row>
        <row r="777">
          <cell r="A777" t="str">
            <v/>
          </cell>
          <cell r="B777" t="str">
            <v>Aleksandra RADZISZEWSKA (UKS Hubal Białystok)</v>
          </cell>
          <cell r="H777" t="str">
            <v>R5603</v>
          </cell>
          <cell r="K777" t="str">
            <v>X32</v>
          </cell>
          <cell r="N777" t="str">
            <v>Anastsiya TAMASHEUSKAYA (Białoruś)</v>
          </cell>
        </row>
        <row r="778">
          <cell r="A778" t="str">
            <v/>
          </cell>
          <cell r="B778" t="str">
            <v/>
          </cell>
          <cell r="H778" t="str">
            <v/>
          </cell>
          <cell r="K778" t="str">
            <v/>
          </cell>
          <cell r="N778" t="str">
            <v/>
          </cell>
        </row>
        <row r="780">
          <cell r="B780" t="str">
            <v>zwycięzca(cy): 21:8,21:16</v>
          </cell>
          <cell r="K780" t="str">
            <v/>
          </cell>
        </row>
        <row r="781">
          <cell r="B781">
            <v>1</v>
          </cell>
          <cell r="C781" t="str">
            <v>dzień turnieju.</v>
          </cell>
          <cell r="I781" t="str">
            <v>Nr meczu</v>
          </cell>
          <cell r="N781" t="str">
            <v>Godz.</v>
          </cell>
          <cell r="R781" t="str">
            <v>S. prow.</v>
          </cell>
          <cell r="AF781" t="str">
            <v>wygrany</v>
          </cell>
          <cell r="AG781" t="str">
            <v>przegrany</v>
          </cell>
        </row>
        <row r="782">
          <cell r="B782" t="str">
            <v>Boisko</v>
          </cell>
          <cell r="C782" t="str">
            <v>Gra</v>
          </cell>
          <cell r="I782">
            <v>112</v>
          </cell>
          <cell r="N782" t="str">
            <v>rozp.</v>
          </cell>
          <cell r="P782" t="str">
            <v>zak.</v>
          </cell>
          <cell r="R782" t="str">
            <v>S. serw.</v>
          </cell>
        </row>
        <row r="783">
          <cell r="A783">
            <v>112</v>
          </cell>
          <cell r="B783">
            <v>3</v>
          </cell>
          <cell r="C783" t="str">
            <v>pojedyncza dziewcząt MM</v>
          </cell>
          <cell r="H783">
            <v>10</v>
          </cell>
          <cell r="I783">
            <v>21</v>
          </cell>
          <cell r="J783">
            <v>8</v>
          </cell>
          <cell r="K783">
            <v>21</v>
          </cell>
          <cell r="P783">
            <v>0.69305555555555554</v>
          </cell>
          <cell r="R783">
            <v>0.69305555555555554</v>
          </cell>
          <cell r="S783" t="str">
            <v>pt 15:15</v>
          </cell>
          <cell r="X783">
            <v>112</v>
          </cell>
          <cell r="Y783" t="str">
            <v>pojedyncza dziewcząt MM</v>
          </cell>
          <cell r="Z783" t="str">
            <v>M4792</v>
          </cell>
          <cell r="AA783" t="str">
            <v/>
          </cell>
          <cell r="AB783" t="str">
            <v>X16</v>
          </cell>
          <cell r="AC783" t="str">
            <v/>
          </cell>
          <cell r="AD783" t="str">
            <v>X16</v>
          </cell>
          <cell r="AE783" t="str">
            <v/>
          </cell>
          <cell r="AF783" t="str">
            <v>21:10,21:8</v>
          </cell>
          <cell r="AG783" t="str">
            <v>10:21,8:21</v>
          </cell>
          <cell r="AH783" t="str">
            <v/>
          </cell>
          <cell r="AI783">
            <v>10</v>
          </cell>
          <cell r="AJ783">
            <v>21</v>
          </cell>
          <cell r="AK783">
            <v>8</v>
          </cell>
          <cell r="AL783">
            <v>21</v>
          </cell>
          <cell r="AM783">
            <v>0</v>
          </cell>
          <cell r="AN783">
            <v>0</v>
          </cell>
        </row>
        <row r="784">
          <cell r="A784" t="str">
            <v/>
          </cell>
          <cell r="B784" t="str">
            <v>Urszula MISZKIEL (SKB Suwałki)</v>
          </cell>
          <cell r="H784" t="str">
            <v>M4792</v>
          </cell>
          <cell r="K784" t="str">
            <v>X16</v>
          </cell>
          <cell r="N784" t="str">
            <v>Yelizaveta KAMINSKAYA (Mińsk Białoruś)</v>
          </cell>
        </row>
        <row r="785">
          <cell r="A785" t="str">
            <v/>
          </cell>
          <cell r="B785" t="str">
            <v/>
          </cell>
          <cell r="H785" t="str">
            <v/>
          </cell>
          <cell r="K785" t="str">
            <v/>
          </cell>
          <cell r="N785" t="str">
            <v/>
          </cell>
        </row>
        <row r="787">
          <cell r="B787" t="str">
            <v/>
          </cell>
          <cell r="K787" t="str">
            <v>zwycięzca(cy): 21:10,21:8</v>
          </cell>
        </row>
        <row r="788">
          <cell r="B788">
            <v>1</v>
          </cell>
          <cell r="C788" t="str">
            <v>dzień turnieju.</v>
          </cell>
          <cell r="I788" t="str">
            <v>Nr meczu</v>
          </cell>
          <cell r="N788" t="str">
            <v>Godz.</v>
          </cell>
          <cell r="R788" t="str">
            <v>S. prow.</v>
          </cell>
          <cell r="AF788" t="str">
            <v>wygrany</v>
          </cell>
          <cell r="AG788" t="str">
            <v>przegrany</v>
          </cell>
        </row>
        <row r="789">
          <cell r="B789" t="str">
            <v>Boisko</v>
          </cell>
          <cell r="C789" t="str">
            <v>Gra</v>
          </cell>
          <cell r="I789">
            <v>113</v>
          </cell>
          <cell r="N789" t="str">
            <v>rozp.</v>
          </cell>
          <cell r="P789" t="str">
            <v>zak.</v>
          </cell>
          <cell r="R789" t="str">
            <v>S. serw.</v>
          </cell>
        </row>
        <row r="790">
          <cell r="A790">
            <v>113</v>
          </cell>
          <cell r="B790">
            <v>1</v>
          </cell>
          <cell r="C790" t="str">
            <v>pojedyncza dziewcząt MM</v>
          </cell>
          <cell r="H790">
            <v>21</v>
          </cell>
          <cell r="I790">
            <v>7</v>
          </cell>
          <cell r="J790">
            <v>21</v>
          </cell>
          <cell r="K790">
            <v>9</v>
          </cell>
          <cell r="P790">
            <v>0.6875</v>
          </cell>
          <cell r="R790">
            <v>0.6875</v>
          </cell>
          <cell r="S790" t="str">
            <v>pt 15:15</v>
          </cell>
          <cell r="X790">
            <v>113</v>
          </cell>
          <cell r="Y790" t="str">
            <v>pojedyncza dziewcząt MM</v>
          </cell>
          <cell r="Z790" t="str">
            <v>K5262</v>
          </cell>
          <cell r="AA790" t="str">
            <v/>
          </cell>
          <cell r="AB790" t="str">
            <v>X33</v>
          </cell>
          <cell r="AC790" t="str">
            <v/>
          </cell>
          <cell r="AD790" t="str">
            <v>K5262</v>
          </cell>
          <cell r="AE790" t="str">
            <v/>
          </cell>
          <cell r="AF790" t="str">
            <v>21:7,21:9</v>
          </cell>
          <cell r="AG790" t="str">
            <v>7:21,9:21</v>
          </cell>
          <cell r="AH790" t="str">
            <v/>
          </cell>
          <cell r="AI790">
            <v>21</v>
          </cell>
          <cell r="AJ790">
            <v>7</v>
          </cell>
          <cell r="AK790">
            <v>21</v>
          </cell>
          <cell r="AL790">
            <v>9</v>
          </cell>
          <cell r="AM790">
            <v>0</v>
          </cell>
          <cell r="AN790">
            <v>0</v>
          </cell>
        </row>
        <row r="791">
          <cell r="A791" t="str">
            <v/>
          </cell>
          <cell r="B791" t="str">
            <v>Wiktoria KASPRZAK (UKS Kiko Zamość)</v>
          </cell>
          <cell r="H791" t="str">
            <v>K5262</v>
          </cell>
          <cell r="K791" t="str">
            <v>X33</v>
          </cell>
          <cell r="N791" t="str">
            <v>Kseniya YAROSHUK (Białoruś)</v>
          </cell>
        </row>
        <row r="792">
          <cell r="A792" t="str">
            <v/>
          </cell>
          <cell r="B792" t="str">
            <v/>
          </cell>
          <cell r="H792" t="str">
            <v/>
          </cell>
          <cell r="K792" t="str">
            <v/>
          </cell>
          <cell r="N792" t="str">
            <v/>
          </cell>
        </row>
        <row r="794">
          <cell r="B794" t="str">
            <v>zwycięzca(cy): 21:7,21:9</v>
          </cell>
          <cell r="K794" t="str">
            <v/>
          </cell>
        </row>
        <row r="795">
          <cell r="B795">
            <v>1</v>
          </cell>
          <cell r="C795" t="str">
            <v>dzień turnieju.</v>
          </cell>
          <cell r="I795" t="str">
            <v>Nr meczu</v>
          </cell>
          <cell r="N795" t="str">
            <v>Godz.</v>
          </cell>
          <cell r="R795" t="str">
            <v>S. prow.</v>
          </cell>
          <cell r="AF795" t="str">
            <v>wygrany</v>
          </cell>
          <cell r="AG795" t="str">
            <v>przegrany</v>
          </cell>
        </row>
        <row r="796">
          <cell r="B796" t="str">
            <v>Boisko</v>
          </cell>
          <cell r="C796" t="str">
            <v>Gra</v>
          </cell>
          <cell r="I796">
            <v>114</v>
          </cell>
          <cell r="N796" t="str">
            <v>rozp.</v>
          </cell>
          <cell r="P796" t="str">
            <v>zak.</v>
          </cell>
          <cell r="R796" t="str">
            <v>S. serw.</v>
          </cell>
        </row>
        <row r="797">
          <cell r="A797">
            <v>114</v>
          </cell>
          <cell r="B797">
            <v>6</v>
          </cell>
          <cell r="C797" t="str">
            <v>mieszana M</v>
          </cell>
          <cell r="H797">
            <v>21</v>
          </cell>
          <cell r="I797">
            <v>7</v>
          </cell>
          <cell r="J797">
            <v>21</v>
          </cell>
          <cell r="K797">
            <v>8</v>
          </cell>
          <cell r="P797">
            <v>0.69097222222222221</v>
          </cell>
          <cell r="R797">
            <v>0.69097222222222221</v>
          </cell>
          <cell r="S797" t="str">
            <v>pt 16:00</v>
          </cell>
          <cell r="X797">
            <v>114</v>
          </cell>
          <cell r="Y797" t="str">
            <v>mieszana M</v>
          </cell>
          <cell r="Z797" t="str">
            <v>W4701</v>
          </cell>
          <cell r="AA797" t="str">
            <v>F3777</v>
          </cell>
          <cell r="AB797" t="str">
            <v>S5947</v>
          </cell>
          <cell r="AC797" t="str">
            <v>G3854</v>
          </cell>
          <cell r="AD797" t="str">
            <v>W4701</v>
          </cell>
          <cell r="AE797" t="str">
            <v>F3777</v>
          </cell>
          <cell r="AF797" t="str">
            <v>21:7,21:8</v>
          </cell>
          <cell r="AG797" t="str">
            <v>7:21,8:21</v>
          </cell>
          <cell r="AH797" t="str">
            <v/>
          </cell>
          <cell r="AI797">
            <v>21</v>
          </cell>
          <cell r="AJ797">
            <v>7</v>
          </cell>
          <cell r="AK797">
            <v>21</v>
          </cell>
          <cell r="AL797">
            <v>8</v>
          </cell>
          <cell r="AM797">
            <v>0</v>
          </cell>
          <cell r="AN797">
            <v>0</v>
          </cell>
        </row>
        <row r="798">
          <cell r="A798" t="str">
            <v/>
          </cell>
          <cell r="B798" t="str">
            <v>Radosław WRÓBEL (KB Vol-Trick Kępno)</v>
          </cell>
          <cell r="H798" t="str">
            <v>W4701</v>
          </cell>
          <cell r="K798" t="str">
            <v>S5947</v>
          </cell>
          <cell r="N798" t="str">
            <v>Mateusz SADOWSKI (UKSB Milenium Warszawa)</v>
          </cell>
        </row>
        <row r="799">
          <cell r="A799" t="str">
            <v/>
          </cell>
          <cell r="B799" t="str">
            <v>Aleksandra FELSKA (UKS Orkan Przeźmierowo)</v>
          </cell>
          <cell r="H799" t="str">
            <v>F3777</v>
          </cell>
          <cell r="K799" t="str">
            <v>G3854</v>
          </cell>
          <cell r="N799" t="str">
            <v>Katarzyna GĘSICKA (KS Hubertus Zalesie Górne)</v>
          </cell>
        </row>
        <row r="801">
          <cell r="B801" t="str">
            <v>zwycięzca(cy): 21:7,21:8</v>
          </cell>
          <cell r="K801" t="str">
            <v/>
          </cell>
        </row>
        <row r="802">
          <cell r="B802">
            <v>1</v>
          </cell>
          <cell r="C802" t="str">
            <v>dzień turnieju.</v>
          </cell>
          <cell r="I802" t="str">
            <v>Nr meczu</v>
          </cell>
          <cell r="N802" t="str">
            <v>Godz.</v>
          </cell>
          <cell r="R802" t="str">
            <v>S. prow.</v>
          </cell>
          <cell r="AF802" t="str">
            <v>wygrany</v>
          </cell>
          <cell r="AG802" t="str">
            <v>przegrany</v>
          </cell>
        </row>
        <row r="803">
          <cell r="B803" t="str">
            <v>Boisko</v>
          </cell>
          <cell r="C803" t="str">
            <v>Gra</v>
          </cell>
          <cell r="I803">
            <v>115</v>
          </cell>
          <cell r="N803" t="str">
            <v>rozp.</v>
          </cell>
          <cell r="P803" t="str">
            <v>zak.</v>
          </cell>
          <cell r="R803" t="str">
            <v>S. serw.</v>
          </cell>
        </row>
        <row r="804">
          <cell r="A804">
            <v>115</v>
          </cell>
          <cell r="B804">
            <v>4</v>
          </cell>
          <cell r="C804" t="str">
            <v>mieszana M</v>
          </cell>
          <cell r="H804">
            <v>10</v>
          </cell>
          <cell r="I804">
            <v>21</v>
          </cell>
          <cell r="J804">
            <v>7</v>
          </cell>
          <cell r="K804">
            <v>21</v>
          </cell>
          <cell r="P804">
            <v>0.6972222222222223</v>
          </cell>
          <cell r="R804">
            <v>0.6972222222222223</v>
          </cell>
          <cell r="S804" t="str">
            <v>pt 16:00</v>
          </cell>
          <cell r="X804">
            <v>115</v>
          </cell>
          <cell r="Y804" t="str">
            <v>mieszana M</v>
          </cell>
          <cell r="Z804" t="str">
            <v>B5525</v>
          </cell>
          <cell r="AA804" t="str">
            <v>T5056</v>
          </cell>
          <cell r="AB804" t="str">
            <v>Ś5003</v>
          </cell>
          <cell r="AC804" t="str">
            <v>K5206</v>
          </cell>
          <cell r="AD804" t="str">
            <v>Ś5003</v>
          </cell>
          <cell r="AE804" t="str">
            <v>K5206</v>
          </cell>
          <cell r="AF804" t="str">
            <v>21:10,21:7</v>
          </cell>
          <cell r="AG804" t="str">
            <v>10:21,7:21</v>
          </cell>
          <cell r="AH804" t="str">
            <v/>
          </cell>
          <cell r="AI804">
            <v>10</v>
          </cell>
          <cell r="AJ804">
            <v>21</v>
          </cell>
          <cell r="AK804">
            <v>7</v>
          </cell>
          <cell r="AL804">
            <v>21</v>
          </cell>
          <cell r="AM804">
            <v>0</v>
          </cell>
          <cell r="AN804">
            <v>0</v>
          </cell>
        </row>
        <row r="805">
          <cell r="A805" t="str">
            <v/>
          </cell>
          <cell r="B805" t="str">
            <v>Michał BARAŃSKI (SKB Suwałki)</v>
          </cell>
          <cell r="H805" t="str">
            <v>B5525</v>
          </cell>
          <cell r="K805" t="str">
            <v>Ś5003</v>
          </cell>
          <cell r="N805" t="str">
            <v>Norbert ŚWIERK (UKS Aktywna Piątka Przemyśl)</v>
          </cell>
        </row>
        <row r="806">
          <cell r="A806" t="str">
            <v/>
          </cell>
          <cell r="B806" t="str">
            <v>Martyna TROJNIAR (SKB Suwałki)</v>
          </cell>
          <cell r="H806" t="str">
            <v>T5056</v>
          </cell>
          <cell r="K806" t="str">
            <v>K5206</v>
          </cell>
          <cell r="N806" t="str">
            <v>Klaudia KORDEK (UKS Jagiellonka Medyka)</v>
          </cell>
        </row>
        <row r="808">
          <cell r="B808" t="str">
            <v/>
          </cell>
          <cell r="K808" t="str">
            <v>zwycięzca(cy): 21:10,21:7</v>
          </cell>
        </row>
        <row r="809">
          <cell r="B809">
            <v>1</v>
          </cell>
          <cell r="C809" t="str">
            <v>dzień turnieju.</v>
          </cell>
          <cell r="I809" t="str">
            <v>Nr meczu</v>
          </cell>
          <cell r="N809" t="str">
            <v>Godz.</v>
          </cell>
          <cell r="R809" t="str">
            <v>S. prow.</v>
          </cell>
          <cell r="AF809" t="str">
            <v>wygrany</v>
          </cell>
          <cell r="AG809" t="str">
            <v>przegrany</v>
          </cell>
        </row>
        <row r="810">
          <cell r="B810" t="str">
            <v>Boisko</v>
          </cell>
          <cell r="C810" t="str">
            <v>Gra</v>
          </cell>
          <cell r="I810">
            <v>116</v>
          </cell>
          <cell r="N810" t="str">
            <v>rozp.</v>
          </cell>
          <cell r="P810" t="str">
            <v>zak.</v>
          </cell>
          <cell r="R810" t="str">
            <v>S. serw.</v>
          </cell>
        </row>
        <row r="811">
          <cell r="A811">
            <v>116</v>
          </cell>
          <cell r="B811">
            <v>2</v>
          </cell>
          <cell r="C811" t="str">
            <v>mieszana M</v>
          </cell>
          <cell r="H811">
            <v>21</v>
          </cell>
          <cell r="I811">
            <v>17</v>
          </cell>
          <cell r="J811">
            <v>21</v>
          </cell>
          <cell r="K811">
            <v>3</v>
          </cell>
          <cell r="P811">
            <v>0.71666666666666667</v>
          </cell>
          <cell r="R811">
            <v>0.71666666666666667</v>
          </cell>
          <cell r="S811" t="str">
            <v>pt 16:00</v>
          </cell>
          <cell r="X811">
            <v>116</v>
          </cell>
          <cell r="Y811" t="str">
            <v>mieszana M</v>
          </cell>
          <cell r="Z811" t="str">
            <v>K4563</v>
          </cell>
          <cell r="AA811" t="str">
            <v>F4371</v>
          </cell>
          <cell r="AB811" t="str">
            <v>X04</v>
          </cell>
          <cell r="AC811" t="str">
            <v>X01</v>
          </cell>
          <cell r="AD811" t="str">
            <v>K4563</v>
          </cell>
          <cell r="AE811" t="str">
            <v>F4371</v>
          </cell>
          <cell r="AF811" t="str">
            <v>21:17,21:3</v>
          </cell>
          <cell r="AG811" t="str">
            <v>17:21,3:21</v>
          </cell>
          <cell r="AH811" t="str">
            <v/>
          </cell>
          <cell r="AI811">
            <v>21</v>
          </cell>
          <cell r="AJ811">
            <v>17</v>
          </cell>
          <cell r="AK811">
            <v>21</v>
          </cell>
          <cell r="AL811">
            <v>3</v>
          </cell>
          <cell r="AM811">
            <v>0</v>
          </cell>
          <cell r="AN811">
            <v>0</v>
          </cell>
        </row>
        <row r="812">
          <cell r="A812" t="str">
            <v/>
          </cell>
          <cell r="B812" t="str">
            <v>Kordian KOBYLNIK (LKS Technik Głubczyce)</v>
          </cell>
          <cell r="H812" t="str">
            <v>K4563</v>
          </cell>
          <cell r="K812" t="str">
            <v>X04</v>
          </cell>
          <cell r="N812" t="str">
            <v>Mantes  MAULE (Litwa)</v>
          </cell>
        </row>
        <row r="813">
          <cell r="A813" t="str">
            <v/>
          </cell>
          <cell r="B813" t="str">
            <v>Agnieszka FORYTA (STB Energia Lubliniec)</v>
          </cell>
          <cell r="H813" t="str">
            <v>F4371</v>
          </cell>
          <cell r="K813" t="str">
            <v>X01</v>
          </cell>
          <cell r="N813" t="str">
            <v>Sofija ORLOVAITE (Litwa)</v>
          </cell>
        </row>
        <row r="815">
          <cell r="B815" t="str">
            <v>zwycięzca(cy): 21:17,21:3</v>
          </cell>
          <cell r="K815" t="str">
            <v/>
          </cell>
        </row>
        <row r="816">
          <cell r="B816">
            <v>1</v>
          </cell>
          <cell r="C816" t="str">
            <v>dzień turnieju.</v>
          </cell>
          <cell r="I816" t="str">
            <v>Nr meczu</v>
          </cell>
          <cell r="N816" t="str">
            <v>Godz.</v>
          </cell>
          <cell r="R816" t="str">
            <v>S. prow.</v>
          </cell>
          <cell r="AF816" t="str">
            <v>wygrany</v>
          </cell>
          <cell r="AG816" t="str">
            <v>przegrany</v>
          </cell>
        </row>
        <row r="817">
          <cell r="B817" t="str">
            <v>Boisko</v>
          </cell>
          <cell r="C817" t="str">
            <v>Gra</v>
          </cell>
          <cell r="I817">
            <v>117</v>
          </cell>
          <cell r="N817" t="str">
            <v>rozp.</v>
          </cell>
          <cell r="P817" t="str">
            <v>zak.</v>
          </cell>
          <cell r="R817" t="str">
            <v>S. serw.</v>
          </cell>
        </row>
        <row r="818">
          <cell r="A818">
            <v>117</v>
          </cell>
          <cell r="B818">
            <v>5</v>
          </cell>
          <cell r="C818" t="str">
            <v>mieszana M</v>
          </cell>
          <cell r="H818">
            <v>23</v>
          </cell>
          <cell r="I818">
            <v>21</v>
          </cell>
          <cell r="J818">
            <v>21</v>
          </cell>
          <cell r="K818">
            <v>18</v>
          </cell>
          <cell r="P818">
            <v>0.71111111111111114</v>
          </cell>
          <cell r="R818">
            <v>0.71111111111111114</v>
          </cell>
          <cell r="S818" t="str">
            <v>pt 16:00</v>
          </cell>
          <cell r="X818">
            <v>117</v>
          </cell>
          <cell r="Y818" t="str">
            <v>mieszana M</v>
          </cell>
          <cell r="Z818" t="str">
            <v>S5036</v>
          </cell>
          <cell r="AA818" t="str">
            <v>K5033</v>
          </cell>
          <cell r="AB818" t="str">
            <v>X08</v>
          </cell>
          <cell r="AC818" t="str">
            <v>X06</v>
          </cell>
          <cell r="AD818" t="str">
            <v>S5036</v>
          </cell>
          <cell r="AE818" t="str">
            <v>K5033</v>
          </cell>
          <cell r="AF818" t="str">
            <v>23:21,21:18</v>
          </cell>
          <cell r="AG818" t="str">
            <v>21:23,18:21</v>
          </cell>
          <cell r="AH818" t="str">
            <v/>
          </cell>
          <cell r="AI818">
            <v>23</v>
          </cell>
          <cell r="AJ818">
            <v>21</v>
          </cell>
          <cell r="AK818">
            <v>21</v>
          </cell>
          <cell r="AL818">
            <v>18</v>
          </cell>
          <cell r="AM818">
            <v>0</v>
          </cell>
          <cell r="AN818">
            <v>0</v>
          </cell>
        </row>
        <row r="819">
          <cell r="A819" t="str">
            <v/>
          </cell>
          <cell r="B819" t="str">
            <v>Wojciech SAJDOK (UKS Unia Bieruń)</v>
          </cell>
          <cell r="H819" t="str">
            <v>S5036</v>
          </cell>
          <cell r="K819" t="str">
            <v>X08</v>
          </cell>
          <cell r="N819" t="str">
            <v>Ilia LARUSIN (Brześć Białoruś)</v>
          </cell>
        </row>
        <row r="820">
          <cell r="A820" t="str">
            <v/>
          </cell>
          <cell r="B820" t="str">
            <v>Magdalena KULSKA (UKS Unia Bieruń)</v>
          </cell>
          <cell r="H820" t="str">
            <v>K5033</v>
          </cell>
          <cell r="K820" t="str">
            <v>X06</v>
          </cell>
          <cell r="N820" t="str">
            <v>Uliana ZACHROVA (Brześć Białoruś)</v>
          </cell>
        </row>
        <row r="822">
          <cell r="B822" t="str">
            <v>zwycięzca(cy): 23:21,21:18</v>
          </cell>
          <cell r="K822" t="str">
            <v/>
          </cell>
        </row>
        <row r="823">
          <cell r="B823">
            <v>1</v>
          </cell>
          <cell r="C823" t="str">
            <v>dzień turnieju.</v>
          </cell>
          <cell r="I823" t="str">
            <v>Nr meczu</v>
          </cell>
          <cell r="N823" t="str">
            <v>Godz.</v>
          </cell>
          <cell r="R823" t="str">
            <v>S. prow.</v>
          </cell>
          <cell r="AF823" t="str">
            <v>wygrany</v>
          </cell>
          <cell r="AG823" t="str">
            <v>przegrany</v>
          </cell>
        </row>
        <row r="824">
          <cell r="B824" t="str">
            <v>Boisko</v>
          </cell>
          <cell r="C824" t="str">
            <v>Gra</v>
          </cell>
          <cell r="I824">
            <v>118</v>
          </cell>
          <cell r="N824" t="str">
            <v>rozp.</v>
          </cell>
          <cell r="P824" t="str">
            <v>zak.</v>
          </cell>
          <cell r="R824" t="str">
            <v>S. serw.</v>
          </cell>
        </row>
        <row r="825">
          <cell r="A825">
            <v>118</v>
          </cell>
          <cell r="B825">
            <v>1</v>
          </cell>
          <cell r="C825" t="str">
            <v>mieszana M</v>
          </cell>
          <cell r="H825">
            <v>9</v>
          </cell>
          <cell r="I825">
            <v>21</v>
          </cell>
          <cell r="J825">
            <v>21</v>
          </cell>
          <cell r="K825">
            <v>17</v>
          </cell>
          <cell r="L825">
            <v>10</v>
          </cell>
          <cell r="M825">
            <v>21</v>
          </cell>
          <cell r="P825">
            <v>0.70833333333333337</v>
          </cell>
          <cell r="R825">
            <v>0.70833333333333337</v>
          </cell>
          <cell r="S825" t="str">
            <v>pt 16:00</v>
          </cell>
          <cell r="X825">
            <v>118</v>
          </cell>
          <cell r="Y825" t="str">
            <v>mieszana M</v>
          </cell>
          <cell r="Z825" t="str">
            <v>W4753</v>
          </cell>
          <cell r="AA825" t="str">
            <v>K4576</v>
          </cell>
          <cell r="AB825" t="str">
            <v>C3670</v>
          </cell>
          <cell r="AC825" t="str">
            <v>J4505</v>
          </cell>
          <cell r="AD825" t="str">
            <v>C3670</v>
          </cell>
          <cell r="AE825" t="str">
            <v>J4505</v>
          </cell>
          <cell r="AF825" t="str">
            <v>21:9,17:21,21:10</v>
          </cell>
          <cell r="AG825" t="str">
            <v>9:21,21:17,10:21</v>
          </cell>
          <cell r="AH825" t="str">
            <v/>
          </cell>
          <cell r="AI825">
            <v>9</v>
          </cell>
          <cell r="AJ825">
            <v>21</v>
          </cell>
          <cell r="AK825">
            <v>21</v>
          </cell>
          <cell r="AL825">
            <v>17</v>
          </cell>
          <cell r="AM825">
            <v>10</v>
          </cell>
          <cell r="AN825">
            <v>21</v>
          </cell>
        </row>
        <row r="826">
          <cell r="A826" t="str">
            <v/>
          </cell>
          <cell r="B826" t="str">
            <v>Natan VOGT (MMKS Kędzierzyn-Koźle)</v>
          </cell>
          <cell r="H826" t="str">
            <v>W4753</v>
          </cell>
          <cell r="K826" t="str">
            <v>C3670</v>
          </cell>
          <cell r="N826" t="str">
            <v>Robert CYBULSKI (MKB Lednik Miastko)</v>
          </cell>
        </row>
        <row r="827">
          <cell r="A827" t="str">
            <v/>
          </cell>
          <cell r="B827" t="str">
            <v>Paulina KLIMEK (MKS Strzelce Opolskie)</v>
          </cell>
          <cell r="H827" t="str">
            <v>K4576</v>
          </cell>
          <cell r="K827" t="str">
            <v>J4505</v>
          </cell>
          <cell r="N827" t="str">
            <v>Wiktoria JUSZCZAK (MMKS Gdańsk)</v>
          </cell>
        </row>
        <row r="829">
          <cell r="B829" t="str">
            <v/>
          </cell>
          <cell r="K829" t="str">
            <v>zwycięzca(cy): 21:9,17:21,21:10</v>
          </cell>
        </row>
        <row r="830">
          <cell r="B830">
            <v>1</v>
          </cell>
          <cell r="C830" t="str">
            <v>dzień turnieju.</v>
          </cell>
          <cell r="I830" t="str">
            <v>Nr meczu</v>
          </cell>
          <cell r="N830" t="str">
            <v>Godz.</v>
          </cell>
          <cell r="R830" t="str">
            <v>S. prow.</v>
          </cell>
          <cell r="AF830" t="str">
            <v>wygrany</v>
          </cell>
          <cell r="AG830" t="str">
            <v>przegrany</v>
          </cell>
        </row>
        <row r="831">
          <cell r="B831" t="str">
            <v>Boisko</v>
          </cell>
          <cell r="C831" t="str">
            <v>Gra</v>
          </cell>
          <cell r="I831">
            <v>119</v>
          </cell>
          <cell r="N831" t="str">
            <v>rozp.</v>
          </cell>
          <cell r="P831" t="str">
            <v>zak.</v>
          </cell>
          <cell r="R831" t="str">
            <v>S. serw.</v>
          </cell>
        </row>
        <row r="832">
          <cell r="A832">
            <v>119</v>
          </cell>
          <cell r="B832">
            <v>2</v>
          </cell>
          <cell r="C832" t="str">
            <v>mieszana M</v>
          </cell>
          <cell r="H832">
            <v>17</v>
          </cell>
          <cell r="I832">
            <v>21</v>
          </cell>
          <cell r="J832">
            <v>18</v>
          </cell>
          <cell r="K832">
            <v>21</v>
          </cell>
          <cell r="P832">
            <v>0.7055555555555556</v>
          </cell>
          <cell r="R832">
            <v>0.7055555555555556</v>
          </cell>
          <cell r="S832" t="str">
            <v>pt 16:00</v>
          </cell>
          <cell r="X832">
            <v>119</v>
          </cell>
          <cell r="Y832" t="str">
            <v>mieszana M</v>
          </cell>
          <cell r="Z832" t="str">
            <v>X23</v>
          </cell>
          <cell r="AA832" t="str">
            <v>X21</v>
          </cell>
          <cell r="AB832" t="str">
            <v>T3691</v>
          </cell>
          <cell r="AC832" t="str">
            <v>K4023</v>
          </cell>
          <cell r="AD832" t="str">
            <v>T3691</v>
          </cell>
          <cell r="AE832" t="str">
            <v>K4023</v>
          </cell>
          <cell r="AF832" t="str">
            <v>21:17,21:18</v>
          </cell>
          <cell r="AG832" t="str">
            <v>17:21,18:21</v>
          </cell>
          <cell r="AH832" t="str">
            <v/>
          </cell>
          <cell r="AI832">
            <v>17</v>
          </cell>
          <cell r="AJ832">
            <v>21</v>
          </cell>
          <cell r="AK832">
            <v>18</v>
          </cell>
          <cell r="AL832">
            <v>21</v>
          </cell>
          <cell r="AM832">
            <v>0</v>
          </cell>
          <cell r="AN832">
            <v>0</v>
          </cell>
        </row>
        <row r="833">
          <cell r="A833" t="str">
            <v/>
          </cell>
          <cell r="B833" t="str">
            <v>Bogdan BRYCHUK (Vinnica Ukraina)</v>
          </cell>
          <cell r="H833" t="str">
            <v>X23</v>
          </cell>
          <cell r="K833" t="str">
            <v>T3691</v>
          </cell>
          <cell r="N833" t="str">
            <v>Jakub TEMBIKOWSKI (UKS Badminton Stare Babice)</v>
          </cell>
        </row>
        <row r="834">
          <cell r="A834" t="str">
            <v/>
          </cell>
          <cell r="B834" t="str">
            <v>Tetiana ABRAMOVA (Vinnica Ukraina)</v>
          </cell>
          <cell r="H834" t="str">
            <v>X21</v>
          </cell>
          <cell r="K834" t="str">
            <v>K4023</v>
          </cell>
          <cell r="N834" t="str">
            <v>Agnieszka KOPER (KKS Warmia Olsztyn)</v>
          </cell>
        </row>
        <row r="836">
          <cell r="B836" t="str">
            <v/>
          </cell>
          <cell r="K836" t="str">
            <v>zwycięzca(cy): 21:17,21:18</v>
          </cell>
        </row>
        <row r="837">
          <cell r="B837">
            <v>1</v>
          </cell>
          <cell r="C837" t="str">
            <v>dzień turnieju.</v>
          </cell>
          <cell r="I837" t="str">
            <v>Nr meczu</v>
          </cell>
          <cell r="N837" t="str">
            <v>Godz.</v>
          </cell>
          <cell r="R837" t="str">
            <v>S. prow.</v>
          </cell>
          <cell r="AF837" t="str">
            <v>wygrany</v>
          </cell>
          <cell r="AG837" t="str">
            <v>przegrany</v>
          </cell>
        </row>
        <row r="838">
          <cell r="B838" t="str">
            <v>Boisko</v>
          </cell>
          <cell r="C838" t="str">
            <v>Gra</v>
          </cell>
          <cell r="I838">
            <v>120</v>
          </cell>
          <cell r="N838" t="str">
            <v>rozp.</v>
          </cell>
          <cell r="P838" t="str">
            <v>zak.</v>
          </cell>
          <cell r="R838" t="str">
            <v>S. serw.</v>
          </cell>
        </row>
        <row r="839">
          <cell r="A839">
            <v>120</v>
          </cell>
          <cell r="B839">
            <v>1</v>
          </cell>
          <cell r="C839" t="str">
            <v>mieszana M</v>
          </cell>
          <cell r="H839">
            <v>21</v>
          </cell>
          <cell r="I839">
            <v>5</v>
          </cell>
          <cell r="J839">
            <v>21</v>
          </cell>
          <cell r="K839">
            <v>10</v>
          </cell>
          <cell r="P839">
            <v>0.72430555555555554</v>
          </cell>
          <cell r="R839">
            <v>0.72430555555555554</v>
          </cell>
          <cell r="S839" t="str">
            <v>pt 16:00</v>
          </cell>
          <cell r="X839">
            <v>120</v>
          </cell>
          <cell r="Y839" t="str">
            <v>mieszana M</v>
          </cell>
          <cell r="Z839" t="str">
            <v>M5027</v>
          </cell>
          <cell r="AA839" t="str">
            <v>N4575</v>
          </cell>
          <cell r="AB839" t="str">
            <v>X02</v>
          </cell>
          <cell r="AC839" t="str">
            <v>X03</v>
          </cell>
          <cell r="AD839" t="str">
            <v>M5027</v>
          </cell>
          <cell r="AE839" t="str">
            <v>N4575</v>
          </cell>
          <cell r="AF839" t="str">
            <v>21:5,21:10</v>
          </cell>
          <cell r="AG839" t="str">
            <v>5:21,10:21</v>
          </cell>
          <cell r="AH839" t="str">
            <v/>
          </cell>
          <cell r="AI839">
            <v>21</v>
          </cell>
          <cell r="AJ839">
            <v>5</v>
          </cell>
          <cell r="AK839">
            <v>21</v>
          </cell>
          <cell r="AL839">
            <v>10</v>
          </cell>
          <cell r="AM839">
            <v>0</v>
          </cell>
          <cell r="AN839">
            <v>0</v>
          </cell>
        </row>
        <row r="840">
          <cell r="A840" t="str">
            <v/>
          </cell>
          <cell r="B840" t="str">
            <v>Kamil MACIOŁEK (MKS Strzelce Opolskie)</v>
          </cell>
          <cell r="H840" t="str">
            <v>M5027</v>
          </cell>
          <cell r="K840" t="str">
            <v>X02</v>
          </cell>
          <cell r="N840" t="str">
            <v>Matas GELZINIS (Litwa)</v>
          </cell>
        </row>
        <row r="841">
          <cell r="A841" t="str">
            <v/>
          </cell>
          <cell r="B841" t="str">
            <v>Wiktoria NIEMIEC (MKS Strzelce Opolskie)</v>
          </cell>
          <cell r="H841" t="str">
            <v>N4575</v>
          </cell>
          <cell r="K841" t="str">
            <v>X03</v>
          </cell>
          <cell r="N841" t="str">
            <v>Ugne MASILIONYTE (Litwa)</v>
          </cell>
        </row>
        <row r="843">
          <cell r="B843" t="str">
            <v>zwycięzca(cy): 21:5,21:10</v>
          </cell>
          <cell r="K843" t="str">
            <v/>
          </cell>
        </row>
        <row r="844">
          <cell r="B844">
            <v>1</v>
          </cell>
          <cell r="C844" t="str">
            <v>dzień turnieju.</v>
          </cell>
          <cell r="I844" t="str">
            <v>Nr meczu</v>
          </cell>
          <cell r="N844" t="str">
            <v>Godz.</v>
          </cell>
          <cell r="R844" t="str">
            <v>S. prow.</v>
          </cell>
          <cell r="AF844" t="str">
            <v>wygrany</v>
          </cell>
          <cell r="AG844" t="str">
            <v>przegrany</v>
          </cell>
        </row>
        <row r="845">
          <cell r="B845" t="str">
            <v>Boisko</v>
          </cell>
          <cell r="C845" t="str">
            <v>Gra</v>
          </cell>
          <cell r="I845">
            <v>121</v>
          </cell>
          <cell r="N845" t="str">
            <v>rozp.</v>
          </cell>
          <cell r="P845" t="str">
            <v>zak.</v>
          </cell>
          <cell r="R845" t="str">
            <v>S. serw.</v>
          </cell>
        </row>
        <row r="846">
          <cell r="A846">
            <v>121</v>
          </cell>
          <cell r="B846">
            <v>3</v>
          </cell>
          <cell r="C846" t="str">
            <v>mieszana M</v>
          </cell>
          <cell r="H846">
            <v>11</v>
          </cell>
          <cell r="I846">
            <v>21</v>
          </cell>
          <cell r="J846">
            <v>22</v>
          </cell>
          <cell r="K846">
            <v>20</v>
          </cell>
          <cell r="L846">
            <v>11</v>
          </cell>
          <cell r="M846">
            <v>21</v>
          </cell>
          <cell r="P846">
            <v>0.70833333333333337</v>
          </cell>
          <cell r="R846">
            <v>0.70833333333333337</v>
          </cell>
          <cell r="S846" t="str">
            <v>pt 16:00</v>
          </cell>
          <cell r="X846">
            <v>121</v>
          </cell>
          <cell r="Y846" t="str">
            <v>mieszana M</v>
          </cell>
          <cell r="Z846" t="str">
            <v>X15</v>
          </cell>
          <cell r="AA846" t="str">
            <v>X14</v>
          </cell>
          <cell r="AB846" t="str">
            <v>B4431</v>
          </cell>
          <cell r="AC846" t="str">
            <v>G3411</v>
          </cell>
          <cell r="AD846" t="str">
            <v>B4431</v>
          </cell>
          <cell r="AE846" t="str">
            <v>G3411</v>
          </cell>
          <cell r="AF846" t="str">
            <v>21:11,20:22,21:11</v>
          </cell>
          <cell r="AG846" t="str">
            <v>11:21,22:20,11:21</v>
          </cell>
          <cell r="AH846" t="str">
            <v/>
          </cell>
          <cell r="AI846">
            <v>11</v>
          </cell>
          <cell r="AJ846">
            <v>21</v>
          </cell>
          <cell r="AK846">
            <v>22</v>
          </cell>
          <cell r="AL846">
            <v>20</v>
          </cell>
          <cell r="AM846">
            <v>11</v>
          </cell>
          <cell r="AN846">
            <v>21</v>
          </cell>
        </row>
        <row r="847">
          <cell r="A847" t="str">
            <v/>
          </cell>
          <cell r="B847" t="str">
            <v>Ilya SHCHARBENKA (Mińsk Białoruś)</v>
          </cell>
          <cell r="H847" t="str">
            <v>X15</v>
          </cell>
          <cell r="K847" t="str">
            <v>B4431</v>
          </cell>
          <cell r="N847" t="str">
            <v>Michał BIENIA (UKS Aktywna Piątka Przemyśl)</v>
          </cell>
        </row>
        <row r="848">
          <cell r="A848" t="str">
            <v/>
          </cell>
          <cell r="B848" t="str">
            <v>Yana  ZDROK (Mińsk Białoruś)</v>
          </cell>
          <cell r="H848" t="str">
            <v>X14</v>
          </cell>
          <cell r="K848" t="str">
            <v>G3411</v>
          </cell>
          <cell r="N848" t="str">
            <v>Magdalena GOLENIA (UKS Sokół Ropczyce)</v>
          </cell>
        </row>
        <row r="850">
          <cell r="B850" t="str">
            <v/>
          </cell>
          <cell r="K850" t="str">
            <v>zwycięzca(cy): 21:11,20:22,21:11</v>
          </cell>
        </row>
        <row r="851">
          <cell r="B851">
            <v>1</v>
          </cell>
          <cell r="C851" t="str">
            <v>dzień turnieju.</v>
          </cell>
          <cell r="I851" t="str">
            <v>Nr meczu</v>
          </cell>
          <cell r="N851" t="str">
            <v>Godz.</v>
          </cell>
          <cell r="R851" t="str">
            <v>S. prow.</v>
          </cell>
          <cell r="AF851" t="str">
            <v>wygrany</v>
          </cell>
          <cell r="AG851" t="str">
            <v>przegrany</v>
          </cell>
        </row>
        <row r="852">
          <cell r="B852" t="str">
            <v>Boisko</v>
          </cell>
          <cell r="C852" t="str">
            <v>Gra</v>
          </cell>
          <cell r="I852">
            <v>122</v>
          </cell>
          <cell r="N852" t="str">
            <v>rozp.</v>
          </cell>
          <cell r="P852" t="str">
            <v>zak.</v>
          </cell>
          <cell r="R852" t="str">
            <v>S. serw.</v>
          </cell>
        </row>
        <row r="853">
          <cell r="A853">
            <v>122</v>
          </cell>
          <cell r="B853">
            <v>6</v>
          </cell>
          <cell r="C853" t="str">
            <v>mieszana M</v>
          </cell>
          <cell r="H853">
            <v>21</v>
          </cell>
          <cell r="I853">
            <v>9</v>
          </cell>
          <cell r="J853">
            <v>21</v>
          </cell>
          <cell r="K853">
            <v>8</v>
          </cell>
          <cell r="P853">
            <v>0.70972222222222225</v>
          </cell>
          <cell r="R853">
            <v>0.70972222222222225</v>
          </cell>
          <cell r="S853" t="str">
            <v>pt 16:00</v>
          </cell>
          <cell r="X853">
            <v>122</v>
          </cell>
          <cell r="Y853" t="str">
            <v>mieszana M</v>
          </cell>
          <cell r="Z853" t="str">
            <v>S4287</v>
          </cell>
          <cell r="AA853" t="str">
            <v>P4286</v>
          </cell>
          <cell r="AB853" t="str">
            <v>K5874</v>
          </cell>
          <cell r="AC853" t="str">
            <v>W4281</v>
          </cell>
          <cell r="AD853" t="str">
            <v>S4287</v>
          </cell>
          <cell r="AE853" t="str">
            <v>P4286</v>
          </cell>
          <cell r="AF853" t="str">
            <v>21:9,21:8</v>
          </cell>
          <cell r="AG853" t="str">
            <v>9:21,8:21</v>
          </cell>
          <cell r="AH853" t="str">
            <v/>
          </cell>
          <cell r="AI853">
            <v>21</v>
          </cell>
          <cell r="AJ853">
            <v>9</v>
          </cell>
          <cell r="AK853">
            <v>21</v>
          </cell>
          <cell r="AL853">
            <v>8</v>
          </cell>
          <cell r="AM853">
            <v>0</v>
          </cell>
          <cell r="AN853">
            <v>0</v>
          </cell>
        </row>
        <row r="854">
          <cell r="A854" t="str">
            <v/>
          </cell>
          <cell r="B854" t="str">
            <v>Michał SOBOLEWSKI (SKB Suwałki)</v>
          </cell>
          <cell r="H854" t="str">
            <v>S4287</v>
          </cell>
          <cell r="K854" t="str">
            <v>K5874</v>
          </cell>
          <cell r="N854" t="str">
            <v>Maciej KURAN (----)</v>
          </cell>
        </row>
        <row r="855">
          <cell r="A855" t="str">
            <v/>
          </cell>
          <cell r="B855" t="str">
            <v>Ewelina PODZIEWSKA (SKB Suwałki)</v>
          </cell>
          <cell r="H855" t="str">
            <v>P4286</v>
          </cell>
          <cell r="K855" t="str">
            <v>W4281</v>
          </cell>
          <cell r="N855" t="str">
            <v>Ida WIŚNIEWSKA (----)</v>
          </cell>
        </row>
        <row r="857">
          <cell r="B857" t="str">
            <v>zwycięzca(cy): 21:9,21:8</v>
          </cell>
          <cell r="K857" t="str">
            <v/>
          </cell>
        </row>
        <row r="858">
          <cell r="B858">
            <v>1</v>
          </cell>
          <cell r="C858" t="str">
            <v>dzień turnieju.</v>
          </cell>
          <cell r="I858" t="str">
            <v>Nr meczu</v>
          </cell>
          <cell r="N858" t="str">
            <v>Godz.</v>
          </cell>
          <cell r="R858" t="str">
            <v>S. prow.</v>
          </cell>
          <cell r="AF858" t="str">
            <v>wygrany</v>
          </cell>
          <cell r="AG858" t="str">
            <v>przegrany</v>
          </cell>
        </row>
        <row r="859">
          <cell r="B859" t="str">
            <v>Boisko</v>
          </cell>
          <cell r="C859" t="str">
            <v>Gra</v>
          </cell>
          <cell r="I859">
            <v>123</v>
          </cell>
          <cell r="N859" t="str">
            <v>rozp.</v>
          </cell>
          <cell r="P859" t="str">
            <v>zak.</v>
          </cell>
          <cell r="R859" t="str">
            <v>S. serw.</v>
          </cell>
        </row>
        <row r="860">
          <cell r="A860">
            <v>123</v>
          </cell>
          <cell r="B860">
            <v>4</v>
          </cell>
          <cell r="C860" t="str">
            <v>mieszana M</v>
          </cell>
          <cell r="H860">
            <v>11</v>
          </cell>
          <cell r="I860">
            <v>21</v>
          </cell>
          <cell r="J860">
            <v>15</v>
          </cell>
          <cell r="K860">
            <v>21</v>
          </cell>
          <cell r="P860">
            <v>0.70972222222222225</v>
          </cell>
          <cell r="R860">
            <v>0.70972222222222225</v>
          </cell>
          <cell r="S860" t="str">
            <v>pt 16:00</v>
          </cell>
          <cell r="X860">
            <v>123</v>
          </cell>
          <cell r="Y860" t="str">
            <v>mieszana M</v>
          </cell>
          <cell r="Z860" t="str">
            <v>R4718</v>
          </cell>
          <cell r="AA860" t="str">
            <v>X22</v>
          </cell>
          <cell r="AB860" t="str">
            <v>P4121</v>
          </cell>
          <cell r="AC860" t="str">
            <v>R4591</v>
          </cell>
          <cell r="AD860" t="str">
            <v>P4121</v>
          </cell>
          <cell r="AE860" t="str">
            <v>R4591</v>
          </cell>
          <cell r="AF860" t="str">
            <v>21:11,21:15</v>
          </cell>
          <cell r="AG860" t="str">
            <v>11:21,15:21</v>
          </cell>
          <cell r="AH860" t="str">
            <v/>
          </cell>
          <cell r="AI860">
            <v>11</v>
          </cell>
          <cell r="AJ860">
            <v>21</v>
          </cell>
          <cell r="AK860">
            <v>15</v>
          </cell>
          <cell r="AL860">
            <v>21</v>
          </cell>
          <cell r="AM860">
            <v>0</v>
          </cell>
          <cell r="AN860">
            <v>0</v>
          </cell>
        </row>
        <row r="861">
          <cell r="A861" t="str">
            <v/>
          </cell>
          <cell r="B861" t="str">
            <v>Patryk RÓG (MKS Stal Nowa Dęba)</v>
          </cell>
          <cell r="H861" t="str">
            <v>R4718</v>
          </cell>
          <cell r="K861" t="str">
            <v>P4121</v>
          </cell>
          <cell r="N861" t="str">
            <v>Konrad PŁOCH (UKS Start Widełka)</v>
          </cell>
        </row>
        <row r="862">
          <cell r="A862" t="str">
            <v/>
          </cell>
          <cell r="B862" t="str">
            <v>Elyzaveta NIKOLAEVA (Vinnica Ukraina)</v>
          </cell>
          <cell r="H862" t="str">
            <v>X22</v>
          </cell>
          <cell r="K862" t="str">
            <v>R4591</v>
          </cell>
          <cell r="N862" t="str">
            <v>Natalia RÓG (MKS Stal Nowa Dęba)</v>
          </cell>
        </row>
        <row r="864">
          <cell r="B864" t="str">
            <v/>
          </cell>
          <cell r="K864" t="str">
            <v>zwycięzca(cy): 21:11,21:15</v>
          </cell>
        </row>
        <row r="865">
          <cell r="B865">
            <v>1</v>
          </cell>
          <cell r="C865" t="str">
            <v>dzień turnieju.</v>
          </cell>
          <cell r="I865" t="str">
            <v>Nr meczu</v>
          </cell>
          <cell r="N865" t="str">
            <v>Godz.</v>
          </cell>
          <cell r="R865" t="str">
            <v>S. prow.</v>
          </cell>
          <cell r="AF865" t="str">
            <v>wygrany</v>
          </cell>
          <cell r="AG865" t="str">
            <v>przegrany</v>
          </cell>
        </row>
        <row r="866">
          <cell r="B866" t="str">
            <v>Boisko</v>
          </cell>
          <cell r="C866" t="str">
            <v>Gra</v>
          </cell>
          <cell r="I866">
            <v>124</v>
          </cell>
          <cell r="N866" t="str">
            <v>rozp.</v>
          </cell>
          <cell r="P866" t="str">
            <v>zak.</v>
          </cell>
          <cell r="R866" t="str">
            <v>S. serw.</v>
          </cell>
        </row>
        <row r="867">
          <cell r="A867">
            <v>124</v>
          </cell>
          <cell r="B867">
            <v>5</v>
          </cell>
          <cell r="C867" t="str">
            <v>podwójna dziewcząt M</v>
          </cell>
          <cell r="H867">
            <v>17</v>
          </cell>
          <cell r="I867">
            <v>21</v>
          </cell>
          <cell r="J867">
            <v>13</v>
          </cell>
          <cell r="K867">
            <v>21</v>
          </cell>
          <cell r="P867">
            <v>0.72430555555555554</v>
          </cell>
          <cell r="R867">
            <v>0.72430555555555554</v>
          </cell>
          <cell r="S867" t="str">
            <v>pt 16:45</v>
          </cell>
          <cell r="X867">
            <v>124</v>
          </cell>
          <cell r="Y867" t="str">
            <v>podwójna dziewcząt M</v>
          </cell>
          <cell r="Z867" t="str">
            <v>B4737</v>
          </cell>
          <cell r="AA867" t="str">
            <v>t4823</v>
          </cell>
          <cell r="AB867" t="str">
            <v>B4564</v>
          </cell>
          <cell r="AC867" t="str">
            <v>K4136</v>
          </cell>
          <cell r="AD867" t="str">
            <v>B4564</v>
          </cell>
          <cell r="AE867" t="str">
            <v>K4136</v>
          </cell>
          <cell r="AF867" t="str">
            <v>21:17,21:13</v>
          </cell>
          <cell r="AG867" t="str">
            <v>17:21,13:21</v>
          </cell>
          <cell r="AH867" t="str">
            <v/>
          </cell>
          <cell r="AI867">
            <v>17</v>
          </cell>
          <cell r="AJ867">
            <v>21</v>
          </cell>
          <cell r="AK867">
            <v>13</v>
          </cell>
          <cell r="AL867">
            <v>21</v>
          </cell>
          <cell r="AM867">
            <v>0</v>
          </cell>
          <cell r="AN867">
            <v>0</v>
          </cell>
        </row>
        <row r="868">
          <cell r="A868" t="str">
            <v/>
          </cell>
          <cell r="B868" t="str">
            <v>Wiktoria BUDZISZEWSKA (UKS Kiko Zamość)</v>
          </cell>
          <cell r="H868" t="str">
            <v>B4737</v>
          </cell>
          <cell r="K868" t="str">
            <v>B4564</v>
          </cell>
          <cell r="N868" t="str">
            <v>Laura BERESTECKA (LKS Technik Głubczyce)</v>
          </cell>
        </row>
        <row r="869">
          <cell r="A869" t="str">
            <v/>
          </cell>
          <cell r="B869" t="str">
            <v>Sandra TATARELIS (UKS Kiko Zamość)</v>
          </cell>
          <cell r="H869" t="str">
            <v>t4823</v>
          </cell>
          <cell r="K869" t="str">
            <v>K4136</v>
          </cell>
          <cell r="N869" t="str">
            <v>Weronika KOŚCIÓŁEK (LKS Technik Głubczyce)</v>
          </cell>
        </row>
        <row r="871">
          <cell r="B871" t="str">
            <v/>
          </cell>
          <cell r="K871" t="str">
            <v>zwycięzca(cy): 21:17,21:13</v>
          </cell>
        </row>
        <row r="872">
          <cell r="B872">
            <v>1</v>
          </cell>
          <cell r="C872" t="str">
            <v>dzień turnieju.</v>
          </cell>
          <cell r="I872" t="str">
            <v>Nr meczu</v>
          </cell>
          <cell r="N872" t="str">
            <v>Godz.</v>
          </cell>
          <cell r="R872" t="str">
            <v>S. prow.</v>
          </cell>
          <cell r="AF872" t="str">
            <v>wygrany</v>
          </cell>
          <cell r="AG872" t="str">
            <v>przegrany</v>
          </cell>
        </row>
        <row r="873">
          <cell r="B873" t="str">
            <v>Boisko</v>
          </cell>
          <cell r="C873" t="str">
            <v>Gra</v>
          </cell>
          <cell r="I873">
            <v>125</v>
          </cell>
          <cell r="N873" t="str">
            <v>rozp.</v>
          </cell>
          <cell r="P873" t="str">
            <v>zak.</v>
          </cell>
          <cell r="R873" t="str">
            <v>S. serw.</v>
          </cell>
        </row>
        <row r="874">
          <cell r="A874">
            <v>125</v>
          </cell>
          <cell r="B874">
            <v>6</v>
          </cell>
          <cell r="C874" t="str">
            <v>podwójna dziewcząt M</v>
          </cell>
          <cell r="H874">
            <v>15</v>
          </cell>
          <cell r="I874">
            <v>21</v>
          </cell>
          <cell r="J874">
            <v>19</v>
          </cell>
          <cell r="K874">
            <v>21</v>
          </cell>
          <cell r="P874">
            <v>0.72916666666666663</v>
          </cell>
          <cell r="R874">
            <v>0.72916666666666663</v>
          </cell>
          <cell r="S874" t="str">
            <v>pt 16:45</v>
          </cell>
          <cell r="X874">
            <v>125</v>
          </cell>
          <cell r="Y874" t="str">
            <v>podwójna dziewcząt M</v>
          </cell>
          <cell r="Z874" t="str">
            <v>F4339</v>
          </cell>
          <cell r="AA874" t="str">
            <v>P4758</v>
          </cell>
          <cell r="AB874" t="str">
            <v>J4505</v>
          </cell>
          <cell r="AC874" t="str">
            <v>K5041</v>
          </cell>
          <cell r="AD874" t="str">
            <v>J4505</v>
          </cell>
          <cell r="AE874" t="str">
            <v>K5041</v>
          </cell>
          <cell r="AF874" t="str">
            <v>21:15,21:19</v>
          </cell>
          <cell r="AG874" t="str">
            <v>15:21,19:21</v>
          </cell>
          <cell r="AH874" t="str">
            <v/>
          </cell>
          <cell r="AI874">
            <v>15</v>
          </cell>
          <cell r="AJ874">
            <v>21</v>
          </cell>
          <cell r="AK874">
            <v>19</v>
          </cell>
          <cell r="AL874">
            <v>21</v>
          </cell>
          <cell r="AM874">
            <v>0</v>
          </cell>
          <cell r="AN874">
            <v>0</v>
          </cell>
        </row>
        <row r="875">
          <cell r="A875" t="str">
            <v/>
          </cell>
          <cell r="B875" t="str">
            <v>Martyna FILIPIAK (MLKS Solec Kuj.)</v>
          </cell>
          <cell r="H875" t="str">
            <v>F4339</v>
          </cell>
          <cell r="K875" t="str">
            <v>J4505</v>
          </cell>
          <cell r="N875" t="str">
            <v>Wiktoria JUSZCZAK (MMKS Gdańsk)</v>
          </cell>
        </row>
        <row r="876">
          <cell r="A876" t="str">
            <v/>
          </cell>
          <cell r="B876" t="str">
            <v>Natalia PIETRZAK (MLKS Solec Kuj.)</v>
          </cell>
          <cell r="H876" t="str">
            <v>P4758</v>
          </cell>
          <cell r="K876" t="str">
            <v>K5041</v>
          </cell>
          <cell r="N876" t="str">
            <v>Aleksandra KOŁODZIEJ (KSR Wolant Łódź)</v>
          </cell>
        </row>
        <row r="878">
          <cell r="B878" t="str">
            <v/>
          </cell>
          <cell r="K878" t="str">
            <v>zwycięzca(cy): 21:15,21:19</v>
          </cell>
        </row>
        <row r="879">
          <cell r="B879">
            <v>1</v>
          </cell>
          <cell r="C879" t="str">
            <v>dzień turnieju.</v>
          </cell>
          <cell r="I879" t="str">
            <v>Nr meczu</v>
          </cell>
          <cell r="N879" t="str">
            <v>Godz.</v>
          </cell>
          <cell r="R879" t="str">
            <v>S. prow.</v>
          </cell>
          <cell r="AF879" t="str">
            <v>wygrany</v>
          </cell>
          <cell r="AG879" t="str">
            <v>przegrany</v>
          </cell>
        </row>
        <row r="880">
          <cell r="B880" t="str">
            <v>Boisko</v>
          </cell>
          <cell r="C880" t="str">
            <v>Gra</v>
          </cell>
          <cell r="I880">
            <v>126</v>
          </cell>
          <cell r="N880" t="str">
            <v>rozp.</v>
          </cell>
          <cell r="P880" t="str">
            <v>zak.</v>
          </cell>
          <cell r="R880" t="str">
            <v>S. serw.</v>
          </cell>
        </row>
        <row r="881">
          <cell r="A881">
            <v>126</v>
          </cell>
          <cell r="B881">
            <v>1</v>
          </cell>
          <cell r="C881" t="str">
            <v>podwójna dziewcząt M</v>
          </cell>
          <cell r="H881">
            <v>21</v>
          </cell>
          <cell r="I881">
            <v>0</v>
          </cell>
          <cell r="J881">
            <v>21</v>
          </cell>
          <cell r="K881">
            <v>0</v>
          </cell>
          <cell r="P881">
            <v>0.375</v>
          </cell>
          <cell r="R881">
            <v>0.375</v>
          </cell>
          <cell r="S881" t="str">
            <v>pt 16:45</v>
          </cell>
          <cell r="X881">
            <v>126</v>
          </cell>
          <cell r="Y881" t="str">
            <v>podwójna dziewcząt M</v>
          </cell>
          <cell r="Z881" t="str">
            <v>x22</v>
          </cell>
          <cell r="AA881" t="str">
            <v>x24</v>
          </cell>
          <cell r="AB881" t="str">
            <v>D3427</v>
          </cell>
          <cell r="AC881" t="str">
            <v>X63</v>
          </cell>
          <cell r="AD881" t="str">
            <v>x22</v>
          </cell>
          <cell r="AE881" t="str">
            <v>x24</v>
          </cell>
          <cell r="AF881" t="str">
            <v>21:0,21:0</v>
          </cell>
          <cell r="AG881" t="str">
            <v>0:21,0:21</v>
          </cell>
          <cell r="AH881" t="str">
            <v/>
          </cell>
          <cell r="AI881">
            <v>21</v>
          </cell>
          <cell r="AJ881">
            <v>0</v>
          </cell>
          <cell r="AK881">
            <v>21</v>
          </cell>
          <cell r="AL881">
            <v>0</v>
          </cell>
          <cell r="AM881">
            <v>0</v>
          </cell>
          <cell r="AN881">
            <v>0</v>
          </cell>
        </row>
        <row r="882">
          <cell r="A882" t="str">
            <v/>
          </cell>
          <cell r="B882" t="str">
            <v>Elyzaveta NIKOLAEVA (Vinnica Ukraina)</v>
          </cell>
          <cell r="H882" t="str">
            <v>x22</v>
          </cell>
          <cell r="K882" t="str">
            <v>D3427</v>
          </cell>
          <cell r="N882" t="str">
            <v>Wiktoria DĄBCZYŃSKA (MKS Orlicz Suchedniów)</v>
          </cell>
        </row>
        <row r="883">
          <cell r="A883" t="str">
            <v/>
          </cell>
          <cell r="B883" t="str">
            <v>Anna  POLISCHUK (Lwów Ukraina)</v>
          </cell>
          <cell r="H883" t="str">
            <v>x24</v>
          </cell>
          <cell r="K883" t="str">
            <v>X63</v>
          </cell>
          <cell r="N883" t="str">
            <v>Anna  KRAMCHANINA (Brześć 2 Białoruś)</v>
          </cell>
        </row>
        <row r="885">
          <cell r="B885" t="str">
            <v>zwycięzca(cy): 21:0,21:0</v>
          </cell>
          <cell r="K885" t="str">
            <v/>
          </cell>
        </row>
        <row r="886">
          <cell r="B886">
            <v>1</v>
          </cell>
          <cell r="C886" t="str">
            <v>dzień turnieju.</v>
          </cell>
          <cell r="I886" t="str">
            <v>Nr meczu</v>
          </cell>
          <cell r="N886" t="str">
            <v>Godz.</v>
          </cell>
          <cell r="R886" t="str">
            <v>S. prow.</v>
          </cell>
          <cell r="AF886" t="str">
            <v>wygrany</v>
          </cell>
          <cell r="AG886" t="str">
            <v>przegrany</v>
          </cell>
        </row>
        <row r="887">
          <cell r="B887" t="str">
            <v>Boisko</v>
          </cell>
          <cell r="C887" t="str">
            <v>Gra</v>
          </cell>
          <cell r="I887">
            <v>127</v>
          </cell>
          <cell r="N887" t="str">
            <v>rozp.</v>
          </cell>
          <cell r="P887" t="str">
            <v>zak.</v>
          </cell>
          <cell r="R887" t="str">
            <v>S. serw.</v>
          </cell>
        </row>
        <row r="888">
          <cell r="A888">
            <v>127</v>
          </cell>
          <cell r="B888">
            <v>4</v>
          </cell>
          <cell r="C888" t="str">
            <v>podwójna dziewcząt M</v>
          </cell>
          <cell r="H888">
            <v>18</v>
          </cell>
          <cell r="I888">
            <v>21</v>
          </cell>
          <cell r="J888">
            <v>21</v>
          </cell>
          <cell r="K888">
            <v>17</v>
          </cell>
          <cell r="L888">
            <v>23</v>
          </cell>
          <cell r="M888">
            <v>21</v>
          </cell>
          <cell r="P888">
            <v>0.74305555555555547</v>
          </cell>
          <cell r="R888">
            <v>0.74305555555555547</v>
          </cell>
          <cell r="S888" t="str">
            <v>pt 16:45</v>
          </cell>
          <cell r="X888">
            <v>127</v>
          </cell>
          <cell r="Y888" t="str">
            <v>podwójna dziewcząt M</v>
          </cell>
          <cell r="Z888" t="str">
            <v>M4748</v>
          </cell>
          <cell r="AA888" t="str">
            <v>W4281</v>
          </cell>
          <cell r="AB888" t="str">
            <v>x13</v>
          </cell>
          <cell r="AC888" t="str">
            <v>x12</v>
          </cell>
          <cell r="AD888" t="str">
            <v>M4748</v>
          </cell>
          <cell r="AE888" t="str">
            <v>W4281</v>
          </cell>
          <cell r="AF888" t="str">
            <v>18:21,21:17,23:21</v>
          </cell>
          <cell r="AG888" t="str">
            <v>21:18,17:21,21:23</v>
          </cell>
          <cell r="AH888" t="str">
            <v/>
          </cell>
          <cell r="AI888">
            <v>18</v>
          </cell>
          <cell r="AJ888">
            <v>21</v>
          </cell>
          <cell r="AK888">
            <v>21</v>
          </cell>
          <cell r="AL888">
            <v>17</v>
          </cell>
          <cell r="AM888">
            <v>23</v>
          </cell>
          <cell r="AN888">
            <v>21</v>
          </cell>
        </row>
        <row r="889">
          <cell r="A889" t="str">
            <v/>
          </cell>
          <cell r="B889" t="str">
            <v>Olga MIKSZA (KS Wesoła Warszawa)</v>
          </cell>
          <cell r="H889" t="str">
            <v>M4748</v>
          </cell>
          <cell r="K889" t="str">
            <v>x13</v>
          </cell>
          <cell r="N889" t="str">
            <v>Ylija BITSOUKOVA (Mińsk Białoruś)</v>
          </cell>
        </row>
        <row r="890">
          <cell r="A890" t="str">
            <v/>
          </cell>
          <cell r="B890" t="str">
            <v>Ida WIŚNIEWSKA (----)</v>
          </cell>
          <cell r="H890" t="str">
            <v>W4281</v>
          </cell>
          <cell r="K890" t="str">
            <v>x12</v>
          </cell>
          <cell r="N890" t="str">
            <v>Katsiaryna ZABLOTSKAYA (Mińsk Białoruś)</v>
          </cell>
        </row>
        <row r="892">
          <cell r="B892" t="str">
            <v>zwycięzca(cy): 18:21,21:17,23:21</v>
          </cell>
          <cell r="K892" t="str">
            <v/>
          </cell>
        </row>
        <row r="893">
          <cell r="B893">
            <v>1</v>
          </cell>
          <cell r="C893" t="str">
            <v>dzień turnieju.</v>
          </cell>
          <cell r="I893" t="str">
            <v>Nr meczu</v>
          </cell>
          <cell r="N893" t="str">
            <v>Godz.</v>
          </cell>
          <cell r="R893" t="str">
            <v>S. prow.</v>
          </cell>
          <cell r="AF893" t="str">
            <v>wygrany</v>
          </cell>
          <cell r="AG893" t="str">
            <v>przegrany</v>
          </cell>
        </row>
        <row r="894">
          <cell r="B894" t="str">
            <v>Boisko</v>
          </cell>
          <cell r="C894" t="str">
            <v>Gra</v>
          </cell>
          <cell r="I894">
            <v>128</v>
          </cell>
          <cell r="N894" t="str">
            <v>rozp.</v>
          </cell>
          <cell r="P894" t="str">
            <v>zak.</v>
          </cell>
          <cell r="R894" t="str">
            <v>S. serw.</v>
          </cell>
        </row>
        <row r="895">
          <cell r="A895">
            <v>128</v>
          </cell>
          <cell r="B895">
            <v>3</v>
          </cell>
          <cell r="C895" t="str">
            <v>podwójna dziewcząt M</v>
          </cell>
          <cell r="H895">
            <v>14</v>
          </cell>
          <cell r="I895">
            <v>21</v>
          </cell>
          <cell r="J895">
            <v>10</v>
          </cell>
          <cell r="K895">
            <v>21</v>
          </cell>
          <cell r="P895">
            <v>0.72916666666666663</v>
          </cell>
          <cell r="R895">
            <v>0.72916666666666663</v>
          </cell>
          <cell r="S895" t="str">
            <v>pt 16:45</v>
          </cell>
          <cell r="X895">
            <v>128</v>
          </cell>
          <cell r="Y895" t="str">
            <v>podwójna dziewcząt M</v>
          </cell>
          <cell r="Z895" t="str">
            <v>F3777</v>
          </cell>
          <cell r="AA895" t="str">
            <v>K5387</v>
          </cell>
          <cell r="AB895" t="str">
            <v>J4555</v>
          </cell>
          <cell r="AC895" t="str">
            <v>R4591</v>
          </cell>
          <cell r="AD895" t="str">
            <v>J4555</v>
          </cell>
          <cell r="AE895" t="str">
            <v>R4591</v>
          </cell>
          <cell r="AF895" t="str">
            <v>21:14,21:10</v>
          </cell>
          <cell r="AG895" t="str">
            <v>14:21,10:21</v>
          </cell>
          <cell r="AH895" t="str">
            <v/>
          </cell>
          <cell r="AI895">
            <v>14</v>
          </cell>
          <cell r="AJ895">
            <v>21</v>
          </cell>
          <cell r="AK895">
            <v>10</v>
          </cell>
          <cell r="AL895">
            <v>21</v>
          </cell>
          <cell r="AM895">
            <v>0</v>
          </cell>
          <cell r="AN895">
            <v>0</v>
          </cell>
        </row>
        <row r="896">
          <cell r="A896" t="str">
            <v/>
          </cell>
          <cell r="B896" t="str">
            <v>Aleksandra FELSKA (UKS Orkan Przeźmierowo)</v>
          </cell>
          <cell r="H896" t="str">
            <v>F3777</v>
          </cell>
          <cell r="K896" t="str">
            <v>J4555</v>
          </cell>
          <cell r="N896" t="str">
            <v>Izabela JAJKO (UKS Orliki Ropica Polska)</v>
          </cell>
        </row>
        <row r="897">
          <cell r="A897" t="str">
            <v/>
          </cell>
          <cell r="B897" t="str">
            <v>Klaudia KUSIAK (UKS Orliki Ropica Polska)</v>
          </cell>
          <cell r="H897" t="str">
            <v>K5387</v>
          </cell>
          <cell r="K897" t="str">
            <v>R4591</v>
          </cell>
          <cell r="N897" t="str">
            <v>Natalia RÓG (MKS Stal Nowa Dęba)</v>
          </cell>
        </row>
        <row r="899">
          <cell r="B899" t="str">
            <v/>
          </cell>
          <cell r="K899" t="str">
            <v>zwycięzca(cy): 21:14,21:10</v>
          </cell>
        </row>
        <row r="900">
          <cell r="B900">
            <v>1</v>
          </cell>
          <cell r="C900" t="str">
            <v>dzień turnieju.</v>
          </cell>
          <cell r="I900" t="str">
            <v>Nr meczu</v>
          </cell>
          <cell r="N900" t="str">
            <v>Godz.</v>
          </cell>
          <cell r="R900" t="str">
            <v>S. prow.</v>
          </cell>
          <cell r="AF900" t="str">
            <v>wygrany</v>
          </cell>
          <cell r="AG900" t="str">
            <v>przegrany</v>
          </cell>
        </row>
        <row r="901">
          <cell r="B901" t="str">
            <v>Boisko</v>
          </cell>
          <cell r="C901" t="str">
            <v>Gra</v>
          </cell>
          <cell r="I901">
            <v>129</v>
          </cell>
          <cell r="N901" t="str">
            <v>rozp.</v>
          </cell>
          <cell r="P901" t="str">
            <v>zak.</v>
          </cell>
          <cell r="R901" t="str">
            <v>S. serw.</v>
          </cell>
        </row>
        <row r="902">
          <cell r="A902">
            <v>129</v>
          </cell>
          <cell r="B902">
            <v>2</v>
          </cell>
          <cell r="C902" t="str">
            <v>podwójna dziewcząt M</v>
          </cell>
          <cell r="H902">
            <v>21</v>
          </cell>
          <cell r="I902">
            <v>7</v>
          </cell>
          <cell r="J902">
            <v>21</v>
          </cell>
          <cell r="K902">
            <v>12</v>
          </cell>
          <cell r="P902">
            <v>0.72916666666666663</v>
          </cell>
          <cell r="R902">
            <v>0.72916666666666663</v>
          </cell>
          <cell r="S902" t="str">
            <v>pt 16:45</v>
          </cell>
          <cell r="X902">
            <v>129</v>
          </cell>
          <cell r="Y902" t="str">
            <v>podwójna dziewcząt M</v>
          </cell>
          <cell r="Z902" t="str">
            <v>X17</v>
          </cell>
          <cell r="AA902" t="str">
            <v>X06</v>
          </cell>
          <cell r="AB902" t="str">
            <v>G4142</v>
          </cell>
          <cell r="AC902" t="str">
            <v>M4152</v>
          </cell>
          <cell r="AD902" t="str">
            <v>X17</v>
          </cell>
          <cell r="AE902" t="str">
            <v>X06</v>
          </cell>
          <cell r="AF902" t="str">
            <v>21:7,21:12</v>
          </cell>
          <cell r="AG902" t="str">
            <v>7:21,12:21</v>
          </cell>
          <cell r="AH902" t="str">
            <v/>
          </cell>
          <cell r="AI902">
            <v>21</v>
          </cell>
          <cell r="AJ902">
            <v>7</v>
          </cell>
          <cell r="AK902">
            <v>21</v>
          </cell>
          <cell r="AL902">
            <v>12</v>
          </cell>
          <cell r="AM902">
            <v>0</v>
          </cell>
          <cell r="AN902">
            <v>0</v>
          </cell>
        </row>
        <row r="903">
          <cell r="A903" t="str">
            <v/>
          </cell>
          <cell r="B903" t="str">
            <v>Anna BANDARENKA (Mińsk Białoruś)</v>
          </cell>
          <cell r="H903" t="str">
            <v>X17</v>
          </cell>
          <cell r="K903" t="str">
            <v>G4142</v>
          </cell>
          <cell r="N903" t="str">
            <v>Agnieszka GRZEMPA (UKS Lotka Lubiewo)</v>
          </cell>
        </row>
        <row r="904">
          <cell r="A904" t="str">
            <v/>
          </cell>
          <cell r="B904" t="str">
            <v>Uliana ZACHROVA (Brześć Białoruś)</v>
          </cell>
          <cell r="H904" t="str">
            <v>X06</v>
          </cell>
          <cell r="K904" t="str">
            <v>M4152</v>
          </cell>
          <cell r="N904" t="str">
            <v>Aleksandra MARTIN (UKS Lotka Lubiewo)</v>
          </cell>
        </row>
        <row r="906">
          <cell r="B906" t="str">
            <v>zwycięzca(cy): 21:7,21:12</v>
          </cell>
          <cell r="K906" t="str">
            <v/>
          </cell>
        </row>
        <row r="907">
          <cell r="B907">
            <v>1</v>
          </cell>
          <cell r="C907" t="str">
            <v>dzień turnieju.</v>
          </cell>
          <cell r="I907" t="str">
            <v>Nr meczu</v>
          </cell>
          <cell r="N907" t="str">
            <v>Godz.</v>
          </cell>
          <cell r="R907" t="str">
            <v>S. prow.</v>
          </cell>
          <cell r="AF907" t="str">
            <v>wygrany</v>
          </cell>
          <cell r="AG907" t="str">
            <v>przegrany</v>
          </cell>
        </row>
        <row r="908">
          <cell r="B908" t="str">
            <v>Boisko</v>
          </cell>
          <cell r="C908" t="str">
            <v>Gra</v>
          </cell>
          <cell r="I908">
            <v>130</v>
          </cell>
          <cell r="N908" t="str">
            <v>rozp.</v>
          </cell>
          <cell r="P908" t="str">
            <v>zak.</v>
          </cell>
          <cell r="R908" t="str">
            <v>S. serw.</v>
          </cell>
        </row>
        <row r="909">
          <cell r="A909">
            <v>130</v>
          </cell>
          <cell r="B909">
            <v>1</v>
          </cell>
          <cell r="C909" t="str">
            <v>podwójna dziewcząt M</v>
          </cell>
          <cell r="H909">
            <v>18</v>
          </cell>
          <cell r="I909">
            <v>21</v>
          </cell>
          <cell r="J909">
            <v>21</v>
          </cell>
          <cell r="K909">
            <v>12</v>
          </cell>
          <cell r="L909">
            <v>21</v>
          </cell>
          <cell r="M909">
            <v>14</v>
          </cell>
          <cell r="P909">
            <v>0.75</v>
          </cell>
          <cell r="R909">
            <v>0.75</v>
          </cell>
          <cell r="S909" t="str">
            <v>pt 16:45</v>
          </cell>
          <cell r="X909">
            <v>130</v>
          </cell>
          <cell r="Y909" t="str">
            <v>podwójna dziewcząt M</v>
          </cell>
          <cell r="Z909" t="str">
            <v>K4023</v>
          </cell>
          <cell r="AA909" t="str">
            <v>S4125</v>
          </cell>
          <cell r="AB909" t="str">
            <v>S5167</v>
          </cell>
          <cell r="AC909" t="str">
            <v>S4873</v>
          </cell>
          <cell r="AD909" t="str">
            <v>K4023</v>
          </cell>
          <cell r="AE909" t="str">
            <v>S4125</v>
          </cell>
          <cell r="AF909" t="str">
            <v>18:21,21:12,21:14</v>
          </cell>
          <cell r="AG909" t="str">
            <v>21:18,12:21,14:21</v>
          </cell>
          <cell r="AH909" t="str">
            <v/>
          </cell>
          <cell r="AI909">
            <v>18</v>
          </cell>
          <cell r="AJ909">
            <v>21</v>
          </cell>
          <cell r="AK909">
            <v>21</v>
          </cell>
          <cell r="AL909">
            <v>12</v>
          </cell>
          <cell r="AM909">
            <v>21</v>
          </cell>
          <cell r="AN909">
            <v>14</v>
          </cell>
        </row>
        <row r="910">
          <cell r="A910" t="str">
            <v/>
          </cell>
          <cell r="B910" t="str">
            <v>Agnieszka KOPER (KKS Warmia Olsztyn)</v>
          </cell>
          <cell r="H910" t="str">
            <v>K4023</v>
          </cell>
          <cell r="K910" t="str">
            <v>S5167</v>
          </cell>
          <cell r="N910" t="str">
            <v>Roksana STOKOWSKA (UTS Akro-Bad Warszawa)</v>
          </cell>
        </row>
        <row r="911">
          <cell r="A911" t="str">
            <v/>
          </cell>
          <cell r="B911" t="str">
            <v>Natalia SIDOR (ŚKBad Harcownik Warszawa)</v>
          </cell>
          <cell r="H911" t="str">
            <v>S4125</v>
          </cell>
          <cell r="K911" t="str">
            <v>S4873</v>
          </cell>
          <cell r="N911" t="str">
            <v>Natalia STRZELCZYK (KS Hubertus Zalesie Górne)</v>
          </cell>
        </row>
        <row r="913">
          <cell r="B913" t="str">
            <v>zwycięzca(cy): 18:21,21:12,21:14</v>
          </cell>
          <cell r="K913" t="str">
            <v/>
          </cell>
        </row>
        <row r="914">
          <cell r="B914">
            <v>1</v>
          </cell>
          <cell r="C914" t="str">
            <v>dzień turnieju.</v>
          </cell>
          <cell r="I914" t="str">
            <v>Nr meczu</v>
          </cell>
          <cell r="N914" t="str">
            <v>Godz.</v>
          </cell>
          <cell r="R914" t="str">
            <v>S. prow.</v>
          </cell>
          <cell r="AF914" t="str">
            <v>wygrany</v>
          </cell>
          <cell r="AG914" t="str">
            <v>przegrany</v>
          </cell>
        </row>
        <row r="915">
          <cell r="B915" t="str">
            <v>Boisko</v>
          </cell>
          <cell r="C915" t="str">
            <v>Gra</v>
          </cell>
          <cell r="I915">
            <v>131</v>
          </cell>
          <cell r="N915" t="str">
            <v>rozp.</v>
          </cell>
          <cell r="P915" t="str">
            <v>zak.</v>
          </cell>
          <cell r="R915" t="str">
            <v>S. serw.</v>
          </cell>
        </row>
        <row r="916">
          <cell r="A916">
            <v>131</v>
          </cell>
          <cell r="B916">
            <v>2</v>
          </cell>
          <cell r="C916" t="str">
            <v>podwójna dziewcząt M</v>
          </cell>
          <cell r="H916">
            <v>4</v>
          </cell>
          <cell r="I916">
            <v>21</v>
          </cell>
          <cell r="J916">
            <v>5</v>
          </cell>
          <cell r="K916">
            <v>21</v>
          </cell>
          <cell r="P916">
            <v>0.74583333333333324</v>
          </cell>
          <cell r="R916">
            <v>0.74583333333333324</v>
          </cell>
          <cell r="S916" t="str">
            <v>pt 16:45</v>
          </cell>
          <cell r="X916">
            <v>131</v>
          </cell>
          <cell r="Y916" t="str">
            <v>podwójna dziewcząt M</v>
          </cell>
          <cell r="Z916" t="str">
            <v>X03</v>
          </cell>
          <cell r="AA916" t="str">
            <v>X01</v>
          </cell>
          <cell r="AB916" t="str">
            <v>G4208</v>
          </cell>
          <cell r="AC916" t="str">
            <v>M3746</v>
          </cell>
          <cell r="AD916" t="str">
            <v>G4208</v>
          </cell>
          <cell r="AE916" t="str">
            <v>M3746</v>
          </cell>
          <cell r="AF916" t="str">
            <v>21:4,21:5</v>
          </cell>
          <cell r="AG916" t="str">
            <v>4:21,5:21</v>
          </cell>
          <cell r="AH916" t="str">
            <v/>
          </cell>
          <cell r="AI916">
            <v>4</v>
          </cell>
          <cell r="AJ916">
            <v>21</v>
          </cell>
          <cell r="AK916">
            <v>5</v>
          </cell>
          <cell r="AL916">
            <v>21</v>
          </cell>
          <cell r="AM916">
            <v>0</v>
          </cell>
          <cell r="AN916">
            <v>0</v>
          </cell>
        </row>
        <row r="917">
          <cell r="A917" t="str">
            <v/>
          </cell>
          <cell r="B917" t="str">
            <v>Ugne MASILIONYTE (Litwa)</v>
          </cell>
          <cell r="H917" t="str">
            <v>X03</v>
          </cell>
          <cell r="K917" t="str">
            <v>G4208</v>
          </cell>
          <cell r="N917" t="str">
            <v>Aleksandra GOSZCZYŃSKA (UKSB Milenium Warszawa)</v>
          </cell>
        </row>
        <row r="918">
          <cell r="A918" t="str">
            <v/>
          </cell>
          <cell r="B918" t="str">
            <v>Sofija ORLOVAITE (Litwa)</v>
          </cell>
          <cell r="H918" t="str">
            <v>X01</v>
          </cell>
          <cell r="K918" t="str">
            <v>M3746</v>
          </cell>
          <cell r="N918" t="str">
            <v>Dorota MATYSIAK (KS Hubertus Zalesie Górne)</v>
          </cell>
        </row>
        <row r="920">
          <cell r="B920" t="str">
            <v/>
          </cell>
          <cell r="K920" t="str">
            <v>zwycięzca(cy): 21:4,21:5</v>
          </cell>
        </row>
        <row r="921">
          <cell r="B921">
            <v>1</v>
          </cell>
          <cell r="C921" t="str">
            <v>dzień turnieju.</v>
          </cell>
          <cell r="I921" t="str">
            <v>Nr meczu</v>
          </cell>
          <cell r="N921" t="str">
            <v>Godz.</v>
          </cell>
          <cell r="R921" t="str">
            <v>S. prow.</v>
          </cell>
          <cell r="AF921" t="str">
            <v>wygrany</v>
          </cell>
          <cell r="AG921" t="str">
            <v>przegrany</v>
          </cell>
        </row>
        <row r="922">
          <cell r="B922" t="str">
            <v>Boisko</v>
          </cell>
          <cell r="C922" t="str">
            <v>Gra</v>
          </cell>
          <cell r="I922">
            <v>132</v>
          </cell>
          <cell r="N922" t="str">
            <v>rozp.</v>
          </cell>
          <cell r="P922" t="str">
            <v>zak.</v>
          </cell>
          <cell r="R922" t="str">
            <v>S. serw.</v>
          </cell>
        </row>
        <row r="923">
          <cell r="A923">
            <v>132</v>
          </cell>
          <cell r="B923">
            <v>5</v>
          </cell>
          <cell r="C923" t="str">
            <v>podwójna dziewcząt M</v>
          </cell>
          <cell r="H923">
            <v>15</v>
          </cell>
          <cell r="I923">
            <v>21</v>
          </cell>
          <cell r="J923">
            <v>21</v>
          </cell>
          <cell r="K923">
            <v>14</v>
          </cell>
          <cell r="L923">
            <v>22</v>
          </cell>
          <cell r="M923">
            <v>20</v>
          </cell>
          <cell r="P923">
            <v>0.74791666666666667</v>
          </cell>
          <cell r="R923">
            <v>0.74791666666666667</v>
          </cell>
          <cell r="S923" t="str">
            <v>pt 16:45</v>
          </cell>
          <cell r="X923">
            <v>132</v>
          </cell>
          <cell r="Y923" t="str">
            <v>podwójna dziewcząt M</v>
          </cell>
          <cell r="Z923" t="str">
            <v>G5122</v>
          </cell>
          <cell r="AA923" t="str">
            <v>R4341</v>
          </cell>
          <cell r="AB923" t="str">
            <v>D4724</v>
          </cell>
          <cell r="AC923" t="str">
            <v>K4576</v>
          </cell>
          <cell r="AD923" t="str">
            <v>G5122</v>
          </cell>
          <cell r="AE923" t="str">
            <v>R4341</v>
          </cell>
          <cell r="AF923" t="str">
            <v>15:21,21:14,22:20</v>
          </cell>
          <cell r="AG923" t="str">
            <v>21:15,14:21,20:22</v>
          </cell>
          <cell r="AH923" t="str">
            <v/>
          </cell>
          <cell r="AI923">
            <v>15</v>
          </cell>
          <cell r="AJ923">
            <v>21</v>
          </cell>
          <cell r="AK923">
            <v>21</v>
          </cell>
          <cell r="AL923">
            <v>14</v>
          </cell>
          <cell r="AM923">
            <v>22</v>
          </cell>
          <cell r="AN923">
            <v>20</v>
          </cell>
        </row>
        <row r="924">
          <cell r="A924" t="str">
            <v/>
          </cell>
          <cell r="B924" t="str">
            <v>Weronika GAPIŃSKA (MLKS Solec Kuj.)</v>
          </cell>
          <cell r="H924" t="str">
            <v>G5122</v>
          </cell>
          <cell r="K924" t="str">
            <v>D4724</v>
          </cell>
          <cell r="N924" t="str">
            <v>Wiktoria DZIKI (LKS Technik Głubczyce)</v>
          </cell>
        </row>
        <row r="925">
          <cell r="A925" t="str">
            <v/>
          </cell>
          <cell r="B925" t="str">
            <v>Małgorzata ROGUT (MLKS Solec Kuj.)</v>
          </cell>
          <cell r="H925" t="str">
            <v>R4341</v>
          </cell>
          <cell r="K925" t="str">
            <v>K4576</v>
          </cell>
          <cell r="N925" t="str">
            <v>Paulina KLIMEK (MKS Strzelce Opolskie)</v>
          </cell>
        </row>
        <row r="927">
          <cell r="B927" t="str">
            <v>zwycięzca(cy): 15:21,21:14,22:20</v>
          </cell>
          <cell r="K927" t="str">
            <v/>
          </cell>
        </row>
        <row r="928">
          <cell r="B928">
            <v>1</v>
          </cell>
          <cell r="C928" t="str">
            <v>dzień turnieju.</v>
          </cell>
          <cell r="I928" t="str">
            <v>Nr meczu</v>
          </cell>
          <cell r="N928" t="str">
            <v>Godz.</v>
          </cell>
          <cell r="R928" t="str">
            <v>S. prow.</v>
          </cell>
          <cell r="AF928" t="str">
            <v>wygrany</v>
          </cell>
          <cell r="AG928" t="str">
            <v>przegrany</v>
          </cell>
        </row>
        <row r="929">
          <cell r="B929" t="str">
            <v>Boisko</v>
          </cell>
          <cell r="C929" t="str">
            <v>Gra</v>
          </cell>
          <cell r="I929">
            <v>133</v>
          </cell>
          <cell r="N929" t="str">
            <v>rozp.</v>
          </cell>
          <cell r="P929" t="str">
            <v>zak.</v>
          </cell>
          <cell r="R929" t="str">
            <v>S. serw.</v>
          </cell>
        </row>
        <row r="930">
          <cell r="A930">
            <v>133</v>
          </cell>
          <cell r="B930">
            <v>3</v>
          </cell>
          <cell r="C930" t="str">
            <v>podwójna dziewcząt M</v>
          </cell>
          <cell r="H930">
            <v>21</v>
          </cell>
          <cell r="I930">
            <v>9</v>
          </cell>
          <cell r="J930">
            <v>21</v>
          </cell>
          <cell r="K930">
            <v>8</v>
          </cell>
          <cell r="P930">
            <v>0.73611111111111116</v>
          </cell>
          <cell r="R930">
            <v>0.73611111111111116</v>
          </cell>
          <cell r="S930" t="str">
            <v>pt 16:45</v>
          </cell>
          <cell r="X930">
            <v>133</v>
          </cell>
          <cell r="Y930" t="str">
            <v>podwójna dziewcząt M</v>
          </cell>
          <cell r="Z930" t="str">
            <v>K4735</v>
          </cell>
          <cell r="AA930" t="str">
            <v>Z4822</v>
          </cell>
          <cell r="AB930" t="str">
            <v>R5590</v>
          </cell>
          <cell r="AC930" t="str">
            <v>S5361</v>
          </cell>
          <cell r="AD930" t="str">
            <v>K4735</v>
          </cell>
          <cell r="AE930" t="str">
            <v>Z4822</v>
          </cell>
          <cell r="AF930" t="str">
            <v>21:9,21:8</v>
          </cell>
          <cell r="AG930" t="str">
            <v>9:21,8:21</v>
          </cell>
          <cell r="AH930" t="str">
            <v/>
          </cell>
          <cell r="AI930">
            <v>21</v>
          </cell>
          <cell r="AJ930">
            <v>9</v>
          </cell>
          <cell r="AK930">
            <v>21</v>
          </cell>
          <cell r="AL930">
            <v>8</v>
          </cell>
          <cell r="AM930">
            <v>0</v>
          </cell>
          <cell r="AN930">
            <v>0</v>
          </cell>
        </row>
        <row r="931">
          <cell r="A931" t="str">
            <v/>
          </cell>
          <cell r="B931" t="str">
            <v>Oktawia KOISZ (UKS Kiko Zamość)</v>
          </cell>
          <cell r="H931" t="str">
            <v>K4735</v>
          </cell>
          <cell r="K931" t="str">
            <v>R5590</v>
          </cell>
          <cell r="N931" t="str">
            <v>Julia RUSZKOWSKA (KSR Wolant Łódź)</v>
          </cell>
        </row>
        <row r="932">
          <cell r="A932" t="str">
            <v/>
          </cell>
          <cell r="B932" t="str">
            <v>Julia ZIEMIŃSKA (UKS Kiko Zamość)</v>
          </cell>
          <cell r="H932" t="str">
            <v>Z4822</v>
          </cell>
          <cell r="K932" t="str">
            <v>S5361</v>
          </cell>
          <cell r="N932" t="str">
            <v>Hanna SZEJN (KSR Wolant Łódź)</v>
          </cell>
        </row>
        <row r="934">
          <cell r="B934" t="str">
            <v>zwycięzca(cy): 21:9,21:8</v>
          </cell>
          <cell r="K934" t="str">
            <v/>
          </cell>
        </row>
        <row r="935">
          <cell r="B935">
            <v>1</v>
          </cell>
          <cell r="C935" t="str">
            <v>dzień turnieju.</v>
          </cell>
          <cell r="I935" t="str">
            <v>Nr meczu</v>
          </cell>
          <cell r="N935" t="str">
            <v>Godz.</v>
          </cell>
          <cell r="R935" t="str">
            <v>S. prow.</v>
          </cell>
          <cell r="AF935" t="str">
            <v>wygrany</v>
          </cell>
          <cell r="AG935" t="str">
            <v>przegrany</v>
          </cell>
        </row>
        <row r="936">
          <cell r="B936" t="str">
            <v>Boisko</v>
          </cell>
          <cell r="C936" t="str">
            <v>Gra</v>
          </cell>
          <cell r="I936">
            <v>134</v>
          </cell>
          <cell r="N936" t="str">
            <v>rozp.</v>
          </cell>
          <cell r="P936" t="str">
            <v>zak.</v>
          </cell>
          <cell r="R936" t="str">
            <v>S. serw.</v>
          </cell>
        </row>
        <row r="937">
          <cell r="A937">
            <v>134</v>
          </cell>
          <cell r="B937">
            <v>6</v>
          </cell>
          <cell r="C937" t="str">
            <v>podwójna dziewcząt M</v>
          </cell>
          <cell r="H937">
            <v>21</v>
          </cell>
          <cell r="I937">
            <v>8</v>
          </cell>
          <cell r="J937">
            <v>21</v>
          </cell>
          <cell r="K937">
            <v>7</v>
          </cell>
          <cell r="P937">
            <v>0.73611111111111116</v>
          </cell>
          <cell r="R937">
            <v>0.73611111111111116</v>
          </cell>
          <cell r="S937" t="str">
            <v>pt 16:45</v>
          </cell>
          <cell r="X937">
            <v>134</v>
          </cell>
          <cell r="Y937" t="str">
            <v>podwójna dziewcząt M</v>
          </cell>
          <cell r="Z937" t="str">
            <v>A4292</v>
          </cell>
          <cell r="AA937" t="str">
            <v>P4786</v>
          </cell>
          <cell r="AB937" t="str">
            <v>X21</v>
          </cell>
          <cell r="AC937" t="str">
            <v>G3411</v>
          </cell>
          <cell r="AD937" t="str">
            <v>A4292</v>
          </cell>
          <cell r="AE937" t="str">
            <v>P4786</v>
          </cell>
          <cell r="AF937" t="str">
            <v>21:8,21:7</v>
          </cell>
          <cell r="AG937" t="str">
            <v>8:21,7:21</v>
          </cell>
          <cell r="AH937" t="str">
            <v/>
          </cell>
          <cell r="AI937">
            <v>21</v>
          </cell>
          <cell r="AJ937">
            <v>8</v>
          </cell>
          <cell r="AK937">
            <v>21</v>
          </cell>
          <cell r="AL937">
            <v>7</v>
          </cell>
          <cell r="AM937">
            <v>0</v>
          </cell>
          <cell r="AN937">
            <v>0</v>
          </cell>
        </row>
        <row r="938">
          <cell r="A938" t="str">
            <v/>
          </cell>
          <cell r="B938" t="str">
            <v>Wiktoria ADAMEK (UKS Ząbkowice Dąbrowa Górn.)</v>
          </cell>
          <cell r="H938" t="str">
            <v>A4292</v>
          </cell>
          <cell r="K938" t="str">
            <v>X21</v>
          </cell>
          <cell r="N938" t="str">
            <v>Tetiana ABRAMOVA (Vinnica Ukraina)</v>
          </cell>
        </row>
        <row r="939">
          <cell r="A939" t="str">
            <v/>
          </cell>
          <cell r="B939" t="str">
            <v>Aleksandra PTAK (STB Energia Lubliniec)</v>
          </cell>
          <cell r="H939" t="str">
            <v>P4786</v>
          </cell>
          <cell r="K939" t="str">
            <v>G3411</v>
          </cell>
          <cell r="N939" t="str">
            <v>Magdalena GOLENIA (UKS Sokół Ropczyce)</v>
          </cell>
        </row>
        <row r="941">
          <cell r="B941" t="str">
            <v>zwycięzca(cy): 21:8,21:7</v>
          </cell>
          <cell r="K941" t="str">
            <v/>
          </cell>
        </row>
        <row r="942">
          <cell r="B942">
            <v>1</v>
          </cell>
          <cell r="C942" t="str">
            <v>dzień turnieju.</v>
          </cell>
          <cell r="I942" t="str">
            <v>Nr meczu</v>
          </cell>
          <cell r="N942" t="str">
            <v>Godz.</v>
          </cell>
          <cell r="R942" t="str">
            <v>S. prow.</v>
          </cell>
          <cell r="AF942" t="str">
            <v>wygrany</v>
          </cell>
          <cell r="AG942" t="str">
            <v>przegrany</v>
          </cell>
        </row>
        <row r="943">
          <cell r="B943" t="str">
            <v>Boisko</v>
          </cell>
          <cell r="C943" t="str">
            <v>Gra</v>
          </cell>
          <cell r="I943">
            <v>135</v>
          </cell>
          <cell r="N943" t="str">
            <v>rozp.</v>
          </cell>
          <cell r="P943" t="str">
            <v>zak.</v>
          </cell>
          <cell r="R943" t="str">
            <v>S. serw.</v>
          </cell>
        </row>
        <row r="944">
          <cell r="A944">
            <v>135</v>
          </cell>
          <cell r="B944">
            <v>3</v>
          </cell>
          <cell r="C944" t="str">
            <v>podwójna chłopców M</v>
          </cell>
          <cell r="H944">
            <v>24</v>
          </cell>
          <cell r="I944">
            <v>22</v>
          </cell>
          <cell r="J944">
            <v>21</v>
          </cell>
          <cell r="K944">
            <v>13</v>
          </cell>
          <cell r="P944">
            <v>0.7597222222222223</v>
          </cell>
          <cell r="R944">
            <v>0.7597222222222223</v>
          </cell>
          <cell r="S944" t="str">
            <v>pt 17:30</v>
          </cell>
          <cell r="X944">
            <v>135</v>
          </cell>
          <cell r="Y944" t="str">
            <v>podwójna chłopców M</v>
          </cell>
          <cell r="Z944" t="str">
            <v>A4673</v>
          </cell>
          <cell r="AA944" t="str">
            <v>J4677</v>
          </cell>
          <cell r="AB944" t="str">
            <v>K4613</v>
          </cell>
          <cell r="AC944" t="str">
            <v>L4716</v>
          </cell>
          <cell r="AD944" t="str">
            <v>A4673</v>
          </cell>
          <cell r="AE944" t="str">
            <v>J4677</v>
          </cell>
          <cell r="AF944" t="str">
            <v>24:22,21:13</v>
          </cell>
          <cell r="AG944" t="str">
            <v>22:24,13:21</v>
          </cell>
          <cell r="AH944" t="str">
            <v/>
          </cell>
          <cell r="AI944">
            <v>24</v>
          </cell>
          <cell r="AJ944">
            <v>22</v>
          </cell>
          <cell r="AK944">
            <v>21</v>
          </cell>
          <cell r="AL944">
            <v>13</v>
          </cell>
          <cell r="AM944">
            <v>0</v>
          </cell>
          <cell r="AN944">
            <v>0</v>
          </cell>
        </row>
        <row r="945">
          <cell r="A945" t="str">
            <v/>
          </cell>
          <cell r="B945" t="str">
            <v>Szymon ADAMCZUK (UKS Kiko Zamość)</v>
          </cell>
          <cell r="H945" t="str">
            <v>A4673</v>
          </cell>
          <cell r="K945" t="str">
            <v>K4613</v>
          </cell>
          <cell r="N945" t="str">
            <v>Jakub KUFEL (UKS Orbitek Straszęcin)</v>
          </cell>
        </row>
        <row r="946">
          <cell r="A946" t="str">
            <v/>
          </cell>
          <cell r="B946" t="str">
            <v>Adam JAGODA (UKS Kiko Zamość)</v>
          </cell>
          <cell r="H946" t="str">
            <v>J4677</v>
          </cell>
          <cell r="K946" t="str">
            <v>L4716</v>
          </cell>
          <cell r="N946" t="str">
            <v>Rafał LEJKO (MKS Stal Nowa Dęba)</v>
          </cell>
        </row>
        <row r="948">
          <cell r="B948" t="str">
            <v>zwycięzca(cy): 24:22,21:13</v>
          </cell>
          <cell r="K948" t="str">
            <v/>
          </cell>
        </row>
        <row r="949">
          <cell r="B949">
            <v>1</v>
          </cell>
          <cell r="C949" t="str">
            <v>dzień turnieju.</v>
          </cell>
          <cell r="I949" t="str">
            <v>Nr meczu</v>
          </cell>
          <cell r="N949" t="str">
            <v>Godz.</v>
          </cell>
          <cell r="R949" t="str">
            <v>S. prow.</v>
          </cell>
          <cell r="AF949" t="str">
            <v>wygrany</v>
          </cell>
          <cell r="AG949" t="str">
            <v>przegrany</v>
          </cell>
        </row>
        <row r="950">
          <cell r="B950" t="str">
            <v>Boisko</v>
          </cell>
          <cell r="C950" t="str">
            <v>Gra</v>
          </cell>
          <cell r="I950">
            <v>136</v>
          </cell>
          <cell r="N950" t="str">
            <v>rozp.</v>
          </cell>
          <cell r="P950" t="str">
            <v>zak.</v>
          </cell>
          <cell r="R950" t="str">
            <v>S. serw.</v>
          </cell>
        </row>
        <row r="951">
          <cell r="A951">
            <v>136</v>
          </cell>
          <cell r="B951">
            <v>6</v>
          </cell>
          <cell r="C951" t="str">
            <v>podwójna chłopców M</v>
          </cell>
          <cell r="H951">
            <v>21</v>
          </cell>
          <cell r="I951">
            <v>12</v>
          </cell>
          <cell r="J951">
            <v>16</v>
          </cell>
          <cell r="K951">
            <v>21</v>
          </cell>
          <cell r="L951">
            <v>20</v>
          </cell>
          <cell r="M951">
            <v>22</v>
          </cell>
          <cell r="P951">
            <v>0.76736111111111116</v>
          </cell>
          <cell r="R951">
            <v>0.76736111111111116</v>
          </cell>
          <cell r="S951" t="str">
            <v>pt 17:30</v>
          </cell>
          <cell r="X951">
            <v>136</v>
          </cell>
          <cell r="Y951" t="str">
            <v>podwójna chłopców M</v>
          </cell>
          <cell r="Z951" t="str">
            <v>M5027</v>
          </cell>
          <cell r="AA951" t="str">
            <v>M4588</v>
          </cell>
          <cell r="AB951" t="str">
            <v>K4579</v>
          </cell>
          <cell r="AC951" t="str">
            <v>S5541</v>
          </cell>
          <cell r="AD951" t="str">
            <v>K4579</v>
          </cell>
          <cell r="AE951" t="str">
            <v>S5541</v>
          </cell>
          <cell r="AF951" t="str">
            <v>12:21,21:16,22:20</v>
          </cell>
          <cell r="AG951" t="str">
            <v>21:12,16:21,20:22</v>
          </cell>
          <cell r="AH951" t="str">
            <v/>
          </cell>
          <cell r="AI951">
            <v>21</v>
          </cell>
          <cell r="AJ951">
            <v>12</v>
          </cell>
          <cell r="AK951">
            <v>16</v>
          </cell>
          <cell r="AL951">
            <v>21</v>
          </cell>
          <cell r="AM951">
            <v>20</v>
          </cell>
          <cell r="AN951">
            <v>22</v>
          </cell>
        </row>
        <row r="952">
          <cell r="A952" t="str">
            <v/>
          </cell>
          <cell r="B952" t="str">
            <v>Kamil MACIOŁEK (MKS Strzelce Opolskie)</v>
          </cell>
          <cell r="H952" t="str">
            <v>M5027</v>
          </cell>
          <cell r="K952" t="str">
            <v>K4579</v>
          </cell>
          <cell r="N952" t="str">
            <v>Miłosz KAIM (KS Masovia Płock)</v>
          </cell>
        </row>
        <row r="953">
          <cell r="A953" t="str">
            <v/>
          </cell>
          <cell r="B953" t="str">
            <v>Jakub MINARTOWICZ (LKS Technik Głubczyce)</v>
          </cell>
          <cell r="H953" t="str">
            <v>M4588</v>
          </cell>
          <cell r="K953" t="str">
            <v>S5541</v>
          </cell>
          <cell r="N953" t="str">
            <v>Kamil SOKOŁOWSKI (KS Masovia Płock)</v>
          </cell>
        </row>
        <row r="955">
          <cell r="B955" t="str">
            <v/>
          </cell>
          <cell r="K955" t="str">
            <v>zwycięzca(cy): 12:21,21:16,22:20</v>
          </cell>
        </row>
        <row r="956">
          <cell r="B956">
            <v>1</v>
          </cell>
          <cell r="C956" t="str">
            <v>dzień turnieju.</v>
          </cell>
          <cell r="I956" t="str">
            <v>Nr meczu</v>
          </cell>
          <cell r="N956" t="str">
            <v>Godz.</v>
          </cell>
          <cell r="R956" t="str">
            <v>S. prow.</v>
          </cell>
          <cell r="AF956" t="str">
            <v>wygrany</v>
          </cell>
          <cell r="AG956" t="str">
            <v>przegrany</v>
          </cell>
        </row>
        <row r="957">
          <cell r="B957" t="str">
            <v>Boisko</v>
          </cell>
          <cell r="C957" t="str">
            <v>Gra</v>
          </cell>
          <cell r="I957">
            <v>137</v>
          </cell>
          <cell r="N957" t="str">
            <v>rozp.</v>
          </cell>
          <cell r="P957" t="str">
            <v>zak.</v>
          </cell>
          <cell r="R957" t="str">
            <v>S. serw.</v>
          </cell>
        </row>
        <row r="958">
          <cell r="A958">
            <v>137</v>
          </cell>
          <cell r="B958">
            <v>4</v>
          </cell>
          <cell r="C958" t="str">
            <v>podwójna chłopców M</v>
          </cell>
          <cell r="H958">
            <v>21</v>
          </cell>
          <cell r="I958">
            <v>14</v>
          </cell>
          <cell r="J958">
            <v>19</v>
          </cell>
          <cell r="K958">
            <v>21</v>
          </cell>
          <cell r="L958">
            <v>21</v>
          </cell>
          <cell r="M958">
            <v>7</v>
          </cell>
          <cell r="P958">
            <v>0.76597222222222217</v>
          </cell>
          <cell r="R958">
            <v>0.76597222222222217</v>
          </cell>
          <cell r="S958" t="str">
            <v>pt 17:30</v>
          </cell>
          <cell r="X958">
            <v>137</v>
          </cell>
          <cell r="Y958" t="str">
            <v>podwójna chłopców M</v>
          </cell>
          <cell r="Z958" t="str">
            <v>E4320</v>
          </cell>
          <cell r="AA958" t="str">
            <v>W4657</v>
          </cell>
          <cell r="AB958" t="str">
            <v>X02</v>
          </cell>
          <cell r="AC958" t="str">
            <v>X04</v>
          </cell>
          <cell r="AD958" t="str">
            <v>E4320</v>
          </cell>
          <cell r="AE958" t="str">
            <v>W4657</v>
          </cell>
          <cell r="AF958" t="str">
            <v>21:14,19:21,21:7</v>
          </cell>
          <cell r="AG958" t="str">
            <v>14:21,21:19,7:21</v>
          </cell>
          <cell r="AH958" t="str">
            <v/>
          </cell>
          <cell r="AI958">
            <v>21</v>
          </cell>
          <cell r="AJ958">
            <v>14</v>
          </cell>
          <cell r="AK958">
            <v>19</v>
          </cell>
          <cell r="AL958">
            <v>21</v>
          </cell>
          <cell r="AM958">
            <v>21</v>
          </cell>
          <cell r="AN958">
            <v>7</v>
          </cell>
        </row>
        <row r="959">
          <cell r="A959" t="str">
            <v/>
          </cell>
          <cell r="B959" t="str">
            <v>Franciszek EBERT (KS Hubertus Zalesie Górne)</v>
          </cell>
          <cell r="H959" t="str">
            <v>E4320</v>
          </cell>
          <cell r="K959" t="str">
            <v>X02</v>
          </cell>
          <cell r="N959" t="str">
            <v>Matas GELZINIS (Litwa)</v>
          </cell>
        </row>
        <row r="960">
          <cell r="A960" t="str">
            <v/>
          </cell>
          <cell r="B960" t="str">
            <v>Aleksander WYŻYKOWSKI (KS Hubertus Zalesie Górne)</v>
          </cell>
          <cell r="H960" t="str">
            <v>W4657</v>
          </cell>
          <cell r="K960" t="str">
            <v>X04</v>
          </cell>
          <cell r="N960" t="str">
            <v>Mantes  MAULE (Litwa)</v>
          </cell>
        </row>
        <row r="962">
          <cell r="B962" t="str">
            <v>zwycięzca(cy): 21:14,19:21,21:7</v>
          </cell>
          <cell r="K962" t="str">
            <v/>
          </cell>
        </row>
        <row r="963">
          <cell r="B963">
            <v>1</v>
          </cell>
          <cell r="C963" t="str">
            <v>dzień turnieju.</v>
          </cell>
          <cell r="I963" t="str">
            <v>Nr meczu</v>
          </cell>
          <cell r="N963" t="str">
            <v>Godz.</v>
          </cell>
          <cell r="R963" t="str">
            <v>S. prow.</v>
          </cell>
          <cell r="AF963" t="str">
            <v>wygrany</v>
          </cell>
          <cell r="AG963" t="str">
            <v>przegrany</v>
          </cell>
        </row>
        <row r="964">
          <cell r="B964" t="str">
            <v>Boisko</v>
          </cell>
          <cell r="C964" t="str">
            <v>Gra</v>
          </cell>
          <cell r="I964">
            <v>138</v>
          </cell>
          <cell r="N964" t="str">
            <v>rozp.</v>
          </cell>
          <cell r="P964" t="str">
            <v>zak.</v>
          </cell>
          <cell r="R964" t="str">
            <v>S. serw.</v>
          </cell>
        </row>
        <row r="965">
          <cell r="A965">
            <v>138</v>
          </cell>
          <cell r="B965">
            <v>1</v>
          </cell>
          <cell r="C965" t="str">
            <v>podwójna chłopców M</v>
          </cell>
          <cell r="H965">
            <v>0</v>
          </cell>
          <cell r="I965">
            <v>21</v>
          </cell>
          <cell r="J965">
            <v>0</v>
          </cell>
          <cell r="K965">
            <v>21</v>
          </cell>
          <cell r="P965">
            <v>0.375</v>
          </cell>
          <cell r="R965">
            <v>0.375</v>
          </cell>
          <cell r="S965" t="str">
            <v>pt 17:30</v>
          </cell>
          <cell r="X965">
            <v>138</v>
          </cell>
          <cell r="Y965" t="str">
            <v>podwójna chłopców M</v>
          </cell>
          <cell r="Z965" t="str">
            <v>M4817</v>
          </cell>
          <cell r="AA965" t="str">
            <v>P4726</v>
          </cell>
          <cell r="AB965" t="str">
            <v>F4652</v>
          </cell>
          <cell r="AC965" t="str">
            <v>W4651</v>
          </cell>
          <cell r="AD965" t="str">
            <v>F4652</v>
          </cell>
          <cell r="AE965" t="str">
            <v>W4651</v>
          </cell>
          <cell r="AF965" t="str">
            <v>21:0,21:0</v>
          </cell>
          <cell r="AG965" t="str">
            <v>0:21,0:21</v>
          </cell>
          <cell r="AH965" t="str">
            <v/>
          </cell>
          <cell r="AI965">
            <v>0</v>
          </cell>
          <cell r="AJ965">
            <v>21</v>
          </cell>
          <cell r="AK965">
            <v>0</v>
          </cell>
          <cell r="AL965">
            <v>21</v>
          </cell>
          <cell r="AM965">
            <v>0</v>
          </cell>
          <cell r="AN965">
            <v>0</v>
          </cell>
        </row>
        <row r="966">
          <cell r="A966" t="str">
            <v/>
          </cell>
          <cell r="B966" t="str">
            <v>Arkadiusz MIECZKOWSKI (UKS Hubal Białystok)</v>
          </cell>
          <cell r="H966" t="str">
            <v>M4817</v>
          </cell>
          <cell r="K966" t="str">
            <v>F4652</v>
          </cell>
          <cell r="N966" t="str">
            <v>Kamil FRĄTCZAK (UKS Iskra Sarbice)</v>
          </cell>
        </row>
        <row r="967">
          <cell r="A967" t="str">
            <v/>
          </cell>
          <cell r="B967" t="str">
            <v>Paweł POLAKOWSKI (UKS Hubal Białystok)</v>
          </cell>
          <cell r="H967" t="str">
            <v>P4726</v>
          </cell>
          <cell r="K967" t="str">
            <v>W4651</v>
          </cell>
          <cell r="N967" t="str">
            <v>Mateusz WUDARSKI (UKS Iskra Sarbice)</v>
          </cell>
        </row>
        <row r="969">
          <cell r="B969" t="str">
            <v/>
          </cell>
          <cell r="K969" t="str">
            <v>zwycięzca(cy): 21:0,21:0</v>
          </cell>
        </row>
        <row r="970">
          <cell r="B970">
            <v>1</v>
          </cell>
          <cell r="C970" t="str">
            <v>dzień turnieju.</v>
          </cell>
          <cell r="I970" t="str">
            <v>Nr meczu</v>
          </cell>
          <cell r="N970" t="str">
            <v>Godz.</v>
          </cell>
          <cell r="R970" t="str">
            <v>S. prow.</v>
          </cell>
          <cell r="AF970" t="str">
            <v>wygrany</v>
          </cell>
          <cell r="AG970" t="str">
            <v>przegrany</v>
          </cell>
        </row>
        <row r="971">
          <cell r="B971" t="str">
            <v>Boisko</v>
          </cell>
          <cell r="C971" t="str">
            <v>Gra</v>
          </cell>
          <cell r="I971">
            <v>139</v>
          </cell>
          <cell r="N971" t="str">
            <v>rozp.</v>
          </cell>
          <cell r="P971" t="str">
            <v>zak.</v>
          </cell>
          <cell r="R971" t="str">
            <v>S. serw.</v>
          </cell>
        </row>
        <row r="972">
          <cell r="A972">
            <v>139</v>
          </cell>
          <cell r="C972" t="str">
            <v>podwójna chłopców M</v>
          </cell>
          <cell r="H972">
            <v>21</v>
          </cell>
          <cell r="I972">
            <v>13</v>
          </cell>
          <cell r="J972">
            <v>21</v>
          </cell>
          <cell r="K972">
            <v>15</v>
          </cell>
          <cell r="R972">
            <v>0</v>
          </cell>
          <cell r="S972" t="str">
            <v>pt 17:30</v>
          </cell>
          <cell r="X972">
            <v>139</v>
          </cell>
          <cell r="Y972" t="str">
            <v>podwójna chłopców M</v>
          </cell>
          <cell r="Z972" t="str">
            <v>L4473</v>
          </cell>
          <cell r="AA972" t="str">
            <v>M3747</v>
          </cell>
          <cell r="AB972" t="str">
            <v>K5874</v>
          </cell>
          <cell r="AC972" t="str">
            <v>R4718</v>
          </cell>
          <cell r="AD972" t="str">
            <v>L4473</v>
          </cell>
          <cell r="AE972" t="str">
            <v>M3747</v>
          </cell>
          <cell r="AF972" t="str">
            <v>21:13,21:15</v>
          </cell>
          <cell r="AG972" t="str">
            <v>13:21,15:21</v>
          </cell>
          <cell r="AH972" t="str">
            <v/>
          </cell>
          <cell r="AI972">
            <v>21</v>
          </cell>
          <cell r="AJ972">
            <v>13</v>
          </cell>
          <cell r="AK972">
            <v>21</v>
          </cell>
          <cell r="AL972">
            <v>15</v>
          </cell>
          <cell r="AM972">
            <v>0</v>
          </cell>
          <cell r="AN972">
            <v>0</v>
          </cell>
        </row>
        <row r="973">
          <cell r="A973" t="str">
            <v/>
          </cell>
          <cell r="B973" t="str">
            <v>Jan LEWANDOWSKI (BKS Kolejarz Częstochowa)</v>
          </cell>
          <cell r="H973" t="str">
            <v>L4473</v>
          </cell>
          <cell r="K973" t="str">
            <v>K5874</v>
          </cell>
          <cell r="N973" t="str">
            <v>Maciej KURAN (----)</v>
          </cell>
        </row>
        <row r="974">
          <cell r="A974" t="str">
            <v/>
          </cell>
          <cell r="B974" t="str">
            <v>Michał MATYSIAK (KS Hubertus Zalesie Górne)</v>
          </cell>
          <cell r="H974" t="str">
            <v>M3747</v>
          </cell>
          <cell r="K974" t="str">
            <v>R4718</v>
          </cell>
          <cell r="N974" t="str">
            <v>Patryk RÓG (MKS Stal Nowa Dęba)</v>
          </cell>
        </row>
        <row r="976">
          <cell r="B976" t="str">
            <v>zwycięzca(cy): 21:13,21:15</v>
          </cell>
          <cell r="K976" t="str">
            <v/>
          </cell>
        </row>
        <row r="977">
          <cell r="B977">
            <v>1</v>
          </cell>
          <cell r="C977" t="str">
            <v>dzień turnieju.</v>
          </cell>
          <cell r="I977" t="str">
            <v>Nr meczu</v>
          </cell>
          <cell r="N977" t="str">
            <v>Godz.</v>
          </cell>
          <cell r="R977" t="str">
            <v>S. prow.</v>
          </cell>
          <cell r="AF977" t="str">
            <v>wygrany</v>
          </cell>
          <cell r="AG977" t="str">
            <v>przegrany</v>
          </cell>
        </row>
        <row r="978">
          <cell r="B978" t="str">
            <v>Boisko</v>
          </cell>
          <cell r="C978" t="str">
            <v>Gra</v>
          </cell>
          <cell r="I978">
            <v>140</v>
          </cell>
          <cell r="N978" t="str">
            <v>rozp.</v>
          </cell>
          <cell r="P978" t="str">
            <v>zak.</v>
          </cell>
          <cell r="R978" t="str">
            <v>S. serw.</v>
          </cell>
        </row>
        <row r="979">
          <cell r="A979">
            <v>140</v>
          </cell>
          <cell r="B979">
            <v>5</v>
          </cell>
          <cell r="C979" t="str">
            <v>podwójna chłopców M</v>
          </cell>
          <cell r="H979">
            <v>17</v>
          </cell>
          <cell r="I979">
            <v>21</v>
          </cell>
          <cell r="J979">
            <v>13</v>
          </cell>
          <cell r="K979">
            <v>21</v>
          </cell>
          <cell r="P979">
            <v>0.76736111111111116</v>
          </cell>
          <cell r="R979">
            <v>0.76736111111111116</v>
          </cell>
          <cell r="S979" t="str">
            <v>pt 17:30</v>
          </cell>
          <cell r="X979">
            <v>140</v>
          </cell>
          <cell r="Y979" t="str">
            <v>podwójna chłopców M</v>
          </cell>
          <cell r="Z979" t="str">
            <v>J4722</v>
          </cell>
          <cell r="AA979" t="str">
            <v>T4723</v>
          </cell>
          <cell r="AB979" t="str">
            <v>X23</v>
          </cell>
          <cell r="AC979" t="str">
            <v>X15</v>
          </cell>
          <cell r="AD979" t="str">
            <v>X23</v>
          </cell>
          <cell r="AE979" t="str">
            <v>X15</v>
          </cell>
          <cell r="AF979" t="str">
            <v>21:17,21:13</v>
          </cell>
          <cell r="AG979" t="str">
            <v>17:21,13:21</v>
          </cell>
          <cell r="AH979" t="str">
            <v/>
          </cell>
          <cell r="AI979">
            <v>17</v>
          </cell>
          <cell r="AJ979">
            <v>21</v>
          </cell>
          <cell r="AK979">
            <v>13</v>
          </cell>
          <cell r="AL979">
            <v>21</v>
          </cell>
          <cell r="AM979">
            <v>0</v>
          </cell>
          <cell r="AN979">
            <v>0</v>
          </cell>
        </row>
        <row r="980">
          <cell r="A980" t="str">
            <v/>
          </cell>
          <cell r="B980" t="str">
            <v>Mikołaj JÓŹWIAK (KS Hubertus Zalesie Górne)</v>
          </cell>
          <cell r="H980" t="str">
            <v>J4722</v>
          </cell>
          <cell r="K980" t="str">
            <v>X23</v>
          </cell>
          <cell r="N980" t="str">
            <v>Bogdan BRYCHUK (Vinnica Ukraina)</v>
          </cell>
        </row>
        <row r="981">
          <cell r="A981" t="str">
            <v/>
          </cell>
          <cell r="B981" t="str">
            <v>Dominik TELAKOWIEC (KS Hubertus Zalesie Górne)</v>
          </cell>
          <cell r="H981" t="str">
            <v>T4723</v>
          </cell>
          <cell r="K981" t="str">
            <v>X15</v>
          </cell>
          <cell r="N981" t="str">
            <v>Ilya SHCHARBENKA (Mińsk Białoruś)</v>
          </cell>
        </row>
        <row r="983">
          <cell r="B983" t="str">
            <v/>
          </cell>
          <cell r="K983" t="str">
            <v>zwycięzca(cy): 21:17,21:13</v>
          </cell>
        </row>
        <row r="984">
          <cell r="B984">
            <v>1</v>
          </cell>
          <cell r="C984" t="str">
            <v>dzień turnieju.</v>
          </cell>
          <cell r="I984" t="str">
            <v>Nr meczu</v>
          </cell>
          <cell r="N984" t="str">
            <v>Godz.</v>
          </cell>
          <cell r="R984" t="str">
            <v>S. prow.</v>
          </cell>
          <cell r="AF984" t="str">
            <v>wygrany</v>
          </cell>
          <cell r="AG984" t="str">
            <v>przegrany</v>
          </cell>
        </row>
        <row r="985">
          <cell r="B985" t="str">
            <v>Boisko</v>
          </cell>
          <cell r="C985" t="str">
            <v>Gra</v>
          </cell>
          <cell r="I985">
            <v>141</v>
          </cell>
          <cell r="N985" t="str">
            <v>rozp.</v>
          </cell>
          <cell r="P985" t="str">
            <v>zak.</v>
          </cell>
          <cell r="R985" t="str">
            <v>S. serw.</v>
          </cell>
        </row>
        <row r="986">
          <cell r="A986">
            <v>141</v>
          </cell>
          <cell r="B986">
            <v>1</v>
          </cell>
          <cell r="C986" t="str">
            <v>podwójna chłopców M</v>
          </cell>
          <cell r="H986">
            <v>21</v>
          </cell>
          <cell r="I986">
            <v>19</v>
          </cell>
          <cell r="J986">
            <v>20</v>
          </cell>
          <cell r="K986">
            <v>22</v>
          </cell>
          <cell r="L986">
            <v>21</v>
          </cell>
          <cell r="M986">
            <v>9</v>
          </cell>
          <cell r="P986">
            <v>0.77083333333333337</v>
          </cell>
          <cell r="R986">
            <v>0.77083333333333337</v>
          </cell>
          <cell r="S986" t="str">
            <v>pt 17:30</v>
          </cell>
          <cell r="X986">
            <v>141</v>
          </cell>
          <cell r="Y986" t="str">
            <v>podwójna chłopców M</v>
          </cell>
          <cell r="Z986" t="str">
            <v>M4170</v>
          </cell>
          <cell r="AA986" t="str">
            <v>W4753</v>
          </cell>
          <cell r="AB986" t="str">
            <v>G5275</v>
          </cell>
          <cell r="AC986" t="str">
            <v>K4676</v>
          </cell>
          <cell r="AD986" t="str">
            <v>M4170</v>
          </cell>
          <cell r="AE986" t="str">
            <v>W4753</v>
          </cell>
          <cell r="AF986" t="str">
            <v>21:19,20:22,21:9</v>
          </cell>
          <cell r="AG986" t="str">
            <v>19:21,22:20,9:21</v>
          </cell>
          <cell r="AH986" t="str">
            <v/>
          </cell>
          <cell r="AI986">
            <v>21</v>
          </cell>
          <cell r="AJ986">
            <v>19</v>
          </cell>
          <cell r="AK986">
            <v>20</v>
          </cell>
          <cell r="AL986">
            <v>22</v>
          </cell>
          <cell r="AM986">
            <v>21</v>
          </cell>
          <cell r="AN986">
            <v>9</v>
          </cell>
        </row>
        <row r="987">
          <cell r="A987" t="str">
            <v/>
          </cell>
          <cell r="B987" t="str">
            <v>Kamil MICHAŁEK (UKS Orbitek Straszęcin)</v>
          </cell>
          <cell r="H987" t="str">
            <v>M4170</v>
          </cell>
          <cell r="K987" t="str">
            <v>G5275</v>
          </cell>
          <cell r="N987" t="str">
            <v>Konrad GORGOL (PMKS Chrobry Piotrowice)</v>
          </cell>
        </row>
        <row r="988">
          <cell r="A988" t="str">
            <v/>
          </cell>
          <cell r="B988" t="str">
            <v>Natan VOGT (MMKS Kędzierzyn-Koźle)</v>
          </cell>
          <cell r="H988" t="str">
            <v>W4753</v>
          </cell>
          <cell r="K988" t="str">
            <v>K4676</v>
          </cell>
          <cell r="N988" t="str">
            <v>Damian KASPERSKI (UKS Kiko Zamość)</v>
          </cell>
        </row>
        <row r="990">
          <cell r="B990" t="str">
            <v>zwycięzca(cy): 21:19,20:22,21:9</v>
          </cell>
          <cell r="K990" t="str">
            <v/>
          </cell>
        </row>
        <row r="991">
          <cell r="B991">
            <v>1</v>
          </cell>
          <cell r="C991" t="str">
            <v>dzień turnieju.</v>
          </cell>
          <cell r="I991" t="str">
            <v>Nr meczu</v>
          </cell>
          <cell r="N991" t="str">
            <v>Godz.</v>
          </cell>
          <cell r="R991" t="str">
            <v>S. prow.</v>
          </cell>
          <cell r="AF991" t="str">
            <v>wygrany</v>
          </cell>
          <cell r="AG991" t="str">
            <v>przegrany</v>
          </cell>
        </row>
        <row r="992">
          <cell r="B992" t="str">
            <v>Boisko</v>
          </cell>
          <cell r="C992" t="str">
            <v>Gra</v>
          </cell>
          <cell r="I992">
            <v>142</v>
          </cell>
          <cell r="N992" t="str">
            <v>rozp.</v>
          </cell>
          <cell r="P992" t="str">
            <v>zak.</v>
          </cell>
          <cell r="R992" t="str">
            <v>S. serw.</v>
          </cell>
        </row>
        <row r="993">
          <cell r="A993">
            <v>142</v>
          </cell>
          <cell r="B993">
            <v>1</v>
          </cell>
          <cell r="C993" t="str">
            <v>podwójna chłopców M</v>
          </cell>
          <cell r="H993">
            <v>21</v>
          </cell>
          <cell r="I993">
            <v>0</v>
          </cell>
          <cell r="J993">
            <v>21</v>
          </cell>
          <cell r="K993">
            <v>0</v>
          </cell>
          <cell r="P993">
            <v>0.375</v>
          </cell>
          <cell r="R993">
            <v>0.375</v>
          </cell>
          <cell r="S993" t="str">
            <v>pt 17:30</v>
          </cell>
          <cell r="X993">
            <v>142</v>
          </cell>
          <cell r="Y993" t="str">
            <v>podwójna chłopców M</v>
          </cell>
          <cell r="Z993" t="str">
            <v>K5132</v>
          </cell>
          <cell r="AA993" t="str">
            <v>S5947</v>
          </cell>
          <cell r="AB993" t="str">
            <v>K4124</v>
          </cell>
          <cell r="AC993" t="str">
            <v>R5482</v>
          </cell>
          <cell r="AD993" t="str">
            <v>K5132</v>
          </cell>
          <cell r="AE993" t="str">
            <v>S5947</v>
          </cell>
          <cell r="AF993" t="str">
            <v>21:0,21:0</v>
          </cell>
          <cell r="AG993" t="str">
            <v>0:21,0:21</v>
          </cell>
          <cell r="AH993" t="str">
            <v/>
          </cell>
          <cell r="AI993">
            <v>21</v>
          </cell>
          <cell r="AJ993">
            <v>0</v>
          </cell>
          <cell r="AK993">
            <v>21</v>
          </cell>
          <cell r="AL993">
            <v>0</v>
          </cell>
          <cell r="AM993">
            <v>0</v>
          </cell>
          <cell r="AN993">
            <v>0</v>
          </cell>
        </row>
        <row r="994">
          <cell r="A994" t="str">
            <v/>
          </cell>
          <cell r="B994" t="str">
            <v>Piotr KRAJEWSKI (UKSB Milenium Warszawa)</v>
          </cell>
          <cell r="H994" t="str">
            <v>K5132</v>
          </cell>
          <cell r="K994" t="str">
            <v>K4124</v>
          </cell>
          <cell r="N994" t="str">
            <v>Adam KRZYMOWSKI (ŚKBad Harcownik Warszawa)</v>
          </cell>
        </row>
        <row r="995">
          <cell r="A995" t="str">
            <v/>
          </cell>
          <cell r="B995" t="str">
            <v>Mateusz SADOWSKI (UKSB Milenium Warszawa)</v>
          </cell>
          <cell r="H995" t="str">
            <v>S5947</v>
          </cell>
          <cell r="K995" t="str">
            <v>R5482</v>
          </cell>
          <cell r="N995" t="str">
            <v>Jan RADZIEJEWSKI (ŚKBad Harcownik Warszawa)</v>
          </cell>
        </row>
        <row r="997">
          <cell r="B997" t="str">
            <v>zwycięzca(cy): 21:0,21:0</v>
          </cell>
          <cell r="K997" t="str">
            <v/>
          </cell>
        </row>
        <row r="998">
          <cell r="B998">
            <v>1</v>
          </cell>
          <cell r="C998" t="str">
            <v>dzień turnieju.</v>
          </cell>
          <cell r="I998" t="str">
            <v>Nr meczu</v>
          </cell>
          <cell r="N998" t="str">
            <v>Godz.</v>
          </cell>
          <cell r="R998" t="str">
            <v>S. prow.</v>
          </cell>
          <cell r="AF998" t="str">
            <v>wygrany</v>
          </cell>
          <cell r="AG998" t="str">
            <v>przegrany</v>
          </cell>
        </row>
        <row r="999">
          <cell r="B999" t="str">
            <v>Boisko</v>
          </cell>
          <cell r="C999" t="str">
            <v>Gra</v>
          </cell>
          <cell r="I999">
            <v>143</v>
          </cell>
          <cell r="N999" t="str">
            <v>rozp.</v>
          </cell>
          <cell r="P999" t="str">
            <v>zak.</v>
          </cell>
          <cell r="R999" t="str">
            <v>S. serw.</v>
          </cell>
        </row>
        <row r="1000">
          <cell r="A1000">
            <v>143</v>
          </cell>
          <cell r="B1000">
            <v>2</v>
          </cell>
          <cell r="C1000" t="str">
            <v>podwójna chłopców M</v>
          </cell>
          <cell r="H1000">
            <v>21</v>
          </cell>
          <cell r="I1000">
            <v>17</v>
          </cell>
          <cell r="J1000">
            <v>12</v>
          </cell>
          <cell r="K1000">
            <v>21</v>
          </cell>
          <cell r="L1000">
            <v>21</v>
          </cell>
          <cell r="M1000">
            <v>12</v>
          </cell>
          <cell r="P1000">
            <v>0.78472222222222221</v>
          </cell>
          <cell r="R1000">
            <v>0.78472222222222221</v>
          </cell>
          <cell r="S1000" t="str">
            <v>pt 17:30</v>
          </cell>
          <cell r="X1000">
            <v>143</v>
          </cell>
          <cell r="Y1000" t="str">
            <v>podwójna chłopców M</v>
          </cell>
          <cell r="Z1000" t="str">
            <v>S5092</v>
          </cell>
          <cell r="AA1000" t="str">
            <v>T3692</v>
          </cell>
          <cell r="AB1000" t="str">
            <v>G4178</v>
          </cell>
          <cell r="AC1000" t="str">
            <v>S4265</v>
          </cell>
          <cell r="AD1000" t="str">
            <v>S5092</v>
          </cell>
          <cell r="AE1000" t="str">
            <v>T3692</v>
          </cell>
          <cell r="AF1000" t="str">
            <v>21:17,12:21,21:12</v>
          </cell>
          <cell r="AG1000" t="str">
            <v>17:21,21:12,12:21</v>
          </cell>
          <cell r="AH1000" t="str">
            <v/>
          </cell>
          <cell r="AI1000">
            <v>21</v>
          </cell>
          <cell r="AJ1000">
            <v>17</v>
          </cell>
          <cell r="AK1000">
            <v>12</v>
          </cell>
          <cell r="AL1000">
            <v>21</v>
          </cell>
          <cell r="AM1000">
            <v>21</v>
          </cell>
          <cell r="AN1000">
            <v>12</v>
          </cell>
        </row>
        <row r="1001">
          <cell r="A1001" t="str">
            <v/>
          </cell>
          <cell r="B1001" t="str">
            <v>Andrzej SAWICKI (UKS Hubal Białystok)</v>
          </cell>
          <cell r="H1001" t="str">
            <v>S5092</v>
          </cell>
          <cell r="K1001" t="str">
            <v>G4178</v>
          </cell>
          <cell r="N1001" t="str">
            <v>Piotr GAJDA (KS Chojnik Jelenia Góra)</v>
          </cell>
        </row>
        <row r="1002">
          <cell r="A1002" t="str">
            <v/>
          </cell>
          <cell r="B1002" t="str">
            <v>Kacper TROCHIM (UKS Hubal Białystok)</v>
          </cell>
          <cell r="H1002" t="str">
            <v>T3692</v>
          </cell>
          <cell r="K1002" t="str">
            <v>S4265</v>
          </cell>
          <cell r="N1002" t="str">
            <v>Łukasz STĘPNIEWSKI (MKB Lednik Miastko)</v>
          </cell>
        </row>
        <row r="1004">
          <cell r="B1004" t="str">
            <v>zwycięzca(cy): 21:17,12:21,21:12</v>
          </cell>
          <cell r="K1004" t="str">
            <v/>
          </cell>
        </row>
        <row r="1005">
          <cell r="B1005">
            <v>1</v>
          </cell>
          <cell r="C1005" t="str">
            <v>dzień turnieju.</v>
          </cell>
          <cell r="I1005" t="str">
            <v>Nr meczu</v>
          </cell>
          <cell r="N1005" t="str">
            <v>Godz.</v>
          </cell>
          <cell r="R1005" t="str">
            <v>S. prow.</v>
          </cell>
          <cell r="AF1005" t="str">
            <v>wygrany</v>
          </cell>
          <cell r="AG1005" t="str">
            <v>przegrany</v>
          </cell>
        </row>
        <row r="1006">
          <cell r="B1006" t="str">
            <v>Boisko</v>
          </cell>
          <cell r="C1006" t="str">
            <v>Gra</v>
          </cell>
          <cell r="I1006">
            <v>144</v>
          </cell>
          <cell r="N1006" t="str">
            <v>rozp.</v>
          </cell>
          <cell r="P1006" t="str">
            <v>zak.</v>
          </cell>
          <cell r="R1006" t="str">
            <v>S. serw.</v>
          </cell>
        </row>
        <row r="1007">
          <cell r="A1007">
            <v>144</v>
          </cell>
          <cell r="B1007">
            <v>3</v>
          </cell>
          <cell r="C1007" t="str">
            <v>mieszana MM</v>
          </cell>
          <cell r="H1007">
            <v>21</v>
          </cell>
          <cell r="I1007">
            <v>4</v>
          </cell>
          <cell r="J1007">
            <v>21</v>
          </cell>
          <cell r="K1007">
            <v>4</v>
          </cell>
          <cell r="P1007">
            <v>0.7729166666666667</v>
          </cell>
          <cell r="R1007">
            <v>0.7729166666666667</v>
          </cell>
          <cell r="S1007" t="str">
            <v>pt 18:00</v>
          </cell>
          <cell r="X1007">
            <v>144</v>
          </cell>
          <cell r="Y1007" t="str">
            <v>mieszana MM</v>
          </cell>
          <cell r="Z1007" t="str">
            <v>P5025</v>
          </cell>
          <cell r="AA1007" t="str">
            <v>J5024</v>
          </cell>
          <cell r="AB1007" t="str">
            <v>M5942</v>
          </cell>
          <cell r="AC1007" t="str">
            <v>S5479</v>
          </cell>
          <cell r="AD1007" t="str">
            <v>P5025</v>
          </cell>
          <cell r="AE1007" t="str">
            <v>J5024</v>
          </cell>
          <cell r="AF1007" t="str">
            <v>21:4,21:4</v>
          </cell>
          <cell r="AG1007" t="str">
            <v>4:21,4:21</v>
          </cell>
          <cell r="AH1007" t="str">
            <v/>
          </cell>
          <cell r="AI1007">
            <v>21</v>
          </cell>
          <cell r="AJ1007">
            <v>4</v>
          </cell>
          <cell r="AK1007">
            <v>21</v>
          </cell>
          <cell r="AL1007">
            <v>4</v>
          </cell>
          <cell r="AM1007">
            <v>0</v>
          </cell>
          <cell r="AN1007">
            <v>0</v>
          </cell>
        </row>
        <row r="1008">
          <cell r="A1008" t="str">
            <v/>
          </cell>
          <cell r="B1008" t="str">
            <v>Jakub PLASZCZYK (MKS Strzelce Opolskie)</v>
          </cell>
          <cell r="H1008" t="str">
            <v>P5025</v>
          </cell>
          <cell r="K1008" t="str">
            <v>M5942</v>
          </cell>
          <cell r="N1008" t="str">
            <v>Jakub MELANIUK (UKSB Milenium Warszawa)</v>
          </cell>
        </row>
        <row r="1009">
          <cell r="A1009" t="str">
            <v/>
          </cell>
          <cell r="B1009" t="str">
            <v>Zuzanna JANKOWSKA (MKS Strzelce Opolskie)</v>
          </cell>
          <cell r="H1009" t="str">
            <v>J5024</v>
          </cell>
          <cell r="K1009" t="str">
            <v>S5479</v>
          </cell>
          <cell r="N1009" t="str">
            <v>Aleksandra SZYMAŃSKA (UKSB Milenium Warszawa)</v>
          </cell>
        </row>
        <row r="1011">
          <cell r="B1011" t="str">
            <v>zwycięzca(cy): 21:4,21:4</v>
          </cell>
          <cell r="K1011" t="str">
            <v/>
          </cell>
        </row>
        <row r="1012">
          <cell r="B1012">
            <v>1</v>
          </cell>
          <cell r="C1012" t="str">
            <v>dzień turnieju.</v>
          </cell>
          <cell r="I1012" t="str">
            <v>Nr meczu</v>
          </cell>
          <cell r="N1012" t="str">
            <v>Godz.</v>
          </cell>
          <cell r="R1012" t="str">
            <v>S. prow.</v>
          </cell>
          <cell r="AF1012" t="str">
            <v>wygrany</v>
          </cell>
          <cell r="AG1012" t="str">
            <v>przegrany</v>
          </cell>
        </row>
        <row r="1013">
          <cell r="B1013" t="str">
            <v>Boisko</v>
          </cell>
          <cell r="C1013" t="str">
            <v>Gra</v>
          </cell>
          <cell r="I1013">
            <v>145</v>
          </cell>
          <cell r="N1013" t="str">
            <v>rozp.</v>
          </cell>
          <cell r="P1013" t="str">
            <v>zak.</v>
          </cell>
          <cell r="R1013" t="str">
            <v>S. serw.</v>
          </cell>
        </row>
        <row r="1014">
          <cell r="A1014">
            <v>145</v>
          </cell>
          <cell r="B1014">
            <v>4</v>
          </cell>
          <cell r="C1014" t="str">
            <v>mieszana MM</v>
          </cell>
          <cell r="H1014">
            <v>21</v>
          </cell>
          <cell r="I1014">
            <v>16</v>
          </cell>
          <cell r="J1014">
            <v>21</v>
          </cell>
          <cell r="K1014">
            <v>13</v>
          </cell>
          <cell r="P1014">
            <v>0.77777777777777779</v>
          </cell>
          <cell r="R1014">
            <v>0.77777777777777779</v>
          </cell>
          <cell r="S1014" t="str">
            <v>pt 18:00</v>
          </cell>
          <cell r="X1014">
            <v>145</v>
          </cell>
          <cell r="Y1014" t="str">
            <v>mieszana MM</v>
          </cell>
          <cell r="Z1014" t="str">
            <v>M4933</v>
          </cell>
          <cell r="AA1014" t="str">
            <v>C5063</v>
          </cell>
          <cell r="AB1014" t="str">
            <v>M5475</v>
          </cell>
          <cell r="AC1014" t="str">
            <v>P5477</v>
          </cell>
          <cell r="AD1014" t="str">
            <v>M4933</v>
          </cell>
          <cell r="AE1014" t="str">
            <v>C5063</v>
          </cell>
          <cell r="AF1014" t="str">
            <v>21:16,21:13</v>
          </cell>
          <cell r="AG1014" t="str">
            <v>16:21,13:21</v>
          </cell>
          <cell r="AH1014" t="str">
            <v/>
          </cell>
          <cell r="AI1014">
            <v>21</v>
          </cell>
          <cell r="AJ1014">
            <v>16</v>
          </cell>
          <cell r="AK1014">
            <v>21</v>
          </cell>
          <cell r="AL1014">
            <v>13</v>
          </cell>
          <cell r="AM1014">
            <v>0</v>
          </cell>
          <cell r="AN1014">
            <v>0</v>
          </cell>
        </row>
        <row r="1015">
          <cell r="A1015" t="str">
            <v/>
          </cell>
          <cell r="B1015" t="str">
            <v>Kacper MAKAREWICZ (UKS Hubal Białystok)</v>
          </cell>
          <cell r="H1015" t="str">
            <v>M4933</v>
          </cell>
          <cell r="K1015" t="str">
            <v>M5475</v>
          </cell>
          <cell r="N1015" t="str">
            <v>Jakub MYSŁOWSKI (UKS Iskra Sarbice)</v>
          </cell>
        </row>
        <row r="1016">
          <cell r="A1016" t="str">
            <v/>
          </cell>
          <cell r="B1016" t="str">
            <v>Karolina CIEŚLUK (UKS Hubal Białystok)</v>
          </cell>
          <cell r="H1016" t="str">
            <v>C5063</v>
          </cell>
          <cell r="K1016" t="str">
            <v>P5477</v>
          </cell>
          <cell r="N1016" t="str">
            <v>Paulina PRZYBYŁ (UKS Iskra Sarbice)</v>
          </cell>
        </row>
        <row r="1018">
          <cell r="B1018" t="str">
            <v>zwycięzca(cy): 21:16,21:13</v>
          </cell>
          <cell r="K1018" t="str">
            <v/>
          </cell>
        </row>
        <row r="1019">
          <cell r="B1019">
            <v>1</v>
          </cell>
          <cell r="C1019" t="str">
            <v>dzień turnieju.</v>
          </cell>
          <cell r="I1019" t="str">
            <v>Nr meczu</v>
          </cell>
          <cell r="N1019" t="str">
            <v>Godz.</v>
          </cell>
          <cell r="R1019" t="str">
            <v>S. prow.</v>
          </cell>
          <cell r="AF1019" t="str">
            <v>wygrany</v>
          </cell>
          <cell r="AG1019" t="str">
            <v>przegrany</v>
          </cell>
        </row>
        <row r="1020">
          <cell r="B1020" t="str">
            <v>Boisko</v>
          </cell>
          <cell r="C1020" t="str">
            <v>Gra</v>
          </cell>
          <cell r="I1020">
            <v>146</v>
          </cell>
          <cell r="N1020" t="str">
            <v>rozp.</v>
          </cell>
          <cell r="P1020" t="str">
            <v>zak.</v>
          </cell>
          <cell r="R1020" t="str">
            <v>S. serw.</v>
          </cell>
        </row>
        <row r="1021">
          <cell r="A1021">
            <v>146</v>
          </cell>
          <cell r="B1021">
            <v>5</v>
          </cell>
          <cell r="C1021" t="str">
            <v>mieszana MM</v>
          </cell>
          <cell r="H1021">
            <v>21</v>
          </cell>
          <cell r="I1021">
            <v>17</v>
          </cell>
          <cell r="J1021">
            <v>21</v>
          </cell>
          <cell r="K1021">
            <v>18</v>
          </cell>
          <cell r="P1021">
            <v>0.77777777777777779</v>
          </cell>
          <cell r="R1021">
            <v>0.77777777777777779</v>
          </cell>
          <cell r="S1021" t="str">
            <v>pt 18:00</v>
          </cell>
          <cell r="X1021">
            <v>146</v>
          </cell>
          <cell r="Y1021" t="str">
            <v>mieszana MM</v>
          </cell>
          <cell r="Z1021" t="str">
            <v>B4655</v>
          </cell>
          <cell r="AA1021" t="str">
            <v>M4792</v>
          </cell>
          <cell r="AB1021" t="str">
            <v>X26</v>
          </cell>
          <cell r="AC1021" t="str">
            <v>X25</v>
          </cell>
          <cell r="AD1021" t="str">
            <v>B4655</v>
          </cell>
          <cell r="AE1021" t="str">
            <v>M4792</v>
          </cell>
          <cell r="AF1021" t="str">
            <v>21:17,21:18</v>
          </cell>
          <cell r="AG1021" t="str">
            <v>17:21,18:21</v>
          </cell>
          <cell r="AH1021" t="str">
            <v/>
          </cell>
          <cell r="AI1021">
            <v>21</v>
          </cell>
          <cell r="AJ1021">
            <v>17</v>
          </cell>
          <cell r="AK1021">
            <v>21</v>
          </cell>
          <cell r="AL1021">
            <v>18</v>
          </cell>
          <cell r="AM1021">
            <v>0</v>
          </cell>
          <cell r="AN1021">
            <v>0</v>
          </cell>
        </row>
        <row r="1022">
          <cell r="A1022" t="str">
            <v/>
          </cell>
          <cell r="B1022" t="str">
            <v>Sebastian BILBIN (SKB Suwałki)</v>
          </cell>
          <cell r="H1022" t="str">
            <v>B4655</v>
          </cell>
          <cell r="K1022" t="str">
            <v>X26</v>
          </cell>
          <cell r="N1022" t="str">
            <v>Igor SENICHKYN (Vinnica Ukraina)</v>
          </cell>
        </row>
        <row r="1023">
          <cell r="A1023" t="str">
            <v/>
          </cell>
          <cell r="B1023" t="str">
            <v>Urszula MISZKIEL (SKB Suwałki)</v>
          </cell>
          <cell r="H1023" t="str">
            <v>M4792</v>
          </cell>
          <cell r="K1023" t="str">
            <v>X25</v>
          </cell>
          <cell r="N1023" t="str">
            <v>Yana  HALYTSKA (Vinnica Ukraina)</v>
          </cell>
        </row>
        <row r="1025">
          <cell r="B1025" t="str">
            <v>zwycięzca(cy): 21:17,21:18</v>
          </cell>
          <cell r="K1025" t="str">
            <v/>
          </cell>
        </row>
        <row r="1026">
          <cell r="B1026">
            <v>1</v>
          </cell>
          <cell r="C1026" t="str">
            <v>dzień turnieju.</v>
          </cell>
          <cell r="I1026" t="str">
            <v>Nr meczu</v>
          </cell>
          <cell r="N1026" t="str">
            <v>Godz.</v>
          </cell>
          <cell r="R1026" t="str">
            <v>S. prow.</v>
          </cell>
          <cell r="AF1026" t="str">
            <v>wygrany</v>
          </cell>
          <cell r="AG1026" t="str">
            <v>przegrany</v>
          </cell>
        </row>
        <row r="1027">
          <cell r="B1027" t="str">
            <v>Boisko</v>
          </cell>
          <cell r="C1027" t="str">
            <v>Gra</v>
          </cell>
          <cell r="I1027">
            <v>147</v>
          </cell>
          <cell r="N1027" t="str">
            <v>rozp.</v>
          </cell>
          <cell r="P1027" t="str">
            <v>zak.</v>
          </cell>
          <cell r="R1027" t="str">
            <v>S. serw.</v>
          </cell>
        </row>
        <row r="1028">
          <cell r="A1028">
            <v>147</v>
          </cell>
          <cell r="B1028">
            <v>6</v>
          </cell>
          <cell r="C1028" t="str">
            <v>mieszana MM</v>
          </cell>
          <cell r="H1028">
            <v>6</v>
          </cell>
          <cell r="I1028">
            <v>21</v>
          </cell>
          <cell r="J1028">
            <v>5</v>
          </cell>
          <cell r="K1028">
            <v>21</v>
          </cell>
          <cell r="P1028">
            <v>0.77777777777777779</v>
          </cell>
          <cell r="R1028">
            <v>0.77777777777777779</v>
          </cell>
          <cell r="S1028" t="str">
            <v>pt 18:00</v>
          </cell>
          <cell r="X1028">
            <v>147</v>
          </cell>
          <cell r="Y1028" t="str">
            <v>mieszana MM</v>
          </cell>
          <cell r="Z1028" t="str">
            <v>R4700</v>
          </cell>
          <cell r="AA1028" t="str">
            <v>R5603</v>
          </cell>
          <cell r="AB1028" t="str">
            <v>M4565</v>
          </cell>
          <cell r="AC1028" t="str">
            <v>X05</v>
          </cell>
          <cell r="AD1028" t="str">
            <v>M4565</v>
          </cell>
          <cell r="AE1028" t="str">
            <v>X05</v>
          </cell>
          <cell r="AF1028" t="str">
            <v>21:6,21:5</v>
          </cell>
          <cell r="AG1028" t="str">
            <v>6:21,5:21</v>
          </cell>
          <cell r="AH1028" t="str">
            <v/>
          </cell>
          <cell r="AI1028">
            <v>6</v>
          </cell>
          <cell r="AJ1028">
            <v>21</v>
          </cell>
          <cell r="AK1028">
            <v>5</v>
          </cell>
          <cell r="AL1028">
            <v>21</v>
          </cell>
          <cell r="AM1028">
            <v>0</v>
          </cell>
          <cell r="AN1028">
            <v>0</v>
          </cell>
        </row>
        <row r="1029">
          <cell r="A1029" t="str">
            <v/>
          </cell>
          <cell r="B1029" t="str">
            <v>Paweł RADZIWON (UKS Hubal Białystok)</v>
          </cell>
          <cell r="H1029" t="str">
            <v>R4700</v>
          </cell>
          <cell r="K1029" t="str">
            <v>M4565</v>
          </cell>
          <cell r="N1029" t="str">
            <v>Maciej MATUSZ (LKS Technik Głubczyce)</v>
          </cell>
        </row>
        <row r="1030">
          <cell r="A1030" t="str">
            <v/>
          </cell>
          <cell r="B1030" t="str">
            <v>Aleksandra RADZISZEWSKA (UKS Hubal Białystok)</v>
          </cell>
          <cell r="H1030" t="str">
            <v>R5603</v>
          </cell>
          <cell r="K1030" t="str">
            <v>X05</v>
          </cell>
          <cell r="N1030" t="str">
            <v>Alesia  KRAMCHANINA (Białoruś)</v>
          </cell>
        </row>
        <row r="1032">
          <cell r="B1032" t="str">
            <v/>
          </cell>
          <cell r="K1032" t="str">
            <v>zwycięzca(cy): 21:6,21:5</v>
          </cell>
        </row>
        <row r="1033">
          <cell r="B1033">
            <v>1</v>
          </cell>
          <cell r="C1033" t="str">
            <v>dzień turnieju.</v>
          </cell>
          <cell r="I1033" t="str">
            <v>Nr meczu</v>
          </cell>
          <cell r="N1033" t="str">
            <v>Godz.</v>
          </cell>
          <cell r="R1033" t="str">
            <v>S. prow.</v>
          </cell>
          <cell r="AF1033" t="str">
            <v>wygrany</v>
          </cell>
          <cell r="AG1033" t="str">
            <v>przegrany</v>
          </cell>
        </row>
        <row r="1034">
          <cell r="B1034" t="str">
            <v>Boisko</v>
          </cell>
          <cell r="C1034" t="str">
            <v>Gra</v>
          </cell>
          <cell r="I1034">
            <v>148</v>
          </cell>
          <cell r="N1034" t="str">
            <v>rozp.</v>
          </cell>
          <cell r="P1034" t="str">
            <v>zak.</v>
          </cell>
          <cell r="R1034" t="str">
            <v>S. serw.</v>
          </cell>
        </row>
        <row r="1035">
          <cell r="A1035">
            <v>148</v>
          </cell>
          <cell r="B1035">
            <v>1</v>
          </cell>
          <cell r="C1035" t="str">
            <v>mieszana MM</v>
          </cell>
          <cell r="H1035">
            <v>21</v>
          </cell>
          <cell r="I1035">
            <v>0</v>
          </cell>
          <cell r="J1035">
            <v>21</v>
          </cell>
          <cell r="K1035">
            <v>0</v>
          </cell>
          <cell r="P1035">
            <v>0.66666666666666663</v>
          </cell>
          <cell r="R1035">
            <v>0.66666666666666663</v>
          </cell>
          <cell r="S1035" t="str">
            <v>pt 18:00</v>
          </cell>
          <cell r="X1035">
            <v>148</v>
          </cell>
          <cell r="Y1035" t="str">
            <v>mieszana MM</v>
          </cell>
          <cell r="Z1035" t="str">
            <v>B5059</v>
          </cell>
          <cell r="AA1035" t="str">
            <v>F4870</v>
          </cell>
          <cell r="AB1035" t="str">
            <v>S5627</v>
          </cell>
          <cell r="AC1035" t="str">
            <v>S5705</v>
          </cell>
          <cell r="AD1035" t="str">
            <v>B5059</v>
          </cell>
          <cell r="AE1035" t="str">
            <v>F4870</v>
          </cell>
          <cell r="AF1035" t="str">
            <v>21:0,21:0</v>
          </cell>
          <cell r="AG1035" t="str">
            <v>0:21,0:21</v>
          </cell>
          <cell r="AH1035" t="str">
            <v/>
          </cell>
          <cell r="AI1035">
            <v>21</v>
          </cell>
          <cell r="AJ1035">
            <v>0</v>
          </cell>
          <cell r="AK1035">
            <v>21</v>
          </cell>
          <cell r="AL1035">
            <v>0</v>
          </cell>
          <cell r="AM1035">
            <v>0</v>
          </cell>
          <cell r="AN1035">
            <v>0</v>
          </cell>
        </row>
        <row r="1036">
          <cell r="A1036" t="str">
            <v/>
          </cell>
          <cell r="B1036" t="str">
            <v>Adam BIBIK (KSR Wolant Łódź)</v>
          </cell>
          <cell r="H1036" t="str">
            <v>B5059</v>
          </cell>
          <cell r="K1036" t="str">
            <v>S5627</v>
          </cell>
          <cell r="N1036" t="str">
            <v>Piotr SIERZPUTOWSKI (ULKS U-2 Lotka Bytów)</v>
          </cell>
        </row>
        <row r="1037">
          <cell r="A1037" t="str">
            <v/>
          </cell>
          <cell r="B1037" t="str">
            <v>Marcelina FRANCZUK (MMKS Gdańsk)</v>
          </cell>
          <cell r="H1037" t="str">
            <v>F4870</v>
          </cell>
          <cell r="K1037" t="str">
            <v>S5705</v>
          </cell>
          <cell r="N1037" t="str">
            <v>Natalia STASZKIEWICZ (ULKS U-2 Lotka Bytów)</v>
          </cell>
        </row>
        <row r="1039">
          <cell r="B1039" t="str">
            <v>zwycięzca(cy): 21:0,21:0</v>
          </cell>
          <cell r="K1039" t="str">
            <v/>
          </cell>
        </row>
        <row r="1040">
          <cell r="B1040">
            <v>1</v>
          </cell>
          <cell r="C1040" t="str">
            <v>dzień turnieju.</v>
          </cell>
          <cell r="I1040" t="str">
            <v>Nr meczu</v>
          </cell>
          <cell r="N1040" t="str">
            <v>Godz.</v>
          </cell>
          <cell r="R1040" t="str">
            <v>S. prow.</v>
          </cell>
          <cell r="AF1040" t="str">
            <v>wygrany</v>
          </cell>
          <cell r="AG1040" t="str">
            <v>przegrany</v>
          </cell>
        </row>
        <row r="1041">
          <cell r="B1041" t="str">
            <v>Boisko</v>
          </cell>
          <cell r="C1041" t="str">
            <v>Gra</v>
          </cell>
          <cell r="I1041">
            <v>149</v>
          </cell>
          <cell r="N1041" t="str">
            <v>rozp.</v>
          </cell>
          <cell r="P1041" t="str">
            <v>zak.</v>
          </cell>
          <cell r="R1041" t="str">
            <v>S. serw.</v>
          </cell>
        </row>
        <row r="1042">
          <cell r="A1042">
            <v>149</v>
          </cell>
          <cell r="B1042">
            <v>1</v>
          </cell>
          <cell r="C1042" t="str">
            <v>mieszana MM</v>
          </cell>
          <cell r="H1042">
            <v>21</v>
          </cell>
          <cell r="I1042">
            <v>0</v>
          </cell>
          <cell r="J1042">
            <v>21</v>
          </cell>
          <cell r="K1042">
            <v>0</v>
          </cell>
          <cell r="P1042">
            <v>0.375</v>
          </cell>
          <cell r="R1042">
            <v>0.375</v>
          </cell>
          <cell r="S1042" t="str">
            <v>pt 18:00</v>
          </cell>
          <cell r="X1042">
            <v>149</v>
          </cell>
          <cell r="Y1042" t="str">
            <v>mieszana MM</v>
          </cell>
          <cell r="Z1042" t="str">
            <v>M4698</v>
          </cell>
          <cell r="AA1042" t="str">
            <v>X16</v>
          </cell>
          <cell r="AB1042" t="str">
            <v>X49</v>
          </cell>
          <cell r="AC1042" t="str">
            <v>X50</v>
          </cell>
          <cell r="AD1042" t="str">
            <v>M4698</v>
          </cell>
          <cell r="AE1042" t="str">
            <v>X16</v>
          </cell>
          <cell r="AF1042" t="str">
            <v>21:0,21:0</v>
          </cell>
          <cell r="AG1042" t="str">
            <v>0:21,0:21</v>
          </cell>
          <cell r="AH1042" t="str">
            <v/>
          </cell>
          <cell r="AI1042">
            <v>21</v>
          </cell>
          <cell r="AJ1042">
            <v>0</v>
          </cell>
          <cell r="AK1042">
            <v>21</v>
          </cell>
          <cell r="AL1042">
            <v>0</v>
          </cell>
          <cell r="AM1042">
            <v>0</v>
          </cell>
          <cell r="AN1042">
            <v>0</v>
          </cell>
        </row>
        <row r="1043">
          <cell r="A1043" t="str">
            <v/>
          </cell>
          <cell r="B1043" t="str">
            <v>Norbert MARKOWSKI (UKS Kometa Sianów)</v>
          </cell>
          <cell r="H1043" t="str">
            <v>M4698</v>
          </cell>
          <cell r="K1043" t="str">
            <v>X49</v>
          </cell>
          <cell r="N1043" t="str">
            <v>Tomas Miksa  (Slavoj Cesky Tesin)</v>
          </cell>
        </row>
        <row r="1044">
          <cell r="A1044" t="str">
            <v/>
          </cell>
          <cell r="B1044" t="str">
            <v>Yelizaveta KAMINSKAYA (Mińsk Białoruś)</v>
          </cell>
          <cell r="H1044" t="str">
            <v>X16</v>
          </cell>
          <cell r="K1044" t="str">
            <v>X50</v>
          </cell>
          <cell r="N1044" t="str">
            <v>Sara Skoupilová  (Slavoj Cesky Tesin)</v>
          </cell>
        </row>
        <row r="1046">
          <cell r="B1046" t="str">
            <v>zwycięzca(cy): 21:0,21:0</v>
          </cell>
          <cell r="K1046" t="str">
            <v/>
          </cell>
        </row>
        <row r="1047">
          <cell r="B1047">
            <v>1</v>
          </cell>
          <cell r="C1047" t="str">
            <v>dzień turnieju.</v>
          </cell>
          <cell r="I1047" t="str">
            <v>Nr meczu</v>
          </cell>
          <cell r="N1047" t="str">
            <v>Godz.</v>
          </cell>
          <cell r="R1047" t="str">
            <v>S. prow.</v>
          </cell>
          <cell r="AF1047" t="str">
            <v>wygrany</v>
          </cell>
          <cell r="AG1047" t="str">
            <v>przegrany</v>
          </cell>
        </row>
        <row r="1048">
          <cell r="B1048" t="str">
            <v>Boisko</v>
          </cell>
          <cell r="C1048" t="str">
            <v>Gra</v>
          </cell>
          <cell r="I1048">
            <v>150</v>
          </cell>
          <cell r="N1048" t="str">
            <v>rozp.</v>
          </cell>
          <cell r="P1048" t="str">
            <v>zak.</v>
          </cell>
          <cell r="R1048" t="str">
            <v>S. serw.</v>
          </cell>
        </row>
        <row r="1049">
          <cell r="A1049">
            <v>150</v>
          </cell>
          <cell r="B1049">
            <v>1</v>
          </cell>
          <cell r="C1049" t="str">
            <v>mieszana MM</v>
          </cell>
          <cell r="H1049">
            <v>21</v>
          </cell>
          <cell r="I1049">
            <v>12</v>
          </cell>
          <cell r="J1049">
            <v>21</v>
          </cell>
          <cell r="K1049">
            <v>13</v>
          </cell>
          <cell r="P1049">
            <v>0.78472222222222221</v>
          </cell>
          <cell r="R1049">
            <v>0.78472222222222221</v>
          </cell>
          <cell r="S1049" t="str">
            <v>pt 18:00</v>
          </cell>
          <cell r="X1049">
            <v>150</v>
          </cell>
          <cell r="Y1049" t="str">
            <v>mieszana MM</v>
          </cell>
          <cell r="Z1049" t="str">
            <v>F4888</v>
          </cell>
          <cell r="AA1049" t="str">
            <v>G5614</v>
          </cell>
          <cell r="AB1049" t="str">
            <v>K5476</v>
          </cell>
          <cell r="AC1049" t="str">
            <v>G5478</v>
          </cell>
          <cell r="AD1049" t="str">
            <v>F4888</v>
          </cell>
          <cell r="AE1049" t="str">
            <v>G5614</v>
          </cell>
          <cell r="AF1049" t="str">
            <v>21:12,21:13</v>
          </cell>
          <cell r="AG1049" t="str">
            <v>12:21,13:21</v>
          </cell>
          <cell r="AH1049" t="str">
            <v/>
          </cell>
          <cell r="AI1049">
            <v>21</v>
          </cell>
          <cell r="AJ1049">
            <v>12</v>
          </cell>
          <cell r="AK1049">
            <v>21</v>
          </cell>
          <cell r="AL1049">
            <v>13</v>
          </cell>
          <cell r="AM1049">
            <v>0</v>
          </cell>
          <cell r="AN1049">
            <v>0</v>
          </cell>
        </row>
        <row r="1050">
          <cell r="A1050" t="str">
            <v/>
          </cell>
          <cell r="B1050" t="str">
            <v>Jarosław FIJAŁKOWSKI (UKSB Milenium Warszawa)</v>
          </cell>
          <cell r="H1050" t="str">
            <v>F4888</v>
          </cell>
          <cell r="K1050" t="str">
            <v>K5476</v>
          </cell>
          <cell r="N1050" t="str">
            <v>Marcin KARBOWY (UKS Iskra Sarbice)</v>
          </cell>
        </row>
        <row r="1051">
          <cell r="A1051" t="str">
            <v/>
          </cell>
          <cell r="B1051" t="str">
            <v>Weronika GÓRNIAK (UKSB Milenium Warszawa)</v>
          </cell>
          <cell r="H1051" t="str">
            <v>G5614</v>
          </cell>
          <cell r="K1051" t="str">
            <v>G5478</v>
          </cell>
          <cell r="N1051" t="str">
            <v>Paulina GAPSA (UKS Iskra Sarbice)</v>
          </cell>
        </row>
        <row r="1053">
          <cell r="B1053" t="str">
            <v>zwycięzca(cy): 21:12,21:13</v>
          </cell>
          <cell r="K1053" t="str">
            <v/>
          </cell>
        </row>
        <row r="1054">
          <cell r="B1054">
            <v>1</v>
          </cell>
          <cell r="C1054" t="str">
            <v>dzień turnieju.</v>
          </cell>
          <cell r="I1054" t="str">
            <v>Nr meczu</v>
          </cell>
          <cell r="N1054" t="str">
            <v>Godz.</v>
          </cell>
          <cell r="R1054" t="str">
            <v>S. prow.</v>
          </cell>
          <cell r="AF1054" t="str">
            <v>wygrany</v>
          </cell>
          <cell r="AG1054" t="str">
            <v>przegrany</v>
          </cell>
        </row>
        <row r="1055">
          <cell r="B1055" t="str">
            <v>Boisko</v>
          </cell>
          <cell r="C1055" t="str">
            <v>Gra</v>
          </cell>
          <cell r="I1055">
            <v>151</v>
          </cell>
          <cell r="N1055" t="str">
            <v>rozp.</v>
          </cell>
          <cell r="P1055" t="str">
            <v>zak.</v>
          </cell>
          <cell r="R1055" t="str">
            <v>S. serw.</v>
          </cell>
        </row>
        <row r="1056">
          <cell r="A1056">
            <v>151</v>
          </cell>
          <cell r="B1056">
            <v>3</v>
          </cell>
          <cell r="C1056" t="str">
            <v>mieszana MM</v>
          </cell>
          <cell r="H1056">
            <v>21</v>
          </cell>
          <cell r="I1056">
            <v>13</v>
          </cell>
          <cell r="J1056">
            <v>21</v>
          </cell>
          <cell r="K1056">
            <v>17</v>
          </cell>
          <cell r="P1056">
            <v>0.78819444444444453</v>
          </cell>
          <cell r="R1056">
            <v>0.78819444444444453</v>
          </cell>
          <cell r="S1056" t="str">
            <v>pt 18:00</v>
          </cell>
          <cell r="X1056">
            <v>151</v>
          </cell>
          <cell r="Y1056" t="str">
            <v>mieszana MM</v>
          </cell>
          <cell r="Z1056" t="str">
            <v>P5601</v>
          </cell>
          <cell r="AA1056" t="str">
            <v>K5600</v>
          </cell>
          <cell r="AB1056" t="str">
            <v>G5536</v>
          </cell>
          <cell r="AC1056" t="str">
            <v>O5218</v>
          </cell>
          <cell r="AD1056" t="str">
            <v>P5601</v>
          </cell>
          <cell r="AE1056" t="str">
            <v>K5600</v>
          </cell>
          <cell r="AF1056" t="str">
            <v>21:13,21:17</v>
          </cell>
          <cell r="AG1056" t="str">
            <v>13:21,17:21</v>
          </cell>
          <cell r="AH1056" t="str">
            <v/>
          </cell>
          <cell r="AI1056">
            <v>21</v>
          </cell>
          <cell r="AJ1056">
            <v>13</v>
          </cell>
          <cell r="AK1056">
            <v>21</v>
          </cell>
          <cell r="AL1056">
            <v>17</v>
          </cell>
          <cell r="AM1056">
            <v>0</v>
          </cell>
          <cell r="AN1056">
            <v>0</v>
          </cell>
        </row>
        <row r="1057">
          <cell r="A1057" t="str">
            <v/>
          </cell>
          <cell r="B1057" t="str">
            <v>Hubert PUCIŁOWSKI (UKS Hubal Białystok)</v>
          </cell>
          <cell r="H1057" t="str">
            <v>P5601</v>
          </cell>
          <cell r="K1057" t="str">
            <v>G5536</v>
          </cell>
          <cell r="N1057" t="str">
            <v>Filip GRABOWSKI (SKB Suwałki)</v>
          </cell>
        </row>
        <row r="1058">
          <cell r="A1058" t="str">
            <v/>
          </cell>
          <cell r="B1058" t="str">
            <v>Gabriela KUŁAKOWSKA (UKS Hubal Białystok)</v>
          </cell>
          <cell r="H1058" t="str">
            <v>K5600</v>
          </cell>
          <cell r="K1058" t="str">
            <v>O5218</v>
          </cell>
          <cell r="N1058" t="str">
            <v>Natalia OWSIEJEW (SKB Suwałki)</v>
          </cell>
        </row>
        <row r="1060">
          <cell r="B1060" t="str">
            <v>zwycięzca(cy): 21:13,21:17</v>
          </cell>
          <cell r="K1060" t="str">
            <v/>
          </cell>
        </row>
        <row r="1061">
          <cell r="B1061">
            <v>1</v>
          </cell>
          <cell r="C1061" t="str">
            <v>dzień turnieju.</v>
          </cell>
          <cell r="I1061" t="str">
            <v>Nr meczu</v>
          </cell>
          <cell r="N1061" t="str">
            <v>Godz.</v>
          </cell>
          <cell r="R1061" t="str">
            <v>S. prow.</v>
          </cell>
          <cell r="AF1061" t="str">
            <v>wygrany</v>
          </cell>
          <cell r="AG1061" t="str">
            <v>przegrany</v>
          </cell>
        </row>
        <row r="1062">
          <cell r="B1062" t="str">
            <v>Boisko</v>
          </cell>
          <cell r="C1062" t="str">
            <v>Gra</v>
          </cell>
          <cell r="I1062">
            <v>152</v>
          </cell>
          <cell r="N1062" t="str">
            <v>rozp.</v>
          </cell>
          <cell r="P1062" t="str">
            <v>zak.</v>
          </cell>
          <cell r="R1062" t="str">
            <v>S. serw.</v>
          </cell>
        </row>
        <row r="1063">
          <cell r="A1063">
            <v>152</v>
          </cell>
          <cell r="B1063">
            <v>4</v>
          </cell>
          <cell r="C1063" t="str">
            <v>podwójna dziewcząt MM</v>
          </cell>
          <cell r="H1063">
            <v>23</v>
          </cell>
          <cell r="I1063">
            <v>21</v>
          </cell>
          <cell r="J1063">
            <v>21</v>
          </cell>
          <cell r="K1063">
            <v>11</v>
          </cell>
          <cell r="P1063">
            <v>0.80208333333333337</v>
          </cell>
          <cell r="R1063">
            <v>0.80208333333333337</v>
          </cell>
          <cell r="S1063" t="str">
            <v>pt 18:30</v>
          </cell>
          <cell r="X1063">
            <v>152</v>
          </cell>
          <cell r="Y1063" t="str">
            <v>podwójna dziewcząt MM</v>
          </cell>
          <cell r="Z1063" t="str">
            <v>X30</v>
          </cell>
          <cell r="AA1063" t="str">
            <v>X29</v>
          </cell>
          <cell r="AB1063" t="str">
            <v>x05</v>
          </cell>
          <cell r="AC1063" t="str">
            <v>P4820</v>
          </cell>
          <cell r="AD1063" t="str">
            <v>X30</v>
          </cell>
          <cell r="AE1063" t="str">
            <v>X29</v>
          </cell>
          <cell r="AF1063" t="str">
            <v>23:21,21:11</v>
          </cell>
          <cell r="AG1063" t="str">
            <v>21:23,11:21</v>
          </cell>
          <cell r="AH1063" t="str">
            <v/>
          </cell>
          <cell r="AI1063">
            <v>23</v>
          </cell>
          <cell r="AJ1063">
            <v>21</v>
          </cell>
          <cell r="AK1063">
            <v>21</v>
          </cell>
          <cell r="AL1063">
            <v>11</v>
          </cell>
          <cell r="AM1063">
            <v>0</v>
          </cell>
          <cell r="AN1063">
            <v>0</v>
          </cell>
        </row>
        <row r="1064">
          <cell r="A1064" t="str">
            <v/>
          </cell>
          <cell r="B1064" t="str">
            <v>Lizaveta BAYAROUSKAYA (Białoruś)</v>
          </cell>
          <cell r="H1064" t="str">
            <v>X30</v>
          </cell>
          <cell r="K1064" t="str">
            <v>x05</v>
          </cell>
          <cell r="N1064" t="str">
            <v>Alesia  KRAMCHANINA (Białoruś)</v>
          </cell>
        </row>
        <row r="1065">
          <cell r="A1065" t="str">
            <v/>
          </cell>
          <cell r="B1065" t="str">
            <v>Anastasiya KHOMICH (Białoruś)</v>
          </cell>
          <cell r="H1065" t="str">
            <v>X29</v>
          </cell>
          <cell r="K1065" t="str">
            <v>P4820</v>
          </cell>
          <cell r="N1065" t="str">
            <v>Aleksandra PAJĄK (MKS Orlicz Suchedniów)</v>
          </cell>
        </row>
        <row r="1067">
          <cell r="B1067" t="str">
            <v>zwycięzca(cy): 23:21,21:11</v>
          </cell>
          <cell r="K1067" t="str">
            <v/>
          </cell>
        </row>
        <row r="1068">
          <cell r="B1068">
            <v>1</v>
          </cell>
          <cell r="C1068" t="str">
            <v>dzień turnieju.</v>
          </cell>
          <cell r="I1068" t="str">
            <v>Nr meczu</v>
          </cell>
          <cell r="N1068" t="str">
            <v>Godz.</v>
          </cell>
          <cell r="R1068" t="str">
            <v>S. prow.</v>
          </cell>
          <cell r="AF1068" t="str">
            <v>wygrany</v>
          </cell>
          <cell r="AG1068" t="str">
            <v>przegrany</v>
          </cell>
        </row>
        <row r="1069">
          <cell r="B1069" t="str">
            <v>Boisko</v>
          </cell>
          <cell r="C1069" t="str">
            <v>Gra</v>
          </cell>
          <cell r="I1069">
            <v>153</v>
          </cell>
          <cell r="N1069" t="str">
            <v>rozp.</v>
          </cell>
          <cell r="P1069" t="str">
            <v>zak.</v>
          </cell>
          <cell r="R1069" t="str">
            <v>S. serw.</v>
          </cell>
        </row>
        <row r="1070">
          <cell r="A1070">
            <v>153</v>
          </cell>
          <cell r="B1070">
            <v>1</v>
          </cell>
          <cell r="C1070" t="str">
            <v>podwójna dziewcząt MM</v>
          </cell>
          <cell r="H1070">
            <v>19</v>
          </cell>
          <cell r="I1070">
            <v>21</v>
          </cell>
          <cell r="J1070">
            <v>21</v>
          </cell>
          <cell r="K1070">
            <v>19</v>
          </cell>
          <cell r="L1070">
            <v>9</v>
          </cell>
          <cell r="M1070">
            <v>21</v>
          </cell>
          <cell r="P1070">
            <v>0.80555555555555547</v>
          </cell>
          <cell r="R1070">
            <v>0.80555555555555547</v>
          </cell>
          <cell r="S1070" t="str">
            <v>pt 18:30</v>
          </cell>
          <cell r="X1070">
            <v>153</v>
          </cell>
          <cell r="Y1070" t="str">
            <v>podwójna dziewcząt MM</v>
          </cell>
          <cell r="Z1070" t="str">
            <v>X25</v>
          </cell>
          <cell r="AA1070" t="str">
            <v>X43</v>
          </cell>
          <cell r="AB1070" t="str">
            <v>X31</v>
          </cell>
          <cell r="AC1070" t="str">
            <v>X32</v>
          </cell>
          <cell r="AD1070" t="str">
            <v>X31</v>
          </cell>
          <cell r="AE1070" t="str">
            <v>X32</v>
          </cell>
          <cell r="AF1070" t="str">
            <v>21:19,19:21,21:9</v>
          </cell>
          <cell r="AG1070" t="str">
            <v>19:21,21:19,9:21</v>
          </cell>
          <cell r="AH1070" t="str">
            <v/>
          </cell>
          <cell r="AI1070">
            <v>19</v>
          </cell>
          <cell r="AJ1070">
            <v>21</v>
          </cell>
          <cell r="AK1070">
            <v>21</v>
          </cell>
          <cell r="AL1070">
            <v>19</v>
          </cell>
          <cell r="AM1070">
            <v>9</v>
          </cell>
          <cell r="AN1070">
            <v>21</v>
          </cell>
        </row>
        <row r="1071">
          <cell r="A1071" t="str">
            <v/>
          </cell>
          <cell r="B1071" t="str">
            <v>Yana  HALYTSKA (Vinnica Ukraina)</v>
          </cell>
          <cell r="H1071" t="str">
            <v>X25</v>
          </cell>
          <cell r="K1071" t="str">
            <v>X31</v>
          </cell>
          <cell r="N1071" t="str">
            <v>Kseniya MATYSIK (Białoruś)</v>
          </cell>
        </row>
        <row r="1072">
          <cell r="A1072" t="str">
            <v/>
          </cell>
          <cell r="B1072" t="str">
            <v>Marta PROSTAK (Lwów Ukraina)</v>
          </cell>
          <cell r="H1072" t="str">
            <v>X43</v>
          </cell>
          <cell r="K1072" t="str">
            <v>X32</v>
          </cell>
          <cell r="N1072" t="str">
            <v>Anastsiya TAMASHEUSKAYA (Białoruś)</v>
          </cell>
        </row>
        <row r="1074">
          <cell r="B1074" t="str">
            <v/>
          </cell>
          <cell r="K1074" t="str">
            <v>zwycięzca(cy): 21:19,19:21,21:9</v>
          </cell>
        </row>
        <row r="1075">
          <cell r="B1075">
            <v>1</v>
          </cell>
          <cell r="C1075" t="str">
            <v>dzień turnieju.</v>
          </cell>
          <cell r="I1075" t="str">
            <v>Nr meczu</v>
          </cell>
          <cell r="N1075" t="str">
            <v>Godz.</v>
          </cell>
          <cell r="R1075" t="str">
            <v>S. prow.</v>
          </cell>
          <cell r="AF1075" t="str">
            <v>wygrany</v>
          </cell>
          <cell r="AG1075" t="str">
            <v>przegrany</v>
          </cell>
        </row>
        <row r="1076">
          <cell r="B1076" t="str">
            <v>Boisko</v>
          </cell>
          <cell r="C1076" t="str">
            <v>Gra</v>
          </cell>
          <cell r="I1076">
            <v>154</v>
          </cell>
          <cell r="N1076" t="str">
            <v>rozp.</v>
          </cell>
          <cell r="P1076" t="str">
            <v>zak.</v>
          </cell>
          <cell r="R1076" t="str">
            <v>S. serw.</v>
          </cell>
        </row>
        <row r="1077">
          <cell r="A1077">
            <v>154</v>
          </cell>
          <cell r="B1077">
            <v>5</v>
          </cell>
          <cell r="C1077" t="str">
            <v>podwójna dziewcząt MM</v>
          </cell>
          <cell r="H1077">
            <v>10</v>
          </cell>
          <cell r="I1077">
            <v>21</v>
          </cell>
          <cell r="J1077">
            <v>20</v>
          </cell>
          <cell r="K1077">
            <v>22</v>
          </cell>
          <cell r="P1077">
            <v>0.79861111111111116</v>
          </cell>
          <cell r="R1077">
            <v>0.79861111111111116</v>
          </cell>
          <cell r="S1077" t="str">
            <v>pt 18:30</v>
          </cell>
          <cell r="X1077">
            <v>154</v>
          </cell>
          <cell r="Y1077" t="str">
            <v>podwójna dziewcząt MM</v>
          </cell>
          <cell r="Z1077" t="str">
            <v>S5479</v>
          </cell>
          <cell r="AA1077" t="str">
            <v>Ż5592</v>
          </cell>
          <cell r="AB1077" t="str">
            <v>X16</v>
          </cell>
          <cell r="AC1077" t="str">
            <v>X18</v>
          </cell>
          <cell r="AD1077" t="str">
            <v>X16</v>
          </cell>
          <cell r="AE1077" t="str">
            <v>X18</v>
          </cell>
          <cell r="AF1077" t="str">
            <v>21:10,22:20</v>
          </cell>
          <cell r="AG1077" t="str">
            <v>10:21,20:22</v>
          </cell>
          <cell r="AH1077" t="str">
            <v/>
          </cell>
          <cell r="AI1077">
            <v>10</v>
          </cell>
          <cell r="AJ1077">
            <v>21</v>
          </cell>
          <cell r="AK1077">
            <v>20</v>
          </cell>
          <cell r="AL1077">
            <v>22</v>
          </cell>
          <cell r="AM1077">
            <v>0</v>
          </cell>
          <cell r="AN1077">
            <v>0</v>
          </cell>
        </row>
        <row r="1078">
          <cell r="A1078" t="str">
            <v/>
          </cell>
          <cell r="B1078" t="str">
            <v>Aleksandra SZYMAŃSKA (UKSB Milenium Warszawa)</v>
          </cell>
          <cell r="H1078" t="str">
            <v>S5479</v>
          </cell>
          <cell r="K1078" t="str">
            <v>X16</v>
          </cell>
          <cell r="N1078" t="str">
            <v>Yelizaveta KAMINSKAYA (Mińsk Białoruś)</v>
          </cell>
        </row>
        <row r="1079">
          <cell r="A1079" t="str">
            <v/>
          </cell>
          <cell r="B1079" t="str">
            <v>Nina ŻWAN (UTS Akro-Bad Warszawa)</v>
          </cell>
          <cell r="H1079" t="str">
            <v>Ż5592</v>
          </cell>
          <cell r="K1079" t="str">
            <v>X18</v>
          </cell>
          <cell r="N1079" t="str">
            <v>Veranika TARUSAVA (Mińsk Białoruś)</v>
          </cell>
        </row>
        <row r="1081">
          <cell r="B1081" t="str">
            <v/>
          </cell>
          <cell r="K1081" t="str">
            <v>zwycięzca(cy): 21:10,22:20</v>
          </cell>
        </row>
        <row r="1082">
          <cell r="B1082">
            <v>1</v>
          </cell>
          <cell r="C1082" t="str">
            <v>dzień turnieju.</v>
          </cell>
          <cell r="I1082" t="str">
            <v>Nr meczu</v>
          </cell>
          <cell r="N1082" t="str">
            <v>Godz.</v>
          </cell>
          <cell r="R1082" t="str">
            <v>S. prow.</v>
          </cell>
          <cell r="AF1082" t="str">
            <v>wygrany</v>
          </cell>
          <cell r="AG1082" t="str">
            <v>przegrany</v>
          </cell>
        </row>
        <row r="1083">
          <cell r="B1083" t="str">
            <v>Boisko</v>
          </cell>
          <cell r="C1083" t="str">
            <v>Gra</v>
          </cell>
          <cell r="I1083">
            <v>155</v>
          </cell>
          <cell r="N1083" t="str">
            <v>rozp.</v>
          </cell>
          <cell r="P1083" t="str">
            <v>zak.</v>
          </cell>
          <cell r="R1083" t="str">
            <v>S. serw.</v>
          </cell>
        </row>
        <row r="1084">
          <cell r="A1084">
            <v>155</v>
          </cell>
          <cell r="B1084">
            <v>5</v>
          </cell>
          <cell r="C1084" t="str">
            <v>podwójna dziewcząt MM</v>
          </cell>
          <cell r="H1084">
            <v>21</v>
          </cell>
          <cell r="I1084">
            <v>12</v>
          </cell>
          <cell r="J1084">
            <v>21</v>
          </cell>
          <cell r="K1084">
            <v>8</v>
          </cell>
          <cell r="P1084">
            <v>0.80902777777777779</v>
          </cell>
          <cell r="R1084">
            <v>0.80902777777777779</v>
          </cell>
          <cell r="S1084" t="str">
            <v>pt 18:30</v>
          </cell>
          <cell r="X1084">
            <v>155</v>
          </cell>
          <cell r="Y1084" t="str">
            <v>podwójna dziewcząt MM</v>
          </cell>
          <cell r="Z1084" t="str">
            <v>g5614</v>
          </cell>
          <cell r="AA1084" t="str">
            <v>H5946</v>
          </cell>
          <cell r="AB1084" t="str">
            <v>G5478</v>
          </cell>
          <cell r="AC1084" t="str">
            <v>W5473</v>
          </cell>
          <cell r="AD1084" t="str">
            <v>g5614</v>
          </cell>
          <cell r="AE1084" t="str">
            <v>H5946</v>
          </cell>
          <cell r="AF1084" t="str">
            <v>21:12,21:8</v>
          </cell>
          <cell r="AG1084" t="str">
            <v>12:21,8:21</v>
          </cell>
          <cell r="AH1084" t="str">
            <v/>
          </cell>
          <cell r="AI1084">
            <v>21</v>
          </cell>
          <cell r="AJ1084">
            <v>12</v>
          </cell>
          <cell r="AK1084">
            <v>21</v>
          </cell>
          <cell r="AL1084">
            <v>8</v>
          </cell>
          <cell r="AM1084">
            <v>0</v>
          </cell>
          <cell r="AN1084">
            <v>0</v>
          </cell>
        </row>
        <row r="1085">
          <cell r="A1085" t="str">
            <v/>
          </cell>
          <cell r="B1085" t="str">
            <v>Weronika GÓRNIAK (UKSB Milenium Warszawa)</v>
          </cell>
          <cell r="H1085" t="str">
            <v>g5614</v>
          </cell>
          <cell r="K1085" t="str">
            <v>G5478</v>
          </cell>
          <cell r="N1085" t="str">
            <v>Paulina GAPSA (UKS Iskra Sarbice)</v>
          </cell>
        </row>
        <row r="1086">
          <cell r="A1086" t="str">
            <v/>
          </cell>
          <cell r="B1086" t="str">
            <v>Paulina HANKIEWICZ (UKSB Milenium Warszawa)</v>
          </cell>
          <cell r="H1086" t="str">
            <v>H5946</v>
          </cell>
          <cell r="K1086" t="str">
            <v>W5473</v>
          </cell>
          <cell r="N1086" t="str">
            <v>Paulina WUDARSKA (UKS Iskra Sarbice)</v>
          </cell>
        </row>
        <row r="1088">
          <cell r="B1088" t="str">
            <v>zwycięzca(cy): 21:12,21:8</v>
          </cell>
          <cell r="K1088" t="str">
            <v/>
          </cell>
        </row>
        <row r="1089">
          <cell r="B1089">
            <v>1</v>
          </cell>
          <cell r="C1089" t="str">
            <v>dzień turnieju.</v>
          </cell>
          <cell r="I1089" t="str">
            <v>Nr meczu</v>
          </cell>
          <cell r="N1089" t="str">
            <v>Godz.</v>
          </cell>
          <cell r="R1089" t="str">
            <v>S. prow.</v>
          </cell>
          <cell r="AF1089" t="str">
            <v>wygrany</v>
          </cell>
          <cell r="AG1089" t="str">
            <v>przegrany</v>
          </cell>
        </row>
        <row r="1090">
          <cell r="B1090" t="str">
            <v>Boisko</v>
          </cell>
          <cell r="C1090" t="str">
            <v>Gra</v>
          </cell>
          <cell r="I1090">
            <v>156</v>
          </cell>
          <cell r="N1090" t="str">
            <v>rozp.</v>
          </cell>
          <cell r="P1090" t="str">
            <v>zak.</v>
          </cell>
          <cell r="R1090" t="str">
            <v>S. serw.</v>
          </cell>
        </row>
        <row r="1091">
          <cell r="A1091">
            <v>156</v>
          </cell>
          <cell r="B1091">
            <v>2</v>
          </cell>
          <cell r="C1091" t="str">
            <v>podwójna dziewcząt MM</v>
          </cell>
          <cell r="H1091">
            <v>12</v>
          </cell>
          <cell r="I1091">
            <v>21</v>
          </cell>
          <cell r="J1091">
            <v>13</v>
          </cell>
          <cell r="K1091">
            <v>21</v>
          </cell>
          <cell r="P1091">
            <v>0.80208333333333337</v>
          </cell>
          <cell r="R1091">
            <v>0.80208333333333337</v>
          </cell>
          <cell r="S1091" t="str">
            <v>pt 18:30</v>
          </cell>
          <cell r="X1091">
            <v>156</v>
          </cell>
          <cell r="Y1091" t="str">
            <v>podwójna dziewcząt MM</v>
          </cell>
          <cell r="Z1091" t="str">
            <v>X34</v>
          </cell>
          <cell r="AA1091" t="str">
            <v>X33</v>
          </cell>
          <cell r="AB1091" t="str">
            <v>G5951</v>
          </cell>
          <cell r="AC1091" t="str">
            <v>K5950</v>
          </cell>
          <cell r="AD1091" t="str">
            <v>G5951</v>
          </cell>
          <cell r="AE1091" t="str">
            <v>K5950</v>
          </cell>
          <cell r="AF1091" t="str">
            <v>21:12,21:13</v>
          </cell>
          <cell r="AG1091" t="str">
            <v>12:21,13:21</v>
          </cell>
          <cell r="AH1091" t="str">
            <v/>
          </cell>
          <cell r="AI1091">
            <v>12</v>
          </cell>
          <cell r="AJ1091">
            <v>21</v>
          </cell>
          <cell r="AK1091">
            <v>13</v>
          </cell>
          <cell r="AL1091">
            <v>21</v>
          </cell>
          <cell r="AM1091">
            <v>0</v>
          </cell>
          <cell r="AN1091">
            <v>0</v>
          </cell>
        </row>
        <row r="1092">
          <cell r="A1092" t="str">
            <v/>
          </cell>
          <cell r="B1092" t="str">
            <v>Marina YANBAYEVA (Białoruś)</v>
          </cell>
          <cell r="H1092" t="str">
            <v>X34</v>
          </cell>
          <cell r="K1092" t="str">
            <v>G5951</v>
          </cell>
          <cell r="N1092" t="str">
            <v>Laura GRONKIEWICZ (KS Masovia Płock)</v>
          </cell>
        </row>
        <row r="1093">
          <cell r="A1093" t="str">
            <v/>
          </cell>
          <cell r="B1093" t="str">
            <v>Kseniya YAROSHUK (Białoruś)</v>
          </cell>
          <cell r="H1093" t="str">
            <v>X33</v>
          </cell>
          <cell r="K1093" t="str">
            <v>K5950</v>
          </cell>
          <cell r="N1093" t="str">
            <v>Olga KRZEMIŃSKA (KS Masovia Płock)</v>
          </cell>
        </row>
        <row r="1095">
          <cell r="B1095" t="str">
            <v/>
          </cell>
          <cell r="K1095" t="str">
            <v>zwycięzca(cy): 21:12,21:13</v>
          </cell>
        </row>
        <row r="1096">
          <cell r="B1096">
            <v>1</v>
          </cell>
          <cell r="C1096" t="str">
            <v>dzień turnieju.</v>
          </cell>
          <cell r="I1096" t="str">
            <v>Nr meczu</v>
          </cell>
          <cell r="N1096" t="str">
            <v>Godz.</v>
          </cell>
          <cell r="R1096" t="str">
            <v>S. prow.</v>
          </cell>
          <cell r="AF1096" t="str">
            <v>wygrany</v>
          </cell>
          <cell r="AG1096" t="str">
            <v>przegrany</v>
          </cell>
        </row>
        <row r="1097">
          <cell r="B1097" t="str">
            <v>Boisko</v>
          </cell>
          <cell r="C1097" t="str">
            <v>Gra</v>
          </cell>
          <cell r="I1097">
            <v>157</v>
          </cell>
          <cell r="N1097" t="str">
            <v>rozp.</v>
          </cell>
          <cell r="P1097" t="str">
            <v>zak.</v>
          </cell>
          <cell r="R1097" t="str">
            <v>S. serw.</v>
          </cell>
        </row>
        <row r="1098">
          <cell r="A1098">
            <v>157</v>
          </cell>
          <cell r="B1098">
            <v>3</v>
          </cell>
          <cell r="C1098" t="str">
            <v>podwójna dziewcząt MM</v>
          </cell>
          <cell r="H1098">
            <v>21</v>
          </cell>
          <cell r="I1098">
            <v>2</v>
          </cell>
          <cell r="J1098">
            <v>21</v>
          </cell>
          <cell r="K1098">
            <v>6</v>
          </cell>
          <cell r="P1098">
            <v>0.80208333333333337</v>
          </cell>
          <cell r="R1098">
            <v>0.80208333333333337</v>
          </cell>
          <cell r="S1098" t="str">
            <v>pt 18:30</v>
          </cell>
          <cell r="X1098">
            <v>157</v>
          </cell>
          <cell r="Y1098" t="str">
            <v>podwójna dziewcząt MM</v>
          </cell>
          <cell r="Z1098" t="str">
            <v>F4870</v>
          </cell>
          <cell r="AA1098" t="str">
            <v>S4730</v>
          </cell>
          <cell r="AB1098" t="str">
            <v>X35</v>
          </cell>
          <cell r="AC1098" t="str">
            <v>X36</v>
          </cell>
          <cell r="AD1098" t="str">
            <v>F4870</v>
          </cell>
          <cell r="AE1098" t="str">
            <v>S4730</v>
          </cell>
          <cell r="AF1098" t="str">
            <v>21:2,21:6</v>
          </cell>
          <cell r="AG1098" t="str">
            <v>2:21,6:21</v>
          </cell>
          <cell r="AH1098" t="str">
            <v/>
          </cell>
          <cell r="AI1098">
            <v>21</v>
          </cell>
          <cell r="AJ1098">
            <v>2</v>
          </cell>
          <cell r="AK1098">
            <v>21</v>
          </cell>
          <cell r="AL1098">
            <v>6</v>
          </cell>
          <cell r="AM1098">
            <v>0</v>
          </cell>
          <cell r="AN1098">
            <v>0</v>
          </cell>
        </row>
        <row r="1099">
          <cell r="A1099" t="str">
            <v/>
          </cell>
          <cell r="B1099" t="str">
            <v>Marcelina FRANCZUK (MMKS Gdańsk)</v>
          </cell>
          <cell r="H1099" t="str">
            <v>F4870</v>
          </cell>
          <cell r="K1099" t="str">
            <v>X35</v>
          </cell>
          <cell r="N1099" t="str">
            <v>Hanna ABRAMAVA (Białoruś)</v>
          </cell>
        </row>
        <row r="1100">
          <cell r="A1100" t="str">
            <v/>
          </cell>
          <cell r="B1100" t="str">
            <v>Karolina SZUBERT (KS Match Point Ślęza)</v>
          </cell>
          <cell r="H1100" t="str">
            <v>S4730</v>
          </cell>
          <cell r="K1100" t="str">
            <v>X36</v>
          </cell>
          <cell r="N1100" t="str">
            <v>Aliaksndra PILIPTSEVICH (Białoruś)</v>
          </cell>
        </row>
        <row r="1102">
          <cell r="B1102" t="str">
            <v>zwycięzca(cy): 21:2,21:6</v>
          </cell>
          <cell r="K1102" t="str">
            <v/>
          </cell>
        </row>
        <row r="1103">
          <cell r="B1103">
            <v>1</v>
          </cell>
          <cell r="C1103" t="str">
            <v>dzień turnieju.</v>
          </cell>
          <cell r="I1103" t="str">
            <v>Nr meczu</v>
          </cell>
          <cell r="N1103" t="str">
            <v>Godz.</v>
          </cell>
          <cell r="R1103" t="str">
            <v>S. prow.</v>
          </cell>
          <cell r="AF1103" t="str">
            <v>wygrany</v>
          </cell>
          <cell r="AG1103" t="str">
            <v>przegrany</v>
          </cell>
        </row>
        <row r="1104">
          <cell r="B1104" t="str">
            <v>Boisko</v>
          </cell>
          <cell r="C1104" t="str">
            <v>Gra</v>
          </cell>
          <cell r="I1104">
            <v>158</v>
          </cell>
          <cell r="N1104" t="str">
            <v>rozp.</v>
          </cell>
          <cell r="P1104" t="str">
            <v>zak.</v>
          </cell>
          <cell r="R1104" t="str">
            <v>S. serw.</v>
          </cell>
        </row>
        <row r="1105">
          <cell r="A1105">
            <v>158</v>
          </cell>
          <cell r="B1105">
            <v>3</v>
          </cell>
          <cell r="C1105" t="str">
            <v>podwójna chłopców MM</v>
          </cell>
          <cell r="H1105">
            <v>23</v>
          </cell>
          <cell r="I1105">
            <v>21</v>
          </cell>
          <cell r="J1105">
            <v>21</v>
          </cell>
          <cell r="K1105">
            <v>9</v>
          </cell>
          <cell r="P1105">
            <v>0.81597222222222221</v>
          </cell>
          <cell r="R1105">
            <v>0.81597222222222221</v>
          </cell>
          <cell r="S1105" t="str">
            <v>pt 19:00</v>
          </cell>
          <cell r="X1105">
            <v>158</v>
          </cell>
          <cell r="Y1105" t="str">
            <v>podwójna chłopców MM</v>
          </cell>
          <cell r="Z1105" t="str">
            <v>C4406</v>
          </cell>
          <cell r="AA1105" t="str">
            <v>C4264</v>
          </cell>
          <cell r="AB1105" t="str">
            <v>G5128</v>
          </cell>
          <cell r="AC1105" t="str">
            <v>H5129</v>
          </cell>
          <cell r="AD1105" t="str">
            <v>C4406</v>
          </cell>
          <cell r="AE1105" t="str">
            <v>C4264</v>
          </cell>
          <cell r="AF1105" t="str">
            <v>23:21,21:9</v>
          </cell>
          <cell r="AG1105" t="str">
            <v>21:23,9:21</v>
          </cell>
          <cell r="AH1105" t="str">
            <v/>
          </cell>
          <cell r="AI1105">
            <v>23</v>
          </cell>
          <cell r="AJ1105">
            <v>21</v>
          </cell>
          <cell r="AK1105">
            <v>21</v>
          </cell>
          <cell r="AL1105">
            <v>9</v>
          </cell>
          <cell r="AM1105">
            <v>0</v>
          </cell>
          <cell r="AN1105">
            <v>0</v>
          </cell>
        </row>
        <row r="1106">
          <cell r="A1106" t="str">
            <v/>
          </cell>
          <cell r="B1106" t="str">
            <v>Łukasz CIMOSZ (KS Chojnik Jelenia Góra)</v>
          </cell>
          <cell r="H1106" t="str">
            <v>C4406</v>
          </cell>
          <cell r="K1106" t="str">
            <v>G5128</v>
          </cell>
          <cell r="N1106" t="str">
            <v>Artur GWIAZDOWSKI (UKS Korona Pabianice)</v>
          </cell>
        </row>
        <row r="1107">
          <cell r="A1107" t="str">
            <v/>
          </cell>
          <cell r="B1107" t="str">
            <v>Szymon CYBULSKI (MKB Lednik Miastko)</v>
          </cell>
          <cell r="H1107" t="str">
            <v>C4264</v>
          </cell>
          <cell r="K1107" t="str">
            <v>H5129</v>
          </cell>
          <cell r="N1107" t="str">
            <v>Natan HEMER (UKS Korona Pabianice)</v>
          </cell>
        </row>
        <row r="1109">
          <cell r="B1109" t="str">
            <v>zwycięzca(cy): 23:21,21:9</v>
          </cell>
          <cell r="K1109" t="str">
            <v/>
          </cell>
        </row>
        <row r="1110">
          <cell r="B1110">
            <v>1</v>
          </cell>
          <cell r="C1110" t="str">
            <v>dzień turnieju.</v>
          </cell>
          <cell r="I1110" t="str">
            <v>Nr meczu</v>
          </cell>
          <cell r="N1110" t="str">
            <v>Godz.</v>
          </cell>
          <cell r="R1110" t="str">
            <v>S. prow.</v>
          </cell>
          <cell r="AF1110" t="str">
            <v>wygrany</v>
          </cell>
          <cell r="AG1110" t="str">
            <v>przegrany</v>
          </cell>
        </row>
        <row r="1111">
          <cell r="B1111" t="str">
            <v>Boisko</v>
          </cell>
          <cell r="C1111" t="str">
            <v>Gra</v>
          </cell>
          <cell r="I1111">
            <v>159</v>
          </cell>
          <cell r="N1111" t="str">
            <v>rozp.</v>
          </cell>
          <cell r="P1111" t="str">
            <v>zak.</v>
          </cell>
          <cell r="R1111" t="str">
            <v>S. serw.</v>
          </cell>
        </row>
        <row r="1112">
          <cell r="A1112">
            <v>159</v>
          </cell>
          <cell r="B1112">
            <v>5</v>
          </cell>
          <cell r="C1112" t="str">
            <v>podwójna chłopców MM</v>
          </cell>
          <cell r="H1112">
            <v>13</v>
          </cell>
          <cell r="I1112">
            <v>21</v>
          </cell>
          <cell r="J1112">
            <v>18</v>
          </cell>
          <cell r="K1112">
            <v>21</v>
          </cell>
          <cell r="P1112">
            <v>0.82638888888888884</v>
          </cell>
          <cell r="R1112">
            <v>0.82638888888888884</v>
          </cell>
          <cell r="S1112" t="str">
            <v>pt 19:00</v>
          </cell>
          <cell r="X1112">
            <v>159</v>
          </cell>
          <cell r="Y1112" t="str">
            <v>podwójna chłopców MM</v>
          </cell>
          <cell r="Z1112" t="str">
            <v>P5629</v>
          </cell>
          <cell r="AA1112" t="str">
            <v>P5601</v>
          </cell>
          <cell r="AB1112" t="str">
            <v>B4655</v>
          </cell>
          <cell r="AC1112" t="str">
            <v>G5536</v>
          </cell>
          <cell r="AD1112" t="str">
            <v>B4655</v>
          </cell>
          <cell r="AE1112" t="str">
            <v>G5536</v>
          </cell>
          <cell r="AF1112" t="str">
            <v>21:13,21:18</v>
          </cell>
          <cell r="AG1112" t="str">
            <v>13:21,18:21</v>
          </cell>
          <cell r="AH1112" t="str">
            <v/>
          </cell>
          <cell r="AI1112">
            <v>13</v>
          </cell>
          <cell r="AJ1112">
            <v>21</v>
          </cell>
          <cell r="AK1112">
            <v>18</v>
          </cell>
          <cell r="AL1112">
            <v>21</v>
          </cell>
          <cell r="AM1112">
            <v>0</v>
          </cell>
          <cell r="AN1112">
            <v>0</v>
          </cell>
        </row>
        <row r="1113">
          <cell r="A1113" t="str">
            <v/>
          </cell>
          <cell r="B1113" t="str">
            <v>Konrad PIECH (UKS Hubal Białystok)</v>
          </cell>
          <cell r="H1113" t="str">
            <v>P5629</v>
          </cell>
          <cell r="K1113" t="str">
            <v>B4655</v>
          </cell>
          <cell r="N1113" t="str">
            <v>Sebastian BILBIN (SKB Suwałki)</v>
          </cell>
        </row>
        <row r="1114">
          <cell r="A1114" t="str">
            <v/>
          </cell>
          <cell r="B1114" t="str">
            <v>Hubert PUCIŁOWSKI (UKS Hubal Białystok)</v>
          </cell>
          <cell r="H1114" t="str">
            <v>P5601</v>
          </cell>
          <cell r="K1114" t="str">
            <v>G5536</v>
          </cell>
          <cell r="N1114" t="str">
            <v>Filip GRABOWSKI (SKB Suwałki)</v>
          </cell>
        </row>
        <row r="1116">
          <cell r="B1116" t="str">
            <v/>
          </cell>
          <cell r="K1116" t="str">
            <v>zwycięzca(cy): 21:13,21:18</v>
          </cell>
        </row>
        <row r="1117">
          <cell r="B1117">
            <v>1</v>
          </cell>
          <cell r="C1117" t="str">
            <v>dzień turnieju.</v>
          </cell>
          <cell r="I1117" t="str">
            <v>Nr meczu</v>
          </cell>
          <cell r="N1117" t="str">
            <v>Godz.</v>
          </cell>
          <cell r="R1117" t="str">
            <v>S. prow.</v>
          </cell>
          <cell r="AF1117" t="str">
            <v>wygrany</v>
          </cell>
          <cell r="AG1117" t="str">
            <v>przegrany</v>
          </cell>
        </row>
        <row r="1118">
          <cell r="B1118" t="str">
            <v>Boisko</v>
          </cell>
          <cell r="C1118" t="str">
            <v>Gra</v>
          </cell>
          <cell r="I1118">
            <v>160</v>
          </cell>
          <cell r="N1118" t="str">
            <v>rozp.</v>
          </cell>
          <cell r="P1118" t="str">
            <v>zak.</v>
          </cell>
          <cell r="R1118" t="str">
            <v>S. serw.</v>
          </cell>
        </row>
        <row r="1119">
          <cell r="A1119">
            <v>160</v>
          </cell>
          <cell r="B1119">
            <v>1</v>
          </cell>
          <cell r="C1119" t="str">
            <v>podwójna chłopców MM</v>
          </cell>
          <cell r="H1119">
            <v>21</v>
          </cell>
          <cell r="I1119">
            <v>0</v>
          </cell>
          <cell r="J1119">
            <v>21</v>
          </cell>
          <cell r="K1119">
            <v>0</v>
          </cell>
          <cell r="P1119">
            <v>0.375</v>
          </cell>
          <cell r="R1119">
            <v>0.375</v>
          </cell>
          <cell r="S1119" t="str">
            <v>pt 19:00</v>
          </cell>
          <cell r="X1119">
            <v>160</v>
          </cell>
          <cell r="Y1119" t="str">
            <v>podwójna chłopców MM</v>
          </cell>
          <cell r="Z1119" t="str">
            <v>X26</v>
          </cell>
          <cell r="AA1119" t="str">
            <v>S5068</v>
          </cell>
          <cell r="AB1119" t="str">
            <v>X47</v>
          </cell>
          <cell r="AC1119" t="str">
            <v>X48</v>
          </cell>
          <cell r="AD1119" t="str">
            <v>X26</v>
          </cell>
          <cell r="AE1119" t="str">
            <v>S5068</v>
          </cell>
          <cell r="AF1119" t="str">
            <v>21:0,21:0</v>
          </cell>
          <cell r="AG1119" t="str">
            <v>0:21,0:21</v>
          </cell>
          <cell r="AH1119" t="str">
            <v/>
          </cell>
          <cell r="AI1119">
            <v>21</v>
          </cell>
          <cell r="AJ1119">
            <v>0</v>
          </cell>
          <cell r="AK1119">
            <v>21</v>
          </cell>
          <cell r="AL1119">
            <v>0</v>
          </cell>
          <cell r="AM1119">
            <v>0</v>
          </cell>
          <cell r="AN1119">
            <v>0</v>
          </cell>
        </row>
        <row r="1120">
          <cell r="A1120" t="str">
            <v/>
          </cell>
          <cell r="B1120" t="str">
            <v>Igor SENICHKYN (Vinnica Ukraina)</v>
          </cell>
          <cell r="H1120" t="str">
            <v>X26</v>
          </cell>
          <cell r="K1120" t="str">
            <v>X47</v>
          </cell>
          <cell r="N1120" t="str">
            <v>Jan Hrabiec (Slavoj Cesky Tesin)</v>
          </cell>
        </row>
        <row r="1121">
          <cell r="A1121" t="str">
            <v/>
          </cell>
          <cell r="B1121" t="str">
            <v>Stanisław SIERZPUTOWSKI (AZSUW Warszawa)</v>
          </cell>
          <cell r="H1121" t="str">
            <v>S5068</v>
          </cell>
          <cell r="K1121" t="str">
            <v>X48</v>
          </cell>
          <cell r="N1121" t="str">
            <v>Tom Kůr  (Slavoj Cesky Tesin)</v>
          </cell>
        </row>
        <row r="1123">
          <cell r="B1123" t="str">
            <v>zwycięzca(cy): 21:0,21:0</v>
          </cell>
          <cell r="K1123" t="str">
            <v/>
          </cell>
        </row>
        <row r="1124">
          <cell r="B1124">
            <v>1</v>
          </cell>
          <cell r="C1124" t="str">
            <v>dzień turnieju.</v>
          </cell>
          <cell r="I1124" t="str">
            <v>Nr meczu</v>
          </cell>
          <cell r="N1124" t="str">
            <v>Godz.</v>
          </cell>
          <cell r="R1124" t="str">
            <v>S. prow.</v>
          </cell>
          <cell r="AF1124" t="str">
            <v>wygrany</v>
          </cell>
          <cell r="AG1124" t="str">
            <v>przegrany</v>
          </cell>
        </row>
        <row r="1125">
          <cell r="B1125" t="str">
            <v>Boisko</v>
          </cell>
          <cell r="C1125" t="str">
            <v>Gra</v>
          </cell>
          <cell r="I1125">
            <v>161</v>
          </cell>
          <cell r="N1125" t="str">
            <v>rozp.</v>
          </cell>
          <cell r="P1125" t="str">
            <v>zak.</v>
          </cell>
          <cell r="R1125" t="str">
            <v>S. serw.</v>
          </cell>
        </row>
        <row r="1126">
          <cell r="A1126">
            <v>161</v>
          </cell>
          <cell r="B1126">
            <v>2</v>
          </cell>
          <cell r="C1126" t="str">
            <v>podwójna chłopców MM</v>
          </cell>
          <cell r="H1126">
            <v>16</v>
          </cell>
          <cell r="I1126">
            <v>21</v>
          </cell>
          <cell r="J1126">
            <v>21</v>
          </cell>
          <cell r="K1126">
            <v>13</v>
          </cell>
          <cell r="L1126">
            <v>21</v>
          </cell>
          <cell r="M1126">
            <v>19</v>
          </cell>
          <cell r="P1126">
            <v>0.82291666666666663</v>
          </cell>
          <cell r="R1126">
            <v>0.82291666666666663</v>
          </cell>
          <cell r="S1126" t="str">
            <v>pt 19:00</v>
          </cell>
          <cell r="X1126">
            <v>161</v>
          </cell>
          <cell r="Y1126" t="str">
            <v>podwójna chłopców MM</v>
          </cell>
          <cell r="Z1126" t="str">
            <v>H5344</v>
          </cell>
          <cell r="AA1126" t="str">
            <v>P5351</v>
          </cell>
          <cell r="AB1126" t="str">
            <v>F4888</v>
          </cell>
          <cell r="AC1126" t="str">
            <v>Z4312</v>
          </cell>
          <cell r="AD1126" t="str">
            <v>H5344</v>
          </cell>
          <cell r="AE1126" t="str">
            <v>P5351</v>
          </cell>
          <cell r="AF1126" t="str">
            <v>16:21,21:13,21:19</v>
          </cell>
          <cell r="AG1126" t="str">
            <v>21:16,13:21,19:21</v>
          </cell>
          <cell r="AH1126" t="str">
            <v/>
          </cell>
          <cell r="AI1126">
            <v>16</v>
          </cell>
          <cell r="AJ1126">
            <v>21</v>
          </cell>
          <cell r="AK1126">
            <v>21</v>
          </cell>
          <cell r="AL1126">
            <v>13</v>
          </cell>
          <cell r="AM1126">
            <v>21</v>
          </cell>
          <cell r="AN1126">
            <v>19</v>
          </cell>
        </row>
        <row r="1127">
          <cell r="A1127" t="str">
            <v/>
          </cell>
          <cell r="B1127" t="str">
            <v>Mateusz HAŁASA (UKS Kiko Zamość)</v>
          </cell>
          <cell r="H1127" t="str">
            <v>H5344</v>
          </cell>
          <cell r="K1127" t="str">
            <v>F4888</v>
          </cell>
          <cell r="N1127" t="str">
            <v>Jarosław FIJAŁKOWSKI (UKSB Milenium Warszawa)</v>
          </cell>
        </row>
        <row r="1128">
          <cell r="A1128" t="str">
            <v/>
          </cell>
          <cell r="B1128" t="str">
            <v>Norbert POŹDZIK (UKS Kiko Zamość)</v>
          </cell>
          <cell r="H1128" t="str">
            <v>P5351</v>
          </cell>
          <cell r="K1128" t="str">
            <v>Z4312</v>
          </cell>
          <cell r="N1128" t="str">
            <v>Łukasz ZWIERZCHOWSKI (UKSB Milenium Warszawa)</v>
          </cell>
        </row>
        <row r="1130">
          <cell r="B1130" t="str">
            <v>zwycięzca(cy): 16:21,21:13,21:19</v>
          </cell>
          <cell r="K1130" t="str">
            <v/>
          </cell>
        </row>
        <row r="1131">
          <cell r="B1131">
            <v>1</v>
          </cell>
          <cell r="C1131" t="str">
            <v>dzień turnieju.</v>
          </cell>
          <cell r="I1131" t="str">
            <v>Nr meczu</v>
          </cell>
          <cell r="N1131" t="str">
            <v>Godz.</v>
          </cell>
          <cell r="R1131" t="str">
            <v>S. prow.</v>
          </cell>
          <cell r="AF1131" t="str">
            <v>wygrany</v>
          </cell>
          <cell r="AG1131" t="str">
            <v>przegrany</v>
          </cell>
        </row>
        <row r="1132">
          <cell r="B1132" t="str">
            <v>Boisko</v>
          </cell>
          <cell r="C1132" t="str">
            <v>Gra</v>
          </cell>
          <cell r="I1132">
            <v>162</v>
          </cell>
          <cell r="N1132" t="str">
            <v>rozp.</v>
          </cell>
          <cell r="P1132" t="str">
            <v>zak.</v>
          </cell>
          <cell r="R1132" t="str">
            <v>S. serw.</v>
          </cell>
        </row>
        <row r="1133">
          <cell r="A1133">
            <v>162</v>
          </cell>
          <cell r="B1133">
            <v>6</v>
          </cell>
          <cell r="C1133" t="str">
            <v>podwójna chłopców MM</v>
          </cell>
          <cell r="H1133">
            <v>18</v>
          </cell>
          <cell r="I1133">
            <v>21</v>
          </cell>
          <cell r="J1133">
            <v>21</v>
          </cell>
          <cell r="K1133">
            <v>18</v>
          </cell>
          <cell r="L1133">
            <v>18</v>
          </cell>
          <cell r="M1133">
            <v>21</v>
          </cell>
          <cell r="P1133">
            <v>0.8125</v>
          </cell>
          <cell r="R1133">
            <v>0.8125</v>
          </cell>
          <cell r="S1133" t="str">
            <v>pt 19:00</v>
          </cell>
          <cell r="X1133">
            <v>162</v>
          </cell>
          <cell r="Y1133" t="str">
            <v>podwójna chłopców MM</v>
          </cell>
          <cell r="Z1133" t="str">
            <v>P5350</v>
          </cell>
          <cell r="AA1133" t="str">
            <v>Ś5353</v>
          </cell>
          <cell r="AB1133" t="str">
            <v>K4670</v>
          </cell>
          <cell r="AC1133" t="str">
            <v>U5145</v>
          </cell>
          <cell r="AD1133" t="str">
            <v>K4670</v>
          </cell>
          <cell r="AE1133" t="str">
            <v>U5145</v>
          </cell>
          <cell r="AF1133" t="str">
            <v>21:18,18:21,21:18</v>
          </cell>
          <cell r="AG1133" t="str">
            <v>18:21,21:18,18:21</v>
          </cell>
          <cell r="AH1133" t="str">
            <v/>
          </cell>
          <cell r="AI1133">
            <v>18</v>
          </cell>
          <cell r="AJ1133">
            <v>21</v>
          </cell>
          <cell r="AK1133">
            <v>21</v>
          </cell>
          <cell r="AL1133">
            <v>18</v>
          </cell>
          <cell r="AM1133">
            <v>18</v>
          </cell>
          <cell r="AN1133">
            <v>21</v>
          </cell>
        </row>
        <row r="1134">
          <cell r="A1134" t="str">
            <v/>
          </cell>
          <cell r="B1134" t="str">
            <v>Miłosz PIOTROWSKI (UKS Kiko Zamość)</v>
          </cell>
          <cell r="H1134" t="str">
            <v>P5350</v>
          </cell>
          <cell r="K1134" t="str">
            <v>K4670</v>
          </cell>
          <cell r="N1134" t="str">
            <v>Kamil KOZERA (UKSMTB Smecz Konin)</v>
          </cell>
        </row>
        <row r="1135">
          <cell r="A1135" t="str">
            <v/>
          </cell>
          <cell r="B1135" t="str">
            <v>Maciej ŚWISZCZ (UKS Kiko Zamość)</v>
          </cell>
          <cell r="H1135" t="str">
            <v>Ś5353</v>
          </cell>
          <cell r="K1135" t="str">
            <v>U5145</v>
          </cell>
          <cell r="N1135" t="str">
            <v>Maciej URBANIAK (UKS Kopernik Słupca)</v>
          </cell>
        </row>
        <row r="1137">
          <cell r="B1137" t="str">
            <v/>
          </cell>
          <cell r="K1137" t="str">
            <v>zwycięzca(cy): 21:18,18:21,21:18</v>
          </cell>
        </row>
        <row r="1138">
          <cell r="B1138">
            <v>1</v>
          </cell>
          <cell r="C1138" t="str">
            <v>dzień turnieju.</v>
          </cell>
          <cell r="I1138" t="str">
            <v>Nr meczu</v>
          </cell>
          <cell r="N1138" t="str">
            <v>Godz.</v>
          </cell>
          <cell r="R1138" t="str">
            <v>S. prow.</v>
          </cell>
          <cell r="AF1138" t="str">
            <v>wygrany</v>
          </cell>
          <cell r="AG1138" t="str">
            <v>przegrany</v>
          </cell>
        </row>
        <row r="1139">
          <cell r="B1139" t="str">
            <v>Boisko</v>
          </cell>
          <cell r="C1139" t="str">
            <v>Gra</v>
          </cell>
          <cell r="I1139">
            <v>163</v>
          </cell>
          <cell r="N1139" t="str">
            <v>rozp.</v>
          </cell>
          <cell r="P1139" t="str">
            <v>zak.</v>
          </cell>
          <cell r="R1139" t="str">
            <v>S. serw.</v>
          </cell>
        </row>
        <row r="1140">
          <cell r="A1140">
            <v>163</v>
          </cell>
          <cell r="B1140">
            <v>4</v>
          </cell>
          <cell r="C1140" t="str">
            <v>podwójna chłopców MM</v>
          </cell>
          <cell r="H1140">
            <v>13</v>
          </cell>
          <cell r="I1140">
            <v>21</v>
          </cell>
          <cell r="J1140">
            <v>13</v>
          </cell>
          <cell r="K1140">
            <v>21</v>
          </cell>
          <cell r="P1140">
            <v>0.81597222222222221</v>
          </cell>
          <cell r="R1140">
            <v>0.81597222222222221</v>
          </cell>
          <cell r="S1140" t="str">
            <v>pt 19:00</v>
          </cell>
          <cell r="X1140">
            <v>163</v>
          </cell>
          <cell r="Y1140" t="str">
            <v>podwójna chłopców MM</v>
          </cell>
          <cell r="Z1140" t="str">
            <v>J5015</v>
          </cell>
          <cell r="AA1140" t="str">
            <v>M5942</v>
          </cell>
          <cell r="AB1140" t="str">
            <v>K5476</v>
          </cell>
          <cell r="AC1140" t="str">
            <v>M5475</v>
          </cell>
          <cell r="AD1140" t="str">
            <v>K5476</v>
          </cell>
          <cell r="AE1140" t="str">
            <v>M5475</v>
          </cell>
          <cell r="AF1140" t="str">
            <v>21:13,21:13</v>
          </cell>
          <cell r="AG1140" t="str">
            <v>13:21,13:21</v>
          </cell>
          <cell r="AH1140" t="str">
            <v/>
          </cell>
          <cell r="AI1140">
            <v>13</v>
          </cell>
          <cell r="AJ1140">
            <v>21</v>
          </cell>
          <cell r="AK1140">
            <v>13</v>
          </cell>
          <cell r="AL1140">
            <v>21</v>
          </cell>
          <cell r="AM1140">
            <v>0</v>
          </cell>
          <cell r="AN1140">
            <v>0</v>
          </cell>
        </row>
        <row r="1141">
          <cell r="A1141" t="str">
            <v/>
          </cell>
          <cell r="B1141" t="str">
            <v>Jakub JAGODZIŃSKI (UKSB Milenium Warszawa)</v>
          </cell>
          <cell r="H1141" t="str">
            <v>J5015</v>
          </cell>
          <cell r="K1141" t="str">
            <v>K5476</v>
          </cell>
          <cell r="N1141" t="str">
            <v>Marcin KARBOWY (UKS Iskra Sarbice)</v>
          </cell>
        </row>
        <row r="1142">
          <cell r="A1142" t="str">
            <v/>
          </cell>
          <cell r="B1142" t="str">
            <v>Jakub MELANIUK (UKSB Milenium Warszawa)</v>
          </cell>
          <cell r="H1142" t="str">
            <v>M5942</v>
          </cell>
          <cell r="K1142" t="str">
            <v>M5475</v>
          </cell>
          <cell r="N1142" t="str">
            <v>Jakub MYSŁOWSKI (UKS Iskra Sarbice)</v>
          </cell>
        </row>
        <row r="1144">
          <cell r="B1144" t="str">
            <v/>
          </cell>
          <cell r="K1144" t="str">
            <v>zwycięzca(cy): 21:13,21:13</v>
          </cell>
        </row>
        <row r="1145">
          <cell r="B1145">
            <v>1</v>
          </cell>
          <cell r="C1145" t="str">
            <v>dzień turnieju.</v>
          </cell>
          <cell r="I1145" t="str">
            <v>Nr meczu</v>
          </cell>
          <cell r="N1145" t="str">
            <v>Godz.</v>
          </cell>
          <cell r="R1145" t="str">
            <v>S. prow.</v>
          </cell>
          <cell r="AF1145" t="str">
            <v>wygrany</v>
          </cell>
          <cell r="AG1145" t="str">
            <v>przegrany</v>
          </cell>
        </row>
        <row r="1146">
          <cell r="B1146" t="str">
            <v>Boisko</v>
          </cell>
          <cell r="C1146" t="str">
            <v>Gra</v>
          </cell>
          <cell r="I1146">
            <v>164</v>
          </cell>
          <cell r="N1146" t="str">
            <v>rozp.</v>
          </cell>
          <cell r="P1146" t="str">
            <v>zak.</v>
          </cell>
          <cell r="R1146" t="str">
            <v>S. serw.</v>
          </cell>
        </row>
        <row r="1147">
          <cell r="A1147">
            <v>164</v>
          </cell>
          <cell r="B1147">
            <v>1</v>
          </cell>
          <cell r="C1147" t="str">
            <v>podwójna chłopców MM</v>
          </cell>
          <cell r="H1147">
            <v>23</v>
          </cell>
          <cell r="I1147">
            <v>25</v>
          </cell>
          <cell r="J1147">
            <v>16</v>
          </cell>
          <cell r="K1147">
            <v>21</v>
          </cell>
          <cell r="P1147">
            <v>0.82291666666666663</v>
          </cell>
          <cell r="R1147">
            <v>0.82291666666666663</v>
          </cell>
          <cell r="S1147" t="str">
            <v>pt 19:00</v>
          </cell>
          <cell r="X1147">
            <v>164</v>
          </cell>
          <cell r="Y1147" t="str">
            <v>podwójna chłopców MM</v>
          </cell>
          <cell r="Z1147" t="str">
            <v>K4702</v>
          </cell>
          <cell r="AA1147" t="str">
            <v>L4492</v>
          </cell>
          <cell r="AB1147" t="str">
            <v>K5180</v>
          </cell>
          <cell r="AC1147" t="str">
            <v>M4612</v>
          </cell>
          <cell r="AD1147" t="str">
            <v>K5180</v>
          </cell>
          <cell r="AE1147" t="str">
            <v>M4612</v>
          </cell>
          <cell r="AF1147" t="str">
            <v>25:23,21:16</v>
          </cell>
          <cell r="AG1147" t="str">
            <v>23:25,16:21</v>
          </cell>
          <cell r="AH1147" t="str">
            <v/>
          </cell>
          <cell r="AI1147">
            <v>23</v>
          </cell>
          <cell r="AJ1147">
            <v>25</v>
          </cell>
          <cell r="AK1147">
            <v>16</v>
          </cell>
          <cell r="AL1147">
            <v>21</v>
          </cell>
          <cell r="AM1147">
            <v>0</v>
          </cell>
          <cell r="AN1147">
            <v>0</v>
          </cell>
        </row>
        <row r="1148">
          <cell r="A1148" t="str">
            <v/>
          </cell>
          <cell r="B1148" t="str">
            <v>Kacper KOPACZ (UTS Akro-Bad Warszawa)</v>
          </cell>
          <cell r="H1148" t="str">
            <v>K4702</v>
          </cell>
          <cell r="K1148" t="str">
            <v>K5180</v>
          </cell>
          <cell r="N1148" t="str">
            <v>Patryk KORDEK (UKS Aktywna Piątka Przemyśl)</v>
          </cell>
        </row>
        <row r="1149">
          <cell r="A1149" t="str">
            <v/>
          </cell>
          <cell r="B1149" t="str">
            <v>Kacper LINKE (UTS Akro-Bad Warszawa)</v>
          </cell>
          <cell r="H1149" t="str">
            <v>L4492</v>
          </cell>
          <cell r="K1149" t="str">
            <v>M4612</v>
          </cell>
          <cell r="N1149" t="str">
            <v>Patryk MICHAŁEK (UKS Orbitek Straszęcin)</v>
          </cell>
        </row>
        <row r="1151">
          <cell r="B1151" t="str">
            <v/>
          </cell>
          <cell r="K1151" t="str">
            <v>zwycięzca(cy): 25:23,21:16</v>
          </cell>
        </row>
        <row r="1152">
          <cell r="B1152">
            <v>1</v>
          </cell>
          <cell r="C1152" t="str">
            <v>dzień turnieju.</v>
          </cell>
          <cell r="I1152" t="str">
            <v>Nr meczu</v>
          </cell>
          <cell r="N1152" t="str">
            <v>Godz.</v>
          </cell>
          <cell r="R1152" t="str">
            <v>S. prow.</v>
          </cell>
          <cell r="AF1152" t="str">
            <v>wygrany</v>
          </cell>
          <cell r="AG1152" t="str">
            <v>przegrany</v>
          </cell>
        </row>
        <row r="1153">
          <cell r="B1153" t="str">
            <v>Boisko</v>
          </cell>
          <cell r="C1153" t="str">
            <v>Gra</v>
          </cell>
          <cell r="I1153">
            <v>165</v>
          </cell>
          <cell r="N1153" t="str">
            <v>rozp.</v>
          </cell>
          <cell r="P1153" t="str">
            <v>zak.</v>
          </cell>
          <cell r="R1153" t="str">
            <v>S. serw.</v>
          </cell>
        </row>
        <row r="1154">
          <cell r="A1154">
            <v>165</v>
          </cell>
          <cell r="B1154">
            <v>3</v>
          </cell>
          <cell r="C1154" t="str">
            <v>podwójna chłopców MM</v>
          </cell>
          <cell r="H1154">
            <v>6</v>
          </cell>
          <cell r="I1154">
            <v>21</v>
          </cell>
          <cell r="J1154">
            <v>11</v>
          </cell>
          <cell r="K1154">
            <v>21</v>
          </cell>
          <cell r="P1154">
            <v>0.82638888888888884</v>
          </cell>
          <cell r="R1154">
            <v>0.82638888888888884</v>
          </cell>
          <cell r="S1154" t="str">
            <v>pt 19:00</v>
          </cell>
          <cell r="X1154">
            <v>165</v>
          </cell>
          <cell r="Y1154" t="str">
            <v>podwójna chłopców MM</v>
          </cell>
          <cell r="Z1154" t="str">
            <v>M4933</v>
          </cell>
          <cell r="AA1154" t="str">
            <v>R4700</v>
          </cell>
          <cell r="AB1154" t="str">
            <v>G5026</v>
          </cell>
          <cell r="AC1154" t="str">
            <v>P5025</v>
          </cell>
          <cell r="AD1154" t="str">
            <v>G5026</v>
          </cell>
          <cell r="AE1154" t="str">
            <v>P5025</v>
          </cell>
          <cell r="AF1154" t="str">
            <v>21:6,21:11</v>
          </cell>
          <cell r="AG1154" t="str">
            <v>6:21,11:21</v>
          </cell>
          <cell r="AH1154" t="str">
            <v/>
          </cell>
          <cell r="AI1154">
            <v>6</v>
          </cell>
          <cell r="AJ1154">
            <v>21</v>
          </cell>
          <cell r="AK1154">
            <v>11</v>
          </cell>
          <cell r="AL1154">
            <v>21</v>
          </cell>
          <cell r="AM1154">
            <v>0</v>
          </cell>
          <cell r="AN1154">
            <v>0</v>
          </cell>
        </row>
        <row r="1155">
          <cell r="A1155" t="str">
            <v/>
          </cell>
          <cell r="B1155" t="str">
            <v>Kacper MAKAREWICZ (UKS Hubal Białystok)</v>
          </cell>
          <cell r="H1155" t="str">
            <v>M4933</v>
          </cell>
          <cell r="K1155" t="str">
            <v>G5026</v>
          </cell>
          <cell r="N1155" t="str">
            <v>Maciej GAJEWSKI (MKS Strzelce Opolskie)</v>
          </cell>
        </row>
        <row r="1156">
          <cell r="A1156" t="str">
            <v/>
          </cell>
          <cell r="B1156" t="str">
            <v>Paweł RADZIWON (UKS Hubal Białystok)</v>
          </cell>
          <cell r="H1156" t="str">
            <v>R4700</v>
          </cell>
          <cell r="K1156" t="str">
            <v>P5025</v>
          </cell>
          <cell r="N1156" t="str">
            <v>Jakub PLASZCZYK (MKS Strzelce Opolskie)</v>
          </cell>
        </row>
        <row r="1158">
          <cell r="B1158" t="str">
            <v/>
          </cell>
          <cell r="K1158" t="str">
            <v>zwycięzca(cy): 21:6,21:11</v>
          </cell>
        </row>
        <row r="1159">
          <cell r="B1159">
            <v>1</v>
          </cell>
          <cell r="C1159" t="str">
            <v>dzień turnieju.</v>
          </cell>
          <cell r="I1159" t="str">
            <v>Nr meczu</v>
          </cell>
          <cell r="N1159" t="str">
            <v>Godz.</v>
          </cell>
          <cell r="R1159" t="str">
            <v>S. prow.</v>
          </cell>
          <cell r="AF1159" t="str">
            <v>wygrany</v>
          </cell>
          <cell r="AG1159" t="str">
            <v>przegrany</v>
          </cell>
        </row>
        <row r="1160">
          <cell r="B1160" t="str">
            <v>Boisko</v>
          </cell>
          <cell r="C1160" t="str">
            <v>Gra</v>
          </cell>
          <cell r="I1160">
            <v>166</v>
          </cell>
          <cell r="N1160" t="str">
            <v>rozp.</v>
          </cell>
          <cell r="P1160" t="str">
            <v>zak.</v>
          </cell>
          <cell r="R1160" t="str">
            <v>S. serw.</v>
          </cell>
        </row>
        <row r="1161">
          <cell r="A1161">
            <v>166</v>
          </cell>
          <cell r="B1161">
            <v>1</v>
          </cell>
          <cell r="C1161" t="str">
            <v>pojedyncza dziewcząt MM</v>
          </cell>
          <cell r="H1161">
            <v>0</v>
          </cell>
          <cell r="I1161">
            <v>21</v>
          </cell>
          <cell r="J1161">
            <v>0</v>
          </cell>
          <cell r="K1161">
            <v>21</v>
          </cell>
          <cell r="P1161">
            <v>0.375</v>
          </cell>
          <cell r="R1161">
            <v>0.375</v>
          </cell>
          <cell r="S1161" t="str">
            <v>pt 19:30</v>
          </cell>
          <cell r="X1161">
            <v>166</v>
          </cell>
          <cell r="Y1161" t="str">
            <v>pojedyncza dziewcząt MM</v>
          </cell>
          <cell r="Z1161" t="str">
            <v>X50</v>
          </cell>
          <cell r="AA1161" t="str">
            <v/>
          </cell>
          <cell r="AB1161" t="str">
            <v>W5952</v>
          </cell>
          <cell r="AC1161" t="str">
            <v/>
          </cell>
          <cell r="AD1161" t="str">
            <v>W5952</v>
          </cell>
          <cell r="AE1161" t="str">
            <v/>
          </cell>
          <cell r="AF1161" t="str">
            <v>21:0,21:0</v>
          </cell>
          <cell r="AG1161" t="str">
            <v>0:21,0:21</v>
          </cell>
          <cell r="AH1161" t="str">
            <v/>
          </cell>
          <cell r="AI1161">
            <v>0</v>
          </cell>
          <cell r="AJ1161">
            <v>21</v>
          </cell>
          <cell r="AK1161">
            <v>0</v>
          </cell>
          <cell r="AL1161">
            <v>21</v>
          </cell>
          <cell r="AM1161">
            <v>0</v>
          </cell>
          <cell r="AN1161">
            <v>0</v>
          </cell>
        </row>
        <row r="1162">
          <cell r="A1162" t="str">
            <v/>
          </cell>
          <cell r="B1162" t="str">
            <v>Sara Skoupilová  (Slavoj Cesky Tesin)</v>
          </cell>
          <cell r="H1162" t="str">
            <v>X50</v>
          </cell>
          <cell r="K1162" t="str">
            <v>W5952</v>
          </cell>
          <cell r="N1162" t="str">
            <v>Małgorzata WILCZAK (----)</v>
          </cell>
        </row>
        <row r="1163">
          <cell r="A1163" t="str">
            <v/>
          </cell>
          <cell r="B1163" t="str">
            <v/>
          </cell>
          <cell r="H1163" t="str">
            <v/>
          </cell>
          <cell r="K1163" t="str">
            <v/>
          </cell>
          <cell r="N1163" t="str">
            <v/>
          </cell>
        </row>
        <row r="1165">
          <cell r="B1165" t="str">
            <v/>
          </cell>
          <cell r="K1165" t="str">
            <v>zwycięzca(cy): 21:0,21:0</v>
          </cell>
        </row>
        <row r="1166">
          <cell r="B1166">
            <v>1</v>
          </cell>
          <cell r="C1166" t="str">
            <v>dzień turnieju.</v>
          </cell>
          <cell r="I1166" t="str">
            <v>Nr meczu</v>
          </cell>
          <cell r="N1166" t="str">
            <v>Godz.</v>
          </cell>
          <cell r="R1166" t="str">
            <v>S. prow.</v>
          </cell>
          <cell r="AF1166" t="str">
            <v>wygrany</v>
          </cell>
          <cell r="AG1166" t="str">
            <v>przegrany</v>
          </cell>
        </row>
        <row r="1167">
          <cell r="B1167" t="str">
            <v>Boisko</v>
          </cell>
          <cell r="C1167" t="str">
            <v>Gra</v>
          </cell>
          <cell r="I1167">
            <v>167</v>
          </cell>
          <cell r="N1167" t="str">
            <v>rozp.</v>
          </cell>
          <cell r="P1167" t="str">
            <v>zak.</v>
          </cell>
          <cell r="R1167" t="str">
            <v>S. serw.</v>
          </cell>
        </row>
        <row r="1168">
          <cell r="A1168">
            <v>167</v>
          </cell>
          <cell r="B1168">
            <v>1</v>
          </cell>
          <cell r="C1168" t="str">
            <v>pojedyncza dziewcząt MM</v>
          </cell>
          <cell r="H1168">
            <v>15</v>
          </cell>
          <cell r="I1168">
            <v>21</v>
          </cell>
          <cell r="J1168">
            <v>21</v>
          </cell>
          <cell r="K1168">
            <v>19</v>
          </cell>
          <cell r="L1168">
            <v>21</v>
          </cell>
          <cell r="M1168">
            <v>19</v>
          </cell>
          <cell r="P1168">
            <v>0.85277777777777775</v>
          </cell>
          <cell r="R1168">
            <v>0.85277777777777775</v>
          </cell>
          <cell r="S1168" t="str">
            <v>pt 19:30</v>
          </cell>
          <cell r="X1168">
            <v>167</v>
          </cell>
          <cell r="Y1168" t="str">
            <v>pojedyncza dziewcząt MM</v>
          </cell>
          <cell r="Z1168" t="str">
            <v>K5600</v>
          </cell>
          <cell r="AA1168" t="str">
            <v/>
          </cell>
          <cell r="AB1168" t="str">
            <v>F4870</v>
          </cell>
          <cell r="AC1168" t="str">
            <v/>
          </cell>
          <cell r="AD1168" t="str">
            <v>K5600</v>
          </cell>
          <cell r="AE1168" t="str">
            <v/>
          </cell>
          <cell r="AF1168" t="str">
            <v>15:21,21:19,21:19</v>
          </cell>
          <cell r="AG1168" t="str">
            <v>21:15,19:21,19:21</v>
          </cell>
          <cell r="AH1168" t="str">
            <v/>
          </cell>
          <cell r="AI1168">
            <v>15</v>
          </cell>
          <cell r="AJ1168">
            <v>21</v>
          </cell>
          <cell r="AK1168">
            <v>21</v>
          </cell>
          <cell r="AL1168">
            <v>19</v>
          </cell>
          <cell r="AM1168">
            <v>21</v>
          </cell>
          <cell r="AN1168">
            <v>19</v>
          </cell>
        </row>
        <row r="1169">
          <cell r="A1169" t="str">
            <v/>
          </cell>
          <cell r="B1169" t="str">
            <v>Gabriela KUŁAKOWSKA (UKS Hubal Białystok)</v>
          </cell>
          <cell r="H1169" t="str">
            <v>K5600</v>
          </cell>
          <cell r="K1169" t="str">
            <v>F4870</v>
          </cell>
          <cell r="N1169" t="str">
            <v>Marcelina FRANCZUK (MMKS Gdańsk)</v>
          </cell>
        </row>
        <row r="1170">
          <cell r="A1170" t="str">
            <v/>
          </cell>
          <cell r="B1170" t="str">
            <v/>
          </cell>
          <cell r="H1170" t="str">
            <v/>
          </cell>
          <cell r="K1170" t="str">
            <v/>
          </cell>
          <cell r="N1170" t="str">
            <v/>
          </cell>
        </row>
        <row r="1172">
          <cell r="B1172" t="str">
            <v>zwycięzca(cy): 15:21,21:19,21:19</v>
          </cell>
          <cell r="K1172" t="str">
            <v/>
          </cell>
        </row>
        <row r="1173">
          <cell r="B1173">
            <v>1</v>
          </cell>
          <cell r="C1173" t="str">
            <v>dzień turnieju.</v>
          </cell>
          <cell r="I1173" t="str">
            <v>Nr meczu</v>
          </cell>
          <cell r="N1173" t="str">
            <v>Godz.</v>
          </cell>
          <cell r="R1173" t="str">
            <v>S. prow.</v>
          </cell>
          <cell r="AF1173" t="str">
            <v>wygrany</v>
          </cell>
          <cell r="AG1173" t="str">
            <v>przegrany</v>
          </cell>
        </row>
        <row r="1174">
          <cell r="B1174" t="str">
            <v>Boisko</v>
          </cell>
          <cell r="C1174" t="str">
            <v>Gra</v>
          </cell>
          <cell r="I1174">
            <v>168</v>
          </cell>
          <cell r="N1174" t="str">
            <v>rozp.</v>
          </cell>
          <cell r="P1174" t="str">
            <v>zak.</v>
          </cell>
          <cell r="R1174" t="str">
            <v>S. serw.</v>
          </cell>
        </row>
        <row r="1175">
          <cell r="A1175">
            <v>168</v>
          </cell>
          <cell r="B1175">
            <v>5</v>
          </cell>
          <cell r="C1175" t="str">
            <v>pojedyncza dziewcząt MM</v>
          </cell>
          <cell r="H1175">
            <v>21</v>
          </cell>
          <cell r="I1175">
            <v>18</v>
          </cell>
          <cell r="J1175">
            <v>18</v>
          </cell>
          <cell r="K1175">
            <v>21</v>
          </cell>
          <cell r="L1175">
            <v>21</v>
          </cell>
          <cell r="M1175">
            <v>9</v>
          </cell>
          <cell r="P1175">
            <v>0.84375</v>
          </cell>
          <cell r="R1175">
            <v>0.84375</v>
          </cell>
          <cell r="S1175" t="str">
            <v>pt 19:30</v>
          </cell>
          <cell r="X1175">
            <v>168</v>
          </cell>
          <cell r="Y1175" t="str">
            <v>pojedyncza dziewcząt MM</v>
          </cell>
          <cell r="Z1175" t="str">
            <v>X30</v>
          </cell>
          <cell r="AA1175" t="str">
            <v/>
          </cell>
          <cell r="AB1175" t="str">
            <v>T5222</v>
          </cell>
          <cell r="AC1175" t="str">
            <v/>
          </cell>
          <cell r="AD1175" t="str">
            <v>X30</v>
          </cell>
          <cell r="AE1175" t="str">
            <v/>
          </cell>
          <cell r="AF1175" t="str">
            <v>21:18,18:21,21:9</v>
          </cell>
          <cell r="AG1175" t="str">
            <v>18:21,21:18,9:21</v>
          </cell>
          <cell r="AH1175" t="str">
            <v/>
          </cell>
          <cell r="AI1175">
            <v>21</v>
          </cell>
          <cell r="AJ1175">
            <v>18</v>
          </cell>
          <cell r="AK1175">
            <v>18</v>
          </cell>
          <cell r="AL1175">
            <v>21</v>
          </cell>
          <cell r="AM1175">
            <v>21</v>
          </cell>
          <cell r="AN1175">
            <v>9</v>
          </cell>
        </row>
        <row r="1176">
          <cell r="A1176" t="str">
            <v/>
          </cell>
          <cell r="B1176" t="str">
            <v>Lizaveta BAYAROUSKAYA (Białoruś)</v>
          </cell>
          <cell r="H1176" t="str">
            <v>X30</v>
          </cell>
          <cell r="K1176" t="str">
            <v>T5222</v>
          </cell>
          <cell r="N1176" t="str">
            <v>Miriam TOMALA (UKS Unia Bieruń)</v>
          </cell>
        </row>
        <row r="1177">
          <cell r="A1177" t="str">
            <v/>
          </cell>
          <cell r="B1177" t="str">
            <v/>
          </cell>
          <cell r="H1177" t="str">
            <v/>
          </cell>
          <cell r="K1177" t="str">
            <v/>
          </cell>
          <cell r="N1177" t="str">
            <v/>
          </cell>
        </row>
        <row r="1179">
          <cell r="B1179" t="str">
            <v>zwycięzca(cy): 21:18,18:21,21:9</v>
          </cell>
          <cell r="K1179" t="str">
            <v/>
          </cell>
        </row>
        <row r="1180">
          <cell r="B1180">
            <v>1</v>
          </cell>
          <cell r="C1180" t="str">
            <v>dzień turnieju.</v>
          </cell>
          <cell r="I1180" t="str">
            <v>Nr meczu</v>
          </cell>
          <cell r="N1180" t="str">
            <v>Godz.</v>
          </cell>
          <cell r="R1180" t="str">
            <v>S. prow.</v>
          </cell>
          <cell r="AF1180" t="str">
            <v>wygrany</v>
          </cell>
          <cell r="AG1180" t="str">
            <v>przegrany</v>
          </cell>
        </row>
        <row r="1181">
          <cell r="B1181" t="str">
            <v>Boisko</v>
          </cell>
          <cell r="C1181" t="str">
            <v>Gra</v>
          </cell>
          <cell r="I1181">
            <v>169</v>
          </cell>
          <cell r="N1181" t="str">
            <v>rozp.</v>
          </cell>
          <cell r="P1181" t="str">
            <v>zak.</v>
          </cell>
          <cell r="R1181" t="str">
            <v>S. serw.</v>
          </cell>
        </row>
        <row r="1182">
          <cell r="A1182">
            <v>169</v>
          </cell>
          <cell r="B1182">
            <v>4</v>
          </cell>
          <cell r="C1182" t="str">
            <v>pojedyncza dziewcząt MM</v>
          </cell>
          <cell r="H1182">
            <v>10</v>
          </cell>
          <cell r="I1182">
            <v>21</v>
          </cell>
          <cell r="J1182">
            <v>5</v>
          </cell>
          <cell r="K1182">
            <v>21</v>
          </cell>
          <cell r="P1182">
            <v>0.83333333333333337</v>
          </cell>
          <cell r="R1182">
            <v>0.83333333333333337</v>
          </cell>
          <cell r="S1182" t="str">
            <v>pt 19:30</v>
          </cell>
          <cell r="X1182">
            <v>169</v>
          </cell>
          <cell r="Y1182" t="str">
            <v>pojedyncza dziewcząt MM</v>
          </cell>
          <cell r="Z1182" t="str">
            <v>S5705</v>
          </cell>
          <cell r="AA1182" t="str">
            <v/>
          </cell>
          <cell r="AB1182" t="str">
            <v>Ż5592</v>
          </cell>
          <cell r="AC1182" t="str">
            <v/>
          </cell>
          <cell r="AD1182" t="str">
            <v>Ż5592</v>
          </cell>
          <cell r="AE1182" t="str">
            <v/>
          </cell>
          <cell r="AF1182" t="str">
            <v>21:10,21:5</v>
          </cell>
          <cell r="AG1182" t="str">
            <v>10:21,5:21</v>
          </cell>
          <cell r="AH1182" t="str">
            <v/>
          </cell>
          <cell r="AI1182">
            <v>10</v>
          </cell>
          <cell r="AJ1182">
            <v>21</v>
          </cell>
          <cell r="AK1182">
            <v>5</v>
          </cell>
          <cell r="AL1182">
            <v>21</v>
          </cell>
          <cell r="AM1182">
            <v>0</v>
          </cell>
          <cell r="AN1182">
            <v>0</v>
          </cell>
        </row>
        <row r="1183">
          <cell r="A1183" t="str">
            <v/>
          </cell>
          <cell r="B1183" t="str">
            <v>Natalia STASZKIEWICZ (ULKS U-2 Lotka Bytów)</v>
          </cell>
          <cell r="H1183" t="str">
            <v>S5705</v>
          </cell>
          <cell r="K1183" t="str">
            <v>Ż5592</v>
          </cell>
          <cell r="N1183" t="str">
            <v>Nina ŻWAN (UTS Akro-Bad Warszawa)</v>
          </cell>
        </row>
        <row r="1184">
          <cell r="A1184" t="str">
            <v/>
          </cell>
          <cell r="B1184" t="str">
            <v/>
          </cell>
          <cell r="H1184" t="str">
            <v/>
          </cell>
          <cell r="K1184" t="str">
            <v/>
          </cell>
          <cell r="N1184" t="str">
            <v/>
          </cell>
        </row>
        <row r="1186">
          <cell r="B1186" t="str">
            <v/>
          </cell>
          <cell r="K1186" t="str">
            <v>zwycięzca(cy): 21:10,21:5</v>
          </cell>
        </row>
        <row r="1187">
          <cell r="B1187">
            <v>1</v>
          </cell>
          <cell r="C1187" t="str">
            <v>dzień turnieju.</v>
          </cell>
          <cell r="I1187" t="str">
            <v>Nr meczu</v>
          </cell>
          <cell r="N1187" t="str">
            <v>Godz.</v>
          </cell>
          <cell r="R1187" t="str">
            <v>S. prow.</v>
          </cell>
          <cell r="AF1187" t="str">
            <v>wygrany</v>
          </cell>
          <cell r="AG1187" t="str">
            <v>przegrany</v>
          </cell>
        </row>
        <row r="1188">
          <cell r="B1188" t="str">
            <v>Boisko</v>
          </cell>
          <cell r="C1188" t="str">
            <v>Gra</v>
          </cell>
          <cell r="I1188">
            <v>170</v>
          </cell>
          <cell r="N1188" t="str">
            <v>rozp.</v>
          </cell>
          <cell r="P1188" t="str">
            <v>zak.</v>
          </cell>
          <cell r="R1188" t="str">
            <v>S. serw.</v>
          </cell>
        </row>
        <row r="1189">
          <cell r="A1189">
            <v>170</v>
          </cell>
          <cell r="B1189">
            <v>2</v>
          </cell>
          <cell r="C1189" t="str">
            <v>pojedyncza dziewcząt MM</v>
          </cell>
          <cell r="H1189">
            <v>17</v>
          </cell>
          <cell r="I1189">
            <v>21</v>
          </cell>
          <cell r="J1189">
            <v>21</v>
          </cell>
          <cell r="K1189">
            <v>10</v>
          </cell>
          <cell r="L1189">
            <v>13</v>
          </cell>
          <cell r="M1189">
            <v>21</v>
          </cell>
          <cell r="P1189">
            <v>0.85277777777777775</v>
          </cell>
          <cell r="R1189">
            <v>0.85277777777777775</v>
          </cell>
          <cell r="S1189" t="str">
            <v>pt 19:30</v>
          </cell>
          <cell r="X1189">
            <v>170</v>
          </cell>
          <cell r="Y1189" t="str">
            <v>pojedyncza dziewcząt MM</v>
          </cell>
          <cell r="Z1189" t="str">
            <v>G5951</v>
          </cell>
          <cell r="AA1189" t="str">
            <v/>
          </cell>
          <cell r="AB1189" t="str">
            <v>K5733</v>
          </cell>
          <cell r="AC1189" t="str">
            <v/>
          </cell>
          <cell r="AD1189" t="str">
            <v>K5733</v>
          </cell>
          <cell r="AE1189" t="str">
            <v/>
          </cell>
          <cell r="AF1189" t="str">
            <v>21:17,10:21,21:13</v>
          </cell>
          <cell r="AG1189" t="str">
            <v>17:21,21:10,13:21</v>
          </cell>
          <cell r="AH1189" t="str">
            <v/>
          </cell>
          <cell r="AI1189">
            <v>17</v>
          </cell>
          <cell r="AJ1189">
            <v>21</v>
          </cell>
          <cell r="AK1189">
            <v>21</v>
          </cell>
          <cell r="AL1189">
            <v>10</v>
          </cell>
          <cell r="AM1189">
            <v>13</v>
          </cell>
          <cell r="AN1189">
            <v>21</v>
          </cell>
        </row>
        <row r="1190">
          <cell r="A1190" t="str">
            <v/>
          </cell>
          <cell r="B1190" t="str">
            <v>Laura GRONKIEWICZ (KS Masovia Płock)</v>
          </cell>
          <cell r="H1190" t="str">
            <v>G5951</v>
          </cell>
          <cell r="K1190" t="str">
            <v>K5733</v>
          </cell>
          <cell r="N1190" t="str">
            <v>Paulina KARSKA (UKS Lotka Łódź)</v>
          </cell>
        </row>
        <row r="1191">
          <cell r="A1191" t="str">
            <v/>
          </cell>
          <cell r="B1191" t="str">
            <v/>
          </cell>
          <cell r="H1191" t="str">
            <v/>
          </cell>
          <cell r="K1191" t="str">
            <v/>
          </cell>
          <cell r="N1191" t="str">
            <v/>
          </cell>
        </row>
        <row r="1193">
          <cell r="B1193" t="str">
            <v/>
          </cell>
          <cell r="K1193" t="str">
            <v>zwycięzca(cy): 21:17,10:21,21:13</v>
          </cell>
        </row>
        <row r="1194">
          <cell r="B1194">
            <v>1</v>
          </cell>
          <cell r="C1194" t="str">
            <v>dzień turnieju.</v>
          </cell>
          <cell r="I1194" t="str">
            <v>Nr meczu</v>
          </cell>
          <cell r="N1194" t="str">
            <v>Godz.</v>
          </cell>
          <cell r="R1194" t="str">
            <v>S. prow.</v>
          </cell>
          <cell r="AF1194" t="str">
            <v>wygrany</v>
          </cell>
          <cell r="AG1194" t="str">
            <v>przegrany</v>
          </cell>
        </row>
        <row r="1195">
          <cell r="B1195" t="str">
            <v>Boisko</v>
          </cell>
          <cell r="C1195" t="str">
            <v>Gra</v>
          </cell>
          <cell r="I1195">
            <v>171</v>
          </cell>
          <cell r="N1195" t="str">
            <v>rozp.</v>
          </cell>
          <cell r="P1195" t="str">
            <v>zak.</v>
          </cell>
          <cell r="R1195" t="str">
            <v>S. serw.</v>
          </cell>
        </row>
        <row r="1196">
          <cell r="A1196">
            <v>171</v>
          </cell>
          <cell r="B1196">
            <v>3</v>
          </cell>
          <cell r="C1196" t="str">
            <v>pojedyncza dziewcząt MM</v>
          </cell>
          <cell r="H1196">
            <v>21</v>
          </cell>
          <cell r="I1196">
            <v>9</v>
          </cell>
          <cell r="J1196">
            <v>21</v>
          </cell>
          <cell r="K1196">
            <v>1</v>
          </cell>
          <cell r="P1196">
            <v>0.84236111111111101</v>
          </cell>
          <cell r="R1196">
            <v>0.84236111111111101</v>
          </cell>
          <cell r="S1196" t="str">
            <v>pt 19:30</v>
          </cell>
          <cell r="X1196">
            <v>171</v>
          </cell>
          <cell r="Y1196" t="str">
            <v>pojedyncza dziewcząt MM</v>
          </cell>
          <cell r="Z1196" t="str">
            <v>X29</v>
          </cell>
          <cell r="AA1196" t="str">
            <v/>
          </cell>
          <cell r="AB1196" t="str">
            <v>P5477</v>
          </cell>
          <cell r="AC1196" t="str">
            <v/>
          </cell>
          <cell r="AD1196" t="str">
            <v>X29</v>
          </cell>
          <cell r="AE1196" t="str">
            <v/>
          </cell>
          <cell r="AF1196" t="str">
            <v>21:9,21:1</v>
          </cell>
          <cell r="AG1196" t="str">
            <v>9:21,1:21</v>
          </cell>
          <cell r="AH1196" t="str">
            <v/>
          </cell>
          <cell r="AI1196">
            <v>21</v>
          </cell>
          <cell r="AJ1196">
            <v>9</v>
          </cell>
          <cell r="AK1196">
            <v>21</v>
          </cell>
          <cell r="AL1196">
            <v>1</v>
          </cell>
          <cell r="AM1196">
            <v>0</v>
          </cell>
          <cell r="AN1196">
            <v>0</v>
          </cell>
        </row>
        <row r="1197">
          <cell r="A1197" t="str">
            <v/>
          </cell>
          <cell r="B1197" t="str">
            <v>Anastasiya KHOMICH (Białoruś)</v>
          </cell>
          <cell r="H1197" t="str">
            <v>X29</v>
          </cell>
          <cell r="K1197" t="str">
            <v>P5477</v>
          </cell>
          <cell r="N1197" t="str">
            <v>Paulina PRZYBYŁ (UKS Iskra Sarbice)</v>
          </cell>
        </row>
        <row r="1198">
          <cell r="A1198" t="str">
            <v/>
          </cell>
          <cell r="B1198" t="str">
            <v/>
          </cell>
          <cell r="H1198" t="str">
            <v/>
          </cell>
          <cell r="K1198" t="str">
            <v/>
          </cell>
          <cell r="N1198" t="str">
            <v/>
          </cell>
        </row>
        <row r="1200">
          <cell r="B1200" t="str">
            <v>zwycięzca(cy): 21:9,21:1</v>
          </cell>
          <cell r="K1200" t="str">
            <v/>
          </cell>
        </row>
        <row r="1201">
          <cell r="B1201">
            <v>1</v>
          </cell>
          <cell r="C1201" t="str">
            <v>dzień turnieju.</v>
          </cell>
          <cell r="I1201" t="str">
            <v>Nr meczu</v>
          </cell>
          <cell r="N1201" t="str">
            <v>Godz.</v>
          </cell>
          <cell r="R1201" t="str">
            <v>S. prow.</v>
          </cell>
          <cell r="AF1201" t="str">
            <v>wygrany</v>
          </cell>
          <cell r="AG1201" t="str">
            <v>przegrany</v>
          </cell>
        </row>
        <row r="1202">
          <cell r="B1202" t="str">
            <v>Boisko</v>
          </cell>
          <cell r="C1202" t="str">
            <v>Gra</v>
          </cell>
          <cell r="I1202">
            <v>172</v>
          </cell>
          <cell r="N1202" t="str">
            <v>rozp.</v>
          </cell>
          <cell r="P1202" t="str">
            <v>zak.</v>
          </cell>
          <cell r="R1202" t="str">
            <v>S. serw.</v>
          </cell>
        </row>
        <row r="1203">
          <cell r="A1203">
            <v>172</v>
          </cell>
          <cell r="B1203">
            <v>4</v>
          </cell>
          <cell r="C1203" t="str">
            <v>pojedyncza dziewcząt MM</v>
          </cell>
          <cell r="H1203">
            <v>11</v>
          </cell>
          <cell r="I1203">
            <v>21</v>
          </cell>
          <cell r="J1203">
            <v>14</v>
          </cell>
          <cell r="K1203">
            <v>21</v>
          </cell>
          <cell r="P1203">
            <v>0.84722222222222221</v>
          </cell>
          <cell r="R1203">
            <v>0.84722222222222221</v>
          </cell>
          <cell r="S1203" t="str">
            <v>pt 19:30</v>
          </cell>
          <cell r="X1203">
            <v>172</v>
          </cell>
          <cell r="Y1203" t="str">
            <v>pojedyncza dziewcząt MM</v>
          </cell>
          <cell r="Z1203" t="str">
            <v>H5946</v>
          </cell>
          <cell r="AA1203" t="str">
            <v/>
          </cell>
          <cell r="AB1203" t="str">
            <v>X17</v>
          </cell>
          <cell r="AC1203" t="str">
            <v/>
          </cell>
          <cell r="AD1203" t="str">
            <v>X17</v>
          </cell>
          <cell r="AE1203" t="str">
            <v/>
          </cell>
          <cell r="AF1203" t="str">
            <v>21:11,21:14</v>
          </cell>
          <cell r="AG1203" t="str">
            <v>11:21,14:21</v>
          </cell>
          <cell r="AH1203" t="str">
            <v/>
          </cell>
          <cell r="AI1203">
            <v>11</v>
          </cell>
          <cell r="AJ1203">
            <v>21</v>
          </cell>
          <cell r="AK1203">
            <v>14</v>
          </cell>
          <cell r="AL1203">
            <v>21</v>
          </cell>
          <cell r="AM1203">
            <v>0</v>
          </cell>
          <cell r="AN1203">
            <v>0</v>
          </cell>
        </row>
        <row r="1204">
          <cell r="A1204" t="str">
            <v/>
          </cell>
          <cell r="B1204" t="str">
            <v>Paulina HANKIEWICZ (UKSB Milenium Warszawa)</v>
          </cell>
          <cell r="H1204" t="str">
            <v>H5946</v>
          </cell>
          <cell r="K1204" t="str">
            <v>X17</v>
          </cell>
          <cell r="N1204" t="str">
            <v>Anna BANDARENKA (Mińsk Białoruś)</v>
          </cell>
        </row>
        <row r="1205">
          <cell r="A1205" t="str">
            <v/>
          </cell>
          <cell r="B1205" t="str">
            <v/>
          </cell>
          <cell r="H1205" t="str">
            <v/>
          </cell>
          <cell r="K1205" t="str">
            <v/>
          </cell>
          <cell r="N1205" t="str">
            <v/>
          </cell>
        </row>
        <row r="1207">
          <cell r="B1207" t="str">
            <v/>
          </cell>
          <cell r="K1207" t="str">
            <v>zwycięzca(cy): 21:11,21:14</v>
          </cell>
        </row>
        <row r="1208">
          <cell r="B1208">
            <v>1</v>
          </cell>
          <cell r="C1208" t="str">
            <v>dzień turnieju.</v>
          </cell>
          <cell r="I1208" t="str">
            <v>Nr meczu</v>
          </cell>
          <cell r="N1208" t="str">
            <v>Godz.</v>
          </cell>
          <cell r="R1208" t="str">
            <v>S. prow.</v>
          </cell>
          <cell r="AF1208" t="str">
            <v>wygrany</v>
          </cell>
          <cell r="AG1208" t="str">
            <v>przegrany</v>
          </cell>
        </row>
        <row r="1209">
          <cell r="B1209" t="str">
            <v>Boisko</v>
          </cell>
          <cell r="C1209" t="str">
            <v>Gra</v>
          </cell>
          <cell r="I1209">
            <v>173</v>
          </cell>
          <cell r="N1209" t="str">
            <v>rozp.</v>
          </cell>
          <cell r="P1209" t="str">
            <v>zak.</v>
          </cell>
          <cell r="R1209" t="str">
            <v>S. serw.</v>
          </cell>
        </row>
        <row r="1210">
          <cell r="A1210">
            <v>173</v>
          </cell>
          <cell r="B1210">
            <v>2</v>
          </cell>
          <cell r="C1210" t="str">
            <v>pojedyncza dziewcząt MM</v>
          </cell>
          <cell r="H1210">
            <v>21</v>
          </cell>
          <cell r="I1210">
            <v>0</v>
          </cell>
          <cell r="J1210">
            <v>21</v>
          </cell>
          <cell r="K1210">
            <v>0</v>
          </cell>
          <cell r="P1210">
            <v>0.83333333333333337</v>
          </cell>
          <cell r="R1210">
            <v>0.83333333333333337</v>
          </cell>
          <cell r="S1210" t="str">
            <v>pt 19:30</v>
          </cell>
          <cell r="X1210">
            <v>173</v>
          </cell>
          <cell r="Y1210" t="str">
            <v>pojedyncza dziewcząt MM</v>
          </cell>
          <cell r="Z1210" t="str">
            <v>X63</v>
          </cell>
          <cell r="AA1210" t="str">
            <v/>
          </cell>
          <cell r="AB1210" t="str">
            <v>F4799</v>
          </cell>
          <cell r="AC1210" t="str">
            <v/>
          </cell>
          <cell r="AD1210" t="str">
            <v>X63</v>
          </cell>
          <cell r="AE1210" t="str">
            <v/>
          </cell>
          <cell r="AF1210" t="str">
            <v>21:0,21:0</v>
          </cell>
          <cell r="AG1210" t="str">
            <v>0:21,0:21</v>
          </cell>
          <cell r="AH1210" t="str">
            <v/>
          </cell>
          <cell r="AI1210">
            <v>21</v>
          </cell>
          <cell r="AJ1210">
            <v>0</v>
          </cell>
          <cell r="AK1210">
            <v>21</v>
          </cell>
          <cell r="AL1210">
            <v>0</v>
          </cell>
          <cell r="AM1210">
            <v>0</v>
          </cell>
          <cell r="AN1210">
            <v>0</v>
          </cell>
        </row>
        <row r="1211">
          <cell r="A1211" t="str">
            <v/>
          </cell>
          <cell r="B1211" t="str">
            <v>Anna  KRAMCHANINA (Brześć 2 Białoruś)</v>
          </cell>
          <cell r="H1211" t="str">
            <v>X63</v>
          </cell>
          <cell r="K1211" t="str">
            <v>F4799</v>
          </cell>
          <cell r="N1211" t="str">
            <v>Adrianna FILIPIAK (MLKS Solec Kuj.)</v>
          </cell>
        </row>
        <row r="1212">
          <cell r="A1212" t="str">
            <v/>
          </cell>
          <cell r="B1212" t="str">
            <v/>
          </cell>
          <cell r="H1212" t="str">
            <v/>
          </cell>
          <cell r="K1212" t="str">
            <v/>
          </cell>
          <cell r="N1212" t="str">
            <v/>
          </cell>
        </row>
        <row r="1214">
          <cell r="B1214" t="str">
            <v>zwycięzca(cy): 21:0,21:0</v>
          </cell>
          <cell r="K1214" t="str">
            <v/>
          </cell>
        </row>
        <row r="1215">
          <cell r="B1215">
            <v>1</v>
          </cell>
          <cell r="C1215" t="str">
            <v>dzień turnieju.</v>
          </cell>
          <cell r="I1215" t="str">
            <v>Nr meczu</v>
          </cell>
          <cell r="N1215" t="str">
            <v>Godz.</v>
          </cell>
          <cell r="R1215" t="str">
            <v>S. prow.</v>
          </cell>
          <cell r="AF1215" t="str">
            <v>wygrany</v>
          </cell>
          <cell r="AG1215" t="str">
            <v>przegrany</v>
          </cell>
        </row>
        <row r="1216">
          <cell r="B1216" t="str">
            <v>Boisko</v>
          </cell>
          <cell r="C1216" t="str">
            <v>Gra</v>
          </cell>
          <cell r="I1216">
            <v>174</v>
          </cell>
          <cell r="N1216" t="str">
            <v>rozp.</v>
          </cell>
          <cell r="P1216" t="str">
            <v>zak.</v>
          </cell>
          <cell r="R1216" t="str">
            <v>S. serw.</v>
          </cell>
        </row>
        <row r="1217">
          <cell r="A1217">
            <v>174</v>
          </cell>
          <cell r="B1217">
            <v>2</v>
          </cell>
          <cell r="C1217" t="str">
            <v>pojedyncza dziewcząt MM</v>
          </cell>
          <cell r="H1217">
            <v>21</v>
          </cell>
          <cell r="I1217">
            <v>10</v>
          </cell>
          <cell r="J1217">
            <v>21</v>
          </cell>
          <cell r="K1217">
            <v>10</v>
          </cell>
          <cell r="P1217">
            <v>0.84513888888888899</v>
          </cell>
          <cell r="R1217">
            <v>0.84513888888888899</v>
          </cell>
          <cell r="S1217" t="str">
            <v>pt 19:30</v>
          </cell>
          <cell r="X1217">
            <v>174</v>
          </cell>
          <cell r="Y1217" t="str">
            <v>pojedyncza dziewcząt MM</v>
          </cell>
          <cell r="Z1217" t="str">
            <v>X31</v>
          </cell>
          <cell r="AA1217" t="str">
            <v/>
          </cell>
          <cell r="AB1217" t="str">
            <v>K5950</v>
          </cell>
          <cell r="AC1217" t="str">
            <v/>
          </cell>
          <cell r="AD1217" t="str">
            <v>X31</v>
          </cell>
          <cell r="AE1217" t="str">
            <v/>
          </cell>
          <cell r="AF1217" t="str">
            <v>21:10,21:10</v>
          </cell>
          <cell r="AG1217" t="str">
            <v>10:21,10:21</v>
          </cell>
          <cell r="AH1217" t="str">
            <v/>
          </cell>
          <cell r="AI1217">
            <v>21</v>
          </cell>
          <cell r="AJ1217">
            <v>10</v>
          </cell>
          <cell r="AK1217">
            <v>21</v>
          </cell>
          <cell r="AL1217">
            <v>10</v>
          </cell>
          <cell r="AM1217">
            <v>0</v>
          </cell>
          <cell r="AN1217">
            <v>0</v>
          </cell>
        </row>
        <row r="1218">
          <cell r="A1218" t="str">
            <v/>
          </cell>
          <cell r="B1218" t="str">
            <v>Kseniya MATYSIK (Białoruś)</v>
          </cell>
          <cell r="H1218" t="str">
            <v>X31</v>
          </cell>
          <cell r="K1218" t="str">
            <v>K5950</v>
          </cell>
          <cell r="N1218" t="str">
            <v>Olga KRZEMIŃSKA (KS Masovia Płock)</v>
          </cell>
        </row>
        <row r="1219">
          <cell r="A1219" t="str">
            <v/>
          </cell>
          <cell r="B1219" t="str">
            <v/>
          </cell>
          <cell r="H1219" t="str">
            <v/>
          </cell>
          <cell r="K1219" t="str">
            <v/>
          </cell>
          <cell r="N1219" t="str">
            <v/>
          </cell>
        </row>
        <row r="1221">
          <cell r="B1221" t="str">
            <v>zwycięzca(cy): 21:10,21:10</v>
          </cell>
          <cell r="K1221" t="str">
            <v/>
          </cell>
        </row>
        <row r="1222">
          <cell r="B1222">
            <v>1</v>
          </cell>
          <cell r="C1222" t="str">
            <v>dzień turnieju.</v>
          </cell>
          <cell r="I1222" t="str">
            <v>Nr meczu</v>
          </cell>
          <cell r="N1222" t="str">
            <v>Godz.</v>
          </cell>
          <cell r="R1222" t="str">
            <v>S. prow.</v>
          </cell>
          <cell r="AF1222" t="str">
            <v>wygrany</v>
          </cell>
          <cell r="AG1222" t="str">
            <v>przegrany</v>
          </cell>
        </row>
        <row r="1223">
          <cell r="B1223" t="str">
            <v>Boisko</v>
          </cell>
          <cell r="C1223" t="str">
            <v>Gra</v>
          </cell>
          <cell r="I1223">
            <v>175</v>
          </cell>
          <cell r="N1223" t="str">
            <v>rozp.</v>
          </cell>
          <cell r="P1223" t="str">
            <v>zak.</v>
          </cell>
          <cell r="R1223" t="str">
            <v>S. serw.</v>
          </cell>
        </row>
        <row r="1224">
          <cell r="A1224">
            <v>175</v>
          </cell>
          <cell r="B1224">
            <v>3</v>
          </cell>
          <cell r="C1224" t="str">
            <v>pojedyncza dziewcząt MM</v>
          </cell>
          <cell r="H1224">
            <v>21</v>
          </cell>
          <cell r="I1224">
            <v>13</v>
          </cell>
          <cell r="J1224">
            <v>21</v>
          </cell>
          <cell r="K1224">
            <v>10</v>
          </cell>
          <cell r="P1224">
            <v>0.85416666666666663</v>
          </cell>
          <cell r="R1224">
            <v>0.85416666666666663</v>
          </cell>
          <cell r="S1224" t="str">
            <v>pt 20:00</v>
          </cell>
          <cell r="X1224">
            <v>175</v>
          </cell>
          <cell r="Y1224" t="str">
            <v>pojedyncza dziewcząt MM</v>
          </cell>
          <cell r="Z1224" t="str">
            <v>G5614</v>
          </cell>
          <cell r="AA1224" t="str">
            <v/>
          </cell>
          <cell r="AB1224" t="str">
            <v>K5949</v>
          </cell>
          <cell r="AC1224" t="str">
            <v/>
          </cell>
          <cell r="AD1224" t="str">
            <v>G5614</v>
          </cell>
          <cell r="AE1224" t="str">
            <v/>
          </cell>
          <cell r="AF1224" t="str">
            <v>21:13,21:10</v>
          </cell>
          <cell r="AG1224" t="str">
            <v>13:21,10:21</v>
          </cell>
          <cell r="AH1224" t="str">
            <v/>
          </cell>
          <cell r="AI1224">
            <v>21</v>
          </cell>
          <cell r="AJ1224">
            <v>13</v>
          </cell>
          <cell r="AK1224">
            <v>21</v>
          </cell>
          <cell r="AL1224">
            <v>10</v>
          </cell>
          <cell r="AM1224">
            <v>0</v>
          </cell>
          <cell r="AN1224">
            <v>0</v>
          </cell>
        </row>
        <row r="1225">
          <cell r="A1225" t="str">
            <v/>
          </cell>
          <cell r="B1225" t="str">
            <v>Weronika GÓRNIAK (UKSB Milenium Warszawa)</v>
          </cell>
          <cell r="H1225" t="str">
            <v>G5614</v>
          </cell>
          <cell r="K1225" t="str">
            <v>K5949</v>
          </cell>
          <cell r="N1225" t="str">
            <v>Joanna KLIMCZAK (UKS Korona Pabianice)</v>
          </cell>
        </row>
        <row r="1226">
          <cell r="A1226" t="str">
            <v/>
          </cell>
          <cell r="B1226" t="str">
            <v/>
          </cell>
          <cell r="H1226" t="str">
            <v/>
          </cell>
          <cell r="K1226" t="str">
            <v/>
          </cell>
          <cell r="N1226" t="str">
            <v/>
          </cell>
        </row>
        <row r="1228">
          <cell r="B1228" t="str">
            <v>zwycięzca(cy): 21:13,21:10</v>
          </cell>
          <cell r="K1228" t="str">
            <v/>
          </cell>
        </row>
        <row r="1229">
          <cell r="B1229">
            <v>1</v>
          </cell>
          <cell r="C1229" t="str">
            <v>dzień turnieju.</v>
          </cell>
          <cell r="I1229" t="str">
            <v>Nr meczu</v>
          </cell>
          <cell r="N1229" t="str">
            <v>Godz.</v>
          </cell>
          <cell r="R1229" t="str">
            <v>S. prow.</v>
          </cell>
          <cell r="AF1229" t="str">
            <v>wygrany</v>
          </cell>
          <cell r="AG1229" t="str">
            <v>przegrany</v>
          </cell>
        </row>
        <row r="1230">
          <cell r="B1230" t="str">
            <v>Boisko</v>
          </cell>
          <cell r="C1230" t="str">
            <v>Gra</v>
          </cell>
          <cell r="I1230">
            <v>176</v>
          </cell>
          <cell r="N1230" t="str">
            <v>rozp.</v>
          </cell>
          <cell r="P1230" t="str">
            <v>zak.</v>
          </cell>
          <cell r="R1230" t="str">
            <v>S. serw.</v>
          </cell>
        </row>
        <row r="1231">
          <cell r="A1231">
            <v>176</v>
          </cell>
          <cell r="B1231">
            <v>5</v>
          </cell>
          <cell r="C1231" t="str">
            <v>pojedyncza dziewcząt MM</v>
          </cell>
          <cell r="H1231">
            <v>15</v>
          </cell>
          <cell r="I1231">
            <v>21</v>
          </cell>
          <cell r="J1231">
            <v>20</v>
          </cell>
          <cell r="K1231">
            <v>22</v>
          </cell>
          <cell r="P1231">
            <v>0.85416666666666663</v>
          </cell>
          <cell r="R1231">
            <v>0.85416666666666663</v>
          </cell>
          <cell r="S1231" t="str">
            <v>pt 20:00</v>
          </cell>
          <cell r="X1231">
            <v>176</v>
          </cell>
          <cell r="Y1231" t="str">
            <v>pojedyncza dziewcząt MM</v>
          </cell>
          <cell r="Z1231" t="str">
            <v>X43</v>
          </cell>
          <cell r="AA1231" t="str">
            <v/>
          </cell>
          <cell r="AB1231" t="str">
            <v>W5473</v>
          </cell>
          <cell r="AC1231" t="str">
            <v/>
          </cell>
          <cell r="AD1231" t="str">
            <v>W5473</v>
          </cell>
          <cell r="AE1231" t="str">
            <v/>
          </cell>
          <cell r="AF1231" t="str">
            <v>21:15,22:20</v>
          </cell>
          <cell r="AG1231" t="str">
            <v>15:21,20:22</v>
          </cell>
          <cell r="AH1231" t="str">
            <v/>
          </cell>
          <cell r="AI1231">
            <v>15</v>
          </cell>
          <cell r="AJ1231">
            <v>21</v>
          </cell>
          <cell r="AK1231">
            <v>20</v>
          </cell>
          <cell r="AL1231">
            <v>22</v>
          </cell>
          <cell r="AM1231">
            <v>0</v>
          </cell>
          <cell r="AN1231">
            <v>0</v>
          </cell>
        </row>
        <row r="1232">
          <cell r="A1232" t="str">
            <v/>
          </cell>
          <cell r="B1232" t="str">
            <v>Marta PROSTAK (Lwów Ukraina)</v>
          </cell>
          <cell r="H1232" t="str">
            <v>X43</v>
          </cell>
          <cell r="K1232" t="str">
            <v>W5473</v>
          </cell>
          <cell r="N1232" t="str">
            <v>Paulina WUDARSKA (UKS Iskra Sarbice)</v>
          </cell>
        </row>
        <row r="1233">
          <cell r="A1233" t="str">
            <v/>
          </cell>
          <cell r="B1233" t="str">
            <v/>
          </cell>
          <cell r="H1233" t="str">
            <v/>
          </cell>
          <cell r="K1233" t="str">
            <v/>
          </cell>
          <cell r="N1233" t="str">
            <v/>
          </cell>
        </row>
        <row r="1235">
          <cell r="B1235" t="str">
            <v/>
          </cell>
          <cell r="K1235" t="str">
            <v>zwycięzca(cy): 21:15,22:20</v>
          </cell>
        </row>
        <row r="1236">
          <cell r="B1236">
            <v>1</v>
          </cell>
          <cell r="C1236" t="str">
            <v>dzień turnieju.</v>
          </cell>
          <cell r="I1236" t="str">
            <v>Nr meczu</v>
          </cell>
          <cell r="N1236" t="str">
            <v>Godz.</v>
          </cell>
          <cell r="R1236" t="str">
            <v>S. prow.</v>
          </cell>
          <cell r="AF1236" t="str">
            <v>wygrany</v>
          </cell>
          <cell r="AG1236" t="str">
            <v>przegrany</v>
          </cell>
        </row>
        <row r="1237">
          <cell r="B1237" t="str">
            <v>Boisko</v>
          </cell>
          <cell r="C1237" t="str">
            <v>Gra</v>
          </cell>
          <cell r="I1237">
            <v>177</v>
          </cell>
          <cell r="N1237" t="str">
            <v>rozp.</v>
          </cell>
          <cell r="P1237" t="str">
            <v>zak.</v>
          </cell>
          <cell r="R1237" t="str">
            <v>S. serw.</v>
          </cell>
        </row>
        <row r="1238">
          <cell r="A1238">
            <v>177</v>
          </cell>
          <cell r="B1238">
            <v>6</v>
          </cell>
          <cell r="C1238" t="str">
            <v>pojedyncza dziewcząt MM</v>
          </cell>
          <cell r="H1238">
            <v>11</v>
          </cell>
          <cell r="I1238">
            <v>21</v>
          </cell>
          <cell r="J1238">
            <v>9</v>
          </cell>
          <cell r="K1238">
            <v>21</v>
          </cell>
          <cell r="P1238">
            <v>0.85416666666666663</v>
          </cell>
          <cell r="R1238">
            <v>0.85416666666666663</v>
          </cell>
          <cell r="S1238" t="str">
            <v>pt 20:00</v>
          </cell>
          <cell r="X1238">
            <v>177</v>
          </cell>
          <cell r="Y1238" t="str">
            <v>pojedyncza dziewcząt MM</v>
          </cell>
          <cell r="Z1238" t="str">
            <v>S5479</v>
          </cell>
          <cell r="AA1238" t="str">
            <v/>
          </cell>
          <cell r="AB1238" t="str">
            <v>X32</v>
          </cell>
          <cell r="AC1238" t="str">
            <v/>
          </cell>
          <cell r="AD1238" t="str">
            <v>X32</v>
          </cell>
          <cell r="AE1238" t="str">
            <v/>
          </cell>
          <cell r="AF1238" t="str">
            <v>21:11,21:9</v>
          </cell>
          <cell r="AG1238" t="str">
            <v>11:21,9:21</v>
          </cell>
          <cell r="AH1238" t="str">
            <v/>
          </cell>
          <cell r="AI1238">
            <v>11</v>
          </cell>
          <cell r="AJ1238">
            <v>21</v>
          </cell>
          <cell r="AK1238">
            <v>9</v>
          </cell>
          <cell r="AL1238">
            <v>21</v>
          </cell>
          <cell r="AM1238">
            <v>0</v>
          </cell>
          <cell r="AN1238">
            <v>0</v>
          </cell>
        </row>
        <row r="1239">
          <cell r="A1239" t="str">
            <v/>
          </cell>
          <cell r="B1239" t="str">
            <v>Aleksandra SZYMAŃSKA (UKSB Milenium Warszawa)</v>
          </cell>
          <cell r="H1239" t="str">
            <v>S5479</v>
          </cell>
          <cell r="K1239" t="str">
            <v>X32</v>
          </cell>
          <cell r="N1239" t="str">
            <v>Anastsiya TAMASHEUSKAYA (Białoruś)</v>
          </cell>
        </row>
        <row r="1240">
          <cell r="A1240" t="str">
            <v/>
          </cell>
          <cell r="B1240" t="str">
            <v/>
          </cell>
          <cell r="H1240" t="str">
            <v/>
          </cell>
          <cell r="K1240" t="str">
            <v/>
          </cell>
          <cell r="N1240" t="str">
            <v/>
          </cell>
        </row>
        <row r="1242">
          <cell r="B1242" t="str">
            <v/>
          </cell>
          <cell r="K1242" t="str">
            <v>zwycięzca(cy): 21:11,21:9</v>
          </cell>
        </row>
        <row r="1243">
          <cell r="B1243">
            <v>1</v>
          </cell>
          <cell r="C1243" t="str">
            <v>dzień turnieju.</v>
          </cell>
          <cell r="I1243" t="str">
            <v>Nr meczu</v>
          </cell>
          <cell r="N1243" t="str">
            <v>Godz.</v>
          </cell>
          <cell r="R1243" t="str">
            <v>S. prow.</v>
          </cell>
          <cell r="AF1243" t="str">
            <v>wygrany</v>
          </cell>
          <cell r="AG1243" t="str">
            <v>przegrany</v>
          </cell>
        </row>
        <row r="1244">
          <cell r="B1244" t="str">
            <v>Boisko</v>
          </cell>
          <cell r="C1244" t="str">
            <v>Gra</v>
          </cell>
          <cell r="I1244">
            <v>178</v>
          </cell>
          <cell r="N1244" t="str">
            <v>rozp.</v>
          </cell>
          <cell r="P1244" t="str">
            <v>zak.</v>
          </cell>
          <cell r="R1244" t="str">
            <v>S. serw.</v>
          </cell>
        </row>
        <row r="1245">
          <cell r="A1245">
            <v>178</v>
          </cell>
          <cell r="B1245">
            <v>4</v>
          </cell>
          <cell r="C1245" t="str">
            <v>pojedyncza dziewcząt MM</v>
          </cell>
          <cell r="H1245">
            <v>4</v>
          </cell>
          <cell r="I1245">
            <v>21</v>
          </cell>
          <cell r="J1245">
            <v>2</v>
          </cell>
          <cell r="K1245">
            <v>21</v>
          </cell>
          <cell r="P1245">
            <v>0.85416666666666663</v>
          </cell>
          <cell r="R1245">
            <v>0.85416666666666663</v>
          </cell>
          <cell r="S1245" t="str">
            <v>pt 20:00</v>
          </cell>
          <cell r="X1245">
            <v>178</v>
          </cell>
          <cell r="Y1245" t="str">
            <v>pojedyncza dziewcząt MM</v>
          </cell>
          <cell r="Z1245" t="str">
            <v>M4631</v>
          </cell>
          <cell r="AA1245" t="str">
            <v/>
          </cell>
          <cell r="AB1245" t="str">
            <v>X16</v>
          </cell>
          <cell r="AC1245" t="str">
            <v/>
          </cell>
          <cell r="AD1245" t="str">
            <v>X16</v>
          </cell>
          <cell r="AE1245" t="str">
            <v/>
          </cell>
          <cell r="AF1245" t="str">
            <v>21:4,21:2</v>
          </cell>
          <cell r="AG1245" t="str">
            <v>4:21,2:21</v>
          </cell>
          <cell r="AH1245" t="str">
            <v/>
          </cell>
          <cell r="AI1245">
            <v>4</v>
          </cell>
          <cell r="AJ1245">
            <v>21</v>
          </cell>
          <cell r="AK1245">
            <v>2</v>
          </cell>
          <cell r="AL1245">
            <v>21</v>
          </cell>
          <cell r="AM1245">
            <v>0</v>
          </cell>
          <cell r="AN1245">
            <v>0</v>
          </cell>
        </row>
        <row r="1246">
          <cell r="A1246" t="str">
            <v/>
          </cell>
          <cell r="B1246" t="str">
            <v>Agata MIELEWCZYK (ULKS U-2 Lotka Bytów)</v>
          </cell>
          <cell r="H1246" t="str">
            <v>M4631</v>
          </cell>
          <cell r="K1246" t="str">
            <v>X16</v>
          </cell>
          <cell r="N1246" t="str">
            <v>Yelizaveta KAMINSKAYA (Mińsk Białoruś)</v>
          </cell>
        </row>
        <row r="1247">
          <cell r="A1247" t="str">
            <v/>
          </cell>
          <cell r="B1247" t="str">
            <v/>
          </cell>
          <cell r="H1247" t="str">
            <v/>
          </cell>
          <cell r="K1247" t="str">
            <v/>
          </cell>
          <cell r="N1247" t="str">
            <v/>
          </cell>
        </row>
        <row r="1249">
          <cell r="B1249" t="str">
            <v/>
          </cell>
          <cell r="K1249" t="str">
            <v>zwycięzca(cy): 21:4,21:2</v>
          </cell>
        </row>
        <row r="1250">
          <cell r="B1250">
            <v>1</v>
          </cell>
          <cell r="C1250" t="str">
            <v>dzień turnieju.</v>
          </cell>
          <cell r="I1250" t="str">
            <v>Nr meczu</v>
          </cell>
          <cell r="N1250" t="str">
            <v>Godz.</v>
          </cell>
          <cell r="R1250" t="str">
            <v>S. prow.</v>
          </cell>
          <cell r="AF1250" t="str">
            <v>wygrany</v>
          </cell>
          <cell r="AG1250" t="str">
            <v>przegrany</v>
          </cell>
        </row>
        <row r="1251">
          <cell r="B1251" t="str">
            <v>Boisko</v>
          </cell>
          <cell r="C1251" t="str">
            <v>Gra</v>
          </cell>
          <cell r="I1251">
            <v>179</v>
          </cell>
          <cell r="N1251" t="str">
            <v>rozp.</v>
          </cell>
          <cell r="P1251" t="str">
            <v>zak.</v>
          </cell>
          <cell r="R1251" t="str">
            <v>S. serw.</v>
          </cell>
        </row>
        <row r="1252">
          <cell r="A1252">
            <v>179</v>
          </cell>
          <cell r="B1252">
            <v>1</v>
          </cell>
          <cell r="C1252" t="str">
            <v>pojedyncza dziewcząt MM</v>
          </cell>
          <cell r="H1252">
            <v>21</v>
          </cell>
          <cell r="I1252">
            <v>8</v>
          </cell>
          <cell r="J1252">
            <v>21</v>
          </cell>
          <cell r="K1252">
            <v>6</v>
          </cell>
          <cell r="P1252">
            <v>0.86111111111111116</v>
          </cell>
          <cell r="R1252">
            <v>0.86111111111111116</v>
          </cell>
          <cell r="S1252" t="str">
            <v>pt 20:00</v>
          </cell>
          <cell r="X1252">
            <v>179</v>
          </cell>
          <cell r="Y1252" t="str">
            <v>pojedyncza dziewcząt MM</v>
          </cell>
          <cell r="Z1252" t="str">
            <v>X25</v>
          </cell>
          <cell r="AA1252" t="str">
            <v/>
          </cell>
          <cell r="AB1252" t="str">
            <v>X33</v>
          </cell>
          <cell r="AC1252" t="str">
            <v/>
          </cell>
          <cell r="AD1252" t="str">
            <v>X25</v>
          </cell>
          <cell r="AE1252" t="str">
            <v/>
          </cell>
          <cell r="AF1252" t="str">
            <v>21:8,21:6</v>
          </cell>
          <cell r="AG1252" t="str">
            <v>8:21,6:21</v>
          </cell>
          <cell r="AH1252" t="str">
            <v/>
          </cell>
          <cell r="AI1252">
            <v>21</v>
          </cell>
          <cell r="AJ1252">
            <v>8</v>
          </cell>
          <cell r="AK1252">
            <v>21</v>
          </cell>
          <cell r="AL1252">
            <v>6</v>
          </cell>
          <cell r="AM1252">
            <v>0</v>
          </cell>
          <cell r="AN1252">
            <v>0</v>
          </cell>
        </row>
        <row r="1253">
          <cell r="A1253" t="str">
            <v/>
          </cell>
          <cell r="B1253" t="str">
            <v>Yana  HALYTSKA (Vinnica Ukraina)</v>
          </cell>
          <cell r="H1253" t="str">
            <v>X25</v>
          </cell>
          <cell r="K1253" t="str">
            <v>X33</v>
          </cell>
          <cell r="N1253" t="str">
            <v>Kseniya YAROSHUK (Białoruś)</v>
          </cell>
        </row>
        <row r="1254">
          <cell r="A1254" t="str">
            <v/>
          </cell>
          <cell r="B1254" t="str">
            <v/>
          </cell>
          <cell r="H1254" t="str">
            <v/>
          </cell>
          <cell r="K1254" t="str">
            <v/>
          </cell>
          <cell r="N1254" t="str">
            <v/>
          </cell>
        </row>
        <row r="1256">
          <cell r="B1256" t="str">
            <v>zwycięzca(cy): 21:8,21:6</v>
          </cell>
          <cell r="K1256" t="str">
            <v/>
          </cell>
        </row>
        <row r="1257">
          <cell r="B1257">
            <v>1</v>
          </cell>
          <cell r="C1257" t="str">
            <v>dzień turnieju.</v>
          </cell>
          <cell r="I1257" t="str">
            <v>Nr meczu</v>
          </cell>
          <cell r="N1257" t="str">
            <v>Godz.</v>
          </cell>
          <cell r="R1257" t="str">
            <v>S. prow.</v>
          </cell>
          <cell r="AF1257" t="str">
            <v>wygrany</v>
          </cell>
          <cell r="AG1257" t="str">
            <v>przegrany</v>
          </cell>
        </row>
        <row r="1258">
          <cell r="B1258" t="str">
            <v>Boisko</v>
          </cell>
          <cell r="C1258" t="str">
            <v>Gra</v>
          </cell>
          <cell r="I1258">
            <v>180</v>
          </cell>
          <cell r="N1258" t="str">
            <v>rozp.</v>
          </cell>
          <cell r="P1258" t="str">
            <v>zak.</v>
          </cell>
          <cell r="R1258" t="str">
            <v>S. serw.</v>
          </cell>
        </row>
        <row r="1259">
          <cell r="A1259">
            <v>180</v>
          </cell>
          <cell r="B1259">
            <v>1</v>
          </cell>
          <cell r="C1259" t="str">
            <v>pojedyncza chłopców MM</v>
          </cell>
          <cell r="H1259">
            <v>0</v>
          </cell>
          <cell r="I1259">
            <v>21</v>
          </cell>
          <cell r="J1259">
            <v>0</v>
          </cell>
          <cell r="K1259">
            <v>21</v>
          </cell>
          <cell r="P1259">
            <v>0.375</v>
          </cell>
          <cell r="R1259">
            <v>0.375</v>
          </cell>
          <cell r="S1259" t="str">
            <v>pt 20:20</v>
          </cell>
          <cell r="X1259">
            <v>180</v>
          </cell>
          <cell r="Y1259" t="str">
            <v>pojedyncza chłopców MM</v>
          </cell>
          <cell r="Z1259" t="str">
            <v>X47</v>
          </cell>
          <cell r="AA1259" t="str">
            <v/>
          </cell>
          <cell r="AB1259" t="str">
            <v>M4933</v>
          </cell>
          <cell r="AC1259" t="str">
            <v/>
          </cell>
          <cell r="AD1259" t="str">
            <v>M4933</v>
          </cell>
          <cell r="AE1259" t="str">
            <v/>
          </cell>
          <cell r="AF1259" t="str">
            <v>21:0,21:0</v>
          </cell>
          <cell r="AG1259" t="str">
            <v>0:21,0:21</v>
          </cell>
          <cell r="AH1259" t="str">
            <v/>
          </cell>
          <cell r="AI1259">
            <v>0</v>
          </cell>
          <cell r="AJ1259">
            <v>21</v>
          </cell>
          <cell r="AK1259">
            <v>0</v>
          </cell>
          <cell r="AL1259">
            <v>21</v>
          </cell>
          <cell r="AM1259">
            <v>0</v>
          </cell>
          <cell r="AN1259">
            <v>0</v>
          </cell>
        </row>
        <row r="1260">
          <cell r="A1260" t="str">
            <v/>
          </cell>
          <cell r="B1260" t="str">
            <v>Jan Hrabiec (Slavoj Cesky Tesin)</v>
          </cell>
          <cell r="H1260" t="str">
            <v>X47</v>
          </cell>
          <cell r="K1260" t="str">
            <v>M4933</v>
          </cell>
          <cell r="N1260" t="str">
            <v>Kacper MAKAREWICZ (UKS Hubal Białystok)</v>
          </cell>
        </row>
        <row r="1261">
          <cell r="A1261" t="str">
            <v/>
          </cell>
          <cell r="B1261" t="str">
            <v/>
          </cell>
          <cell r="H1261" t="str">
            <v/>
          </cell>
          <cell r="K1261" t="str">
            <v/>
          </cell>
          <cell r="N1261" t="str">
            <v/>
          </cell>
        </row>
        <row r="1263">
          <cell r="B1263" t="str">
            <v/>
          </cell>
          <cell r="K1263" t="str">
            <v>zwycięzca(cy): 21:0,21:0</v>
          </cell>
        </row>
        <row r="1264">
          <cell r="B1264">
            <v>1</v>
          </cell>
          <cell r="C1264" t="str">
            <v>dzień turnieju.</v>
          </cell>
          <cell r="I1264" t="str">
            <v>Nr meczu</v>
          </cell>
          <cell r="N1264" t="str">
            <v>Godz.</v>
          </cell>
          <cell r="R1264" t="str">
            <v>S. prow.</v>
          </cell>
          <cell r="AF1264" t="str">
            <v>wygrany</v>
          </cell>
          <cell r="AG1264" t="str">
            <v>przegrany</v>
          </cell>
        </row>
        <row r="1265">
          <cell r="B1265" t="str">
            <v>Boisko</v>
          </cell>
          <cell r="C1265" t="str">
            <v>Gra</v>
          </cell>
          <cell r="I1265">
            <v>181</v>
          </cell>
          <cell r="N1265" t="str">
            <v>rozp.</v>
          </cell>
          <cell r="P1265" t="str">
            <v>zak.</v>
          </cell>
          <cell r="R1265" t="str">
            <v>S. serw.</v>
          </cell>
        </row>
        <row r="1266">
          <cell r="A1266">
            <v>181</v>
          </cell>
          <cell r="B1266">
            <v>2</v>
          </cell>
          <cell r="C1266" t="str">
            <v>pojedyncza chłopców MM</v>
          </cell>
          <cell r="H1266">
            <v>21</v>
          </cell>
          <cell r="I1266">
            <v>18</v>
          </cell>
          <cell r="J1266">
            <v>14</v>
          </cell>
          <cell r="K1266">
            <v>21</v>
          </cell>
          <cell r="L1266">
            <v>16</v>
          </cell>
          <cell r="M1266">
            <v>21</v>
          </cell>
          <cell r="P1266">
            <v>0.87152777777777779</v>
          </cell>
          <cell r="R1266">
            <v>0.87152777777777779</v>
          </cell>
          <cell r="S1266" t="str">
            <v>pt 20:20</v>
          </cell>
          <cell r="X1266">
            <v>181</v>
          </cell>
          <cell r="Y1266" t="str">
            <v>pojedyncza chłopców MM</v>
          </cell>
          <cell r="Z1266" t="str">
            <v>P5351</v>
          </cell>
          <cell r="AA1266" t="str">
            <v/>
          </cell>
          <cell r="AB1266" t="str">
            <v>G5058</v>
          </cell>
          <cell r="AC1266" t="str">
            <v/>
          </cell>
          <cell r="AD1266" t="str">
            <v>G5058</v>
          </cell>
          <cell r="AE1266" t="str">
            <v/>
          </cell>
          <cell r="AF1266" t="str">
            <v>18:21,21:14,21:16</v>
          </cell>
          <cell r="AG1266" t="str">
            <v>21:18,14:21,16:21</v>
          </cell>
          <cell r="AH1266" t="str">
            <v/>
          </cell>
          <cell r="AI1266">
            <v>21</v>
          </cell>
          <cell r="AJ1266">
            <v>18</v>
          </cell>
          <cell r="AK1266">
            <v>14</v>
          </cell>
          <cell r="AL1266">
            <v>21</v>
          </cell>
          <cell r="AM1266">
            <v>16</v>
          </cell>
          <cell r="AN1266">
            <v>21</v>
          </cell>
        </row>
        <row r="1267">
          <cell r="A1267" t="str">
            <v/>
          </cell>
          <cell r="B1267" t="str">
            <v>Norbert POŹDZIK (UKS Kiko Zamość)</v>
          </cell>
          <cell r="H1267" t="str">
            <v>P5351</v>
          </cell>
          <cell r="K1267" t="str">
            <v>G5058</v>
          </cell>
          <cell r="N1267" t="str">
            <v>Wiktor GRZYB (UKS Orbitek Straszęcin)</v>
          </cell>
        </row>
        <row r="1268">
          <cell r="A1268" t="str">
            <v/>
          </cell>
          <cell r="B1268" t="str">
            <v/>
          </cell>
          <cell r="H1268" t="str">
            <v/>
          </cell>
          <cell r="K1268" t="str">
            <v/>
          </cell>
          <cell r="N1268" t="str">
            <v/>
          </cell>
        </row>
        <row r="1270">
          <cell r="B1270" t="str">
            <v/>
          </cell>
          <cell r="K1270" t="str">
            <v>zwycięzca(cy): 18:21,21:14,21:16</v>
          </cell>
        </row>
        <row r="1271">
          <cell r="B1271">
            <v>1</v>
          </cell>
          <cell r="C1271" t="str">
            <v>dzień turnieju.</v>
          </cell>
          <cell r="I1271" t="str">
            <v>Nr meczu</v>
          </cell>
          <cell r="N1271" t="str">
            <v>Godz.</v>
          </cell>
          <cell r="R1271" t="str">
            <v>S. prow.</v>
          </cell>
          <cell r="AF1271" t="str">
            <v>wygrany</v>
          </cell>
          <cell r="AG1271" t="str">
            <v>przegrany</v>
          </cell>
        </row>
        <row r="1272">
          <cell r="B1272" t="str">
            <v>Boisko</v>
          </cell>
          <cell r="C1272" t="str">
            <v>Gra</v>
          </cell>
          <cell r="I1272">
            <v>182</v>
          </cell>
          <cell r="N1272" t="str">
            <v>rozp.</v>
          </cell>
          <cell r="P1272" t="str">
            <v>zak.</v>
          </cell>
          <cell r="R1272" t="str">
            <v>S. serw.</v>
          </cell>
        </row>
        <row r="1273">
          <cell r="A1273">
            <v>182</v>
          </cell>
          <cell r="B1273">
            <v>3</v>
          </cell>
          <cell r="C1273" t="str">
            <v>pojedyncza chłopców MM</v>
          </cell>
          <cell r="H1273">
            <v>21</v>
          </cell>
          <cell r="I1273">
            <v>15</v>
          </cell>
          <cell r="J1273">
            <v>17</v>
          </cell>
          <cell r="K1273">
            <v>21</v>
          </cell>
          <cell r="L1273">
            <v>18</v>
          </cell>
          <cell r="M1273">
            <v>21</v>
          </cell>
          <cell r="P1273">
            <v>0.875</v>
          </cell>
          <cell r="R1273">
            <v>0.875</v>
          </cell>
          <cell r="S1273" t="str">
            <v>pt 20:20</v>
          </cell>
          <cell r="X1273">
            <v>182</v>
          </cell>
          <cell r="Y1273" t="str">
            <v>pojedyncza chłopców MM</v>
          </cell>
          <cell r="Z1273" t="str">
            <v>L4492</v>
          </cell>
          <cell r="AA1273" t="str">
            <v/>
          </cell>
          <cell r="AB1273" t="str">
            <v>X26</v>
          </cell>
          <cell r="AC1273" t="str">
            <v/>
          </cell>
          <cell r="AD1273" t="str">
            <v>X26</v>
          </cell>
          <cell r="AE1273" t="str">
            <v/>
          </cell>
          <cell r="AF1273" t="str">
            <v>15:21,21:17,21:18</v>
          </cell>
          <cell r="AG1273" t="str">
            <v>21:15,17:21,18:21</v>
          </cell>
          <cell r="AH1273" t="str">
            <v/>
          </cell>
          <cell r="AI1273">
            <v>21</v>
          </cell>
          <cell r="AJ1273">
            <v>15</v>
          </cell>
          <cell r="AK1273">
            <v>17</v>
          </cell>
          <cell r="AL1273">
            <v>21</v>
          </cell>
          <cell r="AM1273">
            <v>18</v>
          </cell>
          <cell r="AN1273">
            <v>21</v>
          </cell>
        </row>
        <row r="1274">
          <cell r="A1274" t="str">
            <v/>
          </cell>
          <cell r="B1274" t="str">
            <v>Kacper LINKE (UTS Akro-Bad Warszawa)</v>
          </cell>
          <cell r="H1274" t="str">
            <v>L4492</v>
          </cell>
          <cell r="K1274" t="str">
            <v>X26</v>
          </cell>
          <cell r="N1274" t="str">
            <v>Igor SENICHKYN (Vinnica Ukraina)</v>
          </cell>
        </row>
        <row r="1275">
          <cell r="A1275" t="str">
            <v/>
          </cell>
          <cell r="B1275" t="str">
            <v/>
          </cell>
          <cell r="H1275" t="str">
            <v/>
          </cell>
          <cell r="K1275" t="str">
            <v/>
          </cell>
          <cell r="N1275" t="str">
            <v/>
          </cell>
        </row>
        <row r="1277">
          <cell r="B1277" t="str">
            <v/>
          </cell>
          <cell r="K1277" t="str">
            <v>zwycięzca(cy): 15:21,21:17,21:18</v>
          </cell>
        </row>
        <row r="1278">
          <cell r="B1278">
            <v>1</v>
          </cell>
          <cell r="C1278" t="str">
            <v>dzień turnieju.</v>
          </cell>
          <cell r="I1278" t="str">
            <v>Nr meczu</v>
          </cell>
          <cell r="N1278" t="str">
            <v>Godz.</v>
          </cell>
          <cell r="R1278" t="str">
            <v>S. prow.</v>
          </cell>
          <cell r="AF1278" t="str">
            <v>wygrany</v>
          </cell>
          <cell r="AG1278" t="str">
            <v>przegrany</v>
          </cell>
        </row>
        <row r="1279">
          <cell r="B1279" t="str">
            <v>Boisko</v>
          </cell>
          <cell r="C1279" t="str">
            <v>Gra</v>
          </cell>
          <cell r="I1279">
            <v>183</v>
          </cell>
          <cell r="N1279" t="str">
            <v>rozp.</v>
          </cell>
          <cell r="P1279" t="str">
            <v>zak.</v>
          </cell>
          <cell r="R1279" t="str">
            <v>S. serw.</v>
          </cell>
        </row>
        <row r="1280">
          <cell r="A1280">
            <v>183</v>
          </cell>
          <cell r="B1280">
            <v>6</v>
          </cell>
          <cell r="C1280" t="str">
            <v>pojedyncza chłopców MM</v>
          </cell>
          <cell r="H1280">
            <v>21</v>
          </cell>
          <cell r="I1280">
            <v>15</v>
          </cell>
          <cell r="J1280">
            <v>21</v>
          </cell>
          <cell r="K1280">
            <v>11</v>
          </cell>
          <cell r="P1280">
            <v>0.875</v>
          </cell>
          <cell r="R1280">
            <v>0.875</v>
          </cell>
          <cell r="S1280" t="str">
            <v>pt 20:20</v>
          </cell>
          <cell r="X1280">
            <v>183</v>
          </cell>
          <cell r="Y1280" t="str">
            <v>pojedyncza chłopców MM</v>
          </cell>
          <cell r="Z1280" t="str">
            <v>R4145</v>
          </cell>
          <cell r="AA1280" t="str">
            <v/>
          </cell>
          <cell r="AB1280" t="str">
            <v>N5737</v>
          </cell>
          <cell r="AC1280" t="str">
            <v/>
          </cell>
          <cell r="AD1280" t="str">
            <v>R4145</v>
          </cell>
          <cell r="AE1280" t="str">
            <v/>
          </cell>
          <cell r="AF1280" t="str">
            <v>21:15,21:11</v>
          </cell>
          <cell r="AG1280" t="str">
            <v>15:21,11:21</v>
          </cell>
          <cell r="AH1280" t="str">
            <v/>
          </cell>
          <cell r="AI1280">
            <v>21</v>
          </cell>
          <cell r="AJ1280">
            <v>15</v>
          </cell>
          <cell r="AK1280">
            <v>21</v>
          </cell>
          <cell r="AL1280">
            <v>11</v>
          </cell>
          <cell r="AM1280">
            <v>0</v>
          </cell>
          <cell r="AN1280">
            <v>0</v>
          </cell>
        </row>
        <row r="1281">
          <cell r="A1281" t="str">
            <v/>
          </cell>
          <cell r="B1281" t="str">
            <v>Michał RECKI (UKS Lotka Lubiewo)</v>
          </cell>
          <cell r="H1281" t="str">
            <v>R4145</v>
          </cell>
          <cell r="K1281" t="str">
            <v>N5737</v>
          </cell>
          <cell r="N1281" t="str">
            <v>Jakub NAWROCKI (MKS Spartakus Niepołomice)</v>
          </cell>
        </row>
        <row r="1282">
          <cell r="A1282" t="str">
            <v/>
          </cell>
          <cell r="B1282" t="str">
            <v/>
          </cell>
          <cell r="H1282" t="str">
            <v/>
          </cell>
          <cell r="K1282" t="str">
            <v/>
          </cell>
          <cell r="N1282" t="str">
            <v/>
          </cell>
        </row>
        <row r="1284">
          <cell r="B1284" t="str">
            <v>zwycięzca(cy): 21:15,21:11</v>
          </cell>
          <cell r="K1284" t="str">
            <v/>
          </cell>
        </row>
        <row r="1285">
          <cell r="B1285">
            <v>1</v>
          </cell>
          <cell r="C1285" t="str">
            <v>dzień turnieju.</v>
          </cell>
          <cell r="I1285" t="str">
            <v>Nr meczu</v>
          </cell>
          <cell r="N1285" t="str">
            <v>Godz.</v>
          </cell>
          <cell r="R1285" t="str">
            <v>S. prow.</v>
          </cell>
          <cell r="AF1285" t="str">
            <v>wygrany</v>
          </cell>
          <cell r="AG1285" t="str">
            <v>przegrany</v>
          </cell>
        </row>
        <row r="1286">
          <cell r="B1286" t="str">
            <v>Boisko</v>
          </cell>
          <cell r="C1286" t="str">
            <v>Gra</v>
          </cell>
          <cell r="I1286">
            <v>184</v>
          </cell>
          <cell r="N1286" t="str">
            <v>rozp.</v>
          </cell>
          <cell r="P1286" t="str">
            <v>zak.</v>
          </cell>
          <cell r="R1286" t="str">
            <v>S. serw.</v>
          </cell>
        </row>
        <row r="1287">
          <cell r="A1287">
            <v>184</v>
          </cell>
          <cell r="B1287">
            <v>4</v>
          </cell>
          <cell r="C1287" t="str">
            <v>pojedyncza chłopców MM</v>
          </cell>
          <cell r="H1287">
            <v>12</v>
          </cell>
          <cell r="I1287">
            <v>21</v>
          </cell>
          <cell r="J1287">
            <v>9</v>
          </cell>
          <cell r="K1287">
            <v>21</v>
          </cell>
          <cell r="P1287">
            <v>0.87152777777777779</v>
          </cell>
          <cell r="R1287">
            <v>0.87152777777777779</v>
          </cell>
          <cell r="S1287" t="str">
            <v>pt 20:20</v>
          </cell>
          <cell r="X1287">
            <v>184</v>
          </cell>
          <cell r="Y1287" t="str">
            <v>pojedyncza chłopców MM</v>
          </cell>
          <cell r="Z1287" t="str">
            <v>K4239</v>
          </cell>
          <cell r="AA1287" t="str">
            <v/>
          </cell>
          <cell r="AB1287" t="str">
            <v>B5059</v>
          </cell>
          <cell r="AC1287" t="str">
            <v/>
          </cell>
          <cell r="AD1287" t="str">
            <v>B5059</v>
          </cell>
          <cell r="AE1287" t="str">
            <v/>
          </cell>
          <cell r="AF1287" t="str">
            <v>21:12,21:9</v>
          </cell>
          <cell r="AG1287" t="str">
            <v>12:21,9:21</v>
          </cell>
          <cell r="AH1287" t="str">
            <v/>
          </cell>
          <cell r="AI1287">
            <v>12</v>
          </cell>
          <cell r="AJ1287">
            <v>21</v>
          </cell>
          <cell r="AK1287">
            <v>9</v>
          </cell>
          <cell r="AL1287">
            <v>21</v>
          </cell>
          <cell r="AM1287">
            <v>0</v>
          </cell>
          <cell r="AN1287">
            <v>0</v>
          </cell>
        </row>
        <row r="1288">
          <cell r="A1288" t="str">
            <v/>
          </cell>
          <cell r="B1288" t="str">
            <v>Paweł KAŹMIERCZYK (UKSB Milenium Warszawa)</v>
          </cell>
          <cell r="H1288" t="str">
            <v>K4239</v>
          </cell>
          <cell r="K1288" t="str">
            <v>B5059</v>
          </cell>
          <cell r="N1288" t="str">
            <v>Adam BIBIK (KSR Wolant Łódź)</v>
          </cell>
        </row>
        <row r="1289">
          <cell r="A1289" t="str">
            <v/>
          </cell>
          <cell r="B1289" t="str">
            <v/>
          </cell>
          <cell r="H1289" t="str">
            <v/>
          </cell>
          <cell r="K1289" t="str">
            <v/>
          </cell>
          <cell r="N1289" t="str">
            <v/>
          </cell>
        </row>
        <row r="1291">
          <cell r="B1291" t="str">
            <v/>
          </cell>
          <cell r="K1291" t="str">
            <v>zwycięzca(cy): 21:12,21:9</v>
          </cell>
        </row>
        <row r="1292">
          <cell r="B1292">
            <v>1</v>
          </cell>
          <cell r="C1292" t="str">
            <v>dzień turnieju.</v>
          </cell>
          <cell r="I1292" t="str">
            <v>Nr meczu</v>
          </cell>
          <cell r="N1292" t="str">
            <v>Godz.</v>
          </cell>
          <cell r="R1292" t="str">
            <v>S. prow.</v>
          </cell>
          <cell r="AF1292" t="str">
            <v>wygrany</v>
          </cell>
          <cell r="AG1292" t="str">
            <v>przegrany</v>
          </cell>
        </row>
        <row r="1293">
          <cell r="B1293" t="str">
            <v>Boisko</v>
          </cell>
          <cell r="C1293" t="str">
            <v>Gra</v>
          </cell>
          <cell r="I1293">
            <v>185</v>
          </cell>
          <cell r="N1293" t="str">
            <v>rozp.</v>
          </cell>
          <cell r="P1293" t="str">
            <v>zak.</v>
          </cell>
          <cell r="R1293" t="str">
            <v>S. serw.</v>
          </cell>
        </row>
        <row r="1294">
          <cell r="A1294">
            <v>185</v>
          </cell>
          <cell r="B1294">
            <v>5</v>
          </cell>
          <cell r="C1294" t="str">
            <v>pojedyncza chłopców MM</v>
          </cell>
          <cell r="H1294">
            <v>21</v>
          </cell>
          <cell r="I1294">
            <v>6</v>
          </cell>
          <cell r="J1294">
            <v>19</v>
          </cell>
          <cell r="K1294">
            <v>21</v>
          </cell>
          <cell r="L1294">
            <v>21</v>
          </cell>
          <cell r="M1294">
            <v>17</v>
          </cell>
          <cell r="P1294">
            <v>0.88263888888888886</v>
          </cell>
          <cell r="R1294">
            <v>0.88263888888888886</v>
          </cell>
          <cell r="S1294" t="str">
            <v>pt 20:20</v>
          </cell>
          <cell r="X1294">
            <v>185</v>
          </cell>
          <cell r="Y1294" t="str">
            <v>pojedyncza chłopców MM</v>
          </cell>
          <cell r="Z1294" t="str">
            <v>M5584</v>
          </cell>
          <cell r="AA1294" t="str">
            <v/>
          </cell>
          <cell r="AB1294" t="str">
            <v>M4698</v>
          </cell>
          <cell r="AC1294" t="str">
            <v/>
          </cell>
          <cell r="AD1294" t="str">
            <v>M5584</v>
          </cell>
          <cell r="AE1294" t="str">
            <v/>
          </cell>
          <cell r="AF1294" t="str">
            <v>21:6,19:21,21:17</v>
          </cell>
          <cell r="AG1294" t="str">
            <v>6:21,21:19,17:21</v>
          </cell>
          <cell r="AH1294" t="str">
            <v/>
          </cell>
          <cell r="AI1294">
            <v>21</v>
          </cell>
          <cell r="AJ1294">
            <v>6</v>
          </cell>
          <cell r="AK1294">
            <v>19</v>
          </cell>
          <cell r="AL1294">
            <v>21</v>
          </cell>
          <cell r="AM1294">
            <v>21</v>
          </cell>
          <cell r="AN1294">
            <v>17</v>
          </cell>
        </row>
        <row r="1295">
          <cell r="A1295" t="str">
            <v/>
          </cell>
          <cell r="B1295" t="str">
            <v>Jakub MAZUR (LKS Technik Głubczyce)</v>
          </cell>
          <cell r="H1295" t="str">
            <v>M5584</v>
          </cell>
          <cell r="K1295" t="str">
            <v>M4698</v>
          </cell>
          <cell r="N1295" t="str">
            <v>Norbert MARKOWSKI (UKS Kometa Sianów)</v>
          </cell>
        </row>
        <row r="1296">
          <cell r="A1296" t="str">
            <v/>
          </cell>
          <cell r="B1296" t="str">
            <v/>
          </cell>
          <cell r="H1296" t="str">
            <v/>
          </cell>
          <cell r="K1296" t="str">
            <v/>
          </cell>
          <cell r="N1296" t="str">
            <v/>
          </cell>
        </row>
        <row r="1298">
          <cell r="B1298" t="str">
            <v>zwycięzca(cy): 21:6,19:21,21:17</v>
          </cell>
          <cell r="K1298" t="str">
            <v/>
          </cell>
        </row>
        <row r="1299">
          <cell r="B1299">
            <v>1</v>
          </cell>
          <cell r="C1299" t="str">
            <v>dzień turnieju.</v>
          </cell>
          <cell r="I1299" t="str">
            <v>Nr meczu</v>
          </cell>
          <cell r="N1299" t="str">
            <v>Godz.</v>
          </cell>
          <cell r="R1299" t="str">
            <v>S. prow.</v>
          </cell>
          <cell r="AF1299" t="str">
            <v>wygrany</v>
          </cell>
          <cell r="AG1299" t="str">
            <v>przegrany</v>
          </cell>
        </row>
        <row r="1300">
          <cell r="B1300" t="str">
            <v>Boisko</v>
          </cell>
          <cell r="C1300" t="str">
            <v>Gra</v>
          </cell>
          <cell r="I1300">
            <v>186</v>
          </cell>
          <cell r="N1300" t="str">
            <v>rozp.</v>
          </cell>
          <cell r="P1300" t="str">
            <v>zak.</v>
          </cell>
          <cell r="R1300" t="str">
            <v>S. serw.</v>
          </cell>
        </row>
        <row r="1301">
          <cell r="A1301">
            <v>186</v>
          </cell>
          <cell r="B1301">
            <v>1</v>
          </cell>
          <cell r="C1301" t="str">
            <v>pojedyncza chłopców MM</v>
          </cell>
          <cell r="H1301">
            <v>0</v>
          </cell>
          <cell r="I1301">
            <v>21</v>
          </cell>
          <cell r="J1301">
            <v>0</v>
          </cell>
          <cell r="K1301">
            <v>21</v>
          </cell>
          <cell r="P1301">
            <v>0.375</v>
          </cell>
          <cell r="R1301">
            <v>0.375</v>
          </cell>
          <cell r="S1301" t="str">
            <v>pt 20:20</v>
          </cell>
          <cell r="X1301">
            <v>186</v>
          </cell>
          <cell r="Y1301" t="str">
            <v>pojedyncza chłopców MM</v>
          </cell>
          <cell r="Z1301" t="str">
            <v>L5819</v>
          </cell>
          <cell r="AA1301" t="str">
            <v/>
          </cell>
          <cell r="AB1301" t="str">
            <v>H5129</v>
          </cell>
          <cell r="AC1301" t="str">
            <v/>
          </cell>
          <cell r="AD1301" t="str">
            <v>H5129</v>
          </cell>
          <cell r="AE1301" t="str">
            <v/>
          </cell>
          <cell r="AF1301" t="str">
            <v>21:0,21:0</v>
          </cell>
          <cell r="AG1301" t="str">
            <v>0:21,0:21</v>
          </cell>
          <cell r="AH1301" t="str">
            <v/>
          </cell>
          <cell r="AI1301">
            <v>0</v>
          </cell>
          <cell r="AJ1301">
            <v>21</v>
          </cell>
          <cell r="AK1301">
            <v>0</v>
          </cell>
          <cell r="AL1301">
            <v>21</v>
          </cell>
          <cell r="AM1301">
            <v>0</v>
          </cell>
          <cell r="AN1301">
            <v>0</v>
          </cell>
        </row>
        <row r="1302">
          <cell r="A1302" t="str">
            <v/>
          </cell>
          <cell r="B1302" t="str">
            <v>Maciej LITEWSKI (UKSB Milenium Warszawa)</v>
          </cell>
          <cell r="H1302" t="str">
            <v>L5819</v>
          </cell>
          <cell r="K1302" t="str">
            <v>H5129</v>
          </cell>
          <cell r="N1302" t="str">
            <v>Natan HEMER (UKS Korona Pabianice)</v>
          </cell>
        </row>
        <row r="1303">
          <cell r="A1303" t="str">
            <v/>
          </cell>
          <cell r="B1303" t="str">
            <v/>
          </cell>
          <cell r="H1303" t="str">
            <v/>
          </cell>
          <cell r="K1303" t="str">
            <v/>
          </cell>
          <cell r="N1303" t="str">
            <v/>
          </cell>
        </row>
        <row r="1305">
          <cell r="B1305" t="str">
            <v/>
          </cell>
          <cell r="K1305" t="str">
            <v>zwycięzca(cy): 21:0,21:0</v>
          </cell>
        </row>
        <row r="1306">
          <cell r="B1306">
            <v>1</v>
          </cell>
          <cell r="C1306" t="str">
            <v>dzień turnieju.</v>
          </cell>
          <cell r="I1306" t="str">
            <v>Nr meczu</v>
          </cell>
          <cell r="N1306" t="str">
            <v>Godz.</v>
          </cell>
          <cell r="R1306" t="str">
            <v>S. prow.</v>
          </cell>
          <cell r="AF1306" t="str">
            <v>wygrany</v>
          </cell>
          <cell r="AG1306" t="str">
            <v>przegrany</v>
          </cell>
        </row>
        <row r="1307">
          <cell r="B1307" t="str">
            <v>Boisko</v>
          </cell>
          <cell r="C1307" t="str">
            <v>Gra</v>
          </cell>
          <cell r="I1307">
            <v>187</v>
          </cell>
          <cell r="N1307" t="str">
            <v>rozp.</v>
          </cell>
          <cell r="P1307" t="str">
            <v>zak.</v>
          </cell>
          <cell r="R1307" t="str">
            <v>S. serw.</v>
          </cell>
        </row>
        <row r="1308">
          <cell r="A1308">
            <v>187</v>
          </cell>
          <cell r="B1308">
            <v>1</v>
          </cell>
          <cell r="C1308" t="str">
            <v>pojedyncza chłopców MM</v>
          </cell>
          <cell r="H1308">
            <v>0</v>
          </cell>
          <cell r="I1308">
            <v>21</v>
          </cell>
          <cell r="J1308">
            <v>0</v>
          </cell>
          <cell r="K1308">
            <v>21</v>
          </cell>
          <cell r="P1308">
            <v>0.375</v>
          </cell>
          <cell r="R1308">
            <v>0.375</v>
          </cell>
          <cell r="S1308" t="str">
            <v>pt 20:20</v>
          </cell>
          <cell r="X1308">
            <v>187</v>
          </cell>
          <cell r="Y1308" t="str">
            <v>pojedyncza chłopców MM</v>
          </cell>
          <cell r="Z1308" t="str">
            <v>X49</v>
          </cell>
          <cell r="AA1308" t="str">
            <v/>
          </cell>
          <cell r="AB1308" t="str">
            <v>G5536</v>
          </cell>
          <cell r="AC1308" t="str">
            <v/>
          </cell>
          <cell r="AD1308" t="str">
            <v>G5536</v>
          </cell>
          <cell r="AE1308" t="str">
            <v/>
          </cell>
          <cell r="AF1308" t="str">
            <v>21:0,21:0</v>
          </cell>
          <cell r="AG1308" t="str">
            <v>0:21,0:21</v>
          </cell>
          <cell r="AH1308" t="str">
            <v/>
          </cell>
          <cell r="AI1308">
            <v>0</v>
          </cell>
          <cell r="AJ1308">
            <v>21</v>
          </cell>
          <cell r="AK1308">
            <v>0</v>
          </cell>
          <cell r="AL1308">
            <v>21</v>
          </cell>
          <cell r="AM1308">
            <v>0</v>
          </cell>
          <cell r="AN1308">
            <v>0</v>
          </cell>
        </row>
        <row r="1309">
          <cell r="A1309" t="str">
            <v/>
          </cell>
          <cell r="B1309" t="str">
            <v>Tomas Miksa  (Slavoj Cesky Tesin)</v>
          </cell>
          <cell r="H1309" t="str">
            <v>X49</v>
          </cell>
          <cell r="K1309" t="str">
            <v>G5536</v>
          </cell>
          <cell r="N1309" t="str">
            <v>Filip GRABOWSKI (SKB Suwałki)</v>
          </cell>
        </row>
        <row r="1310">
          <cell r="A1310" t="str">
            <v/>
          </cell>
          <cell r="B1310" t="str">
            <v/>
          </cell>
          <cell r="H1310" t="str">
            <v/>
          </cell>
          <cell r="K1310" t="str">
            <v/>
          </cell>
          <cell r="N1310" t="str">
            <v/>
          </cell>
        </row>
        <row r="1312">
          <cell r="B1312" t="str">
            <v/>
          </cell>
          <cell r="K1312" t="str">
            <v>zwycięzca(cy): 21:0,21:0</v>
          </cell>
        </row>
        <row r="1313">
          <cell r="B1313">
            <v>1</v>
          </cell>
          <cell r="C1313" t="str">
            <v>dzień turnieju.</v>
          </cell>
          <cell r="I1313" t="str">
            <v>Nr meczu</v>
          </cell>
          <cell r="N1313" t="str">
            <v>Godz.</v>
          </cell>
          <cell r="R1313" t="str">
            <v>S. prow.</v>
          </cell>
          <cell r="AF1313" t="str">
            <v>wygrany</v>
          </cell>
          <cell r="AG1313" t="str">
            <v>przegrany</v>
          </cell>
        </row>
        <row r="1314">
          <cell r="B1314" t="str">
            <v>Boisko</v>
          </cell>
          <cell r="C1314" t="str">
            <v>Gra</v>
          </cell>
          <cell r="I1314">
            <v>188</v>
          </cell>
          <cell r="N1314" t="str">
            <v>rozp.</v>
          </cell>
          <cell r="P1314" t="str">
            <v>zak.</v>
          </cell>
          <cell r="R1314" t="str">
            <v>S. serw.</v>
          </cell>
        </row>
        <row r="1315">
          <cell r="A1315">
            <v>188</v>
          </cell>
          <cell r="B1315">
            <v>1</v>
          </cell>
          <cell r="C1315" t="str">
            <v>pojedyncza chłopców MM</v>
          </cell>
          <cell r="H1315">
            <v>21</v>
          </cell>
          <cell r="I1315">
            <v>12</v>
          </cell>
          <cell r="J1315">
            <v>21</v>
          </cell>
          <cell r="K1315">
            <v>16</v>
          </cell>
          <cell r="P1315">
            <v>0.875</v>
          </cell>
          <cell r="R1315">
            <v>0.875</v>
          </cell>
          <cell r="S1315" t="str">
            <v>pt 20:50</v>
          </cell>
          <cell r="X1315">
            <v>188</v>
          </cell>
          <cell r="Y1315" t="str">
            <v>pojedyncza chłopców MM</v>
          </cell>
          <cell r="Z1315" t="str">
            <v>T5801</v>
          </cell>
          <cell r="AA1315" t="str">
            <v/>
          </cell>
          <cell r="AB1315" t="str">
            <v>R4700</v>
          </cell>
          <cell r="AC1315" t="str">
            <v/>
          </cell>
          <cell r="AD1315" t="str">
            <v>T5801</v>
          </cell>
          <cell r="AE1315" t="str">
            <v/>
          </cell>
          <cell r="AF1315" t="str">
            <v>21:12,21:16</v>
          </cell>
          <cell r="AG1315" t="str">
            <v>12:21,16:21</v>
          </cell>
          <cell r="AH1315" t="str">
            <v/>
          </cell>
          <cell r="AI1315">
            <v>21</v>
          </cell>
          <cell r="AJ1315">
            <v>12</v>
          </cell>
          <cell r="AK1315">
            <v>21</v>
          </cell>
          <cell r="AL1315">
            <v>16</v>
          </cell>
          <cell r="AM1315">
            <v>0</v>
          </cell>
          <cell r="AN1315">
            <v>0</v>
          </cell>
        </row>
        <row r="1316">
          <cell r="A1316" t="str">
            <v/>
          </cell>
          <cell r="B1316" t="str">
            <v>Wiktor TRECKI (UKS Unia Bieruń)</v>
          </cell>
          <cell r="H1316" t="str">
            <v>T5801</v>
          </cell>
          <cell r="K1316" t="str">
            <v>R4700</v>
          </cell>
          <cell r="N1316" t="str">
            <v>Paweł RADZIWON (UKS Hubal Białystok)</v>
          </cell>
        </row>
        <row r="1317">
          <cell r="A1317" t="str">
            <v/>
          </cell>
          <cell r="B1317" t="str">
            <v/>
          </cell>
          <cell r="H1317" t="str">
            <v/>
          </cell>
          <cell r="K1317" t="str">
            <v/>
          </cell>
          <cell r="N1317" t="str">
            <v/>
          </cell>
        </row>
        <row r="1319">
          <cell r="B1319" t="str">
            <v>zwycięzca(cy): 21:12,21:16</v>
          </cell>
          <cell r="K1319" t="str">
            <v/>
          </cell>
        </row>
        <row r="1320">
          <cell r="B1320">
            <v>1</v>
          </cell>
          <cell r="C1320" t="str">
            <v>dzień turnieju.</v>
          </cell>
          <cell r="I1320" t="str">
            <v>Nr meczu</v>
          </cell>
          <cell r="N1320" t="str">
            <v>Godz.</v>
          </cell>
          <cell r="R1320" t="str">
            <v>S. prow.</v>
          </cell>
          <cell r="AF1320" t="str">
            <v>wygrany</v>
          </cell>
          <cell r="AG1320" t="str">
            <v>przegrany</v>
          </cell>
        </row>
        <row r="1321">
          <cell r="B1321" t="str">
            <v>Boisko</v>
          </cell>
          <cell r="C1321" t="str">
            <v>Gra</v>
          </cell>
          <cell r="I1321">
            <v>189</v>
          </cell>
          <cell r="N1321" t="str">
            <v>rozp.</v>
          </cell>
          <cell r="P1321" t="str">
            <v>zak.</v>
          </cell>
          <cell r="R1321" t="str">
            <v>S. serw.</v>
          </cell>
        </row>
        <row r="1322">
          <cell r="A1322">
            <v>189</v>
          </cell>
          <cell r="B1322">
            <v>4</v>
          </cell>
          <cell r="C1322" t="str">
            <v>pojedyncza chłopców MM</v>
          </cell>
          <cell r="H1322">
            <v>21</v>
          </cell>
          <cell r="I1322">
            <v>8</v>
          </cell>
          <cell r="J1322">
            <v>21</v>
          </cell>
          <cell r="K1322">
            <v>9</v>
          </cell>
          <cell r="P1322">
            <v>0.88194444444444453</v>
          </cell>
          <cell r="R1322">
            <v>0.88194444444444453</v>
          </cell>
          <cell r="S1322" t="str">
            <v>pt 20:50</v>
          </cell>
          <cell r="X1322">
            <v>189</v>
          </cell>
          <cell r="Y1322" t="str">
            <v>pojedyncza chłopców MM</v>
          </cell>
          <cell r="Z1322" t="str">
            <v>G4725</v>
          </cell>
          <cell r="AA1322" t="str">
            <v/>
          </cell>
          <cell r="AB1322" t="str">
            <v>U5145</v>
          </cell>
          <cell r="AC1322" t="str">
            <v/>
          </cell>
          <cell r="AD1322" t="str">
            <v>G4725</v>
          </cell>
          <cell r="AE1322" t="str">
            <v/>
          </cell>
          <cell r="AF1322" t="str">
            <v>21:8,21:9</v>
          </cell>
          <cell r="AG1322" t="str">
            <v>8:21,9:21</v>
          </cell>
          <cell r="AH1322" t="str">
            <v/>
          </cell>
          <cell r="AI1322">
            <v>21</v>
          </cell>
          <cell r="AJ1322">
            <v>8</v>
          </cell>
          <cell r="AK1322">
            <v>21</v>
          </cell>
          <cell r="AL1322">
            <v>9</v>
          </cell>
          <cell r="AM1322">
            <v>0</v>
          </cell>
          <cell r="AN1322">
            <v>0</v>
          </cell>
        </row>
        <row r="1323">
          <cell r="A1323" t="str">
            <v/>
          </cell>
          <cell r="B1323" t="str">
            <v>Bartosz GAŁĄZKA (LKS Technik Głubczyce)</v>
          </cell>
          <cell r="H1323" t="str">
            <v>G4725</v>
          </cell>
          <cell r="K1323" t="str">
            <v>U5145</v>
          </cell>
          <cell r="N1323" t="str">
            <v>Maciej URBANIAK (UKS Kopernik Słupca)</v>
          </cell>
        </row>
        <row r="1324">
          <cell r="A1324" t="str">
            <v/>
          </cell>
          <cell r="B1324" t="str">
            <v/>
          </cell>
          <cell r="H1324" t="str">
            <v/>
          </cell>
          <cell r="K1324" t="str">
            <v/>
          </cell>
          <cell r="N1324" t="str">
            <v/>
          </cell>
        </row>
        <row r="1326">
          <cell r="B1326" t="str">
            <v>zwycięzca(cy): 21:8,21:9</v>
          </cell>
          <cell r="K1326" t="str">
            <v/>
          </cell>
        </row>
        <row r="1327">
          <cell r="B1327">
            <v>1</v>
          </cell>
          <cell r="C1327" t="str">
            <v>dzień turnieju.</v>
          </cell>
          <cell r="I1327" t="str">
            <v>Nr meczu</v>
          </cell>
          <cell r="N1327" t="str">
            <v>Godz.</v>
          </cell>
          <cell r="R1327" t="str">
            <v>S. prow.</v>
          </cell>
          <cell r="AF1327" t="str">
            <v>wygrany</v>
          </cell>
          <cell r="AG1327" t="str">
            <v>przegrany</v>
          </cell>
        </row>
        <row r="1328">
          <cell r="B1328" t="str">
            <v>Boisko</v>
          </cell>
          <cell r="C1328" t="str">
            <v>Gra</v>
          </cell>
          <cell r="I1328">
            <v>190</v>
          </cell>
          <cell r="N1328" t="str">
            <v>rozp.</v>
          </cell>
          <cell r="P1328" t="str">
            <v>zak.</v>
          </cell>
          <cell r="R1328" t="str">
            <v>S. serw.</v>
          </cell>
        </row>
        <row r="1329">
          <cell r="A1329">
            <v>190</v>
          </cell>
          <cell r="B1329">
            <v>2</v>
          </cell>
          <cell r="C1329" t="str">
            <v>pojedyncza chłopców MM</v>
          </cell>
          <cell r="H1329">
            <v>21</v>
          </cell>
          <cell r="I1329">
            <v>4</v>
          </cell>
          <cell r="J1329">
            <v>21</v>
          </cell>
          <cell r="K1329">
            <v>9</v>
          </cell>
          <cell r="P1329">
            <v>0.88611111111111107</v>
          </cell>
          <cell r="R1329">
            <v>0.88611111111111107</v>
          </cell>
          <cell r="S1329" t="str">
            <v>pt 20:50</v>
          </cell>
          <cell r="X1329">
            <v>190</v>
          </cell>
          <cell r="Y1329" t="str">
            <v>pojedyncza chłopców MM</v>
          </cell>
          <cell r="Z1329" t="str">
            <v>X08</v>
          </cell>
          <cell r="AA1329" t="str">
            <v/>
          </cell>
          <cell r="AB1329" t="str">
            <v>S5068</v>
          </cell>
          <cell r="AC1329" t="str">
            <v/>
          </cell>
          <cell r="AD1329" t="str">
            <v>X08</v>
          </cell>
          <cell r="AE1329" t="str">
            <v/>
          </cell>
          <cell r="AF1329" t="str">
            <v>21:4,21:9</v>
          </cell>
          <cell r="AG1329" t="str">
            <v>4:21,9:21</v>
          </cell>
          <cell r="AH1329" t="str">
            <v/>
          </cell>
          <cell r="AI1329">
            <v>21</v>
          </cell>
          <cell r="AJ1329">
            <v>4</v>
          </cell>
          <cell r="AK1329">
            <v>21</v>
          </cell>
          <cell r="AL1329">
            <v>9</v>
          </cell>
          <cell r="AM1329">
            <v>0</v>
          </cell>
          <cell r="AN1329">
            <v>0</v>
          </cell>
        </row>
        <row r="1330">
          <cell r="A1330" t="str">
            <v/>
          </cell>
          <cell r="B1330" t="str">
            <v>Ilia LARUSIN (Brześć Białoruś)</v>
          </cell>
          <cell r="H1330" t="str">
            <v>X08</v>
          </cell>
          <cell r="K1330" t="str">
            <v>S5068</v>
          </cell>
          <cell r="N1330" t="str">
            <v>Stanisław SIERZPUTOWSKI (AZSUW Warszawa)</v>
          </cell>
        </row>
        <row r="1331">
          <cell r="A1331" t="str">
            <v/>
          </cell>
          <cell r="B1331" t="str">
            <v/>
          </cell>
          <cell r="H1331" t="str">
            <v/>
          </cell>
          <cell r="K1331" t="str">
            <v/>
          </cell>
          <cell r="N1331" t="str">
            <v/>
          </cell>
        </row>
        <row r="1333">
          <cell r="B1333" t="str">
            <v>zwycięzca(cy): 21:4,21:9</v>
          </cell>
          <cell r="K1333" t="str">
            <v/>
          </cell>
        </row>
        <row r="1334">
          <cell r="B1334">
            <v>1</v>
          </cell>
          <cell r="C1334" t="str">
            <v>dzień turnieju.</v>
          </cell>
          <cell r="I1334" t="str">
            <v>Nr meczu</v>
          </cell>
          <cell r="N1334" t="str">
            <v>Godz.</v>
          </cell>
          <cell r="R1334" t="str">
            <v>S. prow.</v>
          </cell>
          <cell r="AF1334" t="str">
            <v>wygrany</v>
          </cell>
          <cell r="AG1334" t="str">
            <v>przegrany</v>
          </cell>
        </row>
        <row r="1335">
          <cell r="B1335" t="str">
            <v>Boisko</v>
          </cell>
          <cell r="C1335" t="str">
            <v>Gra</v>
          </cell>
          <cell r="I1335">
            <v>191</v>
          </cell>
          <cell r="N1335" t="str">
            <v>rozp.</v>
          </cell>
          <cell r="P1335" t="str">
            <v>zak.</v>
          </cell>
          <cell r="R1335" t="str">
            <v>S. serw.</v>
          </cell>
        </row>
        <row r="1336">
          <cell r="A1336">
            <v>191</v>
          </cell>
          <cell r="B1336">
            <v>6</v>
          </cell>
          <cell r="C1336" t="str">
            <v>pojedyncza chłopców MM</v>
          </cell>
          <cell r="H1336">
            <v>18</v>
          </cell>
          <cell r="I1336">
            <v>21</v>
          </cell>
          <cell r="J1336">
            <v>21</v>
          </cell>
          <cell r="K1336">
            <v>14</v>
          </cell>
          <cell r="L1336">
            <v>18</v>
          </cell>
          <cell r="M1336">
            <v>21</v>
          </cell>
          <cell r="P1336">
            <v>0.375</v>
          </cell>
          <cell r="R1336">
            <v>0.375</v>
          </cell>
          <cell r="S1336" t="str">
            <v>pt 20:50</v>
          </cell>
          <cell r="X1336">
            <v>191</v>
          </cell>
          <cell r="Y1336" t="str">
            <v>pojedyncza chłopców MM</v>
          </cell>
          <cell r="Z1336" t="str">
            <v>G5128</v>
          </cell>
          <cell r="AA1336" t="str">
            <v/>
          </cell>
          <cell r="AB1336" t="str">
            <v>P5350</v>
          </cell>
          <cell r="AC1336" t="str">
            <v/>
          </cell>
          <cell r="AD1336" t="str">
            <v>P5350</v>
          </cell>
          <cell r="AE1336" t="str">
            <v/>
          </cell>
          <cell r="AF1336" t="str">
            <v>21:18,14:21,21:18</v>
          </cell>
          <cell r="AG1336" t="str">
            <v>18:21,21:14,18:21</v>
          </cell>
          <cell r="AH1336" t="str">
            <v/>
          </cell>
          <cell r="AI1336">
            <v>18</v>
          </cell>
          <cell r="AJ1336">
            <v>21</v>
          </cell>
          <cell r="AK1336">
            <v>21</v>
          </cell>
          <cell r="AL1336">
            <v>14</v>
          </cell>
          <cell r="AM1336">
            <v>18</v>
          </cell>
          <cell r="AN1336">
            <v>21</v>
          </cell>
        </row>
        <row r="1337">
          <cell r="A1337" t="str">
            <v/>
          </cell>
          <cell r="B1337" t="str">
            <v>Artur GWIAZDOWSKI (UKS Korona Pabianice)</v>
          </cell>
          <cell r="H1337" t="str">
            <v>G5128</v>
          </cell>
          <cell r="K1337" t="str">
            <v>P5350</v>
          </cell>
          <cell r="N1337" t="str">
            <v>Miłosz PIOTROWSKI (UKS Kiko Zamość)</v>
          </cell>
        </row>
        <row r="1338">
          <cell r="A1338" t="str">
            <v/>
          </cell>
          <cell r="B1338" t="str">
            <v/>
          </cell>
          <cell r="H1338" t="str">
            <v/>
          </cell>
          <cell r="K1338" t="str">
            <v/>
          </cell>
          <cell r="N1338" t="str">
            <v/>
          </cell>
        </row>
        <row r="1340">
          <cell r="B1340" t="str">
            <v/>
          </cell>
          <cell r="K1340" t="str">
            <v>zwycięzca(cy): 21:18,14:21,21:18</v>
          </cell>
        </row>
        <row r="1341">
          <cell r="B1341">
            <v>1</v>
          </cell>
          <cell r="C1341" t="str">
            <v>dzień turnieju.</v>
          </cell>
          <cell r="I1341" t="str">
            <v>Nr meczu</v>
          </cell>
          <cell r="N1341" t="str">
            <v>Godz.</v>
          </cell>
          <cell r="R1341" t="str">
            <v>S. prow.</v>
          </cell>
          <cell r="AF1341" t="str">
            <v>wygrany</v>
          </cell>
          <cell r="AG1341" t="str">
            <v>przegrany</v>
          </cell>
        </row>
        <row r="1342">
          <cell r="B1342" t="str">
            <v>Boisko</v>
          </cell>
          <cell r="C1342" t="str">
            <v>Gra</v>
          </cell>
          <cell r="I1342">
            <v>192</v>
          </cell>
          <cell r="N1342" t="str">
            <v>rozp.</v>
          </cell>
          <cell r="P1342" t="str">
            <v>zak.</v>
          </cell>
          <cell r="R1342" t="str">
            <v>S. serw.</v>
          </cell>
        </row>
        <row r="1343">
          <cell r="A1343">
            <v>192</v>
          </cell>
          <cell r="B1343">
            <v>1</v>
          </cell>
          <cell r="C1343" t="str">
            <v>pojedyncza chłopców MM</v>
          </cell>
          <cell r="H1343">
            <v>21</v>
          </cell>
          <cell r="I1343">
            <v>16</v>
          </cell>
          <cell r="J1343">
            <v>21</v>
          </cell>
          <cell r="K1343">
            <v>18</v>
          </cell>
          <cell r="P1343">
            <v>0.89236111111111116</v>
          </cell>
          <cell r="R1343">
            <v>0.89236111111111116</v>
          </cell>
          <cell r="S1343" t="str">
            <v>pt 20:50</v>
          </cell>
          <cell r="X1343">
            <v>192</v>
          </cell>
          <cell r="Y1343" t="str">
            <v>pojedyncza chłopców MM</v>
          </cell>
          <cell r="Z1343" t="str">
            <v>K4702</v>
          </cell>
          <cell r="AA1343" t="str">
            <v/>
          </cell>
          <cell r="AB1343" t="str">
            <v>G5026</v>
          </cell>
          <cell r="AC1343" t="str">
            <v/>
          </cell>
          <cell r="AD1343" t="str">
            <v>K4702</v>
          </cell>
          <cell r="AE1343" t="str">
            <v/>
          </cell>
          <cell r="AF1343" t="str">
            <v>21:16,21:18</v>
          </cell>
          <cell r="AG1343" t="str">
            <v>16:21,18:21</v>
          </cell>
          <cell r="AH1343" t="str">
            <v/>
          </cell>
          <cell r="AI1343">
            <v>21</v>
          </cell>
          <cell r="AJ1343">
            <v>16</v>
          </cell>
          <cell r="AK1343">
            <v>21</v>
          </cell>
          <cell r="AL1343">
            <v>18</v>
          </cell>
          <cell r="AM1343">
            <v>0</v>
          </cell>
          <cell r="AN1343">
            <v>0</v>
          </cell>
        </row>
        <row r="1344">
          <cell r="A1344" t="str">
            <v/>
          </cell>
          <cell r="B1344" t="str">
            <v>Kacper KOPACZ (UTS Akro-Bad Warszawa)</v>
          </cell>
          <cell r="H1344" t="str">
            <v>K4702</v>
          </cell>
          <cell r="K1344" t="str">
            <v>G5026</v>
          </cell>
          <cell r="N1344" t="str">
            <v>Maciej GAJEWSKI (MKS Strzelce Opolskie)</v>
          </cell>
        </row>
        <row r="1345">
          <cell r="A1345" t="str">
            <v/>
          </cell>
          <cell r="B1345" t="str">
            <v/>
          </cell>
          <cell r="H1345" t="str">
            <v/>
          </cell>
          <cell r="K1345" t="str">
            <v/>
          </cell>
          <cell r="N1345" t="str">
            <v/>
          </cell>
        </row>
        <row r="1347">
          <cell r="B1347" t="str">
            <v>zwycięzca(cy): 21:16,21:18</v>
          </cell>
          <cell r="K1347" t="str">
            <v/>
          </cell>
        </row>
        <row r="1348">
          <cell r="B1348">
            <v>1</v>
          </cell>
          <cell r="C1348" t="str">
            <v>dzień turnieju.</v>
          </cell>
          <cell r="I1348" t="str">
            <v>Nr meczu</v>
          </cell>
          <cell r="N1348" t="str">
            <v>Godz.</v>
          </cell>
          <cell r="R1348" t="str">
            <v>S. prow.</v>
          </cell>
          <cell r="AF1348" t="str">
            <v>wygrany</v>
          </cell>
          <cell r="AG1348" t="str">
            <v>przegrany</v>
          </cell>
        </row>
        <row r="1349">
          <cell r="B1349" t="str">
            <v>Boisko</v>
          </cell>
          <cell r="C1349" t="str">
            <v>Gra</v>
          </cell>
          <cell r="I1349">
            <v>193</v>
          </cell>
          <cell r="N1349" t="str">
            <v>rozp.</v>
          </cell>
          <cell r="P1349" t="str">
            <v>zak.</v>
          </cell>
          <cell r="R1349" t="str">
            <v>S. serw.</v>
          </cell>
        </row>
        <row r="1350">
          <cell r="A1350">
            <v>193</v>
          </cell>
          <cell r="B1350">
            <v>1</v>
          </cell>
          <cell r="C1350" t="str">
            <v>pojedyncza chłopców MM</v>
          </cell>
          <cell r="H1350">
            <v>0</v>
          </cell>
          <cell r="I1350">
            <v>21</v>
          </cell>
          <cell r="J1350">
            <v>0</v>
          </cell>
          <cell r="K1350">
            <v>21</v>
          </cell>
          <cell r="P1350">
            <v>0.375</v>
          </cell>
          <cell r="R1350">
            <v>0.375</v>
          </cell>
          <cell r="S1350" t="str">
            <v>pt 20:50</v>
          </cell>
          <cell r="X1350">
            <v>193</v>
          </cell>
          <cell r="Y1350" t="str">
            <v>pojedyncza chłopców MM</v>
          </cell>
          <cell r="Z1350" t="str">
            <v>S5627</v>
          </cell>
          <cell r="AA1350" t="str">
            <v/>
          </cell>
          <cell r="AB1350" t="str">
            <v>P5601</v>
          </cell>
          <cell r="AC1350" t="str">
            <v/>
          </cell>
          <cell r="AD1350" t="str">
            <v>P5601</v>
          </cell>
          <cell r="AE1350" t="str">
            <v/>
          </cell>
          <cell r="AF1350" t="str">
            <v>21:0,21:0</v>
          </cell>
          <cell r="AG1350" t="str">
            <v>0:21,0:21</v>
          </cell>
          <cell r="AH1350" t="str">
            <v/>
          </cell>
          <cell r="AI1350">
            <v>0</v>
          </cell>
          <cell r="AJ1350">
            <v>21</v>
          </cell>
          <cell r="AK1350">
            <v>0</v>
          </cell>
          <cell r="AL1350">
            <v>21</v>
          </cell>
          <cell r="AM1350">
            <v>0</v>
          </cell>
          <cell r="AN1350">
            <v>0</v>
          </cell>
        </row>
        <row r="1351">
          <cell r="A1351" t="str">
            <v/>
          </cell>
          <cell r="B1351" t="str">
            <v>Piotr SIERZPUTOWSKI (ULKS U-2 Lotka Bytów)</v>
          </cell>
          <cell r="H1351" t="str">
            <v>S5627</v>
          </cell>
          <cell r="K1351" t="str">
            <v>P5601</v>
          </cell>
          <cell r="N1351" t="str">
            <v>Hubert PUCIŁOWSKI (UKS Hubal Białystok)</v>
          </cell>
        </row>
        <row r="1352">
          <cell r="A1352" t="str">
            <v/>
          </cell>
          <cell r="B1352" t="str">
            <v/>
          </cell>
          <cell r="H1352" t="str">
            <v/>
          </cell>
          <cell r="K1352" t="str">
            <v/>
          </cell>
          <cell r="N1352" t="str">
            <v/>
          </cell>
        </row>
        <row r="1354">
          <cell r="B1354" t="str">
            <v/>
          </cell>
          <cell r="K1354" t="str">
            <v>zwycięzca(cy): 21:0,21:0</v>
          </cell>
        </row>
        <row r="1355">
          <cell r="B1355">
            <v>1</v>
          </cell>
          <cell r="C1355" t="str">
            <v>dzień turnieju.</v>
          </cell>
          <cell r="I1355" t="str">
            <v>Nr meczu</v>
          </cell>
          <cell r="N1355" t="str">
            <v>Godz.</v>
          </cell>
          <cell r="R1355" t="str">
            <v>S. prow.</v>
          </cell>
          <cell r="AF1355" t="str">
            <v>wygrany</v>
          </cell>
          <cell r="AG1355" t="str">
            <v>przegrany</v>
          </cell>
        </row>
        <row r="1356">
          <cell r="B1356" t="str">
            <v>Boisko</v>
          </cell>
          <cell r="C1356" t="str">
            <v>Gra</v>
          </cell>
          <cell r="I1356">
            <v>194</v>
          </cell>
          <cell r="N1356" t="str">
            <v>rozp.</v>
          </cell>
          <cell r="P1356" t="str">
            <v>zak.</v>
          </cell>
          <cell r="R1356" t="str">
            <v>S. serw.</v>
          </cell>
        </row>
        <row r="1357">
          <cell r="A1357">
            <v>194</v>
          </cell>
          <cell r="B1357">
            <v>3</v>
          </cell>
          <cell r="C1357" t="str">
            <v>pojedyncza chłopców MM</v>
          </cell>
          <cell r="H1357">
            <v>21</v>
          </cell>
          <cell r="I1357">
            <v>5</v>
          </cell>
          <cell r="J1357">
            <v>21</v>
          </cell>
          <cell r="K1357">
            <v>17</v>
          </cell>
          <cell r="P1357">
            <v>0.89583333333333337</v>
          </cell>
          <cell r="R1357">
            <v>0.89583333333333337</v>
          </cell>
          <cell r="S1357" t="str">
            <v>pt 20:50</v>
          </cell>
          <cell r="X1357">
            <v>194</v>
          </cell>
          <cell r="Y1357" t="str">
            <v>pojedyncza chłopców MM</v>
          </cell>
          <cell r="Z1357" t="str">
            <v>M5475</v>
          </cell>
          <cell r="AA1357" t="str">
            <v/>
          </cell>
          <cell r="AB1357" t="str">
            <v>J5015</v>
          </cell>
          <cell r="AC1357" t="str">
            <v/>
          </cell>
          <cell r="AD1357" t="str">
            <v>M5475</v>
          </cell>
          <cell r="AE1357" t="str">
            <v/>
          </cell>
          <cell r="AF1357" t="str">
            <v>21:5,21:17</v>
          </cell>
          <cell r="AG1357" t="str">
            <v>5:21,17:21</v>
          </cell>
          <cell r="AH1357" t="str">
            <v/>
          </cell>
          <cell r="AI1357">
            <v>21</v>
          </cell>
          <cell r="AJ1357">
            <v>5</v>
          </cell>
          <cell r="AK1357">
            <v>21</v>
          </cell>
          <cell r="AL1357">
            <v>17</v>
          </cell>
          <cell r="AM1357">
            <v>0</v>
          </cell>
          <cell r="AN1357">
            <v>0</v>
          </cell>
        </row>
        <row r="1358">
          <cell r="A1358" t="str">
            <v/>
          </cell>
          <cell r="B1358" t="str">
            <v>Jakub MYSŁOWSKI (UKS Iskra Sarbice)</v>
          </cell>
          <cell r="H1358" t="str">
            <v>M5475</v>
          </cell>
          <cell r="K1358" t="str">
            <v>J5015</v>
          </cell>
          <cell r="N1358" t="str">
            <v>Jakub JAGODZIŃSKI (UKSB Milenium Warszawa)</v>
          </cell>
        </row>
        <row r="1359">
          <cell r="A1359" t="str">
            <v/>
          </cell>
          <cell r="B1359" t="str">
            <v/>
          </cell>
          <cell r="H1359" t="str">
            <v/>
          </cell>
          <cell r="K1359" t="str">
            <v/>
          </cell>
          <cell r="N1359" t="str">
            <v/>
          </cell>
        </row>
        <row r="1361">
          <cell r="B1361" t="str">
            <v>zwycięzca(cy): 21:5,21:17</v>
          </cell>
          <cell r="K1361" t="str">
            <v/>
          </cell>
        </row>
        <row r="1362">
          <cell r="B1362">
            <v>1</v>
          </cell>
          <cell r="C1362" t="str">
            <v>dzień turnieju.</v>
          </cell>
          <cell r="I1362" t="str">
            <v>Nr meczu</v>
          </cell>
          <cell r="N1362" t="str">
            <v>Godz.</v>
          </cell>
          <cell r="R1362" t="str">
            <v>S. prow.</v>
          </cell>
          <cell r="AF1362" t="str">
            <v>wygrany</v>
          </cell>
          <cell r="AG1362" t="str">
            <v>przegrany</v>
          </cell>
        </row>
        <row r="1363">
          <cell r="B1363" t="str">
            <v>Boisko</v>
          </cell>
          <cell r="C1363" t="str">
            <v>Gra</v>
          </cell>
          <cell r="I1363">
            <v>195</v>
          </cell>
          <cell r="N1363" t="str">
            <v>rozp.</v>
          </cell>
          <cell r="P1363" t="str">
            <v>zak.</v>
          </cell>
          <cell r="R1363" t="str">
            <v>S. serw.</v>
          </cell>
        </row>
        <row r="1364">
          <cell r="A1364">
            <v>195</v>
          </cell>
          <cell r="B1364">
            <v>1</v>
          </cell>
          <cell r="C1364" t="str">
            <v>pojedyncza chłopców MM</v>
          </cell>
          <cell r="H1364">
            <v>21</v>
          </cell>
          <cell r="I1364">
            <v>0</v>
          </cell>
          <cell r="J1364">
            <v>21</v>
          </cell>
          <cell r="K1364">
            <v>0</v>
          </cell>
          <cell r="P1364">
            <v>0.375</v>
          </cell>
          <cell r="R1364">
            <v>0.375</v>
          </cell>
          <cell r="S1364" t="str">
            <v>pt 20:50</v>
          </cell>
          <cell r="X1364">
            <v>195</v>
          </cell>
          <cell r="Y1364" t="str">
            <v>pojedyncza chłopców MM</v>
          </cell>
          <cell r="Z1364" t="str">
            <v>F4888</v>
          </cell>
          <cell r="AA1364" t="str">
            <v/>
          </cell>
          <cell r="AB1364" t="str">
            <v>X48</v>
          </cell>
          <cell r="AC1364" t="str">
            <v/>
          </cell>
          <cell r="AD1364" t="str">
            <v>F4888</v>
          </cell>
          <cell r="AE1364" t="str">
            <v/>
          </cell>
          <cell r="AF1364" t="str">
            <v>21:0,21:0</v>
          </cell>
          <cell r="AG1364" t="str">
            <v>0:21,0:21</v>
          </cell>
          <cell r="AH1364" t="str">
            <v/>
          </cell>
          <cell r="AI1364">
            <v>21</v>
          </cell>
          <cell r="AJ1364">
            <v>0</v>
          </cell>
          <cell r="AK1364">
            <v>21</v>
          </cell>
          <cell r="AL1364">
            <v>0</v>
          </cell>
          <cell r="AM1364">
            <v>0</v>
          </cell>
          <cell r="AN1364">
            <v>0</v>
          </cell>
        </row>
        <row r="1365">
          <cell r="A1365" t="str">
            <v/>
          </cell>
          <cell r="B1365" t="str">
            <v>Jarosław FIJAŁKOWSKI (UKSB Milenium Warszawa)</v>
          </cell>
          <cell r="H1365" t="str">
            <v>F4888</v>
          </cell>
          <cell r="K1365" t="str">
            <v>X48</v>
          </cell>
          <cell r="N1365" t="str">
            <v>Tom Kůr  (Slavoj Cesky Tesin)</v>
          </cell>
        </row>
        <row r="1366">
          <cell r="A1366" t="str">
            <v/>
          </cell>
          <cell r="B1366" t="str">
            <v/>
          </cell>
          <cell r="H1366" t="str">
            <v/>
          </cell>
          <cell r="K1366" t="str">
            <v/>
          </cell>
          <cell r="N1366" t="str">
            <v/>
          </cell>
        </row>
        <row r="1368">
          <cell r="B1368" t="str">
            <v>zwycięzca(cy): 21:0,21:0</v>
          </cell>
          <cell r="K1368" t="str">
            <v/>
          </cell>
        </row>
        <row r="1369">
          <cell r="B1369">
            <v>1</v>
          </cell>
          <cell r="C1369" t="str">
            <v>dzień turnieju.</v>
          </cell>
          <cell r="I1369" t="str">
            <v>Nr meczu</v>
          </cell>
          <cell r="N1369" t="str">
            <v>Godz.</v>
          </cell>
          <cell r="R1369" t="str">
            <v>S. prow.</v>
          </cell>
          <cell r="AF1369" t="str">
            <v>wygrany</v>
          </cell>
          <cell r="AG1369" t="str">
            <v>przegrany</v>
          </cell>
        </row>
        <row r="1370">
          <cell r="B1370" t="str">
            <v>Boisko</v>
          </cell>
          <cell r="C1370" t="str">
            <v>Gra</v>
          </cell>
          <cell r="I1370">
            <v>196</v>
          </cell>
          <cell r="N1370" t="str">
            <v>rozp.</v>
          </cell>
          <cell r="P1370" t="str">
            <v>zak.</v>
          </cell>
          <cell r="R1370" t="str">
            <v>S. serw.</v>
          </cell>
        </row>
        <row r="1371">
          <cell r="A1371">
            <v>196</v>
          </cell>
          <cell r="B1371">
            <v>5</v>
          </cell>
          <cell r="C1371" t="str">
            <v>pojedyncza chłopców MM</v>
          </cell>
          <cell r="H1371">
            <v>21</v>
          </cell>
          <cell r="I1371">
            <v>15</v>
          </cell>
          <cell r="J1371">
            <v>21</v>
          </cell>
          <cell r="K1371">
            <v>6</v>
          </cell>
          <cell r="P1371">
            <v>0.89583333333333337</v>
          </cell>
          <cell r="R1371">
            <v>0.89583333333333337</v>
          </cell>
          <cell r="S1371" t="str">
            <v>pt 20:50</v>
          </cell>
          <cell r="X1371">
            <v>196</v>
          </cell>
          <cell r="Y1371" t="str">
            <v>pojedyncza chłopców MM</v>
          </cell>
          <cell r="Z1371" t="str">
            <v>B4655</v>
          </cell>
          <cell r="AA1371" t="str">
            <v/>
          </cell>
          <cell r="AB1371" t="str">
            <v>P5629</v>
          </cell>
          <cell r="AC1371" t="str">
            <v/>
          </cell>
          <cell r="AD1371" t="str">
            <v>B4655</v>
          </cell>
          <cell r="AE1371" t="str">
            <v/>
          </cell>
          <cell r="AF1371" t="str">
            <v>21:15,21:6</v>
          </cell>
          <cell r="AG1371" t="str">
            <v>15:21,6:21</v>
          </cell>
          <cell r="AH1371" t="str">
            <v/>
          </cell>
          <cell r="AI1371">
            <v>21</v>
          </cell>
          <cell r="AJ1371">
            <v>15</v>
          </cell>
          <cell r="AK1371">
            <v>21</v>
          </cell>
          <cell r="AL1371">
            <v>6</v>
          </cell>
          <cell r="AM1371">
            <v>0</v>
          </cell>
          <cell r="AN1371">
            <v>0</v>
          </cell>
        </row>
        <row r="1372">
          <cell r="A1372" t="str">
            <v/>
          </cell>
          <cell r="B1372" t="str">
            <v>Sebastian BILBIN (SKB Suwałki)</v>
          </cell>
          <cell r="H1372" t="str">
            <v>B4655</v>
          </cell>
          <cell r="K1372" t="str">
            <v>P5629</v>
          </cell>
          <cell r="N1372" t="str">
            <v>Konrad PIECH (UKS Hubal Białystok)</v>
          </cell>
        </row>
        <row r="1373">
          <cell r="A1373" t="str">
            <v/>
          </cell>
          <cell r="B1373" t="str">
            <v/>
          </cell>
          <cell r="H1373" t="str">
            <v/>
          </cell>
          <cell r="K1373" t="str">
            <v/>
          </cell>
          <cell r="N1373" t="str">
            <v/>
          </cell>
        </row>
        <row r="1375">
          <cell r="B1375" t="str">
            <v>zwycięzca(cy): 21:15,21:6</v>
          </cell>
          <cell r="K1375" t="str">
            <v/>
          </cell>
        </row>
        <row r="1376">
          <cell r="B1376">
            <v>1</v>
          </cell>
          <cell r="C1376" t="str">
            <v>dzień turnieju.</v>
          </cell>
          <cell r="I1376" t="str">
            <v>Nr meczu</v>
          </cell>
          <cell r="N1376" t="str">
            <v>Godz.</v>
          </cell>
          <cell r="R1376" t="str">
            <v>S. prow.</v>
          </cell>
          <cell r="AF1376" t="str">
            <v>wygrany</v>
          </cell>
          <cell r="AG1376" t="str">
            <v>przegrany</v>
          </cell>
        </row>
        <row r="1377">
          <cell r="B1377" t="str">
            <v>Boisko</v>
          </cell>
          <cell r="C1377" t="str">
            <v>Gra</v>
          </cell>
          <cell r="I1377">
            <v>197</v>
          </cell>
          <cell r="N1377" t="str">
            <v>rozp.</v>
          </cell>
          <cell r="P1377" t="str">
            <v>zak.</v>
          </cell>
          <cell r="R1377" t="str">
            <v>S. serw.</v>
          </cell>
        </row>
        <row r="1378">
          <cell r="A1378">
            <v>197</v>
          </cell>
          <cell r="B1378">
            <v>1</v>
          </cell>
          <cell r="C1378" t="str">
            <v>mieszana MM</v>
          </cell>
          <cell r="H1378">
            <v>12</v>
          </cell>
          <cell r="I1378">
            <v>21</v>
          </cell>
          <cell r="J1378">
            <v>21</v>
          </cell>
          <cell r="K1378">
            <v>13</v>
          </cell>
          <cell r="L1378">
            <v>21</v>
          </cell>
          <cell r="M1378">
            <v>16</v>
          </cell>
          <cell r="P1378">
            <v>0.92708333333333337</v>
          </cell>
          <cell r="R1378">
            <v>0.92708333333333337</v>
          </cell>
          <cell r="S1378" t="str">
            <v>pt 21:20</v>
          </cell>
          <cell r="X1378">
            <v>197</v>
          </cell>
          <cell r="Y1378" t="str">
            <v>mieszana MM</v>
          </cell>
          <cell r="Z1378" t="str">
            <v>M5475</v>
          </cell>
          <cell r="AA1378" t="str">
            <v>P5477</v>
          </cell>
          <cell r="AB1378" t="str">
            <v>M5942</v>
          </cell>
          <cell r="AC1378" t="str">
            <v>S5479</v>
          </cell>
          <cell r="AD1378" t="str">
            <v>M5475</v>
          </cell>
          <cell r="AE1378" t="str">
            <v>P5477</v>
          </cell>
          <cell r="AF1378" t="str">
            <v>12:21,21:13,21:16</v>
          </cell>
          <cell r="AG1378" t="str">
            <v>21:12,13:21,16:21</v>
          </cell>
          <cell r="AH1378" t="str">
            <v/>
          </cell>
          <cell r="AI1378">
            <v>12</v>
          </cell>
          <cell r="AJ1378">
            <v>21</v>
          </cell>
          <cell r="AK1378">
            <v>21</v>
          </cell>
          <cell r="AL1378">
            <v>13</v>
          </cell>
          <cell r="AM1378">
            <v>21</v>
          </cell>
          <cell r="AN1378">
            <v>16</v>
          </cell>
        </row>
        <row r="1379">
          <cell r="A1379" t="str">
            <v/>
          </cell>
          <cell r="B1379" t="str">
            <v>Jakub MYSŁOWSKI (UKS Iskra Sarbice)</v>
          </cell>
          <cell r="H1379" t="str">
            <v>M5475</v>
          </cell>
          <cell r="K1379" t="str">
            <v>M5942</v>
          </cell>
          <cell r="N1379" t="str">
            <v>Jakub MELANIUK (UKSB Milenium Warszawa)</v>
          </cell>
        </row>
        <row r="1380">
          <cell r="A1380" t="str">
            <v/>
          </cell>
          <cell r="B1380" t="str">
            <v>Paulina PRZYBYŁ (UKS Iskra Sarbice)</v>
          </cell>
          <cell r="H1380" t="str">
            <v>P5477</v>
          </cell>
          <cell r="K1380" t="str">
            <v>S5479</v>
          </cell>
          <cell r="N1380" t="str">
            <v>Aleksandra SZYMAŃSKA (UKSB Milenium Warszawa)</v>
          </cell>
        </row>
        <row r="1382">
          <cell r="B1382" t="str">
            <v>zwycięzca(cy): 12:21,21:13,21:16</v>
          </cell>
          <cell r="K1382" t="str">
            <v/>
          </cell>
        </row>
        <row r="1383">
          <cell r="B1383">
            <v>1</v>
          </cell>
          <cell r="C1383" t="str">
            <v>dzień turnieju.</v>
          </cell>
          <cell r="I1383" t="str">
            <v>Nr meczu</v>
          </cell>
          <cell r="N1383" t="str">
            <v>Godz.</v>
          </cell>
          <cell r="R1383" t="str">
            <v>S. prow.</v>
          </cell>
          <cell r="AF1383" t="str">
            <v>wygrany</v>
          </cell>
          <cell r="AG1383" t="str">
            <v>przegrany</v>
          </cell>
        </row>
        <row r="1384">
          <cell r="B1384" t="str">
            <v>Boisko</v>
          </cell>
          <cell r="C1384" t="str">
            <v>Gra</v>
          </cell>
          <cell r="I1384">
            <v>198</v>
          </cell>
          <cell r="N1384" t="str">
            <v>rozp.</v>
          </cell>
          <cell r="P1384" t="str">
            <v>zak.</v>
          </cell>
          <cell r="R1384" t="str">
            <v>S. serw.</v>
          </cell>
        </row>
        <row r="1385">
          <cell r="A1385">
            <v>198</v>
          </cell>
          <cell r="B1385">
            <v>4</v>
          </cell>
          <cell r="C1385" t="str">
            <v>mieszana MM</v>
          </cell>
          <cell r="H1385">
            <v>21</v>
          </cell>
          <cell r="I1385">
            <v>6</v>
          </cell>
          <cell r="J1385">
            <v>21</v>
          </cell>
          <cell r="K1385">
            <v>4</v>
          </cell>
          <cell r="P1385">
            <v>0.89583333333333337</v>
          </cell>
          <cell r="R1385">
            <v>0.89583333333333337</v>
          </cell>
          <cell r="S1385" t="str">
            <v>pt 21:20</v>
          </cell>
          <cell r="X1385">
            <v>198</v>
          </cell>
          <cell r="Y1385" t="str">
            <v>mieszana MM</v>
          </cell>
          <cell r="Z1385" t="str">
            <v>P5025</v>
          </cell>
          <cell r="AA1385" t="str">
            <v>J5024</v>
          </cell>
          <cell r="AB1385" t="str">
            <v>M4933</v>
          </cell>
          <cell r="AC1385" t="str">
            <v>C5063</v>
          </cell>
          <cell r="AD1385" t="str">
            <v>P5025</v>
          </cell>
          <cell r="AE1385" t="str">
            <v>J5024</v>
          </cell>
          <cell r="AF1385" t="str">
            <v>21:6,21:4</v>
          </cell>
          <cell r="AG1385" t="str">
            <v>6:21,4:21</v>
          </cell>
          <cell r="AH1385" t="str">
            <v/>
          </cell>
          <cell r="AI1385">
            <v>21</v>
          </cell>
          <cell r="AJ1385">
            <v>6</v>
          </cell>
          <cell r="AK1385">
            <v>21</v>
          </cell>
          <cell r="AL1385">
            <v>4</v>
          </cell>
          <cell r="AM1385">
            <v>0</v>
          </cell>
          <cell r="AN1385">
            <v>0</v>
          </cell>
        </row>
        <row r="1386">
          <cell r="A1386" t="str">
            <v/>
          </cell>
          <cell r="B1386" t="str">
            <v>Jakub PLASZCZYK (MKS Strzelce Opolskie)</v>
          </cell>
          <cell r="H1386" t="str">
            <v>P5025</v>
          </cell>
          <cell r="K1386" t="str">
            <v>M4933</v>
          </cell>
          <cell r="N1386" t="str">
            <v>Kacper MAKAREWICZ (UKS Hubal Białystok)</v>
          </cell>
        </row>
        <row r="1387">
          <cell r="A1387" t="str">
            <v/>
          </cell>
          <cell r="B1387" t="str">
            <v>Zuzanna JANKOWSKA (MKS Strzelce Opolskie)</v>
          </cell>
          <cell r="H1387" t="str">
            <v>J5024</v>
          </cell>
          <cell r="K1387" t="str">
            <v>C5063</v>
          </cell>
          <cell r="N1387" t="str">
            <v>Karolina CIEŚLUK (UKS Hubal Białystok)</v>
          </cell>
        </row>
        <row r="1389">
          <cell r="B1389" t="str">
            <v>zwycięzca(cy): 21:6,21:4</v>
          </cell>
          <cell r="K1389" t="str">
            <v/>
          </cell>
        </row>
        <row r="1390">
          <cell r="B1390">
            <v>1</v>
          </cell>
          <cell r="C1390" t="str">
            <v>dzień turnieju.</v>
          </cell>
          <cell r="I1390" t="str">
            <v>Nr meczu</v>
          </cell>
          <cell r="N1390" t="str">
            <v>Godz.</v>
          </cell>
          <cell r="R1390" t="str">
            <v>S. prow.</v>
          </cell>
          <cell r="AF1390" t="str">
            <v>wygrany</v>
          </cell>
          <cell r="AG1390" t="str">
            <v>przegrany</v>
          </cell>
        </row>
        <row r="1391">
          <cell r="B1391" t="str">
            <v>Boisko</v>
          </cell>
          <cell r="C1391" t="str">
            <v>Gra</v>
          </cell>
          <cell r="I1391">
            <v>199</v>
          </cell>
          <cell r="N1391" t="str">
            <v>rozp.</v>
          </cell>
          <cell r="P1391" t="str">
            <v>zak.</v>
          </cell>
          <cell r="R1391" t="str">
            <v>S. serw.</v>
          </cell>
        </row>
        <row r="1392">
          <cell r="A1392">
            <v>199</v>
          </cell>
          <cell r="B1392">
            <v>4</v>
          </cell>
          <cell r="C1392" t="str">
            <v>mieszana MM</v>
          </cell>
          <cell r="H1392">
            <v>21</v>
          </cell>
          <cell r="I1392">
            <v>7</v>
          </cell>
          <cell r="J1392">
            <v>21</v>
          </cell>
          <cell r="K1392">
            <v>18</v>
          </cell>
          <cell r="P1392">
            <v>0.92361111111111116</v>
          </cell>
          <cell r="R1392">
            <v>0.92361111111111116</v>
          </cell>
          <cell r="S1392" t="str">
            <v>pt 21:20</v>
          </cell>
          <cell r="X1392">
            <v>199</v>
          </cell>
          <cell r="Y1392" t="str">
            <v>mieszana MM</v>
          </cell>
          <cell r="Z1392" t="str">
            <v>G4725</v>
          </cell>
          <cell r="AA1392" t="str">
            <v>K5208</v>
          </cell>
          <cell r="AB1392" t="str">
            <v>B4655</v>
          </cell>
          <cell r="AC1392" t="str">
            <v>M4792</v>
          </cell>
          <cell r="AD1392" t="str">
            <v>G4725</v>
          </cell>
          <cell r="AE1392" t="str">
            <v>K5208</v>
          </cell>
          <cell r="AF1392" t="str">
            <v>21:7,21:18</v>
          </cell>
          <cell r="AG1392" t="str">
            <v>7:21,18:21</v>
          </cell>
          <cell r="AH1392" t="str">
            <v/>
          </cell>
          <cell r="AI1392">
            <v>21</v>
          </cell>
          <cell r="AJ1392">
            <v>7</v>
          </cell>
          <cell r="AK1392">
            <v>21</v>
          </cell>
          <cell r="AL1392">
            <v>18</v>
          </cell>
          <cell r="AM1392">
            <v>0</v>
          </cell>
          <cell r="AN1392">
            <v>0</v>
          </cell>
        </row>
        <row r="1393">
          <cell r="A1393" t="str">
            <v/>
          </cell>
          <cell r="B1393" t="str">
            <v>Bartosz GAŁĄZKA (LKS Technik Głubczyce)</v>
          </cell>
          <cell r="H1393" t="str">
            <v>G4725</v>
          </cell>
          <cell r="K1393" t="str">
            <v>B4655</v>
          </cell>
          <cell r="N1393" t="str">
            <v>Sebastian BILBIN (SKB Suwałki)</v>
          </cell>
        </row>
        <row r="1394">
          <cell r="A1394" t="str">
            <v/>
          </cell>
          <cell r="B1394" t="str">
            <v>Dominika KWAŚNIK (UKS Feniks Kędzierzyn-Koźle)</v>
          </cell>
          <cell r="H1394" t="str">
            <v>K5208</v>
          </cell>
          <cell r="K1394" t="str">
            <v>M4792</v>
          </cell>
          <cell r="N1394" t="str">
            <v>Urszula MISZKIEL (SKB Suwałki)</v>
          </cell>
        </row>
        <row r="1396">
          <cell r="B1396" t="str">
            <v>zwycięzca(cy): 21:7,21:18</v>
          </cell>
          <cell r="K1396" t="str">
            <v/>
          </cell>
        </row>
        <row r="1397">
          <cell r="B1397">
            <v>1</v>
          </cell>
          <cell r="C1397" t="str">
            <v>dzień turnieju.</v>
          </cell>
          <cell r="I1397" t="str">
            <v>Nr meczu</v>
          </cell>
          <cell r="N1397" t="str">
            <v>Godz.</v>
          </cell>
          <cell r="R1397" t="str">
            <v>S. prow.</v>
          </cell>
          <cell r="AF1397" t="str">
            <v>wygrany</v>
          </cell>
          <cell r="AG1397" t="str">
            <v>przegrany</v>
          </cell>
        </row>
        <row r="1398">
          <cell r="B1398" t="str">
            <v>Boisko</v>
          </cell>
          <cell r="C1398" t="str">
            <v>Gra</v>
          </cell>
          <cell r="I1398">
            <v>200</v>
          </cell>
          <cell r="N1398" t="str">
            <v>rozp.</v>
          </cell>
          <cell r="P1398" t="str">
            <v>zak.</v>
          </cell>
          <cell r="R1398" t="str">
            <v>S. serw.</v>
          </cell>
        </row>
        <row r="1399">
          <cell r="A1399">
            <v>200</v>
          </cell>
          <cell r="B1399">
            <v>1</v>
          </cell>
          <cell r="C1399" t="str">
            <v>mieszana MM</v>
          </cell>
          <cell r="H1399">
            <v>21</v>
          </cell>
          <cell r="I1399">
            <v>10</v>
          </cell>
          <cell r="J1399">
            <v>21</v>
          </cell>
          <cell r="K1399">
            <v>9</v>
          </cell>
          <cell r="P1399">
            <v>0.90625</v>
          </cell>
          <cell r="R1399">
            <v>0.90625</v>
          </cell>
          <cell r="S1399" t="str">
            <v>pt 21:20</v>
          </cell>
          <cell r="X1399">
            <v>200</v>
          </cell>
          <cell r="Y1399" t="str">
            <v>mieszana MM</v>
          </cell>
          <cell r="Z1399" t="str">
            <v>C4406</v>
          </cell>
          <cell r="AA1399" t="str">
            <v>S4730</v>
          </cell>
          <cell r="AB1399" t="str">
            <v>R4700</v>
          </cell>
          <cell r="AC1399" t="str">
            <v>R5603</v>
          </cell>
          <cell r="AD1399" t="str">
            <v>C4406</v>
          </cell>
          <cell r="AE1399" t="str">
            <v>S4730</v>
          </cell>
          <cell r="AF1399" t="str">
            <v>21:10,21:9</v>
          </cell>
          <cell r="AG1399" t="str">
            <v>10:21,9:21</v>
          </cell>
          <cell r="AH1399" t="str">
            <v/>
          </cell>
          <cell r="AI1399">
            <v>21</v>
          </cell>
          <cell r="AJ1399">
            <v>10</v>
          </cell>
          <cell r="AK1399">
            <v>21</v>
          </cell>
          <cell r="AL1399">
            <v>9</v>
          </cell>
          <cell r="AM1399">
            <v>0</v>
          </cell>
          <cell r="AN1399">
            <v>0</v>
          </cell>
        </row>
        <row r="1400">
          <cell r="A1400" t="str">
            <v/>
          </cell>
          <cell r="B1400" t="str">
            <v>Łukasz CIMOSZ (KS Chojnik Jelenia Góra)</v>
          </cell>
          <cell r="H1400" t="str">
            <v>C4406</v>
          </cell>
          <cell r="K1400" t="str">
            <v>R4700</v>
          </cell>
          <cell r="N1400" t="str">
            <v>Paweł RADZIWON (UKS Hubal Białystok)</v>
          </cell>
        </row>
        <row r="1401">
          <cell r="A1401" t="str">
            <v/>
          </cell>
          <cell r="B1401" t="str">
            <v>Karolina SZUBERT (KS Match Point Ślęza)</v>
          </cell>
          <cell r="H1401" t="str">
            <v>S4730</v>
          </cell>
          <cell r="K1401" t="str">
            <v>R5603</v>
          </cell>
          <cell r="N1401" t="str">
            <v>Aleksandra RADZISZEWSKA (UKS Hubal Białystok)</v>
          </cell>
        </row>
        <row r="1403">
          <cell r="B1403" t="str">
            <v>zwycięzca(cy): 21:10,21:9</v>
          </cell>
          <cell r="K1403" t="str">
            <v/>
          </cell>
        </row>
        <row r="1404">
          <cell r="B1404">
            <v>1</v>
          </cell>
          <cell r="C1404" t="str">
            <v>dzień turnieju.</v>
          </cell>
          <cell r="I1404" t="str">
            <v>Nr meczu</v>
          </cell>
          <cell r="N1404" t="str">
            <v>Godz.</v>
          </cell>
          <cell r="R1404" t="str">
            <v>S. prow.</v>
          </cell>
          <cell r="AF1404" t="str">
            <v>wygrany</v>
          </cell>
          <cell r="AG1404" t="str">
            <v>przegrany</v>
          </cell>
        </row>
        <row r="1405">
          <cell r="B1405" t="str">
            <v>Boisko</v>
          </cell>
          <cell r="C1405" t="str">
            <v>Gra</v>
          </cell>
          <cell r="I1405">
            <v>201</v>
          </cell>
          <cell r="N1405" t="str">
            <v>rozp.</v>
          </cell>
          <cell r="P1405" t="str">
            <v>zak.</v>
          </cell>
          <cell r="R1405" t="str">
            <v>S. serw.</v>
          </cell>
        </row>
        <row r="1406">
          <cell r="A1406">
            <v>201</v>
          </cell>
          <cell r="B1406">
            <v>2</v>
          </cell>
          <cell r="C1406" t="str">
            <v>mieszana MM</v>
          </cell>
          <cell r="H1406">
            <v>19</v>
          </cell>
          <cell r="I1406">
            <v>21</v>
          </cell>
          <cell r="J1406">
            <v>21</v>
          </cell>
          <cell r="K1406">
            <v>18</v>
          </cell>
          <cell r="L1406">
            <v>21</v>
          </cell>
          <cell r="M1406">
            <v>12</v>
          </cell>
          <cell r="P1406">
            <v>0.91666666666666663</v>
          </cell>
          <cell r="R1406">
            <v>0.91666666666666663</v>
          </cell>
          <cell r="S1406" t="str">
            <v>pt 21:20</v>
          </cell>
          <cell r="X1406">
            <v>201</v>
          </cell>
          <cell r="Y1406" t="str">
            <v>mieszana MM</v>
          </cell>
          <cell r="Z1406" t="str">
            <v>Z4312</v>
          </cell>
          <cell r="AA1406" t="str">
            <v>H5946</v>
          </cell>
          <cell r="AB1406" t="str">
            <v>B5059</v>
          </cell>
          <cell r="AC1406" t="str">
            <v>F4870</v>
          </cell>
          <cell r="AD1406" t="str">
            <v>Z4312</v>
          </cell>
          <cell r="AE1406" t="str">
            <v>H5946</v>
          </cell>
          <cell r="AF1406" t="str">
            <v>19:21,21:18,21:12</v>
          </cell>
          <cell r="AG1406" t="str">
            <v>21:19,18:21,12:21</v>
          </cell>
          <cell r="AH1406" t="str">
            <v/>
          </cell>
          <cell r="AI1406">
            <v>19</v>
          </cell>
          <cell r="AJ1406">
            <v>21</v>
          </cell>
          <cell r="AK1406">
            <v>21</v>
          </cell>
          <cell r="AL1406">
            <v>18</v>
          </cell>
          <cell r="AM1406">
            <v>21</v>
          </cell>
          <cell r="AN1406">
            <v>12</v>
          </cell>
        </row>
        <row r="1407">
          <cell r="A1407" t="str">
            <v/>
          </cell>
          <cell r="B1407" t="str">
            <v>Łukasz ZWIERZCHOWSKI (UKSB Milenium Warszawa)</v>
          </cell>
          <cell r="H1407" t="str">
            <v>Z4312</v>
          </cell>
          <cell r="K1407" t="str">
            <v>B5059</v>
          </cell>
          <cell r="N1407" t="str">
            <v>Adam BIBIK (KSR Wolant Łódź)</v>
          </cell>
        </row>
        <row r="1408">
          <cell r="A1408" t="str">
            <v/>
          </cell>
          <cell r="B1408" t="str">
            <v>Paulina HANKIEWICZ (UKSB Milenium Warszawa)</v>
          </cell>
          <cell r="H1408" t="str">
            <v>H5946</v>
          </cell>
          <cell r="K1408" t="str">
            <v>F4870</v>
          </cell>
          <cell r="N1408" t="str">
            <v>Marcelina FRANCZUK (MMKS Gdańsk)</v>
          </cell>
        </row>
        <row r="1410">
          <cell r="B1410" t="str">
            <v>zwycięzca(cy): 19:21,21:18,21:12</v>
          </cell>
          <cell r="K1410" t="str">
            <v/>
          </cell>
        </row>
        <row r="1411">
          <cell r="B1411">
            <v>1</v>
          </cell>
          <cell r="C1411" t="str">
            <v>dzień turnieju.</v>
          </cell>
          <cell r="I1411" t="str">
            <v>Nr meczu</v>
          </cell>
          <cell r="N1411" t="str">
            <v>Godz.</v>
          </cell>
          <cell r="R1411" t="str">
            <v>S. prow.</v>
          </cell>
          <cell r="AF1411" t="str">
            <v>wygrany</v>
          </cell>
          <cell r="AG1411" t="str">
            <v>przegrany</v>
          </cell>
        </row>
        <row r="1412">
          <cell r="B1412" t="str">
            <v>Boisko</v>
          </cell>
          <cell r="C1412" t="str">
            <v>Gra</v>
          </cell>
          <cell r="I1412">
            <v>202</v>
          </cell>
          <cell r="N1412" t="str">
            <v>rozp.</v>
          </cell>
          <cell r="P1412" t="str">
            <v>zak.</v>
          </cell>
          <cell r="R1412" t="str">
            <v>S. serw.</v>
          </cell>
        </row>
        <row r="1413">
          <cell r="A1413">
            <v>202</v>
          </cell>
          <cell r="B1413">
            <v>6</v>
          </cell>
          <cell r="C1413" t="str">
            <v>mieszana MM</v>
          </cell>
          <cell r="H1413">
            <v>22</v>
          </cell>
          <cell r="I1413">
            <v>20</v>
          </cell>
          <cell r="J1413">
            <v>10</v>
          </cell>
          <cell r="K1413">
            <v>21</v>
          </cell>
          <cell r="L1413">
            <v>17</v>
          </cell>
          <cell r="M1413">
            <v>21</v>
          </cell>
          <cell r="P1413">
            <v>0.92361111111111116</v>
          </cell>
          <cell r="R1413">
            <v>0.92361111111111116</v>
          </cell>
          <cell r="S1413" t="str">
            <v>pt 21:20</v>
          </cell>
          <cell r="X1413">
            <v>202</v>
          </cell>
          <cell r="Y1413" t="str">
            <v>mieszana MM</v>
          </cell>
          <cell r="Z1413" t="str">
            <v>Ż4858</v>
          </cell>
          <cell r="AA1413" t="str">
            <v>D5062</v>
          </cell>
          <cell r="AB1413" t="str">
            <v>M4698</v>
          </cell>
          <cell r="AC1413" t="str">
            <v>X16</v>
          </cell>
          <cell r="AD1413" t="str">
            <v>M4698</v>
          </cell>
          <cell r="AE1413" t="str">
            <v>X16</v>
          </cell>
          <cell r="AF1413" t="str">
            <v>20:22,21:10,21:17</v>
          </cell>
          <cell r="AG1413" t="str">
            <v>22:20,10:21,17:21</v>
          </cell>
          <cell r="AH1413" t="str">
            <v/>
          </cell>
          <cell r="AI1413">
            <v>22</v>
          </cell>
          <cell r="AJ1413">
            <v>20</v>
          </cell>
          <cell r="AK1413">
            <v>10</v>
          </cell>
          <cell r="AL1413">
            <v>21</v>
          </cell>
          <cell r="AM1413">
            <v>17</v>
          </cell>
          <cell r="AN1413">
            <v>21</v>
          </cell>
        </row>
        <row r="1414">
          <cell r="A1414" t="str">
            <v/>
          </cell>
          <cell r="B1414" t="str">
            <v>Dawid ŻMÓJDZIN (UKS Hubal Białystok)</v>
          </cell>
          <cell r="H1414" t="str">
            <v>Ż4858</v>
          </cell>
          <cell r="K1414" t="str">
            <v>M4698</v>
          </cell>
          <cell r="N1414" t="str">
            <v>Norbert MARKOWSKI (UKS Kometa Sianów)</v>
          </cell>
        </row>
        <row r="1415">
          <cell r="A1415" t="str">
            <v/>
          </cell>
          <cell r="B1415" t="str">
            <v>Emilia DRĄGOWSKA (UKS Hubal Białystok)</v>
          </cell>
          <cell r="H1415" t="str">
            <v>D5062</v>
          </cell>
          <cell r="K1415" t="str">
            <v>X16</v>
          </cell>
          <cell r="N1415" t="str">
            <v>Yelizaveta KAMINSKAYA (Mińsk Białoruś)</v>
          </cell>
        </row>
        <row r="1417">
          <cell r="B1417" t="str">
            <v/>
          </cell>
          <cell r="K1417" t="str">
            <v>zwycięzca(cy): 20:22,21:10,21:17</v>
          </cell>
        </row>
        <row r="1418">
          <cell r="B1418">
            <v>1</v>
          </cell>
          <cell r="C1418" t="str">
            <v>dzień turnieju.</v>
          </cell>
          <cell r="I1418" t="str">
            <v>Nr meczu</v>
          </cell>
          <cell r="N1418" t="str">
            <v>Godz.</v>
          </cell>
          <cell r="R1418" t="str">
            <v>S. prow.</v>
          </cell>
          <cell r="AF1418" t="str">
            <v>wygrany</v>
          </cell>
          <cell r="AG1418" t="str">
            <v>przegrany</v>
          </cell>
        </row>
        <row r="1419">
          <cell r="B1419" t="str">
            <v>Boisko</v>
          </cell>
          <cell r="C1419" t="str">
            <v>Gra</v>
          </cell>
          <cell r="I1419">
            <v>203</v>
          </cell>
          <cell r="N1419" t="str">
            <v>rozp.</v>
          </cell>
          <cell r="P1419" t="str">
            <v>zak.</v>
          </cell>
          <cell r="R1419" t="str">
            <v>S. serw.</v>
          </cell>
        </row>
        <row r="1420">
          <cell r="A1420">
            <v>203</v>
          </cell>
          <cell r="B1420">
            <v>4</v>
          </cell>
          <cell r="C1420" t="str">
            <v>mieszana MM</v>
          </cell>
          <cell r="H1420">
            <v>21</v>
          </cell>
          <cell r="I1420">
            <v>13</v>
          </cell>
          <cell r="J1420">
            <v>21</v>
          </cell>
          <cell r="K1420">
            <v>9</v>
          </cell>
          <cell r="P1420">
            <v>0.90972222222222221</v>
          </cell>
          <cell r="R1420">
            <v>0.90972222222222221</v>
          </cell>
          <cell r="S1420" t="str">
            <v>pt 21:20</v>
          </cell>
          <cell r="X1420">
            <v>203</v>
          </cell>
          <cell r="Y1420" t="str">
            <v>mieszana MM</v>
          </cell>
          <cell r="Z1420" t="str">
            <v>T5801</v>
          </cell>
          <cell r="AA1420" t="str">
            <v>T5222</v>
          </cell>
          <cell r="AB1420" t="str">
            <v>F4888</v>
          </cell>
          <cell r="AC1420" t="str">
            <v>G5614</v>
          </cell>
          <cell r="AD1420" t="str">
            <v>T5801</v>
          </cell>
          <cell r="AE1420" t="str">
            <v>T5222</v>
          </cell>
          <cell r="AF1420" t="str">
            <v>21:13,21:9</v>
          </cell>
          <cell r="AG1420" t="str">
            <v>13:21,9:21</v>
          </cell>
          <cell r="AH1420" t="str">
            <v/>
          </cell>
          <cell r="AI1420">
            <v>21</v>
          </cell>
          <cell r="AJ1420">
            <v>13</v>
          </cell>
          <cell r="AK1420">
            <v>21</v>
          </cell>
          <cell r="AL1420">
            <v>9</v>
          </cell>
          <cell r="AM1420">
            <v>0</v>
          </cell>
          <cell r="AN1420">
            <v>0</v>
          </cell>
        </row>
        <row r="1421">
          <cell r="A1421" t="str">
            <v/>
          </cell>
          <cell r="B1421" t="str">
            <v>Wiktor TRECKI (UKS Unia Bieruń)</v>
          </cell>
          <cell r="H1421" t="str">
            <v>T5801</v>
          </cell>
          <cell r="K1421" t="str">
            <v>F4888</v>
          </cell>
          <cell r="N1421" t="str">
            <v>Jarosław FIJAŁKOWSKI (UKSB Milenium Warszawa)</v>
          </cell>
        </row>
        <row r="1422">
          <cell r="A1422" t="str">
            <v/>
          </cell>
          <cell r="B1422" t="str">
            <v>Miriam TOMALA (UKS Unia Bieruń)</v>
          </cell>
          <cell r="H1422" t="str">
            <v>T5222</v>
          </cell>
          <cell r="K1422" t="str">
            <v>G5614</v>
          </cell>
          <cell r="N1422" t="str">
            <v>Weronika GÓRNIAK (UKSB Milenium Warszawa)</v>
          </cell>
        </row>
        <row r="1424">
          <cell r="B1424" t="str">
            <v>zwycięzca(cy): 21:13,21:9</v>
          </cell>
          <cell r="K1424" t="str">
            <v/>
          </cell>
        </row>
        <row r="1425">
          <cell r="B1425">
            <v>1</v>
          </cell>
          <cell r="C1425" t="str">
            <v>dzień turnieju.</v>
          </cell>
          <cell r="I1425" t="str">
            <v>Nr meczu</v>
          </cell>
          <cell r="N1425" t="str">
            <v>Godz.</v>
          </cell>
          <cell r="R1425" t="str">
            <v>S. prow.</v>
          </cell>
          <cell r="AF1425" t="str">
            <v>wygrany</v>
          </cell>
          <cell r="AG1425" t="str">
            <v>przegrany</v>
          </cell>
        </row>
        <row r="1426">
          <cell r="B1426" t="str">
            <v>Boisko</v>
          </cell>
          <cell r="C1426" t="str">
            <v>Gra</v>
          </cell>
          <cell r="I1426">
            <v>204</v>
          </cell>
          <cell r="N1426" t="str">
            <v>rozp.</v>
          </cell>
          <cell r="P1426" t="str">
            <v>zak.</v>
          </cell>
          <cell r="R1426" t="str">
            <v>S. serw.</v>
          </cell>
        </row>
        <row r="1427">
          <cell r="A1427">
            <v>204</v>
          </cell>
          <cell r="B1427">
            <v>5</v>
          </cell>
          <cell r="C1427" t="str">
            <v>mieszana MM</v>
          </cell>
          <cell r="H1427">
            <v>21</v>
          </cell>
          <cell r="I1427">
            <v>11</v>
          </cell>
          <cell r="J1427">
            <v>21</v>
          </cell>
          <cell r="K1427">
            <v>11</v>
          </cell>
          <cell r="P1427">
            <v>0.91666666666666663</v>
          </cell>
          <cell r="R1427">
            <v>0.91666666666666663</v>
          </cell>
          <cell r="S1427" t="str">
            <v>pt 21:20</v>
          </cell>
          <cell r="X1427">
            <v>204</v>
          </cell>
          <cell r="Y1427" t="str">
            <v>mieszana MM</v>
          </cell>
          <cell r="Z1427" t="str">
            <v>R4145</v>
          </cell>
          <cell r="AA1427" t="str">
            <v>P4759</v>
          </cell>
          <cell r="AB1427" t="str">
            <v>P5601</v>
          </cell>
          <cell r="AC1427" t="str">
            <v>K5600</v>
          </cell>
          <cell r="AD1427" t="str">
            <v>R4145</v>
          </cell>
          <cell r="AE1427" t="str">
            <v>P4759</v>
          </cell>
          <cell r="AF1427" t="str">
            <v>21:11,21:11</v>
          </cell>
          <cell r="AG1427" t="str">
            <v>11:21,11:21</v>
          </cell>
          <cell r="AH1427" t="str">
            <v/>
          </cell>
          <cell r="AI1427">
            <v>21</v>
          </cell>
          <cell r="AJ1427">
            <v>11</v>
          </cell>
          <cell r="AK1427">
            <v>21</v>
          </cell>
          <cell r="AL1427">
            <v>11</v>
          </cell>
          <cell r="AM1427">
            <v>0</v>
          </cell>
          <cell r="AN1427">
            <v>0</v>
          </cell>
        </row>
        <row r="1428">
          <cell r="A1428" t="str">
            <v/>
          </cell>
          <cell r="B1428" t="str">
            <v>Michał RECKI (UKS Lotka Lubiewo)</v>
          </cell>
          <cell r="H1428" t="str">
            <v>R4145</v>
          </cell>
          <cell r="K1428" t="str">
            <v>P5601</v>
          </cell>
          <cell r="N1428" t="str">
            <v>Hubert PUCIŁOWSKI (UKS Hubal Białystok)</v>
          </cell>
        </row>
        <row r="1429">
          <cell r="A1429" t="str">
            <v/>
          </cell>
          <cell r="B1429" t="str">
            <v>Martyna PIETRZAK (MLKS Solec Kuj.)</v>
          </cell>
          <cell r="H1429" t="str">
            <v>P4759</v>
          </cell>
          <cell r="K1429" t="str">
            <v>K5600</v>
          </cell>
          <cell r="N1429" t="str">
            <v>Gabriela KUŁAKOWSKA (UKS Hubal Białystok)</v>
          </cell>
        </row>
        <row r="1431">
          <cell r="B1431" t="str">
            <v>zwycięzca(cy): 21:11,21:11</v>
          </cell>
          <cell r="K1431" t="str">
            <v/>
          </cell>
        </row>
        <row r="1432">
          <cell r="B1432">
            <v>1</v>
          </cell>
          <cell r="C1432" t="str">
            <v>dzień turnieju.</v>
          </cell>
          <cell r="I1432" t="str">
            <v>Nr meczu</v>
          </cell>
          <cell r="N1432" t="str">
            <v>Godz.</v>
          </cell>
          <cell r="R1432" t="str">
            <v>S. prow.</v>
          </cell>
          <cell r="AF1432" t="str">
            <v>wygrany</v>
          </cell>
          <cell r="AG1432" t="str">
            <v>przegrany</v>
          </cell>
        </row>
        <row r="1433">
          <cell r="B1433" t="str">
            <v>Boisko</v>
          </cell>
          <cell r="C1433" t="str">
            <v>Gra</v>
          </cell>
          <cell r="I1433">
            <v>205</v>
          </cell>
          <cell r="N1433" t="str">
            <v>rozp.</v>
          </cell>
          <cell r="P1433" t="str">
            <v>zak.</v>
          </cell>
          <cell r="R1433" t="str">
            <v>S. serw.</v>
          </cell>
        </row>
        <row r="1434">
          <cell r="A1434">
            <v>205</v>
          </cell>
          <cell r="B1434">
            <v>3</v>
          </cell>
          <cell r="C1434" t="str">
            <v>podwójna dziewcząt MM</v>
          </cell>
          <cell r="H1434">
            <v>21</v>
          </cell>
          <cell r="I1434">
            <v>7</v>
          </cell>
          <cell r="J1434">
            <v>17</v>
          </cell>
          <cell r="K1434">
            <v>21</v>
          </cell>
          <cell r="L1434">
            <v>20</v>
          </cell>
          <cell r="M1434">
            <v>22</v>
          </cell>
          <cell r="P1434">
            <v>0.92361111111111116</v>
          </cell>
          <cell r="R1434">
            <v>0.92361111111111116</v>
          </cell>
          <cell r="S1434" t="str">
            <v>pt 21:20</v>
          </cell>
          <cell r="X1434">
            <v>205</v>
          </cell>
          <cell r="Y1434" t="str">
            <v>podwójna dziewcząt MM</v>
          </cell>
          <cell r="Z1434" t="str">
            <v>B4319</v>
          </cell>
          <cell r="AA1434" t="str">
            <v>D4628</v>
          </cell>
          <cell r="AB1434" t="str">
            <v>X30</v>
          </cell>
          <cell r="AC1434" t="str">
            <v>X29</v>
          </cell>
          <cell r="AD1434" t="str">
            <v>X30</v>
          </cell>
          <cell r="AE1434" t="str">
            <v>X29</v>
          </cell>
          <cell r="AF1434" t="str">
            <v>7:21,21:17,22:20</v>
          </cell>
          <cell r="AG1434" t="str">
            <v>21:7,17:21,20:22</v>
          </cell>
          <cell r="AH1434" t="str">
            <v/>
          </cell>
          <cell r="AI1434">
            <v>21</v>
          </cell>
          <cell r="AJ1434">
            <v>7</v>
          </cell>
          <cell r="AK1434">
            <v>17</v>
          </cell>
          <cell r="AL1434">
            <v>21</v>
          </cell>
          <cell r="AM1434">
            <v>20</v>
          </cell>
          <cell r="AN1434">
            <v>22</v>
          </cell>
        </row>
        <row r="1435">
          <cell r="A1435" t="str">
            <v/>
          </cell>
          <cell r="B1435" t="str">
            <v>Laura BUJAK (ULKS U-2 Lotka Bytów)</v>
          </cell>
          <cell r="H1435" t="str">
            <v>B4319</v>
          </cell>
          <cell r="K1435" t="str">
            <v>X30</v>
          </cell>
          <cell r="N1435" t="str">
            <v>Lizaveta BAYAROUSKAYA (Białoruś)</v>
          </cell>
        </row>
        <row r="1436">
          <cell r="A1436" t="str">
            <v/>
          </cell>
          <cell r="B1436" t="str">
            <v>Anna DUDA (ULKS U-2 Lotka Bytów)</v>
          </cell>
          <cell r="H1436" t="str">
            <v>D4628</v>
          </cell>
          <cell r="K1436" t="str">
            <v>X29</v>
          </cell>
          <cell r="N1436" t="str">
            <v>Anastasiya KHOMICH (Białoruś)</v>
          </cell>
        </row>
        <row r="1438">
          <cell r="B1438" t="str">
            <v/>
          </cell>
          <cell r="K1438" t="str">
            <v>zwycięzca(cy): 7:21,21:17,22:20</v>
          </cell>
        </row>
        <row r="1439">
          <cell r="B1439">
            <v>1</v>
          </cell>
          <cell r="C1439" t="str">
            <v>dzień turnieju.</v>
          </cell>
          <cell r="I1439" t="str">
            <v>Nr meczu</v>
          </cell>
          <cell r="N1439" t="str">
            <v>Godz.</v>
          </cell>
          <cell r="R1439" t="str">
            <v>S. prow.</v>
          </cell>
          <cell r="AF1439" t="str">
            <v>wygrany</v>
          </cell>
          <cell r="AG1439" t="str">
            <v>przegrany</v>
          </cell>
        </row>
        <row r="1440">
          <cell r="B1440" t="str">
            <v>Boisko</v>
          </cell>
          <cell r="C1440" t="str">
            <v>Gra</v>
          </cell>
          <cell r="I1440">
            <v>206</v>
          </cell>
          <cell r="N1440" t="str">
            <v>rozp.</v>
          </cell>
          <cell r="P1440" t="str">
            <v>zak.</v>
          </cell>
          <cell r="R1440" t="str">
            <v>S. serw.</v>
          </cell>
        </row>
        <row r="1441">
          <cell r="A1441">
            <v>206</v>
          </cell>
          <cell r="B1441">
            <v>1</v>
          </cell>
          <cell r="C1441" t="str">
            <v>podwójna dziewcząt MM</v>
          </cell>
          <cell r="H1441">
            <v>21</v>
          </cell>
          <cell r="I1441">
            <v>7</v>
          </cell>
          <cell r="J1441">
            <v>21</v>
          </cell>
          <cell r="K1441">
            <v>14</v>
          </cell>
          <cell r="P1441">
            <v>0.3923611111111111</v>
          </cell>
          <cell r="R1441">
            <v>0.3923611111111111</v>
          </cell>
          <cell r="S1441" t="str">
            <v>sob 9:00</v>
          </cell>
          <cell r="X1441">
            <v>206</v>
          </cell>
          <cell r="Y1441" t="str">
            <v>podwójna dziewcząt MM</v>
          </cell>
          <cell r="Z1441" t="str">
            <v>J5024</v>
          </cell>
          <cell r="AA1441" t="str">
            <v>K5208</v>
          </cell>
          <cell r="AB1441" t="str">
            <v>X25</v>
          </cell>
          <cell r="AC1441" t="str">
            <v>X43</v>
          </cell>
          <cell r="AD1441" t="str">
            <v>J5024</v>
          </cell>
          <cell r="AE1441" t="str">
            <v>K5208</v>
          </cell>
          <cell r="AF1441" t="str">
            <v>21:7,21:14</v>
          </cell>
          <cell r="AG1441" t="str">
            <v>7:21,14:21</v>
          </cell>
          <cell r="AH1441" t="str">
            <v/>
          </cell>
          <cell r="AI1441">
            <v>21</v>
          </cell>
          <cell r="AJ1441">
            <v>7</v>
          </cell>
          <cell r="AK1441">
            <v>21</v>
          </cell>
          <cell r="AL1441">
            <v>14</v>
          </cell>
          <cell r="AM1441">
            <v>0</v>
          </cell>
          <cell r="AN1441">
            <v>0</v>
          </cell>
        </row>
        <row r="1442">
          <cell r="A1442" t="str">
            <v/>
          </cell>
          <cell r="B1442" t="str">
            <v>Zuzanna JANKOWSKA (MKS Strzelce Opolskie)</v>
          </cell>
          <cell r="H1442" t="str">
            <v>J5024</v>
          </cell>
          <cell r="K1442" t="str">
            <v>X25</v>
          </cell>
          <cell r="N1442" t="str">
            <v>Yana  HALYTSKA (Vinnica Ukraina)</v>
          </cell>
        </row>
        <row r="1443">
          <cell r="A1443" t="str">
            <v/>
          </cell>
          <cell r="B1443" t="str">
            <v>Dominika KWAŚNIK (UKS Feniks Kędzierzyn-Koźle)</v>
          </cell>
          <cell r="H1443" t="str">
            <v>K5208</v>
          </cell>
          <cell r="K1443" t="str">
            <v>X43</v>
          </cell>
          <cell r="N1443" t="str">
            <v>Marta PROSTAK (Lwów Ukraina)</v>
          </cell>
        </row>
        <row r="1445">
          <cell r="B1445" t="str">
            <v>zwycięzca(cy): 21:7,21:14</v>
          </cell>
          <cell r="K1445" t="str">
            <v/>
          </cell>
        </row>
        <row r="1446">
          <cell r="B1446">
            <v>1</v>
          </cell>
          <cell r="C1446" t="str">
            <v>dzień turnieju.</v>
          </cell>
          <cell r="I1446" t="str">
            <v>Nr meczu</v>
          </cell>
          <cell r="N1446" t="str">
            <v>Godz.</v>
          </cell>
          <cell r="R1446" t="str">
            <v>S. prow.</v>
          </cell>
          <cell r="AF1446" t="str">
            <v>wygrany</v>
          </cell>
          <cell r="AG1446" t="str">
            <v>przegrany</v>
          </cell>
        </row>
        <row r="1447">
          <cell r="B1447" t="str">
            <v>Boisko</v>
          </cell>
          <cell r="C1447" t="str">
            <v>Gra</v>
          </cell>
          <cell r="I1447">
            <v>207</v>
          </cell>
          <cell r="N1447" t="str">
            <v>rozp.</v>
          </cell>
          <cell r="P1447" t="str">
            <v>zak.</v>
          </cell>
          <cell r="R1447" t="str">
            <v>S. serw.</v>
          </cell>
        </row>
        <row r="1448">
          <cell r="A1448">
            <v>207</v>
          </cell>
          <cell r="B1448">
            <v>3</v>
          </cell>
          <cell r="C1448" t="str">
            <v>podwójna dziewcząt MM</v>
          </cell>
          <cell r="H1448">
            <v>21</v>
          </cell>
          <cell r="I1448">
            <v>15</v>
          </cell>
          <cell r="J1448">
            <v>21</v>
          </cell>
          <cell r="K1448">
            <v>14</v>
          </cell>
          <cell r="P1448">
            <v>0.95833333333333337</v>
          </cell>
          <cell r="R1448">
            <v>0.95833333333333337</v>
          </cell>
          <cell r="S1448" t="str">
            <v>pt 21:20</v>
          </cell>
          <cell r="X1448">
            <v>207</v>
          </cell>
          <cell r="Y1448" t="str">
            <v>podwójna dziewcząt MM</v>
          </cell>
          <cell r="Z1448" t="str">
            <v>D5062</v>
          </cell>
          <cell r="AA1448" t="str">
            <v>R5603</v>
          </cell>
          <cell r="AB1448" t="str">
            <v>S5479</v>
          </cell>
          <cell r="AC1448" t="str">
            <v>Ż5592</v>
          </cell>
          <cell r="AD1448" t="str">
            <v>D5062</v>
          </cell>
          <cell r="AE1448" t="str">
            <v>R5603</v>
          </cell>
          <cell r="AF1448" t="str">
            <v>21:15,21:14</v>
          </cell>
          <cell r="AG1448" t="str">
            <v>15:21,14:21</v>
          </cell>
          <cell r="AH1448" t="str">
            <v/>
          </cell>
          <cell r="AI1448">
            <v>21</v>
          </cell>
          <cell r="AJ1448">
            <v>15</v>
          </cell>
          <cell r="AK1448">
            <v>21</v>
          </cell>
          <cell r="AL1448">
            <v>14</v>
          </cell>
          <cell r="AM1448">
            <v>0</v>
          </cell>
          <cell r="AN1448">
            <v>0</v>
          </cell>
        </row>
        <row r="1449">
          <cell r="A1449" t="str">
            <v/>
          </cell>
          <cell r="B1449" t="str">
            <v>Emilia DRĄGOWSKA (UKS Hubal Białystok)</v>
          </cell>
          <cell r="H1449" t="str">
            <v>D5062</v>
          </cell>
          <cell r="K1449" t="str">
            <v>S5479</v>
          </cell>
          <cell r="N1449" t="str">
            <v>Aleksandra SZYMAŃSKA (UKSB Milenium Warszawa)</v>
          </cell>
        </row>
        <row r="1450">
          <cell r="A1450" t="str">
            <v/>
          </cell>
          <cell r="B1450" t="str">
            <v>Aleksandra RADZISZEWSKA (UKS Hubal Białystok)</v>
          </cell>
          <cell r="H1450" t="str">
            <v>R5603</v>
          </cell>
          <cell r="K1450" t="str">
            <v>Ż5592</v>
          </cell>
          <cell r="N1450" t="str">
            <v>Nina ŻWAN (UTS Akro-Bad Warszawa)</v>
          </cell>
        </row>
        <row r="1452">
          <cell r="B1452" t="str">
            <v>zwycięzca(cy): 21:15,21:14</v>
          </cell>
          <cell r="K1452" t="str">
            <v/>
          </cell>
        </row>
        <row r="1453">
          <cell r="B1453">
            <v>1</v>
          </cell>
          <cell r="C1453" t="str">
            <v>dzień turnieju.</v>
          </cell>
          <cell r="I1453" t="str">
            <v>Nr meczu</v>
          </cell>
          <cell r="N1453" t="str">
            <v>Godz.</v>
          </cell>
          <cell r="R1453" t="str">
            <v>S. prow.</v>
          </cell>
          <cell r="AF1453" t="str">
            <v>wygrany</v>
          </cell>
          <cell r="AG1453" t="str">
            <v>przegrany</v>
          </cell>
        </row>
        <row r="1454">
          <cell r="B1454" t="str">
            <v>Boisko</v>
          </cell>
          <cell r="C1454" t="str">
            <v>Gra</v>
          </cell>
          <cell r="I1454">
            <v>208</v>
          </cell>
          <cell r="N1454" t="str">
            <v>rozp.</v>
          </cell>
          <cell r="P1454" t="str">
            <v>zak.</v>
          </cell>
          <cell r="R1454" t="str">
            <v>S. serw.</v>
          </cell>
        </row>
        <row r="1455">
          <cell r="A1455">
            <v>208</v>
          </cell>
          <cell r="B1455">
            <v>4</v>
          </cell>
          <cell r="C1455" t="str">
            <v>podwójna dziewcząt MM</v>
          </cell>
          <cell r="H1455">
            <v>21</v>
          </cell>
          <cell r="I1455">
            <v>18</v>
          </cell>
          <cell r="J1455">
            <v>21</v>
          </cell>
          <cell r="K1455">
            <v>17</v>
          </cell>
          <cell r="P1455">
            <v>0.94374999999999998</v>
          </cell>
          <cell r="R1455">
            <v>0.94374999999999998</v>
          </cell>
          <cell r="S1455" t="str">
            <v>pt 21:20</v>
          </cell>
          <cell r="X1455">
            <v>208</v>
          </cell>
          <cell r="Y1455" t="str">
            <v>podwójna dziewcząt MM</v>
          </cell>
          <cell r="Z1455" t="str">
            <v>K5262</v>
          </cell>
          <cell r="AA1455" t="str">
            <v>L5359</v>
          </cell>
          <cell r="AB1455" t="str">
            <v>g5614</v>
          </cell>
          <cell r="AC1455" t="str">
            <v>H5946</v>
          </cell>
          <cell r="AD1455" t="str">
            <v>K5262</v>
          </cell>
          <cell r="AE1455" t="str">
            <v>L5359</v>
          </cell>
          <cell r="AF1455" t="str">
            <v>21:18,21:17</v>
          </cell>
          <cell r="AG1455" t="str">
            <v>18:21,17:21</v>
          </cell>
          <cell r="AH1455" t="str">
            <v/>
          </cell>
          <cell r="AI1455">
            <v>21</v>
          </cell>
          <cell r="AJ1455">
            <v>18</v>
          </cell>
          <cell r="AK1455">
            <v>21</v>
          </cell>
          <cell r="AL1455">
            <v>17</v>
          </cell>
          <cell r="AM1455">
            <v>0</v>
          </cell>
          <cell r="AN1455">
            <v>0</v>
          </cell>
        </row>
        <row r="1456">
          <cell r="A1456" t="str">
            <v/>
          </cell>
          <cell r="B1456" t="str">
            <v>Wiktoria KASPRZAK (UKS Kiko Zamość)</v>
          </cell>
          <cell r="H1456" t="str">
            <v>K5262</v>
          </cell>
          <cell r="K1456" t="str">
            <v>g5614</v>
          </cell>
          <cell r="N1456" t="str">
            <v>Weronika GÓRNIAK (UKSB Milenium Warszawa)</v>
          </cell>
        </row>
        <row r="1457">
          <cell r="A1457" t="str">
            <v/>
          </cell>
          <cell r="B1457" t="str">
            <v>Aleksandra LASKOWSKA (UKS Kiko Zamość)</v>
          </cell>
          <cell r="H1457" t="str">
            <v>L5359</v>
          </cell>
          <cell r="K1457" t="str">
            <v>H5946</v>
          </cell>
          <cell r="N1457" t="str">
            <v>Paulina HANKIEWICZ (UKSB Milenium Warszawa)</v>
          </cell>
        </row>
        <row r="1459">
          <cell r="B1459" t="str">
            <v>zwycięzca(cy): 21:18,21:17</v>
          </cell>
          <cell r="K1459" t="str">
            <v/>
          </cell>
        </row>
        <row r="1460">
          <cell r="B1460">
            <v>1</v>
          </cell>
          <cell r="C1460" t="str">
            <v>dzień turnieju.</v>
          </cell>
          <cell r="I1460" t="str">
            <v>Nr meczu</v>
          </cell>
          <cell r="N1460" t="str">
            <v>Godz.</v>
          </cell>
          <cell r="R1460" t="str">
            <v>S. prow.</v>
          </cell>
          <cell r="AF1460" t="str">
            <v>wygrany</v>
          </cell>
          <cell r="AG1460" t="str">
            <v>przegrany</v>
          </cell>
        </row>
        <row r="1461">
          <cell r="B1461" t="str">
            <v>Boisko</v>
          </cell>
          <cell r="C1461" t="str">
            <v>Gra</v>
          </cell>
          <cell r="I1461">
            <v>209</v>
          </cell>
          <cell r="N1461" t="str">
            <v>rozp.</v>
          </cell>
          <cell r="P1461" t="str">
            <v>zak.</v>
          </cell>
          <cell r="R1461" t="str">
            <v>S. serw.</v>
          </cell>
        </row>
        <row r="1462">
          <cell r="A1462">
            <v>209</v>
          </cell>
          <cell r="B1462">
            <v>6</v>
          </cell>
          <cell r="C1462" t="str">
            <v>podwójna dziewcząt MM</v>
          </cell>
          <cell r="H1462">
            <v>21</v>
          </cell>
          <cell r="I1462">
            <v>10</v>
          </cell>
          <cell r="J1462">
            <v>21</v>
          </cell>
          <cell r="K1462">
            <v>9</v>
          </cell>
          <cell r="P1462">
            <v>0.95833333333333337</v>
          </cell>
          <cell r="R1462">
            <v>0.95833333333333337</v>
          </cell>
          <cell r="S1462" t="str">
            <v>pt 21:20</v>
          </cell>
          <cell r="X1462">
            <v>209</v>
          </cell>
          <cell r="Y1462" t="str">
            <v>podwójna dziewcząt MM</v>
          </cell>
          <cell r="Z1462" t="str">
            <v>M4792</v>
          </cell>
          <cell r="AA1462" t="str">
            <v>O5218</v>
          </cell>
          <cell r="AB1462" t="str">
            <v>X34</v>
          </cell>
          <cell r="AC1462" t="str">
            <v>X33</v>
          </cell>
          <cell r="AD1462" t="str">
            <v>M4792</v>
          </cell>
          <cell r="AE1462" t="str">
            <v>O5218</v>
          </cell>
          <cell r="AF1462" t="str">
            <v>21:10,21:9</v>
          </cell>
          <cell r="AG1462" t="str">
            <v>10:21,9:21</v>
          </cell>
          <cell r="AH1462" t="str">
            <v/>
          </cell>
          <cell r="AI1462">
            <v>21</v>
          </cell>
          <cell r="AJ1462">
            <v>10</v>
          </cell>
          <cell r="AK1462">
            <v>21</v>
          </cell>
          <cell r="AL1462">
            <v>9</v>
          </cell>
          <cell r="AM1462">
            <v>0</v>
          </cell>
          <cell r="AN1462">
            <v>0</v>
          </cell>
        </row>
        <row r="1463">
          <cell r="A1463" t="str">
            <v/>
          </cell>
          <cell r="B1463" t="str">
            <v>Urszula MISZKIEL (SKB Suwałki)</v>
          </cell>
          <cell r="H1463" t="str">
            <v>M4792</v>
          </cell>
          <cell r="K1463" t="str">
            <v>X34</v>
          </cell>
          <cell r="N1463" t="str">
            <v>Marina YANBAYEVA (Białoruś)</v>
          </cell>
        </row>
        <row r="1464">
          <cell r="A1464" t="str">
            <v/>
          </cell>
          <cell r="B1464" t="str">
            <v>Natalia OWSIEJEW (SKB Suwałki)</v>
          </cell>
          <cell r="H1464" t="str">
            <v>O5218</v>
          </cell>
          <cell r="K1464" t="str">
            <v>X33</v>
          </cell>
          <cell r="N1464" t="str">
            <v>Kseniya YAROSHUK (Białoruś)</v>
          </cell>
        </row>
        <row r="1466">
          <cell r="B1466" t="str">
            <v>zwycięzca(cy): 21:10,21:9</v>
          </cell>
          <cell r="K1466" t="str">
            <v/>
          </cell>
        </row>
        <row r="1467">
          <cell r="B1467">
            <v>1</v>
          </cell>
          <cell r="C1467" t="str">
            <v>dzień turnieju.</v>
          </cell>
          <cell r="I1467" t="str">
            <v>Nr meczu</v>
          </cell>
          <cell r="N1467" t="str">
            <v>Godz.</v>
          </cell>
          <cell r="R1467" t="str">
            <v>S. prow.</v>
          </cell>
          <cell r="AF1467" t="str">
            <v>wygrany</v>
          </cell>
          <cell r="AG1467" t="str">
            <v>przegrany</v>
          </cell>
        </row>
        <row r="1468">
          <cell r="B1468" t="str">
            <v>Boisko</v>
          </cell>
          <cell r="C1468" t="str">
            <v>Gra</v>
          </cell>
          <cell r="I1468">
            <v>210</v>
          </cell>
          <cell r="N1468" t="str">
            <v>rozp.</v>
          </cell>
          <cell r="P1468" t="str">
            <v>zak.</v>
          </cell>
          <cell r="R1468" t="str">
            <v>S. serw.</v>
          </cell>
        </row>
        <row r="1469">
          <cell r="A1469">
            <v>210</v>
          </cell>
          <cell r="B1469">
            <v>2</v>
          </cell>
          <cell r="C1469" t="str">
            <v>podwójna dziewcząt MM</v>
          </cell>
          <cell r="H1469">
            <v>18</v>
          </cell>
          <cell r="I1469">
            <v>21</v>
          </cell>
          <cell r="J1469">
            <v>14</v>
          </cell>
          <cell r="K1469">
            <v>21</v>
          </cell>
          <cell r="P1469">
            <v>0.94374999999999998</v>
          </cell>
          <cell r="R1469">
            <v>0.94374999999999998</v>
          </cell>
          <cell r="S1469" t="str">
            <v>pt 21:20</v>
          </cell>
          <cell r="X1469">
            <v>210</v>
          </cell>
          <cell r="Y1469" t="str">
            <v>podwójna dziewcząt MM</v>
          </cell>
          <cell r="Z1469" t="str">
            <v>C5063</v>
          </cell>
          <cell r="AA1469" t="str">
            <v>K5600</v>
          </cell>
          <cell r="AB1469" t="str">
            <v>F4870</v>
          </cell>
          <cell r="AC1469" t="str">
            <v>S4730</v>
          </cell>
          <cell r="AD1469" t="str">
            <v>F4870</v>
          </cell>
          <cell r="AE1469" t="str">
            <v>S4730</v>
          </cell>
          <cell r="AF1469" t="str">
            <v>21:18,21:14</v>
          </cell>
          <cell r="AG1469" t="str">
            <v>18:21,14:21</v>
          </cell>
          <cell r="AH1469" t="str">
            <v/>
          </cell>
          <cell r="AI1469">
            <v>18</v>
          </cell>
          <cell r="AJ1469">
            <v>21</v>
          </cell>
          <cell r="AK1469">
            <v>14</v>
          </cell>
          <cell r="AL1469">
            <v>21</v>
          </cell>
          <cell r="AM1469">
            <v>0</v>
          </cell>
          <cell r="AN1469">
            <v>0</v>
          </cell>
        </row>
        <row r="1470">
          <cell r="A1470" t="str">
            <v/>
          </cell>
          <cell r="B1470" t="str">
            <v>Karolina CIEŚLUK (UKS Hubal Białystok)</v>
          </cell>
          <cell r="H1470" t="str">
            <v>C5063</v>
          </cell>
          <cell r="K1470" t="str">
            <v>F4870</v>
          </cell>
          <cell r="N1470" t="str">
            <v>Marcelina FRANCZUK (MMKS Gdańsk)</v>
          </cell>
        </row>
        <row r="1471">
          <cell r="A1471" t="str">
            <v/>
          </cell>
          <cell r="B1471" t="str">
            <v>Gabriela KUŁAKOWSKA (UKS Hubal Białystok)</v>
          </cell>
          <cell r="H1471" t="str">
            <v>K5600</v>
          </cell>
          <cell r="K1471" t="str">
            <v>S4730</v>
          </cell>
          <cell r="N1471" t="str">
            <v>Karolina SZUBERT (KS Match Point Ślęza)</v>
          </cell>
        </row>
        <row r="1473">
          <cell r="B1473" t="str">
            <v/>
          </cell>
          <cell r="K1473" t="str">
            <v>zwycięzca(cy): 21:18,21:14</v>
          </cell>
        </row>
        <row r="1474">
          <cell r="B1474">
            <v>1</v>
          </cell>
          <cell r="C1474" t="str">
            <v>dzień turnieju.</v>
          </cell>
          <cell r="I1474" t="str">
            <v>Nr meczu</v>
          </cell>
          <cell r="N1474" t="str">
            <v>Godz.</v>
          </cell>
          <cell r="R1474" t="str">
            <v>S. prow.</v>
          </cell>
          <cell r="AF1474" t="str">
            <v>wygrany</v>
          </cell>
          <cell r="AG1474" t="str">
            <v>przegrany</v>
          </cell>
        </row>
        <row r="1475">
          <cell r="B1475" t="str">
            <v>Boisko</v>
          </cell>
          <cell r="C1475" t="str">
            <v>Gra</v>
          </cell>
          <cell r="I1475">
            <v>211</v>
          </cell>
          <cell r="N1475" t="str">
            <v>rozp.</v>
          </cell>
          <cell r="P1475" t="str">
            <v>zak.</v>
          </cell>
          <cell r="R1475" t="str">
            <v>S. serw.</v>
          </cell>
        </row>
        <row r="1476">
          <cell r="A1476">
            <v>211</v>
          </cell>
          <cell r="B1476">
            <v>2</v>
          </cell>
          <cell r="C1476" t="str">
            <v>podwójna chłopców MM</v>
          </cell>
          <cell r="H1476">
            <v>16</v>
          </cell>
          <cell r="I1476">
            <v>21</v>
          </cell>
          <cell r="J1476">
            <v>21</v>
          </cell>
          <cell r="K1476">
            <v>13</v>
          </cell>
          <cell r="L1476">
            <v>17</v>
          </cell>
          <cell r="M1476">
            <v>21</v>
          </cell>
          <cell r="P1476">
            <v>0.40069444444444446</v>
          </cell>
          <cell r="R1476">
            <v>0.40069444444444446</v>
          </cell>
          <cell r="S1476" t="str">
            <v>sob 9:00</v>
          </cell>
          <cell r="X1476">
            <v>211</v>
          </cell>
          <cell r="Y1476" t="str">
            <v>podwójna chłopców MM</v>
          </cell>
          <cell r="Z1476" t="str">
            <v>B4655</v>
          </cell>
          <cell r="AA1476" t="str">
            <v>G5536</v>
          </cell>
          <cell r="AB1476" t="str">
            <v>G5128</v>
          </cell>
          <cell r="AC1476" t="str">
            <v>H5129</v>
          </cell>
          <cell r="AD1476" t="str">
            <v>G5128</v>
          </cell>
          <cell r="AE1476" t="str">
            <v>H5129</v>
          </cell>
          <cell r="AF1476" t="str">
            <v>21:16,13:21,21:17</v>
          </cell>
          <cell r="AG1476" t="str">
            <v>16:21,21:13,17:21</v>
          </cell>
          <cell r="AH1476" t="str">
            <v/>
          </cell>
          <cell r="AI1476">
            <v>16</v>
          </cell>
          <cell r="AJ1476">
            <v>21</v>
          </cell>
          <cell r="AK1476">
            <v>21</v>
          </cell>
          <cell r="AL1476">
            <v>13</v>
          </cell>
          <cell r="AM1476">
            <v>17</v>
          </cell>
          <cell r="AN1476">
            <v>21</v>
          </cell>
        </row>
        <row r="1477">
          <cell r="A1477" t="str">
            <v/>
          </cell>
          <cell r="B1477" t="str">
            <v>Sebastian BILBIN (SKB Suwałki)</v>
          </cell>
          <cell r="H1477" t="str">
            <v>B4655</v>
          </cell>
          <cell r="K1477" t="str">
            <v>G5128</v>
          </cell>
          <cell r="N1477" t="str">
            <v>Artur GWIAZDOWSKI (UKS Korona Pabianice)</v>
          </cell>
        </row>
        <row r="1478">
          <cell r="A1478" t="str">
            <v/>
          </cell>
          <cell r="B1478" t="str">
            <v>Filip GRABOWSKI (SKB Suwałki)</v>
          </cell>
          <cell r="H1478" t="str">
            <v>G5536</v>
          </cell>
          <cell r="K1478" t="str">
            <v>H5129</v>
          </cell>
          <cell r="N1478" t="str">
            <v>Natan HEMER (UKS Korona Pabianice)</v>
          </cell>
        </row>
        <row r="1480">
          <cell r="B1480" t="str">
            <v/>
          </cell>
          <cell r="K1480" t="str">
            <v>zwycięzca(cy): 21:16,13:21,21:17</v>
          </cell>
        </row>
        <row r="1481">
          <cell r="B1481">
            <v>1</v>
          </cell>
          <cell r="C1481" t="str">
            <v>dzień turnieju.</v>
          </cell>
          <cell r="I1481" t="str">
            <v>Nr meczu</v>
          </cell>
          <cell r="N1481" t="str">
            <v>Godz.</v>
          </cell>
          <cell r="R1481" t="str">
            <v>S. prow.</v>
          </cell>
          <cell r="AF1481" t="str">
            <v>wygrany</v>
          </cell>
          <cell r="AG1481" t="str">
            <v>przegrany</v>
          </cell>
        </row>
        <row r="1482">
          <cell r="B1482" t="str">
            <v>Boisko</v>
          </cell>
          <cell r="C1482" t="str">
            <v>Gra</v>
          </cell>
          <cell r="I1482">
            <v>212</v>
          </cell>
          <cell r="N1482" t="str">
            <v>rozp.</v>
          </cell>
          <cell r="P1482" t="str">
            <v>zak.</v>
          </cell>
          <cell r="R1482" t="str">
            <v>S. serw.</v>
          </cell>
        </row>
        <row r="1483">
          <cell r="A1483">
            <v>212</v>
          </cell>
          <cell r="B1483">
            <v>5</v>
          </cell>
          <cell r="C1483" t="str">
            <v>podwójna chłopców MM</v>
          </cell>
          <cell r="H1483">
            <v>21</v>
          </cell>
          <cell r="I1483">
            <v>7</v>
          </cell>
          <cell r="J1483">
            <v>21</v>
          </cell>
          <cell r="K1483">
            <v>13</v>
          </cell>
          <cell r="P1483">
            <v>0.93402777777777779</v>
          </cell>
          <cell r="R1483">
            <v>0.93402777777777779</v>
          </cell>
          <cell r="S1483" t="str">
            <v>pt 21:20</v>
          </cell>
          <cell r="X1483">
            <v>212</v>
          </cell>
          <cell r="Y1483" t="str">
            <v>podwójna chłopców MM</v>
          </cell>
          <cell r="Z1483" t="str">
            <v>C4406</v>
          </cell>
          <cell r="AA1483" t="str">
            <v>C4264</v>
          </cell>
          <cell r="AB1483" t="str">
            <v>P5629</v>
          </cell>
          <cell r="AC1483" t="str">
            <v>P5601</v>
          </cell>
          <cell r="AD1483" t="str">
            <v>C4406</v>
          </cell>
          <cell r="AE1483" t="str">
            <v>C4264</v>
          </cell>
          <cell r="AF1483" t="str">
            <v>21:7,21:13</v>
          </cell>
          <cell r="AG1483" t="str">
            <v>7:21,13:21</v>
          </cell>
          <cell r="AH1483" t="str">
            <v/>
          </cell>
          <cell r="AI1483">
            <v>21</v>
          </cell>
          <cell r="AJ1483">
            <v>7</v>
          </cell>
          <cell r="AK1483">
            <v>21</v>
          </cell>
          <cell r="AL1483">
            <v>13</v>
          </cell>
          <cell r="AM1483">
            <v>0</v>
          </cell>
          <cell r="AN1483">
            <v>0</v>
          </cell>
        </row>
        <row r="1484">
          <cell r="A1484" t="str">
            <v/>
          </cell>
          <cell r="B1484" t="str">
            <v>Łukasz CIMOSZ (KS Chojnik Jelenia Góra)</v>
          </cell>
          <cell r="H1484" t="str">
            <v>C4406</v>
          </cell>
          <cell r="K1484" t="str">
            <v>P5629</v>
          </cell>
          <cell r="N1484" t="str">
            <v>Konrad PIECH (UKS Hubal Białystok)</v>
          </cell>
        </row>
        <row r="1485">
          <cell r="A1485" t="str">
            <v/>
          </cell>
          <cell r="B1485" t="str">
            <v>Szymon CYBULSKI (MKB Lednik Miastko)</v>
          </cell>
          <cell r="H1485" t="str">
            <v>C4264</v>
          </cell>
          <cell r="K1485" t="str">
            <v>P5601</v>
          </cell>
          <cell r="N1485" t="str">
            <v>Hubert PUCIŁOWSKI (UKS Hubal Białystok)</v>
          </cell>
        </row>
        <row r="1487">
          <cell r="B1487" t="str">
            <v>zwycięzca(cy): 21:7,21:13</v>
          </cell>
          <cell r="K1487" t="str">
            <v/>
          </cell>
        </row>
        <row r="1488">
          <cell r="B1488">
            <v>1</v>
          </cell>
          <cell r="C1488" t="str">
            <v>dzień turnieju.</v>
          </cell>
          <cell r="I1488" t="str">
            <v>Nr meczu</v>
          </cell>
          <cell r="N1488" t="str">
            <v>Godz.</v>
          </cell>
          <cell r="R1488" t="str">
            <v>S. prow.</v>
          </cell>
          <cell r="AF1488" t="str">
            <v>wygrany</v>
          </cell>
          <cell r="AG1488" t="str">
            <v>przegrany</v>
          </cell>
        </row>
        <row r="1489">
          <cell r="B1489" t="str">
            <v>Boisko</v>
          </cell>
          <cell r="C1489" t="str">
            <v>Gra</v>
          </cell>
          <cell r="I1489">
            <v>213</v>
          </cell>
          <cell r="N1489" t="str">
            <v>rozp.</v>
          </cell>
          <cell r="P1489" t="str">
            <v>zak.</v>
          </cell>
          <cell r="R1489" t="str">
            <v>S. serw.</v>
          </cell>
        </row>
        <row r="1490">
          <cell r="A1490">
            <v>213</v>
          </cell>
          <cell r="B1490">
            <v>3</v>
          </cell>
          <cell r="C1490" t="str">
            <v>podwójna chłopców MM</v>
          </cell>
          <cell r="H1490">
            <v>21</v>
          </cell>
          <cell r="I1490">
            <v>7</v>
          </cell>
          <cell r="J1490">
            <v>21</v>
          </cell>
          <cell r="K1490">
            <v>14</v>
          </cell>
          <cell r="P1490">
            <v>0.39305555555555555</v>
          </cell>
          <cell r="R1490">
            <v>0.39305555555555555</v>
          </cell>
          <cell r="S1490" t="str">
            <v>sob 9:00</v>
          </cell>
          <cell r="X1490">
            <v>213</v>
          </cell>
          <cell r="Y1490" t="str">
            <v>podwójna chłopców MM</v>
          </cell>
          <cell r="Z1490" t="str">
            <v>M5584</v>
          </cell>
          <cell r="AA1490" t="str">
            <v>Ś5585</v>
          </cell>
          <cell r="AB1490" t="str">
            <v>X26</v>
          </cell>
          <cell r="AC1490" t="str">
            <v>S5068</v>
          </cell>
          <cell r="AD1490" t="str">
            <v>M5584</v>
          </cell>
          <cell r="AE1490" t="str">
            <v>Ś5585</v>
          </cell>
          <cell r="AF1490" t="str">
            <v>21:7,21:14</v>
          </cell>
          <cell r="AG1490" t="str">
            <v>7:21,14:21</v>
          </cell>
          <cell r="AH1490" t="str">
            <v/>
          </cell>
          <cell r="AI1490">
            <v>21</v>
          </cell>
          <cell r="AJ1490">
            <v>7</v>
          </cell>
          <cell r="AK1490">
            <v>21</v>
          </cell>
          <cell r="AL1490">
            <v>14</v>
          </cell>
          <cell r="AM1490">
            <v>0</v>
          </cell>
          <cell r="AN1490">
            <v>0</v>
          </cell>
        </row>
        <row r="1491">
          <cell r="A1491" t="str">
            <v/>
          </cell>
          <cell r="B1491" t="str">
            <v>Jakub MAZUR (LKS Technik Głubczyce)</v>
          </cell>
          <cell r="H1491" t="str">
            <v>M5584</v>
          </cell>
          <cell r="K1491" t="str">
            <v>X26</v>
          </cell>
          <cell r="N1491" t="str">
            <v>Igor SENICHKYN (Vinnica Ukraina)</v>
          </cell>
        </row>
        <row r="1492">
          <cell r="A1492" t="str">
            <v/>
          </cell>
          <cell r="B1492" t="str">
            <v>Szymon ŚLEPECKI (LKS Technik Głubczyce)</v>
          </cell>
          <cell r="H1492" t="str">
            <v>Ś5585</v>
          </cell>
          <cell r="K1492" t="str">
            <v>S5068</v>
          </cell>
          <cell r="N1492" t="str">
            <v>Stanisław SIERZPUTOWSKI (AZSUW Warszawa)</v>
          </cell>
        </row>
        <row r="1494">
          <cell r="B1494" t="str">
            <v>zwycięzca(cy): 21:7,21:14</v>
          </cell>
          <cell r="K1494" t="str">
            <v/>
          </cell>
        </row>
        <row r="1495">
          <cell r="B1495">
            <v>1</v>
          </cell>
          <cell r="C1495" t="str">
            <v>dzień turnieju.</v>
          </cell>
          <cell r="I1495" t="str">
            <v>Nr meczu</v>
          </cell>
          <cell r="N1495" t="str">
            <v>Godz.</v>
          </cell>
          <cell r="R1495" t="str">
            <v>S. prow.</v>
          </cell>
          <cell r="AF1495" t="str">
            <v>wygrany</v>
          </cell>
          <cell r="AG1495" t="str">
            <v>przegrany</v>
          </cell>
        </row>
        <row r="1496">
          <cell r="B1496" t="str">
            <v>Boisko</v>
          </cell>
          <cell r="C1496" t="str">
            <v>Gra</v>
          </cell>
          <cell r="I1496">
            <v>214</v>
          </cell>
          <cell r="N1496" t="str">
            <v>rozp.</v>
          </cell>
          <cell r="P1496" t="str">
            <v>zak.</v>
          </cell>
          <cell r="R1496" t="str">
            <v>S. serw.</v>
          </cell>
        </row>
        <row r="1497">
          <cell r="A1497">
            <v>214</v>
          </cell>
          <cell r="B1497">
            <v>5</v>
          </cell>
          <cell r="C1497" t="str">
            <v>podwójna chłopców MM</v>
          </cell>
          <cell r="H1497">
            <v>18</v>
          </cell>
          <cell r="I1497">
            <v>21</v>
          </cell>
          <cell r="J1497">
            <v>21</v>
          </cell>
          <cell r="K1497">
            <v>19</v>
          </cell>
          <cell r="L1497">
            <v>15</v>
          </cell>
          <cell r="M1497">
            <v>21</v>
          </cell>
          <cell r="P1497">
            <v>0.95833333333333337</v>
          </cell>
          <cell r="R1497">
            <v>0.95833333333333337</v>
          </cell>
          <cell r="S1497" t="str">
            <v>pt 21:20</v>
          </cell>
          <cell r="X1497">
            <v>214</v>
          </cell>
          <cell r="Y1497" t="str">
            <v>podwójna chłopców MM</v>
          </cell>
          <cell r="Z1497" t="str">
            <v>K4239</v>
          </cell>
          <cell r="AA1497" t="str">
            <v>M4698</v>
          </cell>
          <cell r="AB1497" t="str">
            <v>H5344</v>
          </cell>
          <cell r="AC1497" t="str">
            <v>P5351</v>
          </cell>
          <cell r="AD1497" t="str">
            <v>H5344</v>
          </cell>
          <cell r="AE1497" t="str">
            <v>P5351</v>
          </cell>
          <cell r="AF1497" t="str">
            <v>21:18,19:21,21:15</v>
          </cell>
          <cell r="AG1497" t="str">
            <v>18:21,21:19,15:21</v>
          </cell>
          <cell r="AH1497" t="str">
            <v/>
          </cell>
          <cell r="AI1497">
            <v>18</v>
          </cell>
          <cell r="AJ1497">
            <v>21</v>
          </cell>
          <cell r="AK1497">
            <v>21</v>
          </cell>
          <cell r="AL1497">
            <v>19</v>
          </cell>
          <cell r="AM1497">
            <v>15</v>
          </cell>
          <cell r="AN1497">
            <v>21</v>
          </cell>
        </row>
        <row r="1498">
          <cell r="A1498" t="str">
            <v/>
          </cell>
          <cell r="B1498" t="str">
            <v>Paweł KAŹMIERCZYK (UKSB Milenium Warszawa)</v>
          </cell>
          <cell r="H1498" t="str">
            <v>K4239</v>
          </cell>
          <cell r="K1498" t="str">
            <v>H5344</v>
          </cell>
          <cell r="N1498" t="str">
            <v>Mateusz HAŁASA (UKS Kiko Zamość)</v>
          </cell>
        </row>
        <row r="1499">
          <cell r="A1499" t="str">
            <v/>
          </cell>
          <cell r="B1499" t="str">
            <v>Norbert MARKOWSKI (UKS Kometa Sianów)</v>
          </cell>
          <cell r="H1499" t="str">
            <v>M4698</v>
          </cell>
          <cell r="K1499" t="str">
            <v>P5351</v>
          </cell>
          <cell r="N1499" t="str">
            <v>Norbert POŹDZIK (UKS Kiko Zamość)</v>
          </cell>
        </row>
        <row r="1501">
          <cell r="B1501" t="str">
            <v/>
          </cell>
          <cell r="K1501" t="str">
            <v>zwycięzca(cy): 21:18,19:21,21:15</v>
          </cell>
        </row>
        <row r="1502">
          <cell r="B1502">
            <v>1</v>
          </cell>
          <cell r="C1502" t="str">
            <v>dzień turnieju.</v>
          </cell>
          <cell r="I1502" t="str">
            <v>Nr meczu</v>
          </cell>
          <cell r="N1502" t="str">
            <v>Godz.</v>
          </cell>
          <cell r="R1502" t="str">
            <v>S. prow.</v>
          </cell>
          <cell r="AF1502" t="str">
            <v>wygrany</v>
          </cell>
          <cell r="AG1502" t="str">
            <v>przegrany</v>
          </cell>
        </row>
        <row r="1503">
          <cell r="B1503" t="str">
            <v>Boisko</v>
          </cell>
          <cell r="C1503" t="str">
            <v>Gra</v>
          </cell>
          <cell r="I1503">
            <v>215</v>
          </cell>
          <cell r="N1503" t="str">
            <v>rozp.</v>
          </cell>
          <cell r="P1503" t="str">
            <v>zak.</v>
          </cell>
          <cell r="R1503" t="str">
            <v>S. serw.</v>
          </cell>
        </row>
        <row r="1504">
          <cell r="A1504">
            <v>215</v>
          </cell>
          <cell r="B1504">
            <v>1</v>
          </cell>
          <cell r="C1504" t="str">
            <v>podwójna chłopców MM</v>
          </cell>
          <cell r="H1504">
            <v>21</v>
          </cell>
          <cell r="I1504">
            <v>7</v>
          </cell>
          <cell r="J1504">
            <v>21</v>
          </cell>
          <cell r="K1504">
            <v>8</v>
          </cell>
          <cell r="P1504">
            <v>0.95833333333333337</v>
          </cell>
          <cell r="R1504">
            <v>0.95833333333333337</v>
          </cell>
          <cell r="S1504" t="str">
            <v>pt 21:20</v>
          </cell>
          <cell r="X1504">
            <v>215</v>
          </cell>
          <cell r="Y1504" t="str">
            <v>podwójna chłopców MM</v>
          </cell>
          <cell r="Z1504" t="str">
            <v>G4725</v>
          </cell>
          <cell r="AA1504" t="str">
            <v>M4565</v>
          </cell>
          <cell r="AB1504" t="str">
            <v>P5350</v>
          </cell>
          <cell r="AC1504" t="str">
            <v>Ś5353</v>
          </cell>
          <cell r="AD1504" t="str">
            <v>G4725</v>
          </cell>
          <cell r="AE1504" t="str">
            <v>M4565</v>
          </cell>
          <cell r="AF1504" t="str">
            <v>21:7,21:8</v>
          </cell>
          <cell r="AG1504" t="str">
            <v>7:21,8:21</v>
          </cell>
          <cell r="AH1504" t="str">
            <v/>
          </cell>
          <cell r="AI1504">
            <v>21</v>
          </cell>
          <cell r="AJ1504">
            <v>7</v>
          </cell>
          <cell r="AK1504">
            <v>21</v>
          </cell>
          <cell r="AL1504">
            <v>8</v>
          </cell>
          <cell r="AM1504">
            <v>0</v>
          </cell>
          <cell r="AN1504">
            <v>0</v>
          </cell>
        </row>
        <row r="1505">
          <cell r="A1505" t="str">
            <v/>
          </cell>
          <cell r="B1505" t="str">
            <v>Bartosz GAŁĄZKA (LKS Technik Głubczyce)</v>
          </cell>
          <cell r="H1505" t="str">
            <v>G4725</v>
          </cell>
          <cell r="K1505" t="str">
            <v>P5350</v>
          </cell>
          <cell r="N1505" t="str">
            <v>Miłosz PIOTROWSKI (UKS Kiko Zamość)</v>
          </cell>
        </row>
        <row r="1506">
          <cell r="A1506" t="str">
            <v/>
          </cell>
          <cell r="B1506" t="str">
            <v>Maciej MATUSZ (LKS Technik Głubczyce)</v>
          </cell>
          <cell r="H1506" t="str">
            <v>M4565</v>
          </cell>
          <cell r="K1506" t="str">
            <v>Ś5353</v>
          </cell>
          <cell r="N1506" t="str">
            <v>Maciej ŚWISZCZ (UKS Kiko Zamość)</v>
          </cell>
        </row>
        <row r="1508">
          <cell r="B1508" t="str">
            <v>zwycięzca(cy): 21:7,21:8</v>
          </cell>
          <cell r="K1508" t="str">
            <v/>
          </cell>
        </row>
        <row r="1509">
          <cell r="B1509">
            <v>1</v>
          </cell>
          <cell r="C1509" t="str">
            <v>dzień turnieju.</v>
          </cell>
          <cell r="I1509" t="str">
            <v>Nr meczu</v>
          </cell>
          <cell r="N1509" t="str">
            <v>Godz.</v>
          </cell>
          <cell r="R1509" t="str">
            <v>S. prow.</v>
          </cell>
          <cell r="AF1509" t="str">
            <v>wygrany</v>
          </cell>
          <cell r="AG1509" t="str">
            <v>przegrany</v>
          </cell>
        </row>
        <row r="1510">
          <cell r="B1510" t="str">
            <v>Boisko</v>
          </cell>
          <cell r="C1510" t="str">
            <v>Gra</v>
          </cell>
          <cell r="I1510">
            <v>216</v>
          </cell>
          <cell r="N1510" t="str">
            <v>rozp.</v>
          </cell>
          <cell r="P1510" t="str">
            <v>zak.</v>
          </cell>
          <cell r="R1510" t="str">
            <v>S. serw.</v>
          </cell>
        </row>
        <row r="1511">
          <cell r="A1511">
            <v>216</v>
          </cell>
          <cell r="B1511">
            <v>1</v>
          </cell>
          <cell r="C1511" t="str">
            <v>podwójna chłopców MM</v>
          </cell>
          <cell r="H1511">
            <v>21</v>
          </cell>
          <cell r="I1511">
            <v>9</v>
          </cell>
          <cell r="J1511">
            <v>21</v>
          </cell>
          <cell r="K1511">
            <v>6</v>
          </cell>
          <cell r="P1511">
            <v>0.95833333333333337</v>
          </cell>
          <cell r="R1511">
            <v>0.95833333333333337</v>
          </cell>
          <cell r="S1511" t="str">
            <v>pt 21:20</v>
          </cell>
          <cell r="X1511">
            <v>216</v>
          </cell>
          <cell r="Y1511" t="str">
            <v>podwójna chłopców MM</v>
          </cell>
          <cell r="Z1511" t="str">
            <v>G5058</v>
          </cell>
          <cell r="AA1511" t="str">
            <v>K4981</v>
          </cell>
          <cell r="AB1511" t="str">
            <v>J5015</v>
          </cell>
          <cell r="AC1511" t="str">
            <v>M5942</v>
          </cell>
          <cell r="AD1511" t="str">
            <v>G5058</v>
          </cell>
          <cell r="AE1511" t="str">
            <v>K4981</v>
          </cell>
          <cell r="AF1511" t="str">
            <v>21:9,21:6</v>
          </cell>
          <cell r="AG1511" t="str">
            <v>9:21,6:21</v>
          </cell>
          <cell r="AH1511" t="str">
            <v/>
          </cell>
          <cell r="AI1511">
            <v>21</v>
          </cell>
          <cell r="AJ1511">
            <v>9</v>
          </cell>
          <cell r="AK1511">
            <v>21</v>
          </cell>
          <cell r="AL1511">
            <v>6</v>
          </cell>
          <cell r="AM1511">
            <v>0</v>
          </cell>
          <cell r="AN1511">
            <v>0</v>
          </cell>
        </row>
        <row r="1512">
          <cell r="A1512" t="str">
            <v/>
          </cell>
          <cell r="B1512" t="str">
            <v>Wiktor GRZYB (UKS Orbitek Straszęcin)</v>
          </cell>
          <cell r="H1512" t="str">
            <v>G5058</v>
          </cell>
          <cell r="K1512" t="str">
            <v>J5015</v>
          </cell>
          <cell r="N1512" t="str">
            <v>Jakub JAGODZIŃSKI (UKSB Milenium Warszawa)</v>
          </cell>
        </row>
        <row r="1513">
          <cell r="A1513" t="str">
            <v/>
          </cell>
          <cell r="B1513" t="str">
            <v>Michał KOSZTYŁO (UKS Orbitek Straszęcin)</v>
          </cell>
          <cell r="H1513" t="str">
            <v>K4981</v>
          </cell>
          <cell r="K1513" t="str">
            <v>M5942</v>
          </cell>
          <cell r="N1513" t="str">
            <v>Jakub MELANIUK (UKSB Milenium Warszawa)</v>
          </cell>
        </row>
        <row r="1515">
          <cell r="B1515" t="str">
            <v>zwycięzca(cy): 21:9,21:6</v>
          </cell>
          <cell r="K1515" t="str">
            <v/>
          </cell>
        </row>
        <row r="1516">
          <cell r="B1516">
            <v>1</v>
          </cell>
          <cell r="C1516" t="str">
            <v>dzień turnieju.</v>
          </cell>
          <cell r="I1516" t="str">
            <v>Nr meczu</v>
          </cell>
          <cell r="N1516" t="str">
            <v>Godz.</v>
          </cell>
          <cell r="R1516" t="str">
            <v>S. prow.</v>
          </cell>
          <cell r="AF1516" t="str">
            <v>wygrany</v>
          </cell>
          <cell r="AG1516" t="str">
            <v>przegrany</v>
          </cell>
        </row>
        <row r="1517">
          <cell r="B1517" t="str">
            <v>Boisko</v>
          </cell>
          <cell r="C1517" t="str">
            <v>Gra</v>
          </cell>
          <cell r="I1517">
            <v>217</v>
          </cell>
          <cell r="N1517" t="str">
            <v>rozp.</v>
          </cell>
          <cell r="P1517" t="str">
            <v>zak.</v>
          </cell>
          <cell r="R1517" t="str">
            <v>S. serw.</v>
          </cell>
        </row>
        <row r="1518">
          <cell r="A1518">
            <v>217</v>
          </cell>
          <cell r="B1518">
            <v>4</v>
          </cell>
          <cell r="C1518" t="str">
            <v>podwójna chłopców MM</v>
          </cell>
          <cell r="H1518">
            <v>16</v>
          </cell>
          <cell r="I1518">
            <v>21</v>
          </cell>
          <cell r="J1518">
            <v>21</v>
          </cell>
          <cell r="K1518">
            <v>16</v>
          </cell>
          <cell r="L1518">
            <v>23</v>
          </cell>
          <cell r="M1518">
            <v>25</v>
          </cell>
          <cell r="P1518">
            <v>0.40972222222222227</v>
          </cell>
          <cell r="R1518">
            <v>0.40972222222222227</v>
          </cell>
          <cell r="S1518" t="str">
            <v>sob 9:00</v>
          </cell>
          <cell r="X1518">
            <v>217</v>
          </cell>
          <cell r="Y1518" t="str">
            <v>podwójna chłopców MM</v>
          </cell>
          <cell r="Z1518" t="str">
            <v>G5026</v>
          </cell>
          <cell r="AA1518" t="str">
            <v>P5025</v>
          </cell>
          <cell r="AB1518" t="str">
            <v>K5180</v>
          </cell>
          <cell r="AC1518" t="str">
            <v>M4612</v>
          </cell>
          <cell r="AD1518" t="str">
            <v>K5180</v>
          </cell>
          <cell r="AE1518" t="str">
            <v>M4612</v>
          </cell>
          <cell r="AF1518" t="str">
            <v>21:16,16:21,25:23</v>
          </cell>
          <cell r="AG1518" t="str">
            <v>16:21,21:16,23:25</v>
          </cell>
          <cell r="AH1518" t="str">
            <v/>
          </cell>
          <cell r="AI1518">
            <v>16</v>
          </cell>
          <cell r="AJ1518">
            <v>21</v>
          </cell>
          <cell r="AK1518">
            <v>21</v>
          </cell>
          <cell r="AL1518">
            <v>16</v>
          </cell>
          <cell r="AM1518">
            <v>23</v>
          </cell>
          <cell r="AN1518">
            <v>25</v>
          </cell>
        </row>
        <row r="1519">
          <cell r="A1519" t="str">
            <v/>
          </cell>
          <cell r="B1519" t="str">
            <v>Maciej GAJEWSKI (MKS Strzelce Opolskie)</v>
          </cell>
          <cell r="H1519" t="str">
            <v>G5026</v>
          </cell>
          <cell r="K1519" t="str">
            <v>K5180</v>
          </cell>
          <cell r="N1519" t="str">
            <v>Patryk KORDEK (UKS Aktywna Piątka Przemyśl)</v>
          </cell>
        </row>
        <row r="1520">
          <cell r="A1520" t="str">
            <v/>
          </cell>
          <cell r="B1520" t="str">
            <v>Jakub PLASZCZYK (MKS Strzelce Opolskie)</v>
          </cell>
          <cell r="H1520" t="str">
            <v>P5025</v>
          </cell>
          <cell r="K1520" t="str">
            <v>M4612</v>
          </cell>
          <cell r="N1520" t="str">
            <v>Patryk MICHAŁEK (UKS Orbitek Straszęcin)</v>
          </cell>
        </row>
        <row r="1522">
          <cell r="B1522" t="str">
            <v/>
          </cell>
          <cell r="K1522" t="str">
            <v>zwycięzca(cy): 21:16,16:21,25:23</v>
          </cell>
        </row>
        <row r="1523">
          <cell r="B1523">
            <v>1</v>
          </cell>
          <cell r="C1523" t="str">
            <v>dzień turnieju.</v>
          </cell>
          <cell r="I1523" t="str">
            <v>Nr meczu</v>
          </cell>
          <cell r="N1523" t="str">
            <v>Godz.</v>
          </cell>
          <cell r="R1523" t="str">
            <v>S. prow.</v>
          </cell>
          <cell r="AF1523" t="str">
            <v>wygrany</v>
          </cell>
          <cell r="AG1523" t="str">
            <v>przegrany</v>
          </cell>
        </row>
        <row r="1524">
          <cell r="B1524" t="str">
            <v>Boisko</v>
          </cell>
          <cell r="C1524" t="str">
            <v>Gra</v>
          </cell>
          <cell r="I1524">
            <v>218</v>
          </cell>
          <cell r="N1524" t="str">
            <v>rozp.</v>
          </cell>
          <cell r="P1524" t="str">
            <v>zak.</v>
          </cell>
          <cell r="R1524" t="str">
            <v>S. serw.</v>
          </cell>
        </row>
        <row r="1525">
          <cell r="A1525">
            <v>218</v>
          </cell>
          <cell r="B1525">
            <v>1</v>
          </cell>
          <cell r="C1525" t="str">
            <v>podwójna chłopców MM</v>
          </cell>
          <cell r="H1525">
            <v>21</v>
          </cell>
          <cell r="I1525">
            <v>16</v>
          </cell>
          <cell r="J1525">
            <v>21</v>
          </cell>
          <cell r="K1525">
            <v>12</v>
          </cell>
          <cell r="P1525">
            <v>0.94374999999999998</v>
          </cell>
          <cell r="R1525">
            <v>0.94374999999999998</v>
          </cell>
          <cell r="S1525" t="str">
            <v>pt 21:20</v>
          </cell>
          <cell r="X1525">
            <v>218</v>
          </cell>
          <cell r="Y1525" t="str">
            <v>podwójna chłopców MM</v>
          </cell>
          <cell r="Z1525" t="str">
            <v>K4702</v>
          </cell>
          <cell r="AA1525" t="str">
            <v>L4492</v>
          </cell>
          <cell r="AB1525" t="str">
            <v>M4933</v>
          </cell>
          <cell r="AC1525" t="str">
            <v>R4700</v>
          </cell>
          <cell r="AD1525" t="str">
            <v>K4702</v>
          </cell>
          <cell r="AE1525" t="str">
            <v>L4492</v>
          </cell>
          <cell r="AF1525" t="str">
            <v>21:16,21:12</v>
          </cell>
          <cell r="AG1525" t="str">
            <v>16:21,12:21</v>
          </cell>
          <cell r="AH1525" t="str">
            <v/>
          </cell>
          <cell r="AI1525">
            <v>21</v>
          </cell>
          <cell r="AJ1525">
            <v>16</v>
          </cell>
          <cell r="AK1525">
            <v>21</v>
          </cell>
          <cell r="AL1525">
            <v>12</v>
          </cell>
          <cell r="AM1525">
            <v>0</v>
          </cell>
          <cell r="AN1525">
            <v>0</v>
          </cell>
        </row>
        <row r="1526">
          <cell r="A1526" t="str">
            <v/>
          </cell>
          <cell r="B1526" t="str">
            <v>Kacper KOPACZ (UTS Akro-Bad Warszawa)</v>
          </cell>
          <cell r="H1526" t="str">
            <v>K4702</v>
          </cell>
          <cell r="K1526" t="str">
            <v>M4933</v>
          </cell>
          <cell r="N1526" t="str">
            <v>Kacper MAKAREWICZ (UKS Hubal Białystok)</v>
          </cell>
        </row>
        <row r="1527">
          <cell r="A1527" t="str">
            <v/>
          </cell>
          <cell r="B1527" t="str">
            <v>Kacper LINKE (UTS Akro-Bad Warszawa)</v>
          </cell>
          <cell r="H1527" t="str">
            <v>L4492</v>
          </cell>
          <cell r="K1527" t="str">
            <v>R4700</v>
          </cell>
          <cell r="N1527" t="str">
            <v>Paweł RADZIWON (UKS Hubal Białystok)</v>
          </cell>
        </row>
        <row r="1529">
          <cell r="B1529" t="str">
            <v>zwycięzca(cy): 21:16,21:12</v>
          </cell>
          <cell r="K1529" t="str">
            <v/>
          </cell>
        </row>
        <row r="1530">
          <cell r="B1530">
            <v>2</v>
          </cell>
          <cell r="C1530" t="str">
            <v>dzień turnieju.</v>
          </cell>
          <cell r="I1530" t="str">
            <v>Nr meczu</v>
          </cell>
          <cell r="N1530" t="str">
            <v>Godz.</v>
          </cell>
          <cell r="R1530" t="str">
            <v>S. prow.</v>
          </cell>
          <cell r="AF1530" t="str">
            <v>wygrany</v>
          </cell>
          <cell r="AG1530" t="str">
            <v>przegrany</v>
          </cell>
        </row>
        <row r="1531">
          <cell r="B1531" t="str">
            <v>Boisko</v>
          </cell>
          <cell r="C1531" t="str">
            <v>Gra</v>
          </cell>
          <cell r="I1531">
            <v>219</v>
          </cell>
          <cell r="N1531" t="str">
            <v>rozp.</v>
          </cell>
          <cell r="P1531" t="str">
            <v>zak.</v>
          </cell>
          <cell r="R1531" t="str">
            <v>S. serw.</v>
          </cell>
        </row>
        <row r="1532">
          <cell r="A1532">
            <v>219</v>
          </cell>
          <cell r="B1532">
            <v>1</v>
          </cell>
          <cell r="C1532" t="str">
            <v>pojedyncza dziewcząt MM</v>
          </cell>
          <cell r="H1532">
            <v>21</v>
          </cell>
          <cell r="I1532">
            <v>0</v>
          </cell>
          <cell r="J1532">
            <v>21</v>
          </cell>
          <cell r="K1532">
            <v>0</v>
          </cell>
          <cell r="P1532">
            <v>0.375</v>
          </cell>
          <cell r="R1532">
            <v>0.375</v>
          </cell>
          <cell r="S1532" t="str">
            <v>sob 9:00</v>
          </cell>
          <cell r="X1532">
            <v>219</v>
          </cell>
          <cell r="Y1532" t="str">
            <v>pojedyncza dziewcząt MM</v>
          </cell>
          <cell r="Z1532" t="str">
            <v>D4628</v>
          </cell>
          <cell r="AA1532" t="str">
            <v/>
          </cell>
          <cell r="AB1532" t="str">
            <v>X50</v>
          </cell>
          <cell r="AC1532" t="str">
            <v/>
          </cell>
          <cell r="AD1532" t="str">
            <v>D4628</v>
          </cell>
          <cell r="AE1532" t="str">
            <v/>
          </cell>
          <cell r="AF1532" t="str">
            <v>21:0,21:0</v>
          </cell>
          <cell r="AG1532" t="str">
            <v>0:21,0:21</v>
          </cell>
          <cell r="AH1532" t="str">
            <v/>
          </cell>
          <cell r="AI1532">
            <v>21</v>
          </cell>
          <cell r="AJ1532">
            <v>0</v>
          </cell>
          <cell r="AK1532">
            <v>21</v>
          </cell>
          <cell r="AL1532">
            <v>0</v>
          </cell>
          <cell r="AM1532">
            <v>0</v>
          </cell>
          <cell r="AN1532">
            <v>0</v>
          </cell>
        </row>
        <row r="1533">
          <cell r="A1533" t="str">
            <v/>
          </cell>
          <cell r="B1533" t="str">
            <v>Anna DUDA (ULKS U-2 Lotka Bytów)</v>
          </cell>
          <cell r="H1533" t="str">
            <v>D4628</v>
          </cell>
          <cell r="K1533" t="str">
            <v>X50</v>
          </cell>
          <cell r="N1533" t="str">
            <v>Sara Skoupilová  (Slavoj Cesky Tesin)</v>
          </cell>
        </row>
        <row r="1534">
          <cell r="A1534" t="str">
            <v/>
          </cell>
          <cell r="B1534" t="str">
            <v/>
          </cell>
          <cell r="H1534" t="str">
            <v/>
          </cell>
          <cell r="K1534" t="str">
            <v/>
          </cell>
          <cell r="N1534" t="str">
            <v/>
          </cell>
        </row>
        <row r="1536">
          <cell r="B1536" t="str">
            <v>zwycięzca(cy): 21:0,21:0</v>
          </cell>
          <cell r="K1536" t="str">
            <v/>
          </cell>
        </row>
        <row r="1537">
          <cell r="B1537">
            <v>2</v>
          </cell>
          <cell r="C1537" t="str">
            <v>dzień turnieju.</v>
          </cell>
          <cell r="I1537" t="str">
            <v>Nr meczu</v>
          </cell>
          <cell r="N1537" t="str">
            <v>Godz.</v>
          </cell>
          <cell r="R1537" t="str">
            <v>S. prow.</v>
          </cell>
          <cell r="AF1537" t="str">
            <v>wygrany</v>
          </cell>
          <cell r="AG1537" t="str">
            <v>przegrany</v>
          </cell>
        </row>
        <row r="1538">
          <cell r="B1538" t="str">
            <v>Boisko</v>
          </cell>
          <cell r="C1538" t="str">
            <v>Gra</v>
          </cell>
          <cell r="I1538">
            <v>220</v>
          </cell>
          <cell r="N1538" t="str">
            <v>rozp.</v>
          </cell>
          <cell r="P1538" t="str">
            <v>zak.</v>
          </cell>
          <cell r="R1538" t="str">
            <v>S. serw.</v>
          </cell>
        </row>
        <row r="1539">
          <cell r="A1539">
            <v>220</v>
          </cell>
          <cell r="B1539">
            <v>2</v>
          </cell>
          <cell r="C1539" t="str">
            <v>pojedyncza dziewcząt MM</v>
          </cell>
          <cell r="H1539">
            <v>21</v>
          </cell>
          <cell r="I1539">
            <v>7</v>
          </cell>
          <cell r="J1539">
            <v>21</v>
          </cell>
          <cell r="K1539">
            <v>16</v>
          </cell>
          <cell r="P1539">
            <v>0.41319444444444442</v>
          </cell>
          <cell r="R1539">
            <v>0.41319444444444442</v>
          </cell>
          <cell r="S1539" t="str">
            <v>sob 9:00</v>
          </cell>
          <cell r="X1539">
            <v>220</v>
          </cell>
          <cell r="Y1539" t="str">
            <v>pojedyncza dziewcząt MM</v>
          </cell>
          <cell r="Z1539" t="str">
            <v>K5208</v>
          </cell>
          <cell r="AA1539" t="str">
            <v/>
          </cell>
          <cell r="AB1539" t="str">
            <v>K5600</v>
          </cell>
          <cell r="AC1539" t="str">
            <v/>
          </cell>
          <cell r="AD1539" t="str">
            <v>K5208</v>
          </cell>
          <cell r="AE1539" t="str">
            <v/>
          </cell>
          <cell r="AF1539" t="str">
            <v>21:7,21:16</v>
          </cell>
          <cell r="AG1539" t="str">
            <v>7:21,16:21</v>
          </cell>
          <cell r="AH1539" t="str">
            <v/>
          </cell>
          <cell r="AI1539">
            <v>21</v>
          </cell>
          <cell r="AJ1539">
            <v>7</v>
          </cell>
          <cell r="AK1539">
            <v>21</v>
          </cell>
          <cell r="AL1539">
            <v>16</v>
          </cell>
          <cell r="AM1539">
            <v>0</v>
          </cell>
          <cell r="AN1539">
            <v>0</v>
          </cell>
        </row>
        <row r="1540">
          <cell r="A1540" t="str">
            <v/>
          </cell>
          <cell r="B1540" t="str">
            <v>Dominika KWAŚNIK (UKS Feniks Kędzierzyn-Koźle)</v>
          </cell>
          <cell r="H1540" t="str">
            <v>K5208</v>
          </cell>
          <cell r="K1540" t="str">
            <v>K5600</v>
          </cell>
          <cell r="N1540" t="str">
            <v>Gabriela KUŁAKOWSKA (UKS Hubal Białystok)</v>
          </cell>
        </row>
        <row r="1541">
          <cell r="A1541" t="str">
            <v/>
          </cell>
          <cell r="B1541" t="str">
            <v/>
          </cell>
          <cell r="H1541" t="str">
            <v/>
          </cell>
          <cell r="K1541" t="str">
            <v/>
          </cell>
          <cell r="N1541" t="str">
            <v/>
          </cell>
        </row>
        <row r="1543">
          <cell r="B1543" t="str">
            <v>zwycięzca(cy): 21:7,21:16</v>
          </cell>
          <cell r="K1543" t="str">
            <v/>
          </cell>
        </row>
        <row r="1544">
          <cell r="B1544">
            <v>2</v>
          </cell>
          <cell r="C1544" t="str">
            <v>dzień turnieju.</v>
          </cell>
          <cell r="I1544" t="str">
            <v>Nr meczu</v>
          </cell>
          <cell r="N1544" t="str">
            <v>Godz.</v>
          </cell>
          <cell r="R1544" t="str">
            <v>S. prow.</v>
          </cell>
          <cell r="AF1544" t="str">
            <v>wygrany</v>
          </cell>
          <cell r="AG1544" t="str">
            <v>przegrany</v>
          </cell>
        </row>
        <row r="1545">
          <cell r="B1545" t="str">
            <v>Boisko</v>
          </cell>
          <cell r="C1545" t="str">
            <v>Gra</v>
          </cell>
          <cell r="I1545">
            <v>221</v>
          </cell>
          <cell r="N1545" t="str">
            <v>rozp.</v>
          </cell>
          <cell r="P1545" t="str">
            <v>zak.</v>
          </cell>
          <cell r="R1545" t="str">
            <v>S. serw.</v>
          </cell>
        </row>
        <row r="1546">
          <cell r="A1546">
            <v>221</v>
          </cell>
          <cell r="B1546">
            <v>5</v>
          </cell>
          <cell r="C1546" t="str">
            <v>pojedyncza dziewcząt MM</v>
          </cell>
          <cell r="H1546">
            <v>21</v>
          </cell>
          <cell r="I1546">
            <v>14</v>
          </cell>
          <cell r="J1546">
            <v>21</v>
          </cell>
          <cell r="K1546">
            <v>10</v>
          </cell>
          <cell r="P1546">
            <v>0.40277777777777773</v>
          </cell>
          <cell r="R1546">
            <v>0.40277777777777773</v>
          </cell>
          <cell r="S1546" t="str">
            <v>sob 9:00</v>
          </cell>
          <cell r="X1546">
            <v>221</v>
          </cell>
          <cell r="Y1546" t="str">
            <v>pojedyncza dziewcząt MM</v>
          </cell>
          <cell r="Z1546" t="str">
            <v>P4759</v>
          </cell>
          <cell r="AA1546" t="str">
            <v/>
          </cell>
          <cell r="AB1546" t="str">
            <v>X30</v>
          </cell>
          <cell r="AC1546" t="str">
            <v/>
          </cell>
          <cell r="AD1546" t="str">
            <v>P4759</v>
          </cell>
          <cell r="AE1546" t="str">
            <v/>
          </cell>
          <cell r="AF1546" t="str">
            <v>21:14,21:10</v>
          </cell>
          <cell r="AG1546" t="str">
            <v>14:21,10:21</v>
          </cell>
          <cell r="AH1546" t="str">
            <v/>
          </cell>
          <cell r="AI1546">
            <v>21</v>
          </cell>
          <cell r="AJ1546">
            <v>14</v>
          </cell>
          <cell r="AK1546">
            <v>21</v>
          </cell>
          <cell r="AL1546">
            <v>10</v>
          </cell>
          <cell r="AM1546">
            <v>0</v>
          </cell>
          <cell r="AN1546">
            <v>0</v>
          </cell>
        </row>
        <row r="1547">
          <cell r="A1547" t="str">
            <v/>
          </cell>
          <cell r="B1547" t="str">
            <v>Martyna PIETRZAK (MLKS Solec Kuj.)</v>
          </cell>
          <cell r="H1547" t="str">
            <v>P4759</v>
          </cell>
          <cell r="K1547" t="str">
            <v>X30</v>
          </cell>
          <cell r="N1547" t="str">
            <v>Lizaveta BAYAROUSKAYA (Białoruś)</v>
          </cell>
        </row>
        <row r="1548">
          <cell r="A1548" t="str">
            <v/>
          </cell>
          <cell r="B1548" t="str">
            <v/>
          </cell>
          <cell r="H1548" t="str">
            <v/>
          </cell>
          <cell r="K1548" t="str">
            <v/>
          </cell>
          <cell r="N1548" t="str">
            <v/>
          </cell>
        </row>
        <row r="1550">
          <cell r="B1550" t="str">
            <v>zwycięzca(cy): 21:14,21:10</v>
          </cell>
          <cell r="K1550" t="str">
            <v/>
          </cell>
        </row>
        <row r="1551">
          <cell r="B1551">
            <v>2</v>
          </cell>
          <cell r="C1551" t="str">
            <v>dzień turnieju.</v>
          </cell>
          <cell r="I1551" t="str">
            <v>Nr meczu</v>
          </cell>
          <cell r="N1551" t="str">
            <v>Godz.</v>
          </cell>
          <cell r="R1551" t="str">
            <v>S. prow.</v>
          </cell>
          <cell r="AF1551" t="str">
            <v>wygrany</v>
          </cell>
          <cell r="AG1551" t="str">
            <v>przegrany</v>
          </cell>
        </row>
        <row r="1552">
          <cell r="B1552" t="str">
            <v>Boisko</v>
          </cell>
          <cell r="C1552" t="str">
            <v>Gra</v>
          </cell>
          <cell r="I1552">
            <v>222</v>
          </cell>
          <cell r="N1552" t="str">
            <v>rozp.</v>
          </cell>
          <cell r="P1552" t="str">
            <v>zak.</v>
          </cell>
          <cell r="R1552" t="str">
            <v>S. serw.</v>
          </cell>
        </row>
        <row r="1553">
          <cell r="A1553">
            <v>222</v>
          </cell>
          <cell r="B1553">
            <v>6</v>
          </cell>
          <cell r="C1553" t="str">
            <v>pojedyncza dziewcząt MM</v>
          </cell>
          <cell r="H1553">
            <v>21</v>
          </cell>
          <cell r="I1553">
            <v>4</v>
          </cell>
          <cell r="J1553">
            <v>21</v>
          </cell>
          <cell r="K1553">
            <v>14</v>
          </cell>
          <cell r="P1553">
            <v>0.3923611111111111</v>
          </cell>
          <cell r="R1553">
            <v>0.3923611111111111</v>
          </cell>
          <cell r="S1553" t="str">
            <v>sob 9:00</v>
          </cell>
          <cell r="X1553">
            <v>222</v>
          </cell>
          <cell r="Y1553" t="str">
            <v>pojedyncza dziewcząt MM</v>
          </cell>
          <cell r="Z1553" t="str">
            <v>D5062</v>
          </cell>
          <cell r="AA1553" t="str">
            <v/>
          </cell>
          <cell r="AB1553" t="str">
            <v>S5705</v>
          </cell>
          <cell r="AC1553" t="str">
            <v/>
          </cell>
          <cell r="AD1553" t="str">
            <v>D5062</v>
          </cell>
          <cell r="AE1553" t="str">
            <v/>
          </cell>
          <cell r="AF1553" t="str">
            <v>21:4,21:14</v>
          </cell>
          <cell r="AG1553" t="str">
            <v>4:21,14:21</v>
          </cell>
          <cell r="AH1553" t="str">
            <v/>
          </cell>
          <cell r="AI1553">
            <v>21</v>
          </cell>
          <cell r="AJ1553">
            <v>4</v>
          </cell>
          <cell r="AK1553">
            <v>21</v>
          </cell>
          <cell r="AL1553">
            <v>14</v>
          </cell>
          <cell r="AM1553">
            <v>0</v>
          </cell>
          <cell r="AN1553">
            <v>0</v>
          </cell>
        </row>
        <row r="1554">
          <cell r="A1554" t="str">
            <v/>
          </cell>
          <cell r="B1554" t="str">
            <v>Emilia DRĄGOWSKA (UKS Hubal Białystok)</v>
          </cell>
          <cell r="H1554" t="str">
            <v>D5062</v>
          </cell>
          <cell r="K1554" t="str">
            <v>S5705</v>
          </cell>
          <cell r="N1554" t="str">
            <v>Natalia STASZKIEWICZ (ULKS U-2 Lotka Bytów)</v>
          </cell>
        </row>
        <row r="1555">
          <cell r="A1555" t="str">
            <v/>
          </cell>
          <cell r="B1555" t="str">
            <v/>
          </cell>
          <cell r="H1555" t="str">
            <v/>
          </cell>
          <cell r="K1555" t="str">
            <v/>
          </cell>
          <cell r="N1555" t="str">
            <v/>
          </cell>
        </row>
        <row r="1557">
          <cell r="B1557" t="str">
            <v>zwycięzca(cy): 21:4,21:14</v>
          </cell>
          <cell r="K1557" t="str">
            <v/>
          </cell>
        </row>
        <row r="1558">
          <cell r="B1558">
            <v>2</v>
          </cell>
          <cell r="C1558" t="str">
            <v>dzień turnieju.</v>
          </cell>
          <cell r="I1558" t="str">
            <v>Nr meczu</v>
          </cell>
          <cell r="N1558" t="str">
            <v>Godz.</v>
          </cell>
          <cell r="R1558" t="str">
            <v>S. prow.</v>
          </cell>
          <cell r="AF1558" t="str">
            <v>wygrany</v>
          </cell>
          <cell r="AG1558" t="str">
            <v>przegrany</v>
          </cell>
        </row>
        <row r="1559">
          <cell r="B1559" t="str">
            <v>Boisko</v>
          </cell>
          <cell r="C1559" t="str">
            <v>Gra</v>
          </cell>
          <cell r="I1559">
            <v>223</v>
          </cell>
          <cell r="N1559" t="str">
            <v>rozp.</v>
          </cell>
          <cell r="P1559" t="str">
            <v>zak.</v>
          </cell>
          <cell r="R1559" t="str">
            <v>S. serw.</v>
          </cell>
        </row>
        <row r="1560">
          <cell r="A1560">
            <v>223</v>
          </cell>
          <cell r="B1560">
            <v>1</v>
          </cell>
          <cell r="C1560" t="str">
            <v>pojedyncza dziewcząt MM</v>
          </cell>
          <cell r="H1560">
            <v>21</v>
          </cell>
          <cell r="I1560">
            <v>14</v>
          </cell>
          <cell r="J1560">
            <v>21</v>
          </cell>
          <cell r="K1560">
            <v>14</v>
          </cell>
          <cell r="P1560">
            <v>0.41249999999999998</v>
          </cell>
          <cell r="R1560">
            <v>0.41249999999999998</v>
          </cell>
          <cell r="S1560" t="str">
            <v>sob 9:00</v>
          </cell>
          <cell r="X1560">
            <v>223</v>
          </cell>
          <cell r="Y1560" t="str">
            <v>pojedyncza dziewcząt MM</v>
          </cell>
          <cell r="Z1560" t="str">
            <v>L5359</v>
          </cell>
          <cell r="AA1560" t="str">
            <v/>
          </cell>
          <cell r="AB1560" t="str">
            <v>G5951</v>
          </cell>
          <cell r="AC1560" t="str">
            <v/>
          </cell>
          <cell r="AD1560" t="str">
            <v>L5359</v>
          </cell>
          <cell r="AE1560" t="str">
            <v/>
          </cell>
          <cell r="AF1560" t="str">
            <v>21:14,21:14</v>
          </cell>
          <cell r="AG1560" t="str">
            <v>14:21,14:21</v>
          </cell>
          <cell r="AH1560" t="str">
            <v/>
          </cell>
          <cell r="AI1560">
            <v>21</v>
          </cell>
          <cell r="AJ1560">
            <v>14</v>
          </cell>
          <cell r="AK1560">
            <v>21</v>
          </cell>
          <cell r="AL1560">
            <v>14</v>
          </cell>
          <cell r="AM1560">
            <v>0</v>
          </cell>
          <cell r="AN1560">
            <v>0</v>
          </cell>
        </row>
        <row r="1561">
          <cell r="A1561" t="str">
            <v/>
          </cell>
          <cell r="B1561" t="str">
            <v>Aleksandra LASKOWSKA (UKS Kiko Zamość)</v>
          </cell>
          <cell r="H1561" t="str">
            <v>L5359</v>
          </cell>
          <cell r="K1561" t="str">
            <v>G5951</v>
          </cell>
          <cell r="N1561" t="str">
            <v>Laura GRONKIEWICZ (KS Masovia Płock)</v>
          </cell>
        </row>
        <row r="1562">
          <cell r="A1562" t="str">
            <v/>
          </cell>
          <cell r="B1562" t="str">
            <v/>
          </cell>
          <cell r="H1562" t="str">
            <v/>
          </cell>
          <cell r="K1562" t="str">
            <v/>
          </cell>
          <cell r="N1562" t="str">
            <v/>
          </cell>
        </row>
        <row r="1564">
          <cell r="B1564" t="str">
            <v>zwycięzca(cy): 21:14,21:14</v>
          </cell>
          <cell r="K1564" t="str">
            <v/>
          </cell>
        </row>
        <row r="1565">
          <cell r="B1565">
            <v>2</v>
          </cell>
          <cell r="C1565" t="str">
            <v>dzień turnieju.</v>
          </cell>
          <cell r="I1565" t="str">
            <v>Nr meczu</v>
          </cell>
          <cell r="N1565" t="str">
            <v>Godz.</v>
          </cell>
          <cell r="R1565" t="str">
            <v>S. prow.</v>
          </cell>
          <cell r="AF1565" t="str">
            <v>wygrany</v>
          </cell>
          <cell r="AG1565" t="str">
            <v>przegrany</v>
          </cell>
        </row>
        <row r="1566">
          <cell r="B1566" t="str">
            <v>Boisko</v>
          </cell>
          <cell r="C1566" t="str">
            <v>Gra</v>
          </cell>
          <cell r="I1566">
            <v>224</v>
          </cell>
          <cell r="N1566" t="str">
            <v>rozp.</v>
          </cell>
          <cell r="P1566" t="str">
            <v>zak.</v>
          </cell>
          <cell r="R1566" t="str">
            <v>S. serw.</v>
          </cell>
        </row>
        <row r="1567">
          <cell r="A1567">
            <v>224</v>
          </cell>
          <cell r="B1567">
            <v>3</v>
          </cell>
          <cell r="C1567" t="str">
            <v>pojedyncza dziewcząt MM</v>
          </cell>
          <cell r="H1567">
            <v>15</v>
          </cell>
          <cell r="I1567">
            <v>21</v>
          </cell>
          <cell r="J1567">
            <v>14</v>
          </cell>
          <cell r="K1567">
            <v>21</v>
          </cell>
          <cell r="P1567">
            <v>0.41319444444444442</v>
          </cell>
          <cell r="R1567">
            <v>0.41319444444444442</v>
          </cell>
          <cell r="S1567" t="str">
            <v>sob 9:20</v>
          </cell>
          <cell r="X1567">
            <v>224</v>
          </cell>
          <cell r="Y1567" t="str">
            <v>pojedyncza dziewcząt MM</v>
          </cell>
          <cell r="Z1567" t="str">
            <v>P4820</v>
          </cell>
          <cell r="AA1567" t="str">
            <v/>
          </cell>
          <cell r="AB1567" t="str">
            <v>X29</v>
          </cell>
          <cell r="AC1567" t="str">
            <v/>
          </cell>
          <cell r="AD1567" t="str">
            <v>X29</v>
          </cell>
          <cell r="AE1567" t="str">
            <v/>
          </cell>
          <cell r="AF1567" t="str">
            <v>21:15,21:14</v>
          </cell>
          <cell r="AG1567" t="str">
            <v>15:21,14:21</v>
          </cell>
          <cell r="AH1567" t="str">
            <v/>
          </cell>
          <cell r="AI1567">
            <v>15</v>
          </cell>
          <cell r="AJ1567">
            <v>21</v>
          </cell>
          <cell r="AK1567">
            <v>14</v>
          </cell>
          <cell r="AL1567">
            <v>21</v>
          </cell>
          <cell r="AM1567">
            <v>0</v>
          </cell>
          <cell r="AN1567">
            <v>0</v>
          </cell>
        </row>
        <row r="1568">
          <cell r="A1568" t="str">
            <v/>
          </cell>
          <cell r="B1568" t="str">
            <v>Aleksandra PAJĄK (MKS Orlicz Suchedniów)</v>
          </cell>
          <cell r="H1568" t="str">
            <v>P4820</v>
          </cell>
          <cell r="K1568" t="str">
            <v>X29</v>
          </cell>
          <cell r="N1568" t="str">
            <v>Anastasiya KHOMICH (Białoruś)</v>
          </cell>
        </row>
        <row r="1569">
          <cell r="A1569" t="str">
            <v/>
          </cell>
          <cell r="B1569" t="str">
            <v/>
          </cell>
          <cell r="H1569" t="str">
            <v/>
          </cell>
          <cell r="K1569" t="str">
            <v/>
          </cell>
          <cell r="N1569" t="str">
            <v/>
          </cell>
        </row>
        <row r="1571">
          <cell r="B1571" t="str">
            <v/>
          </cell>
          <cell r="K1571" t="str">
            <v>zwycięzca(cy): 21:15,21:14</v>
          </cell>
        </row>
        <row r="1572">
          <cell r="B1572">
            <v>2</v>
          </cell>
          <cell r="C1572" t="str">
            <v>dzień turnieju.</v>
          </cell>
          <cell r="I1572" t="str">
            <v>Nr meczu</v>
          </cell>
          <cell r="N1572" t="str">
            <v>Godz.</v>
          </cell>
          <cell r="R1572" t="str">
            <v>S. prow.</v>
          </cell>
          <cell r="AF1572" t="str">
            <v>wygrany</v>
          </cell>
          <cell r="AG1572" t="str">
            <v>przegrany</v>
          </cell>
        </row>
        <row r="1573">
          <cell r="B1573" t="str">
            <v>Boisko</v>
          </cell>
          <cell r="C1573" t="str">
            <v>Gra</v>
          </cell>
          <cell r="I1573">
            <v>225</v>
          </cell>
          <cell r="N1573" t="str">
            <v>rozp.</v>
          </cell>
          <cell r="P1573" t="str">
            <v>zak.</v>
          </cell>
          <cell r="R1573" t="str">
            <v>S. serw.</v>
          </cell>
        </row>
        <row r="1574">
          <cell r="A1574">
            <v>225</v>
          </cell>
          <cell r="B1574">
            <v>6</v>
          </cell>
          <cell r="C1574" t="str">
            <v>pojedyncza dziewcząt MM</v>
          </cell>
          <cell r="H1574">
            <v>8</v>
          </cell>
          <cell r="I1574">
            <v>21</v>
          </cell>
          <cell r="J1574">
            <v>13</v>
          </cell>
          <cell r="K1574">
            <v>21</v>
          </cell>
          <cell r="P1574">
            <v>0.41319444444444442</v>
          </cell>
          <cell r="R1574">
            <v>0.41319444444444442</v>
          </cell>
          <cell r="S1574" t="str">
            <v>sob 9:20</v>
          </cell>
          <cell r="X1574">
            <v>225</v>
          </cell>
          <cell r="Y1574" t="str">
            <v>pojedyncza dziewcząt MM</v>
          </cell>
          <cell r="Z1574" t="str">
            <v>O5218</v>
          </cell>
          <cell r="AA1574" t="str">
            <v/>
          </cell>
          <cell r="AB1574" t="str">
            <v>H5946</v>
          </cell>
          <cell r="AC1574" t="str">
            <v/>
          </cell>
          <cell r="AD1574" t="str">
            <v>H5946</v>
          </cell>
          <cell r="AE1574" t="str">
            <v/>
          </cell>
          <cell r="AF1574" t="str">
            <v>21:8,21:13</v>
          </cell>
          <cell r="AG1574" t="str">
            <v>8:21,13:21</v>
          </cell>
          <cell r="AH1574" t="str">
            <v/>
          </cell>
          <cell r="AI1574">
            <v>8</v>
          </cell>
          <cell r="AJ1574">
            <v>21</v>
          </cell>
          <cell r="AK1574">
            <v>13</v>
          </cell>
          <cell r="AL1574">
            <v>21</v>
          </cell>
          <cell r="AM1574">
            <v>0</v>
          </cell>
          <cell r="AN1574">
            <v>0</v>
          </cell>
        </row>
        <row r="1575">
          <cell r="A1575" t="str">
            <v/>
          </cell>
          <cell r="B1575" t="str">
            <v>Natalia OWSIEJEW (SKB Suwałki)</v>
          </cell>
          <cell r="H1575" t="str">
            <v>O5218</v>
          </cell>
          <cell r="K1575" t="str">
            <v>H5946</v>
          </cell>
          <cell r="N1575" t="str">
            <v>Paulina HANKIEWICZ (UKSB Milenium Warszawa)</v>
          </cell>
        </row>
        <row r="1576">
          <cell r="A1576" t="str">
            <v/>
          </cell>
          <cell r="B1576" t="str">
            <v/>
          </cell>
          <cell r="H1576" t="str">
            <v/>
          </cell>
          <cell r="K1576" t="str">
            <v/>
          </cell>
          <cell r="N1576" t="str">
            <v/>
          </cell>
        </row>
        <row r="1578">
          <cell r="B1578" t="str">
            <v/>
          </cell>
          <cell r="K1578" t="str">
            <v>zwycięzca(cy): 21:8,21:13</v>
          </cell>
        </row>
        <row r="1579">
          <cell r="B1579">
            <v>2</v>
          </cell>
          <cell r="C1579" t="str">
            <v>dzień turnieju.</v>
          </cell>
          <cell r="I1579" t="str">
            <v>Nr meczu</v>
          </cell>
          <cell r="N1579" t="str">
            <v>Godz.</v>
          </cell>
          <cell r="R1579" t="str">
            <v>S. prow.</v>
          </cell>
          <cell r="AF1579" t="str">
            <v>wygrany</v>
          </cell>
          <cell r="AG1579" t="str">
            <v>przegrany</v>
          </cell>
        </row>
        <row r="1580">
          <cell r="B1580" t="str">
            <v>Boisko</v>
          </cell>
          <cell r="C1580" t="str">
            <v>Gra</v>
          </cell>
          <cell r="I1580">
            <v>226</v>
          </cell>
          <cell r="N1580" t="str">
            <v>rozp.</v>
          </cell>
          <cell r="P1580" t="str">
            <v>zak.</v>
          </cell>
          <cell r="R1580" t="str">
            <v>S. serw.</v>
          </cell>
        </row>
        <row r="1581">
          <cell r="A1581">
            <v>226</v>
          </cell>
          <cell r="B1581">
            <v>5</v>
          </cell>
          <cell r="C1581" t="str">
            <v>pojedyncza dziewcząt MM</v>
          </cell>
          <cell r="H1581">
            <v>8</v>
          </cell>
          <cell r="I1581">
            <v>21</v>
          </cell>
          <cell r="J1581">
            <v>10</v>
          </cell>
          <cell r="K1581">
            <v>21</v>
          </cell>
          <cell r="P1581">
            <v>0.41666666666666669</v>
          </cell>
          <cell r="R1581">
            <v>0.41666666666666669</v>
          </cell>
          <cell r="S1581" t="str">
            <v>sob 9:20</v>
          </cell>
          <cell r="X1581">
            <v>226</v>
          </cell>
          <cell r="Y1581" t="str">
            <v>pojedyncza dziewcząt MM</v>
          </cell>
          <cell r="Z1581" t="str">
            <v>C5063</v>
          </cell>
          <cell r="AA1581" t="str">
            <v/>
          </cell>
          <cell r="AB1581" t="str">
            <v>X63</v>
          </cell>
          <cell r="AC1581" t="str">
            <v/>
          </cell>
          <cell r="AD1581" t="str">
            <v>X63</v>
          </cell>
          <cell r="AE1581" t="str">
            <v/>
          </cell>
          <cell r="AF1581" t="str">
            <v>21:8,21:10</v>
          </cell>
          <cell r="AG1581" t="str">
            <v>8:21,10:21</v>
          </cell>
          <cell r="AH1581" t="str">
            <v/>
          </cell>
          <cell r="AI1581">
            <v>8</v>
          </cell>
          <cell r="AJ1581">
            <v>21</v>
          </cell>
          <cell r="AK1581">
            <v>10</v>
          </cell>
          <cell r="AL1581">
            <v>21</v>
          </cell>
          <cell r="AM1581">
            <v>0</v>
          </cell>
          <cell r="AN1581">
            <v>0</v>
          </cell>
        </row>
        <row r="1582">
          <cell r="A1582" t="str">
            <v/>
          </cell>
          <cell r="B1582" t="str">
            <v>Karolina CIEŚLUK (UKS Hubal Białystok)</v>
          </cell>
          <cell r="H1582" t="str">
            <v>C5063</v>
          </cell>
          <cell r="K1582" t="str">
            <v>X63</v>
          </cell>
          <cell r="N1582" t="str">
            <v>Anna  KRAMCHANINA (Brześć 2 Białoruś)</v>
          </cell>
        </row>
        <row r="1583">
          <cell r="A1583" t="str">
            <v/>
          </cell>
          <cell r="B1583" t="str">
            <v/>
          </cell>
          <cell r="H1583" t="str">
            <v/>
          </cell>
          <cell r="K1583" t="str">
            <v/>
          </cell>
          <cell r="N1583" t="str">
            <v/>
          </cell>
        </row>
        <row r="1585">
          <cell r="B1585" t="str">
            <v/>
          </cell>
          <cell r="K1585" t="str">
            <v>zwycięzca(cy): 21:8,21:10</v>
          </cell>
        </row>
        <row r="1586">
          <cell r="B1586">
            <v>2</v>
          </cell>
          <cell r="C1586" t="str">
            <v>dzień turnieju.</v>
          </cell>
          <cell r="I1586" t="str">
            <v>Nr meczu</v>
          </cell>
          <cell r="N1586" t="str">
            <v>Godz.</v>
          </cell>
          <cell r="R1586" t="str">
            <v>S. prow.</v>
          </cell>
          <cell r="AF1586" t="str">
            <v>wygrany</v>
          </cell>
          <cell r="AG1586" t="str">
            <v>przegrany</v>
          </cell>
        </row>
        <row r="1587">
          <cell r="B1587" t="str">
            <v>Boisko</v>
          </cell>
          <cell r="C1587" t="str">
            <v>Gra</v>
          </cell>
          <cell r="I1587">
            <v>227</v>
          </cell>
          <cell r="N1587" t="str">
            <v>rozp.</v>
          </cell>
          <cell r="P1587" t="str">
            <v>zak.</v>
          </cell>
          <cell r="R1587" t="str">
            <v>S. serw.</v>
          </cell>
        </row>
        <row r="1588">
          <cell r="A1588">
            <v>227</v>
          </cell>
          <cell r="B1588">
            <v>4</v>
          </cell>
          <cell r="C1588" t="str">
            <v>pojedyncza dziewcząt MM</v>
          </cell>
          <cell r="H1588">
            <v>21</v>
          </cell>
          <cell r="I1588">
            <v>9</v>
          </cell>
          <cell r="J1588">
            <v>21</v>
          </cell>
          <cell r="K1588">
            <v>17</v>
          </cell>
          <cell r="P1588">
            <v>0.4236111111111111</v>
          </cell>
          <cell r="R1588">
            <v>0.4236111111111111</v>
          </cell>
          <cell r="S1588" t="str">
            <v>sob 9:20</v>
          </cell>
          <cell r="X1588">
            <v>227</v>
          </cell>
          <cell r="Y1588" t="str">
            <v>pojedyncza dziewcząt MM</v>
          </cell>
          <cell r="Z1588" t="str">
            <v>S4730</v>
          </cell>
          <cell r="AA1588" t="str">
            <v/>
          </cell>
          <cell r="AB1588" t="str">
            <v>X31</v>
          </cell>
          <cell r="AC1588" t="str">
            <v/>
          </cell>
          <cell r="AD1588" t="str">
            <v>S4730</v>
          </cell>
          <cell r="AE1588" t="str">
            <v/>
          </cell>
          <cell r="AF1588" t="str">
            <v>21:9,21:17</v>
          </cell>
          <cell r="AG1588" t="str">
            <v>9:21,17:21</v>
          </cell>
          <cell r="AH1588" t="str">
            <v/>
          </cell>
          <cell r="AI1588">
            <v>21</v>
          </cell>
          <cell r="AJ1588">
            <v>9</v>
          </cell>
          <cell r="AK1588">
            <v>21</v>
          </cell>
          <cell r="AL1588">
            <v>17</v>
          </cell>
          <cell r="AM1588">
            <v>0</v>
          </cell>
          <cell r="AN1588">
            <v>0</v>
          </cell>
        </row>
        <row r="1589">
          <cell r="A1589" t="str">
            <v/>
          </cell>
          <cell r="B1589" t="str">
            <v>Karolina SZUBERT (KS Match Point Ślęza)</v>
          </cell>
          <cell r="H1589" t="str">
            <v>S4730</v>
          </cell>
          <cell r="K1589" t="str">
            <v>X31</v>
          </cell>
          <cell r="N1589" t="str">
            <v>Kseniya MATYSIK (Białoruś)</v>
          </cell>
        </row>
        <row r="1590">
          <cell r="A1590" t="str">
            <v/>
          </cell>
          <cell r="B1590" t="str">
            <v/>
          </cell>
          <cell r="H1590" t="str">
            <v/>
          </cell>
          <cell r="K1590" t="str">
            <v/>
          </cell>
          <cell r="N1590" t="str">
            <v/>
          </cell>
        </row>
        <row r="1592">
          <cell r="B1592" t="str">
            <v>zwycięzca(cy): 21:9,21:17</v>
          </cell>
          <cell r="K1592" t="str">
            <v/>
          </cell>
        </row>
        <row r="1593">
          <cell r="B1593">
            <v>2</v>
          </cell>
          <cell r="C1593" t="str">
            <v>dzień turnieju.</v>
          </cell>
          <cell r="I1593" t="str">
            <v>Nr meczu</v>
          </cell>
          <cell r="N1593" t="str">
            <v>Godz.</v>
          </cell>
          <cell r="R1593" t="str">
            <v>S. prow.</v>
          </cell>
          <cell r="AF1593" t="str">
            <v>wygrany</v>
          </cell>
          <cell r="AG1593" t="str">
            <v>przegrany</v>
          </cell>
        </row>
        <row r="1594">
          <cell r="B1594" t="str">
            <v>Boisko</v>
          </cell>
          <cell r="C1594" t="str">
            <v>Gra</v>
          </cell>
          <cell r="I1594">
            <v>228</v>
          </cell>
          <cell r="N1594" t="str">
            <v>rozp.</v>
          </cell>
          <cell r="P1594" t="str">
            <v>zak.</v>
          </cell>
          <cell r="R1594" t="str">
            <v>S. serw.</v>
          </cell>
        </row>
        <row r="1595">
          <cell r="A1595">
            <v>228</v>
          </cell>
          <cell r="B1595">
            <v>1</v>
          </cell>
          <cell r="C1595" t="str">
            <v>pojedyncza dziewcząt MM</v>
          </cell>
          <cell r="H1595">
            <v>21</v>
          </cell>
          <cell r="I1595">
            <v>8</v>
          </cell>
          <cell r="J1595">
            <v>21</v>
          </cell>
          <cell r="K1595">
            <v>11</v>
          </cell>
          <cell r="P1595">
            <v>0.42222222222222222</v>
          </cell>
          <cell r="R1595">
            <v>0.42222222222222222</v>
          </cell>
          <cell r="S1595" t="str">
            <v>sob 9:20</v>
          </cell>
          <cell r="X1595">
            <v>228</v>
          </cell>
          <cell r="Y1595" t="str">
            <v>pojedyncza dziewcząt MM</v>
          </cell>
          <cell r="Z1595" t="str">
            <v>B4319</v>
          </cell>
          <cell r="AA1595" t="str">
            <v/>
          </cell>
          <cell r="AB1595" t="str">
            <v>G5614</v>
          </cell>
          <cell r="AC1595" t="str">
            <v/>
          </cell>
          <cell r="AD1595" t="str">
            <v>B4319</v>
          </cell>
          <cell r="AE1595" t="str">
            <v/>
          </cell>
          <cell r="AF1595" t="str">
            <v>21:8,21:11</v>
          </cell>
          <cell r="AG1595" t="str">
            <v>8:21,11:21</v>
          </cell>
          <cell r="AH1595" t="str">
            <v/>
          </cell>
          <cell r="AI1595">
            <v>21</v>
          </cell>
          <cell r="AJ1595">
            <v>8</v>
          </cell>
          <cell r="AK1595">
            <v>21</v>
          </cell>
          <cell r="AL1595">
            <v>11</v>
          </cell>
          <cell r="AM1595">
            <v>0</v>
          </cell>
          <cell r="AN1595">
            <v>0</v>
          </cell>
        </row>
        <row r="1596">
          <cell r="A1596" t="str">
            <v/>
          </cell>
          <cell r="B1596" t="str">
            <v>Laura BUJAK (ULKS U-2 Lotka Bytów)</v>
          </cell>
          <cell r="H1596" t="str">
            <v>B4319</v>
          </cell>
          <cell r="K1596" t="str">
            <v>G5614</v>
          </cell>
          <cell r="N1596" t="str">
            <v>Weronika GÓRNIAK (UKSB Milenium Warszawa)</v>
          </cell>
        </row>
        <row r="1597">
          <cell r="A1597" t="str">
            <v/>
          </cell>
          <cell r="B1597" t="str">
            <v/>
          </cell>
          <cell r="H1597" t="str">
            <v/>
          </cell>
          <cell r="K1597" t="str">
            <v/>
          </cell>
          <cell r="N1597" t="str">
            <v/>
          </cell>
        </row>
        <row r="1599">
          <cell r="B1599" t="str">
            <v>zwycięzca(cy): 21:8,21:11</v>
          </cell>
          <cell r="K1599" t="str">
            <v/>
          </cell>
        </row>
        <row r="1600">
          <cell r="B1600">
            <v>2</v>
          </cell>
          <cell r="C1600" t="str">
            <v>dzień turnieju.</v>
          </cell>
          <cell r="I1600" t="str">
            <v>Nr meczu</v>
          </cell>
          <cell r="N1600" t="str">
            <v>Godz.</v>
          </cell>
          <cell r="R1600" t="str">
            <v>S. prow.</v>
          </cell>
          <cell r="AF1600" t="str">
            <v>wygrany</v>
          </cell>
          <cell r="AG1600" t="str">
            <v>przegrany</v>
          </cell>
        </row>
        <row r="1601">
          <cell r="B1601" t="str">
            <v>Boisko</v>
          </cell>
          <cell r="C1601" t="str">
            <v>Gra</v>
          </cell>
          <cell r="I1601">
            <v>229</v>
          </cell>
          <cell r="N1601" t="str">
            <v>rozp.</v>
          </cell>
          <cell r="P1601" t="str">
            <v>zak.</v>
          </cell>
          <cell r="R1601" t="str">
            <v>S. serw.</v>
          </cell>
        </row>
        <row r="1602">
          <cell r="A1602">
            <v>229</v>
          </cell>
          <cell r="B1602">
            <v>6</v>
          </cell>
          <cell r="C1602" t="str">
            <v>pojedyncza dziewcząt MM</v>
          </cell>
          <cell r="H1602">
            <v>21</v>
          </cell>
          <cell r="I1602">
            <v>4</v>
          </cell>
          <cell r="J1602">
            <v>21</v>
          </cell>
          <cell r="K1602">
            <v>5</v>
          </cell>
          <cell r="P1602">
            <v>0.4201388888888889</v>
          </cell>
          <cell r="R1602">
            <v>0.4201388888888889</v>
          </cell>
          <cell r="S1602" t="str">
            <v>sob 9:20</v>
          </cell>
          <cell r="X1602">
            <v>229</v>
          </cell>
          <cell r="Y1602" t="str">
            <v>pojedyncza dziewcząt MM</v>
          </cell>
          <cell r="Z1602" t="str">
            <v>J5024</v>
          </cell>
          <cell r="AA1602" t="str">
            <v/>
          </cell>
          <cell r="AB1602" t="str">
            <v>X43</v>
          </cell>
          <cell r="AC1602" t="str">
            <v/>
          </cell>
          <cell r="AD1602" t="str">
            <v>J5024</v>
          </cell>
          <cell r="AE1602" t="str">
            <v/>
          </cell>
          <cell r="AF1602" t="str">
            <v>21:4,21:5</v>
          </cell>
          <cell r="AG1602" t="str">
            <v>4:21,5:21</v>
          </cell>
          <cell r="AH1602" t="str">
            <v/>
          </cell>
          <cell r="AI1602">
            <v>21</v>
          </cell>
          <cell r="AJ1602">
            <v>4</v>
          </cell>
          <cell r="AK1602">
            <v>21</v>
          </cell>
          <cell r="AL1602">
            <v>5</v>
          </cell>
          <cell r="AM1602">
            <v>0</v>
          </cell>
          <cell r="AN1602">
            <v>0</v>
          </cell>
        </row>
        <row r="1603">
          <cell r="A1603" t="str">
            <v/>
          </cell>
          <cell r="B1603" t="str">
            <v>Zuzanna JANKOWSKA (MKS Strzelce Opolskie)</v>
          </cell>
          <cell r="H1603" t="str">
            <v>J5024</v>
          </cell>
          <cell r="K1603" t="str">
            <v>X43</v>
          </cell>
          <cell r="N1603" t="str">
            <v>Marta PROSTAK (Lwów Ukraina)</v>
          </cell>
        </row>
        <row r="1604">
          <cell r="A1604" t="str">
            <v/>
          </cell>
          <cell r="B1604" t="str">
            <v/>
          </cell>
          <cell r="H1604" t="str">
            <v/>
          </cell>
          <cell r="K1604" t="str">
            <v/>
          </cell>
          <cell r="N1604" t="str">
            <v/>
          </cell>
        </row>
        <row r="1606">
          <cell r="B1606" t="str">
            <v>zwycięzca(cy): 21:4,21:5</v>
          </cell>
          <cell r="K1606" t="str">
            <v/>
          </cell>
        </row>
        <row r="1607">
          <cell r="B1607">
            <v>2</v>
          </cell>
          <cell r="C1607" t="str">
            <v>dzień turnieju.</v>
          </cell>
          <cell r="I1607" t="str">
            <v>Nr meczu</v>
          </cell>
          <cell r="N1607" t="str">
            <v>Godz.</v>
          </cell>
          <cell r="R1607" t="str">
            <v>S. prow.</v>
          </cell>
          <cell r="AF1607" t="str">
            <v>wygrany</v>
          </cell>
          <cell r="AG1607" t="str">
            <v>przegrany</v>
          </cell>
        </row>
        <row r="1608">
          <cell r="B1608" t="str">
            <v>Boisko</v>
          </cell>
          <cell r="C1608" t="str">
            <v>Gra</v>
          </cell>
          <cell r="I1608">
            <v>230</v>
          </cell>
          <cell r="N1608" t="str">
            <v>rozp.</v>
          </cell>
          <cell r="P1608" t="str">
            <v>zak.</v>
          </cell>
          <cell r="R1608" t="str">
            <v>S. serw.</v>
          </cell>
        </row>
        <row r="1609">
          <cell r="A1609">
            <v>230</v>
          </cell>
          <cell r="B1609">
            <v>2</v>
          </cell>
          <cell r="C1609" t="str">
            <v>pojedyncza dziewcząt MM</v>
          </cell>
          <cell r="H1609">
            <v>21</v>
          </cell>
          <cell r="I1609">
            <v>12</v>
          </cell>
          <cell r="J1609">
            <v>21</v>
          </cell>
          <cell r="K1609">
            <v>8</v>
          </cell>
          <cell r="P1609">
            <v>0.42708333333333331</v>
          </cell>
          <cell r="R1609">
            <v>0.42708333333333331</v>
          </cell>
          <cell r="S1609" t="str">
            <v>sob 9:40</v>
          </cell>
          <cell r="X1609">
            <v>230</v>
          </cell>
          <cell r="Y1609" t="str">
            <v>pojedyncza dziewcząt MM</v>
          </cell>
          <cell r="Z1609" t="str">
            <v>R5603</v>
          </cell>
          <cell r="AA1609" t="str">
            <v/>
          </cell>
          <cell r="AB1609" t="str">
            <v>S5479</v>
          </cell>
          <cell r="AC1609" t="str">
            <v/>
          </cell>
          <cell r="AD1609" t="str">
            <v>R5603</v>
          </cell>
          <cell r="AE1609" t="str">
            <v/>
          </cell>
          <cell r="AF1609" t="str">
            <v>21:12,21:8</v>
          </cell>
          <cell r="AG1609" t="str">
            <v>12:21,8:21</v>
          </cell>
          <cell r="AH1609" t="str">
            <v/>
          </cell>
          <cell r="AI1609">
            <v>21</v>
          </cell>
          <cell r="AJ1609">
            <v>12</v>
          </cell>
          <cell r="AK1609">
            <v>21</v>
          </cell>
          <cell r="AL1609">
            <v>8</v>
          </cell>
          <cell r="AM1609">
            <v>0</v>
          </cell>
          <cell r="AN1609">
            <v>0</v>
          </cell>
        </row>
        <row r="1610">
          <cell r="A1610" t="str">
            <v/>
          </cell>
          <cell r="B1610" t="str">
            <v>Aleksandra RADZISZEWSKA (UKS Hubal Białystok)</v>
          </cell>
          <cell r="H1610" t="str">
            <v>R5603</v>
          </cell>
          <cell r="K1610" t="str">
            <v>S5479</v>
          </cell>
          <cell r="N1610" t="str">
            <v>Aleksandra SZYMAŃSKA (UKSB Milenium Warszawa)</v>
          </cell>
        </row>
        <row r="1611">
          <cell r="A1611" t="str">
            <v/>
          </cell>
          <cell r="B1611" t="str">
            <v/>
          </cell>
          <cell r="H1611" t="str">
            <v/>
          </cell>
          <cell r="K1611" t="str">
            <v/>
          </cell>
          <cell r="N1611" t="str">
            <v/>
          </cell>
        </row>
        <row r="1613">
          <cell r="B1613" t="str">
            <v>zwycięzca(cy): 21:12,21:8</v>
          </cell>
          <cell r="K1613" t="str">
            <v/>
          </cell>
        </row>
        <row r="1614">
          <cell r="B1614">
            <v>2</v>
          </cell>
          <cell r="C1614" t="str">
            <v>dzień turnieju.</v>
          </cell>
          <cell r="I1614" t="str">
            <v>Nr meczu</v>
          </cell>
          <cell r="N1614" t="str">
            <v>Godz.</v>
          </cell>
          <cell r="R1614" t="str">
            <v>S. prow.</v>
          </cell>
          <cell r="AF1614" t="str">
            <v>wygrany</v>
          </cell>
          <cell r="AG1614" t="str">
            <v>przegrany</v>
          </cell>
        </row>
        <row r="1615">
          <cell r="B1615" t="str">
            <v>Boisko</v>
          </cell>
          <cell r="C1615" t="str">
            <v>Gra</v>
          </cell>
          <cell r="I1615">
            <v>231</v>
          </cell>
          <cell r="N1615" t="str">
            <v>rozp.</v>
          </cell>
          <cell r="P1615" t="str">
            <v>zak.</v>
          </cell>
          <cell r="R1615" t="str">
            <v>S. serw.</v>
          </cell>
        </row>
        <row r="1616">
          <cell r="A1616">
            <v>231</v>
          </cell>
          <cell r="B1616">
            <v>3</v>
          </cell>
          <cell r="C1616" t="str">
            <v>pojedyncza dziewcząt MM</v>
          </cell>
          <cell r="H1616">
            <v>21</v>
          </cell>
          <cell r="I1616">
            <v>11</v>
          </cell>
          <cell r="J1616">
            <v>21</v>
          </cell>
          <cell r="K1616">
            <v>9</v>
          </cell>
          <cell r="P1616">
            <v>0.42638888888888887</v>
          </cell>
          <cell r="R1616">
            <v>0.42638888888888887</v>
          </cell>
          <cell r="S1616" t="str">
            <v>sob 9:40</v>
          </cell>
          <cell r="X1616">
            <v>231</v>
          </cell>
          <cell r="Y1616" t="str">
            <v>pojedyncza dziewcząt MM</v>
          </cell>
          <cell r="Z1616" t="str">
            <v>M4792</v>
          </cell>
          <cell r="AA1616" t="str">
            <v/>
          </cell>
          <cell r="AB1616" t="str">
            <v>M4631</v>
          </cell>
          <cell r="AC1616" t="str">
            <v/>
          </cell>
          <cell r="AD1616" t="str">
            <v>M4792</v>
          </cell>
          <cell r="AE1616" t="str">
            <v/>
          </cell>
          <cell r="AF1616" t="str">
            <v>21:11,21:9</v>
          </cell>
          <cell r="AG1616" t="str">
            <v>11:21,9:21</v>
          </cell>
          <cell r="AH1616" t="str">
            <v/>
          </cell>
          <cell r="AI1616">
            <v>21</v>
          </cell>
          <cell r="AJ1616">
            <v>11</v>
          </cell>
          <cell r="AK1616">
            <v>21</v>
          </cell>
          <cell r="AL1616">
            <v>9</v>
          </cell>
          <cell r="AM1616">
            <v>0</v>
          </cell>
          <cell r="AN1616">
            <v>0</v>
          </cell>
        </row>
        <row r="1617">
          <cell r="A1617" t="str">
            <v/>
          </cell>
          <cell r="B1617" t="str">
            <v>Urszula MISZKIEL (SKB Suwałki)</v>
          </cell>
          <cell r="H1617" t="str">
            <v>M4792</v>
          </cell>
          <cell r="K1617" t="str">
            <v>M4631</v>
          </cell>
          <cell r="N1617" t="str">
            <v>Agata MIELEWCZYK (ULKS U-2 Lotka Bytów)</v>
          </cell>
        </row>
        <row r="1618">
          <cell r="A1618" t="str">
            <v/>
          </cell>
          <cell r="B1618" t="str">
            <v/>
          </cell>
          <cell r="H1618" t="str">
            <v/>
          </cell>
          <cell r="K1618" t="str">
            <v/>
          </cell>
          <cell r="N1618" t="str">
            <v/>
          </cell>
        </row>
        <row r="1620">
          <cell r="B1620" t="str">
            <v>zwycięzca(cy): 21:11,21:9</v>
          </cell>
          <cell r="K1620" t="str">
            <v/>
          </cell>
        </row>
        <row r="1621">
          <cell r="B1621">
            <v>2</v>
          </cell>
          <cell r="C1621" t="str">
            <v>dzień turnieju.</v>
          </cell>
          <cell r="I1621" t="str">
            <v>Nr meczu</v>
          </cell>
          <cell r="N1621" t="str">
            <v>Godz.</v>
          </cell>
          <cell r="R1621" t="str">
            <v>S. prow.</v>
          </cell>
          <cell r="AF1621" t="str">
            <v>wygrany</v>
          </cell>
          <cell r="AG1621" t="str">
            <v>przegrany</v>
          </cell>
        </row>
        <row r="1622">
          <cell r="B1622" t="str">
            <v>Boisko</v>
          </cell>
          <cell r="C1622" t="str">
            <v>Gra</v>
          </cell>
          <cell r="I1622">
            <v>232</v>
          </cell>
          <cell r="N1622" t="str">
            <v>rozp.</v>
          </cell>
          <cell r="P1622" t="str">
            <v>zak.</v>
          </cell>
          <cell r="R1622" t="str">
            <v>S. serw.</v>
          </cell>
        </row>
        <row r="1623">
          <cell r="A1623">
            <v>232</v>
          </cell>
          <cell r="B1623">
            <v>5</v>
          </cell>
          <cell r="C1623" t="str">
            <v>pojedyncza dziewcząt MM</v>
          </cell>
          <cell r="H1623">
            <v>24</v>
          </cell>
          <cell r="I1623">
            <v>22</v>
          </cell>
          <cell r="J1623">
            <v>21</v>
          </cell>
          <cell r="K1623">
            <v>13</v>
          </cell>
          <cell r="P1623">
            <v>0.43402777777777773</v>
          </cell>
          <cell r="R1623">
            <v>0.43402777777777773</v>
          </cell>
          <cell r="S1623" t="str">
            <v>sob 9:40</v>
          </cell>
          <cell r="X1623">
            <v>232</v>
          </cell>
          <cell r="Y1623" t="str">
            <v>pojedyncza dziewcząt MM</v>
          </cell>
          <cell r="Z1623" t="str">
            <v>K5262</v>
          </cell>
          <cell r="AA1623" t="str">
            <v/>
          </cell>
          <cell r="AB1623" t="str">
            <v>X25</v>
          </cell>
          <cell r="AC1623" t="str">
            <v/>
          </cell>
          <cell r="AD1623" t="str">
            <v>K5262</v>
          </cell>
          <cell r="AE1623" t="str">
            <v/>
          </cell>
          <cell r="AF1623" t="str">
            <v>24:22,21:13</v>
          </cell>
          <cell r="AG1623" t="str">
            <v>22:24,13:21</v>
          </cell>
          <cell r="AH1623" t="str">
            <v/>
          </cell>
          <cell r="AI1623">
            <v>24</v>
          </cell>
          <cell r="AJ1623">
            <v>22</v>
          </cell>
          <cell r="AK1623">
            <v>21</v>
          </cell>
          <cell r="AL1623">
            <v>13</v>
          </cell>
          <cell r="AM1623">
            <v>0</v>
          </cell>
          <cell r="AN1623">
            <v>0</v>
          </cell>
        </row>
        <row r="1624">
          <cell r="A1624" t="str">
            <v/>
          </cell>
          <cell r="B1624" t="str">
            <v>Wiktoria KASPRZAK (UKS Kiko Zamość)</v>
          </cell>
          <cell r="H1624" t="str">
            <v>K5262</v>
          </cell>
          <cell r="K1624" t="str">
            <v>X25</v>
          </cell>
          <cell r="N1624" t="str">
            <v>Yana  HALYTSKA (Vinnica Ukraina)</v>
          </cell>
        </row>
        <row r="1625">
          <cell r="A1625" t="str">
            <v/>
          </cell>
          <cell r="B1625" t="str">
            <v/>
          </cell>
          <cell r="H1625" t="str">
            <v/>
          </cell>
          <cell r="K1625" t="str">
            <v/>
          </cell>
          <cell r="N1625" t="str">
            <v/>
          </cell>
        </row>
        <row r="1627">
          <cell r="B1627" t="str">
            <v>zwycięzca(cy): 24:22,21:13</v>
          </cell>
          <cell r="K1627" t="str">
            <v/>
          </cell>
        </row>
        <row r="1628">
          <cell r="B1628">
            <v>2</v>
          </cell>
          <cell r="C1628" t="str">
            <v>dzień turnieju.</v>
          </cell>
          <cell r="I1628" t="str">
            <v>Nr meczu</v>
          </cell>
          <cell r="N1628" t="str">
            <v>Godz.</v>
          </cell>
          <cell r="R1628" t="str">
            <v>S. prow.</v>
          </cell>
          <cell r="AF1628" t="str">
            <v>wygrany</v>
          </cell>
          <cell r="AG1628" t="str">
            <v>przegrany</v>
          </cell>
        </row>
        <row r="1629">
          <cell r="B1629" t="str">
            <v>Boisko</v>
          </cell>
          <cell r="C1629" t="str">
            <v>Gra</v>
          </cell>
          <cell r="I1629">
            <v>233</v>
          </cell>
          <cell r="N1629" t="str">
            <v>rozp.</v>
          </cell>
          <cell r="P1629" t="str">
            <v>zak.</v>
          </cell>
          <cell r="R1629" t="str">
            <v>S. serw.</v>
          </cell>
        </row>
        <row r="1630">
          <cell r="A1630">
            <v>233</v>
          </cell>
          <cell r="B1630">
            <v>6</v>
          </cell>
          <cell r="C1630" t="str">
            <v>pojedyncza chłopców MM</v>
          </cell>
          <cell r="H1630">
            <v>21</v>
          </cell>
          <cell r="I1630">
            <v>7</v>
          </cell>
          <cell r="J1630">
            <v>21</v>
          </cell>
          <cell r="K1630">
            <v>14</v>
          </cell>
          <cell r="P1630">
            <v>0.43402777777777773</v>
          </cell>
          <cell r="R1630">
            <v>0.43402777777777773</v>
          </cell>
          <cell r="S1630" t="str">
            <v>sob 9:40</v>
          </cell>
          <cell r="X1630">
            <v>233</v>
          </cell>
          <cell r="Y1630" t="str">
            <v>pojedyncza chłopców MM</v>
          </cell>
          <cell r="Z1630" t="str">
            <v>M4565</v>
          </cell>
          <cell r="AA1630" t="str">
            <v/>
          </cell>
          <cell r="AB1630" t="str">
            <v>K4670</v>
          </cell>
          <cell r="AC1630" t="str">
            <v/>
          </cell>
          <cell r="AD1630" t="str">
            <v>M4565</v>
          </cell>
          <cell r="AE1630" t="str">
            <v/>
          </cell>
          <cell r="AF1630" t="str">
            <v>21:7,21:14</v>
          </cell>
          <cell r="AG1630" t="str">
            <v>7:21,14:21</v>
          </cell>
          <cell r="AH1630" t="str">
            <v/>
          </cell>
          <cell r="AI1630">
            <v>21</v>
          </cell>
          <cell r="AJ1630">
            <v>7</v>
          </cell>
          <cell r="AK1630">
            <v>21</v>
          </cell>
          <cell r="AL1630">
            <v>14</v>
          </cell>
          <cell r="AM1630">
            <v>0</v>
          </cell>
          <cell r="AN1630">
            <v>0</v>
          </cell>
        </row>
        <row r="1631">
          <cell r="A1631" t="str">
            <v/>
          </cell>
          <cell r="B1631" t="str">
            <v>Maciej MATUSZ (LKS Technik Głubczyce)</v>
          </cell>
          <cell r="H1631" t="str">
            <v>M4565</v>
          </cell>
          <cell r="K1631" t="str">
            <v>K4670</v>
          </cell>
          <cell r="N1631" t="str">
            <v>Kamil KOZERA (UKSMTB Smecz Konin)</v>
          </cell>
        </row>
        <row r="1632">
          <cell r="A1632" t="str">
            <v/>
          </cell>
          <cell r="B1632" t="str">
            <v/>
          </cell>
          <cell r="H1632" t="str">
            <v/>
          </cell>
          <cell r="K1632" t="str">
            <v/>
          </cell>
          <cell r="N1632" t="str">
            <v/>
          </cell>
        </row>
        <row r="1634">
          <cell r="B1634" t="str">
            <v>zwycięzca(cy): 21:7,21:14</v>
          </cell>
          <cell r="K1634" t="str">
            <v/>
          </cell>
        </row>
        <row r="1635">
          <cell r="B1635">
            <v>2</v>
          </cell>
          <cell r="C1635" t="str">
            <v>dzień turnieju.</v>
          </cell>
          <cell r="I1635" t="str">
            <v>Nr meczu</v>
          </cell>
          <cell r="N1635" t="str">
            <v>Godz.</v>
          </cell>
          <cell r="R1635" t="str">
            <v>S. prow.</v>
          </cell>
          <cell r="AF1635" t="str">
            <v>wygrany</v>
          </cell>
          <cell r="AG1635" t="str">
            <v>przegrany</v>
          </cell>
        </row>
        <row r="1636">
          <cell r="B1636" t="str">
            <v>Boisko</v>
          </cell>
          <cell r="C1636" t="str">
            <v>Gra</v>
          </cell>
          <cell r="I1636">
            <v>234</v>
          </cell>
          <cell r="N1636" t="str">
            <v>rozp.</v>
          </cell>
          <cell r="P1636" t="str">
            <v>zak.</v>
          </cell>
          <cell r="R1636" t="str">
            <v>S. serw.</v>
          </cell>
        </row>
        <row r="1637">
          <cell r="A1637">
            <v>234</v>
          </cell>
          <cell r="B1637">
            <v>1</v>
          </cell>
          <cell r="C1637" t="str">
            <v>pojedyncza chłopców MM</v>
          </cell>
          <cell r="H1637">
            <v>16</v>
          </cell>
          <cell r="I1637">
            <v>21</v>
          </cell>
          <cell r="J1637">
            <v>4</v>
          </cell>
          <cell r="K1637">
            <v>21</v>
          </cell>
          <cell r="P1637">
            <v>0.43611111111111112</v>
          </cell>
          <cell r="R1637">
            <v>0.43611111111111112</v>
          </cell>
          <cell r="S1637" t="str">
            <v>sob 9:40</v>
          </cell>
          <cell r="X1637">
            <v>234</v>
          </cell>
          <cell r="Y1637" t="str">
            <v>pojedyncza chłopców MM</v>
          </cell>
          <cell r="Z1637" t="str">
            <v>M4933</v>
          </cell>
          <cell r="AA1637" t="str">
            <v/>
          </cell>
          <cell r="AB1637" t="str">
            <v>G5058</v>
          </cell>
          <cell r="AC1637" t="str">
            <v/>
          </cell>
          <cell r="AD1637" t="str">
            <v>G5058</v>
          </cell>
          <cell r="AE1637" t="str">
            <v/>
          </cell>
          <cell r="AF1637" t="str">
            <v>21:16,21:4</v>
          </cell>
          <cell r="AG1637" t="str">
            <v>16:21,4:21</v>
          </cell>
          <cell r="AH1637" t="str">
            <v/>
          </cell>
          <cell r="AI1637">
            <v>16</v>
          </cell>
          <cell r="AJ1637">
            <v>21</v>
          </cell>
          <cell r="AK1637">
            <v>4</v>
          </cell>
          <cell r="AL1637">
            <v>21</v>
          </cell>
          <cell r="AM1637">
            <v>0</v>
          </cell>
          <cell r="AN1637">
            <v>0</v>
          </cell>
        </row>
        <row r="1638">
          <cell r="A1638" t="str">
            <v/>
          </cell>
          <cell r="B1638" t="str">
            <v>Kacper MAKAREWICZ (UKS Hubal Białystok)</v>
          </cell>
          <cell r="H1638" t="str">
            <v>M4933</v>
          </cell>
          <cell r="K1638" t="str">
            <v>G5058</v>
          </cell>
          <cell r="N1638" t="str">
            <v>Wiktor GRZYB (UKS Orbitek Straszęcin)</v>
          </cell>
        </row>
        <row r="1639">
          <cell r="A1639" t="str">
            <v/>
          </cell>
          <cell r="B1639" t="str">
            <v/>
          </cell>
          <cell r="H1639" t="str">
            <v/>
          </cell>
          <cell r="K1639" t="str">
            <v/>
          </cell>
          <cell r="N1639" t="str">
            <v/>
          </cell>
        </row>
        <row r="1641">
          <cell r="B1641" t="str">
            <v/>
          </cell>
          <cell r="K1641" t="str">
            <v>zwycięzca(cy): 21:16,21:4</v>
          </cell>
        </row>
        <row r="1642">
          <cell r="B1642">
            <v>2</v>
          </cell>
          <cell r="C1642" t="str">
            <v>dzień turnieju.</v>
          </cell>
          <cell r="I1642" t="str">
            <v>Nr meczu</v>
          </cell>
          <cell r="N1642" t="str">
            <v>Godz.</v>
          </cell>
          <cell r="R1642" t="str">
            <v>S. prow.</v>
          </cell>
          <cell r="AF1642" t="str">
            <v>wygrany</v>
          </cell>
          <cell r="AG1642" t="str">
            <v>przegrany</v>
          </cell>
        </row>
        <row r="1643">
          <cell r="B1643" t="str">
            <v>Boisko</v>
          </cell>
          <cell r="C1643" t="str">
            <v>Gra</v>
          </cell>
          <cell r="I1643">
            <v>235</v>
          </cell>
          <cell r="N1643" t="str">
            <v>rozp.</v>
          </cell>
          <cell r="P1643" t="str">
            <v>zak.</v>
          </cell>
          <cell r="R1643" t="str">
            <v>S. serw.</v>
          </cell>
        </row>
        <row r="1644">
          <cell r="A1644">
            <v>235</v>
          </cell>
          <cell r="B1644">
            <v>1</v>
          </cell>
          <cell r="C1644" t="str">
            <v>pojedyncza chłopców MM</v>
          </cell>
          <cell r="H1644">
            <v>21</v>
          </cell>
          <cell r="I1644">
            <v>0</v>
          </cell>
          <cell r="J1644">
            <v>21</v>
          </cell>
          <cell r="K1644">
            <v>0</v>
          </cell>
          <cell r="P1644">
            <v>0.375</v>
          </cell>
          <cell r="R1644">
            <v>0.375</v>
          </cell>
          <cell r="S1644" t="str">
            <v>sob 9:40</v>
          </cell>
          <cell r="X1644">
            <v>235</v>
          </cell>
          <cell r="Y1644" t="str">
            <v>pojedyncza chłopców MM</v>
          </cell>
          <cell r="Z1644" t="str">
            <v>C4406</v>
          </cell>
          <cell r="AA1644" t="str">
            <v/>
          </cell>
          <cell r="AB1644" t="str">
            <v>Z5817</v>
          </cell>
          <cell r="AC1644" t="str">
            <v/>
          </cell>
          <cell r="AD1644" t="str">
            <v>C4406</v>
          </cell>
          <cell r="AE1644" t="str">
            <v/>
          </cell>
          <cell r="AF1644" t="str">
            <v>21:0,21:0</v>
          </cell>
          <cell r="AG1644" t="str">
            <v>0:21,0:21</v>
          </cell>
          <cell r="AH1644" t="str">
            <v/>
          </cell>
          <cell r="AI1644">
            <v>21</v>
          </cell>
          <cell r="AJ1644">
            <v>0</v>
          </cell>
          <cell r="AK1644">
            <v>21</v>
          </cell>
          <cell r="AL1644">
            <v>0</v>
          </cell>
          <cell r="AM1644">
            <v>0</v>
          </cell>
          <cell r="AN1644">
            <v>0</v>
          </cell>
        </row>
        <row r="1645">
          <cell r="A1645" t="str">
            <v/>
          </cell>
          <cell r="B1645" t="str">
            <v>Łukasz CIMOSZ (KS Chojnik Jelenia Góra)</v>
          </cell>
          <cell r="H1645" t="str">
            <v>C4406</v>
          </cell>
          <cell r="K1645" t="str">
            <v>Z5817</v>
          </cell>
          <cell r="N1645" t="str">
            <v>Hubert ZANIEWSKI (UKSB Milenium Warszawa)</v>
          </cell>
        </row>
        <row r="1646">
          <cell r="A1646" t="str">
            <v/>
          </cell>
          <cell r="B1646" t="str">
            <v/>
          </cell>
          <cell r="H1646" t="str">
            <v/>
          </cell>
          <cell r="K1646" t="str">
            <v/>
          </cell>
          <cell r="N1646" t="str">
            <v/>
          </cell>
        </row>
        <row r="1648">
          <cell r="B1648" t="str">
            <v>zwycięzca(cy): 21:0,21:0</v>
          </cell>
          <cell r="K1648" t="str">
            <v/>
          </cell>
        </row>
        <row r="1649">
          <cell r="B1649">
            <v>2</v>
          </cell>
          <cell r="C1649" t="str">
            <v>dzień turnieju.</v>
          </cell>
          <cell r="I1649" t="str">
            <v>Nr meczu</v>
          </cell>
          <cell r="N1649" t="str">
            <v>Godz.</v>
          </cell>
          <cell r="R1649" t="str">
            <v>S. prow.</v>
          </cell>
          <cell r="AF1649" t="str">
            <v>wygrany</v>
          </cell>
          <cell r="AG1649" t="str">
            <v>przegrany</v>
          </cell>
        </row>
        <row r="1650">
          <cell r="B1650" t="str">
            <v>Boisko</v>
          </cell>
          <cell r="C1650" t="str">
            <v>Gra</v>
          </cell>
          <cell r="I1650">
            <v>236</v>
          </cell>
          <cell r="N1650" t="str">
            <v>rozp.</v>
          </cell>
          <cell r="P1650" t="str">
            <v>zak.</v>
          </cell>
          <cell r="R1650" t="str">
            <v>S. serw.</v>
          </cell>
        </row>
        <row r="1651">
          <cell r="A1651">
            <v>236</v>
          </cell>
          <cell r="B1651">
            <v>3</v>
          </cell>
          <cell r="C1651" t="str">
            <v>pojedyncza chłopców MM</v>
          </cell>
          <cell r="H1651">
            <v>21</v>
          </cell>
          <cell r="I1651">
            <v>14</v>
          </cell>
          <cell r="J1651">
            <v>19</v>
          </cell>
          <cell r="K1651">
            <v>21</v>
          </cell>
          <cell r="L1651">
            <v>18</v>
          </cell>
          <cell r="M1651">
            <v>21</v>
          </cell>
          <cell r="P1651">
            <v>0.4548611111111111</v>
          </cell>
          <cell r="R1651">
            <v>0.4548611111111111</v>
          </cell>
          <cell r="S1651" t="str">
            <v>sob 9:40</v>
          </cell>
          <cell r="X1651">
            <v>236</v>
          </cell>
          <cell r="Y1651" t="str">
            <v>pojedyncza chłopców MM</v>
          </cell>
          <cell r="Z1651" t="str">
            <v>X26</v>
          </cell>
          <cell r="AA1651" t="str">
            <v/>
          </cell>
          <cell r="AB1651" t="str">
            <v>R4145</v>
          </cell>
          <cell r="AC1651" t="str">
            <v/>
          </cell>
          <cell r="AD1651" t="str">
            <v>R4145</v>
          </cell>
          <cell r="AE1651" t="str">
            <v/>
          </cell>
          <cell r="AF1651" t="str">
            <v>14:21,21:19,21:18</v>
          </cell>
          <cell r="AG1651" t="str">
            <v>21:14,19:21,18:21</v>
          </cell>
          <cell r="AH1651" t="str">
            <v/>
          </cell>
          <cell r="AI1651">
            <v>21</v>
          </cell>
          <cell r="AJ1651">
            <v>14</v>
          </cell>
          <cell r="AK1651">
            <v>19</v>
          </cell>
          <cell r="AL1651">
            <v>21</v>
          </cell>
          <cell r="AM1651">
            <v>18</v>
          </cell>
          <cell r="AN1651">
            <v>21</v>
          </cell>
        </row>
        <row r="1652">
          <cell r="A1652" t="str">
            <v/>
          </cell>
          <cell r="B1652" t="str">
            <v>Igor SENICHKYN (Vinnica Ukraina)</v>
          </cell>
          <cell r="H1652" t="str">
            <v>X26</v>
          </cell>
          <cell r="K1652" t="str">
            <v>R4145</v>
          </cell>
          <cell r="N1652" t="str">
            <v>Michał RECKI (UKS Lotka Lubiewo)</v>
          </cell>
        </row>
        <row r="1653">
          <cell r="A1653" t="str">
            <v/>
          </cell>
          <cell r="B1653" t="str">
            <v/>
          </cell>
          <cell r="H1653" t="str">
            <v/>
          </cell>
          <cell r="K1653" t="str">
            <v/>
          </cell>
          <cell r="N1653" t="str">
            <v/>
          </cell>
        </row>
        <row r="1655">
          <cell r="B1655" t="str">
            <v/>
          </cell>
          <cell r="K1655" t="str">
            <v>zwycięzca(cy): 14:21,21:19,21:18</v>
          </cell>
        </row>
        <row r="1656">
          <cell r="B1656">
            <v>2</v>
          </cell>
          <cell r="C1656" t="str">
            <v>dzień turnieju.</v>
          </cell>
          <cell r="I1656" t="str">
            <v>Nr meczu</v>
          </cell>
          <cell r="N1656" t="str">
            <v>Godz.</v>
          </cell>
          <cell r="R1656" t="str">
            <v>S. prow.</v>
          </cell>
          <cell r="AF1656" t="str">
            <v>wygrany</v>
          </cell>
          <cell r="AG1656" t="str">
            <v>przegrany</v>
          </cell>
        </row>
        <row r="1657">
          <cell r="B1657" t="str">
            <v>Boisko</v>
          </cell>
          <cell r="C1657" t="str">
            <v>Gra</v>
          </cell>
          <cell r="I1657">
            <v>237</v>
          </cell>
          <cell r="N1657" t="str">
            <v>rozp.</v>
          </cell>
          <cell r="P1657" t="str">
            <v>zak.</v>
          </cell>
          <cell r="R1657" t="str">
            <v>S. serw.</v>
          </cell>
        </row>
        <row r="1658">
          <cell r="A1658">
            <v>237</v>
          </cell>
          <cell r="B1658">
            <v>4</v>
          </cell>
          <cell r="C1658" t="str">
            <v>pojedyncza chłopców MM</v>
          </cell>
          <cell r="H1658">
            <v>21</v>
          </cell>
          <cell r="I1658">
            <v>14</v>
          </cell>
          <cell r="J1658">
            <v>21</v>
          </cell>
          <cell r="K1658">
            <v>14</v>
          </cell>
          <cell r="P1658">
            <v>0.44097222222222227</v>
          </cell>
          <cell r="R1658">
            <v>0.44097222222222227</v>
          </cell>
          <cell r="S1658" t="str">
            <v>sob 10:00</v>
          </cell>
          <cell r="X1658">
            <v>237</v>
          </cell>
          <cell r="Y1658" t="str">
            <v>pojedyncza chłopców MM</v>
          </cell>
          <cell r="Z1658" t="str">
            <v>P5025</v>
          </cell>
          <cell r="AA1658" t="str">
            <v/>
          </cell>
          <cell r="AB1658" t="str">
            <v>K4981</v>
          </cell>
          <cell r="AC1658" t="str">
            <v/>
          </cell>
          <cell r="AD1658" t="str">
            <v>P5025</v>
          </cell>
          <cell r="AE1658" t="str">
            <v/>
          </cell>
          <cell r="AF1658" t="str">
            <v>21:14,21:14</v>
          </cell>
          <cell r="AG1658" t="str">
            <v>14:21,14:21</v>
          </cell>
          <cell r="AH1658" t="str">
            <v/>
          </cell>
          <cell r="AI1658">
            <v>21</v>
          </cell>
          <cell r="AJ1658">
            <v>14</v>
          </cell>
          <cell r="AK1658">
            <v>21</v>
          </cell>
          <cell r="AL1658">
            <v>14</v>
          </cell>
          <cell r="AM1658">
            <v>0</v>
          </cell>
          <cell r="AN1658">
            <v>0</v>
          </cell>
        </row>
        <row r="1659">
          <cell r="A1659" t="str">
            <v/>
          </cell>
          <cell r="B1659" t="str">
            <v>Jakub PLASZCZYK (MKS Strzelce Opolskie)</v>
          </cell>
          <cell r="H1659" t="str">
            <v>P5025</v>
          </cell>
          <cell r="K1659" t="str">
            <v>K4981</v>
          </cell>
          <cell r="N1659" t="str">
            <v>Michał KOSZTYŁO (UKS Orbitek Straszęcin)</v>
          </cell>
        </row>
        <row r="1660">
          <cell r="A1660" t="str">
            <v/>
          </cell>
          <cell r="B1660" t="str">
            <v/>
          </cell>
          <cell r="H1660" t="str">
            <v/>
          </cell>
          <cell r="K1660" t="str">
            <v/>
          </cell>
          <cell r="N1660" t="str">
            <v/>
          </cell>
        </row>
        <row r="1662">
          <cell r="B1662" t="str">
            <v>zwycięzca(cy): 21:14,21:14</v>
          </cell>
          <cell r="K1662" t="str">
            <v/>
          </cell>
        </row>
        <row r="1663">
          <cell r="B1663">
            <v>2</v>
          </cell>
          <cell r="C1663" t="str">
            <v>dzień turnieju.</v>
          </cell>
          <cell r="I1663" t="str">
            <v>Nr meczu</v>
          </cell>
          <cell r="N1663" t="str">
            <v>Godz.</v>
          </cell>
          <cell r="R1663" t="str">
            <v>S. prow.</v>
          </cell>
          <cell r="AF1663" t="str">
            <v>wygrany</v>
          </cell>
          <cell r="AG1663" t="str">
            <v>przegrany</v>
          </cell>
        </row>
        <row r="1664">
          <cell r="B1664" t="str">
            <v>Boisko</v>
          </cell>
          <cell r="C1664" t="str">
            <v>Gra</v>
          </cell>
          <cell r="I1664">
            <v>238</v>
          </cell>
          <cell r="N1664" t="str">
            <v>rozp.</v>
          </cell>
          <cell r="P1664" t="str">
            <v>zak.</v>
          </cell>
          <cell r="R1664" t="str">
            <v>S. serw.</v>
          </cell>
        </row>
        <row r="1665">
          <cell r="A1665">
            <v>238</v>
          </cell>
          <cell r="B1665">
            <v>2</v>
          </cell>
          <cell r="C1665" t="str">
            <v>pojedyncza chłopców MM</v>
          </cell>
          <cell r="H1665">
            <v>21</v>
          </cell>
          <cell r="I1665">
            <v>12</v>
          </cell>
          <cell r="J1665">
            <v>21</v>
          </cell>
          <cell r="K1665">
            <v>11</v>
          </cell>
          <cell r="P1665">
            <v>0.44791666666666669</v>
          </cell>
          <cell r="R1665">
            <v>0.44791666666666669</v>
          </cell>
          <cell r="S1665" t="str">
            <v>sob 10:00</v>
          </cell>
          <cell r="X1665">
            <v>238</v>
          </cell>
          <cell r="Y1665" t="str">
            <v>pojedyncza chłopców MM</v>
          </cell>
          <cell r="Z1665" t="str">
            <v>B5059</v>
          </cell>
          <cell r="AA1665" t="str">
            <v/>
          </cell>
          <cell r="AB1665" t="str">
            <v>M5584</v>
          </cell>
          <cell r="AC1665" t="str">
            <v/>
          </cell>
          <cell r="AD1665" t="str">
            <v>B5059</v>
          </cell>
          <cell r="AE1665" t="str">
            <v/>
          </cell>
          <cell r="AF1665" t="str">
            <v>21:12,21:11</v>
          </cell>
          <cell r="AG1665" t="str">
            <v>12:21,11:21</v>
          </cell>
          <cell r="AH1665" t="str">
            <v/>
          </cell>
          <cell r="AI1665">
            <v>21</v>
          </cell>
          <cell r="AJ1665">
            <v>12</v>
          </cell>
          <cell r="AK1665">
            <v>21</v>
          </cell>
          <cell r="AL1665">
            <v>11</v>
          </cell>
          <cell r="AM1665">
            <v>0</v>
          </cell>
          <cell r="AN1665">
            <v>0</v>
          </cell>
        </row>
        <row r="1666">
          <cell r="A1666" t="str">
            <v/>
          </cell>
          <cell r="B1666" t="str">
            <v>Adam BIBIK (KSR Wolant Łódź)</v>
          </cell>
          <cell r="H1666" t="str">
            <v>B5059</v>
          </cell>
          <cell r="K1666" t="str">
            <v>M5584</v>
          </cell>
          <cell r="N1666" t="str">
            <v>Jakub MAZUR (LKS Technik Głubczyce)</v>
          </cell>
        </row>
        <row r="1667">
          <cell r="A1667" t="str">
            <v/>
          </cell>
          <cell r="B1667" t="str">
            <v/>
          </cell>
          <cell r="H1667" t="str">
            <v/>
          </cell>
          <cell r="K1667" t="str">
            <v/>
          </cell>
          <cell r="N1667" t="str">
            <v/>
          </cell>
        </row>
        <row r="1669">
          <cell r="B1669" t="str">
            <v>zwycięzca(cy): 21:12,21:11</v>
          </cell>
          <cell r="K1669" t="str">
            <v/>
          </cell>
        </row>
        <row r="1670">
          <cell r="B1670">
            <v>2</v>
          </cell>
          <cell r="C1670" t="str">
            <v>dzień turnieju.</v>
          </cell>
          <cell r="I1670" t="str">
            <v>Nr meczu</v>
          </cell>
          <cell r="N1670" t="str">
            <v>Godz.</v>
          </cell>
          <cell r="R1670" t="str">
            <v>S. prow.</v>
          </cell>
          <cell r="AF1670" t="str">
            <v>wygrany</v>
          </cell>
          <cell r="AG1670" t="str">
            <v>przegrany</v>
          </cell>
        </row>
        <row r="1671">
          <cell r="B1671" t="str">
            <v>Boisko</v>
          </cell>
          <cell r="C1671" t="str">
            <v>Gra</v>
          </cell>
          <cell r="I1671">
            <v>239</v>
          </cell>
          <cell r="N1671" t="str">
            <v>rozp.</v>
          </cell>
          <cell r="P1671" t="str">
            <v>zak.</v>
          </cell>
          <cell r="R1671" t="str">
            <v>S. serw.</v>
          </cell>
        </row>
        <row r="1672">
          <cell r="A1672">
            <v>239</v>
          </cell>
          <cell r="B1672">
            <v>5</v>
          </cell>
          <cell r="C1672" t="str">
            <v>pojedyncza chłopców MM</v>
          </cell>
          <cell r="H1672">
            <v>21</v>
          </cell>
          <cell r="I1672">
            <v>19</v>
          </cell>
          <cell r="J1672">
            <v>21</v>
          </cell>
          <cell r="K1672">
            <v>18</v>
          </cell>
          <cell r="P1672">
            <v>0.44861111111111113</v>
          </cell>
          <cell r="R1672">
            <v>0.44861111111111113</v>
          </cell>
          <cell r="S1672" t="str">
            <v>sob 10:00</v>
          </cell>
          <cell r="X1672">
            <v>239</v>
          </cell>
          <cell r="Y1672" t="str">
            <v>pojedyncza chłopców MM</v>
          </cell>
          <cell r="Z1672" t="str">
            <v>Ż4858</v>
          </cell>
          <cell r="AA1672" t="str">
            <v/>
          </cell>
          <cell r="AB1672" t="str">
            <v>H5344</v>
          </cell>
          <cell r="AC1672" t="str">
            <v/>
          </cell>
          <cell r="AD1672" t="str">
            <v>Ż4858</v>
          </cell>
          <cell r="AE1672" t="str">
            <v/>
          </cell>
          <cell r="AF1672" t="str">
            <v>21:19,21:18</v>
          </cell>
          <cell r="AG1672" t="str">
            <v>19:21,18:21</v>
          </cell>
          <cell r="AH1672" t="str">
            <v/>
          </cell>
          <cell r="AI1672">
            <v>21</v>
          </cell>
          <cell r="AJ1672">
            <v>19</v>
          </cell>
          <cell r="AK1672">
            <v>21</v>
          </cell>
          <cell r="AL1672">
            <v>18</v>
          </cell>
          <cell r="AM1672">
            <v>0</v>
          </cell>
          <cell r="AN1672">
            <v>0</v>
          </cell>
        </row>
        <row r="1673">
          <cell r="A1673" t="str">
            <v/>
          </cell>
          <cell r="B1673" t="str">
            <v>Dawid ŻMÓJDZIN (UKS Hubal Białystok)</v>
          </cell>
          <cell r="H1673" t="str">
            <v>Ż4858</v>
          </cell>
          <cell r="K1673" t="str">
            <v>H5344</v>
          </cell>
          <cell r="N1673" t="str">
            <v>Mateusz HAŁASA (UKS Kiko Zamość)</v>
          </cell>
        </row>
        <row r="1674">
          <cell r="A1674" t="str">
            <v/>
          </cell>
          <cell r="B1674" t="str">
            <v/>
          </cell>
          <cell r="H1674" t="str">
            <v/>
          </cell>
          <cell r="K1674" t="str">
            <v/>
          </cell>
          <cell r="N1674" t="str">
            <v/>
          </cell>
        </row>
        <row r="1676">
          <cell r="B1676" t="str">
            <v>zwycięzca(cy): 21:19,21:18</v>
          </cell>
          <cell r="K1676" t="str">
            <v/>
          </cell>
        </row>
        <row r="1677">
          <cell r="B1677">
            <v>2</v>
          </cell>
          <cell r="C1677" t="str">
            <v>dzień turnieju.</v>
          </cell>
          <cell r="I1677" t="str">
            <v>Nr meczu</v>
          </cell>
          <cell r="N1677" t="str">
            <v>Godz.</v>
          </cell>
          <cell r="R1677" t="str">
            <v>S. prow.</v>
          </cell>
          <cell r="AF1677" t="str">
            <v>wygrany</v>
          </cell>
          <cell r="AG1677" t="str">
            <v>przegrany</v>
          </cell>
        </row>
        <row r="1678">
          <cell r="B1678" t="str">
            <v>Boisko</v>
          </cell>
          <cell r="C1678" t="str">
            <v>Gra</v>
          </cell>
          <cell r="I1678">
            <v>240</v>
          </cell>
          <cell r="N1678" t="str">
            <v>rozp.</v>
          </cell>
          <cell r="P1678" t="str">
            <v>zak.</v>
          </cell>
          <cell r="R1678" t="str">
            <v>S. serw.</v>
          </cell>
        </row>
        <row r="1679">
          <cell r="A1679">
            <v>240</v>
          </cell>
          <cell r="B1679">
            <v>6</v>
          </cell>
          <cell r="C1679" t="str">
            <v>pojedyncza chłopców MM</v>
          </cell>
          <cell r="H1679">
            <v>21</v>
          </cell>
          <cell r="I1679">
            <v>12</v>
          </cell>
          <cell r="J1679">
            <v>21</v>
          </cell>
          <cell r="K1679">
            <v>11</v>
          </cell>
          <cell r="P1679">
            <v>0.44791666666666669</v>
          </cell>
          <cell r="R1679">
            <v>0.44791666666666669</v>
          </cell>
          <cell r="S1679" t="str">
            <v>sob 10:00</v>
          </cell>
          <cell r="X1679">
            <v>240</v>
          </cell>
          <cell r="Y1679" t="str">
            <v>pojedyncza chłopców MM</v>
          </cell>
          <cell r="Z1679" t="str">
            <v>H5129</v>
          </cell>
          <cell r="AA1679" t="str">
            <v/>
          </cell>
          <cell r="AB1679" t="str">
            <v>G5536</v>
          </cell>
          <cell r="AC1679" t="str">
            <v/>
          </cell>
          <cell r="AD1679" t="str">
            <v>H5129</v>
          </cell>
          <cell r="AE1679" t="str">
            <v/>
          </cell>
          <cell r="AF1679" t="str">
            <v>21:12,21:11</v>
          </cell>
          <cell r="AG1679" t="str">
            <v>12:21,11:21</v>
          </cell>
          <cell r="AH1679" t="str">
            <v/>
          </cell>
          <cell r="AI1679">
            <v>21</v>
          </cell>
          <cell r="AJ1679">
            <v>12</v>
          </cell>
          <cell r="AK1679">
            <v>21</v>
          </cell>
          <cell r="AL1679">
            <v>11</v>
          </cell>
          <cell r="AM1679">
            <v>0</v>
          </cell>
          <cell r="AN1679">
            <v>0</v>
          </cell>
        </row>
        <row r="1680">
          <cell r="A1680" t="str">
            <v/>
          </cell>
          <cell r="B1680" t="str">
            <v>Natan HEMER (UKS Korona Pabianice)</v>
          </cell>
          <cell r="H1680" t="str">
            <v>H5129</v>
          </cell>
          <cell r="K1680" t="str">
            <v>G5536</v>
          </cell>
          <cell r="N1680" t="str">
            <v>Filip GRABOWSKI (SKB Suwałki)</v>
          </cell>
        </row>
        <row r="1681">
          <cell r="A1681" t="str">
            <v/>
          </cell>
          <cell r="B1681" t="str">
            <v/>
          </cell>
          <cell r="H1681" t="str">
            <v/>
          </cell>
          <cell r="K1681" t="str">
            <v/>
          </cell>
          <cell r="N1681" t="str">
            <v/>
          </cell>
        </row>
        <row r="1683">
          <cell r="B1683" t="str">
            <v>zwycięzca(cy): 21:12,21:11</v>
          </cell>
          <cell r="K1683" t="str">
            <v/>
          </cell>
        </row>
        <row r="1684">
          <cell r="B1684">
            <v>2</v>
          </cell>
          <cell r="C1684" t="str">
            <v>dzień turnieju.</v>
          </cell>
          <cell r="I1684" t="str">
            <v>Nr meczu</v>
          </cell>
          <cell r="N1684" t="str">
            <v>Godz.</v>
          </cell>
          <cell r="R1684" t="str">
            <v>S. prow.</v>
          </cell>
          <cell r="AF1684" t="str">
            <v>wygrany</v>
          </cell>
          <cell r="AG1684" t="str">
            <v>przegrany</v>
          </cell>
        </row>
        <row r="1685">
          <cell r="B1685" t="str">
            <v>Boisko</v>
          </cell>
          <cell r="C1685" t="str">
            <v>Gra</v>
          </cell>
          <cell r="I1685">
            <v>241</v>
          </cell>
          <cell r="N1685" t="str">
            <v>rozp.</v>
          </cell>
          <cell r="P1685" t="str">
            <v>zak.</v>
          </cell>
          <cell r="R1685" t="str">
            <v>S. serw.</v>
          </cell>
        </row>
        <row r="1686">
          <cell r="A1686">
            <v>241</v>
          </cell>
          <cell r="B1686">
            <v>1</v>
          </cell>
          <cell r="C1686" t="str">
            <v>pojedyncza chłopców MM</v>
          </cell>
          <cell r="H1686">
            <v>8</v>
          </cell>
          <cell r="I1686">
            <v>21</v>
          </cell>
          <cell r="J1686">
            <v>10</v>
          </cell>
          <cell r="K1686">
            <v>21</v>
          </cell>
          <cell r="P1686">
            <v>0.4513888888888889</v>
          </cell>
          <cell r="R1686">
            <v>0.4513888888888889</v>
          </cell>
          <cell r="S1686" t="str">
            <v>sob 10:00</v>
          </cell>
          <cell r="X1686">
            <v>241</v>
          </cell>
          <cell r="Y1686" t="str">
            <v>pojedyncza chłopców MM</v>
          </cell>
          <cell r="Z1686" t="str">
            <v>T5801</v>
          </cell>
          <cell r="AA1686" t="str">
            <v/>
          </cell>
          <cell r="AB1686" t="str">
            <v>G4725</v>
          </cell>
          <cell r="AC1686" t="str">
            <v/>
          </cell>
          <cell r="AD1686" t="str">
            <v>G4725</v>
          </cell>
          <cell r="AE1686" t="str">
            <v/>
          </cell>
          <cell r="AF1686" t="str">
            <v>21:8,21:10</v>
          </cell>
          <cell r="AG1686" t="str">
            <v>8:21,10:21</v>
          </cell>
          <cell r="AH1686" t="str">
            <v/>
          </cell>
          <cell r="AI1686">
            <v>8</v>
          </cell>
          <cell r="AJ1686">
            <v>21</v>
          </cell>
          <cell r="AK1686">
            <v>10</v>
          </cell>
          <cell r="AL1686">
            <v>21</v>
          </cell>
          <cell r="AM1686">
            <v>0</v>
          </cell>
          <cell r="AN1686">
            <v>0</v>
          </cell>
        </row>
        <row r="1687">
          <cell r="A1687" t="str">
            <v/>
          </cell>
          <cell r="B1687" t="str">
            <v>Wiktor TRECKI (UKS Unia Bieruń)</v>
          </cell>
          <cell r="H1687" t="str">
            <v>T5801</v>
          </cell>
          <cell r="K1687" t="str">
            <v>G4725</v>
          </cell>
          <cell r="N1687" t="str">
            <v>Bartosz GAŁĄZKA (LKS Technik Głubczyce)</v>
          </cell>
        </row>
        <row r="1688">
          <cell r="A1688" t="str">
            <v/>
          </cell>
          <cell r="B1688" t="str">
            <v/>
          </cell>
          <cell r="H1688" t="str">
            <v/>
          </cell>
          <cell r="K1688" t="str">
            <v/>
          </cell>
          <cell r="N1688" t="str">
            <v/>
          </cell>
        </row>
        <row r="1690">
          <cell r="B1690" t="str">
            <v/>
          </cell>
          <cell r="K1690" t="str">
            <v>zwycięzca(cy): 21:8,21:10</v>
          </cell>
        </row>
        <row r="1691">
          <cell r="B1691">
            <v>2</v>
          </cell>
          <cell r="C1691" t="str">
            <v>dzień turnieju.</v>
          </cell>
          <cell r="I1691" t="str">
            <v>Nr meczu</v>
          </cell>
          <cell r="N1691" t="str">
            <v>Godz.</v>
          </cell>
          <cell r="R1691" t="str">
            <v>S. prow.</v>
          </cell>
          <cell r="AF1691" t="str">
            <v>wygrany</v>
          </cell>
          <cell r="AG1691" t="str">
            <v>przegrany</v>
          </cell>
        </row>
        <row r="1692">
          <cell r="B1692" t="str">
            <v>Boisko</v>
          </cell>
          <cell r="C1692" t="str">
            <v>Gra</v>
          </cell>
          <cell r="I1692">
            <v>242</v>
          </cell>
          <cell r="N1692" t="str">
            <v>rozp.</v>
          </cell>
          <cell r="P1692" t="str">
            <v>zak.</v>
          </cell>
          <cell r="R1692" t="str">
            <v>S. serw.</v>
          </cell>
        </row>
        <row r="1693">
          <cell r="A1693">
            <v>242</v>
          </cell>
          <cell r="B1693">
            <v>4</v>
          </cell>
          <cell r="C1693" t="str">
            <v>pojedyncza chłopców MM</v>
          </cell>
          <cell r="H1693">
            <v>12</v>
          </cell>
          <cell r="I1693">
            <v>21</v>
          </cell>
          <cell r="J1693">
            <v>21</v>
          </cell>
          <cell r="K1693">
            <v>16</v>
          </cell>
          <cell r="L1693">
            <v>22</v>
          </cell>
          <cell r="M1693">
            <v>20</v>
          </cell>
          <cell r="P1693">
            <v>0.46180555555555558</v>
          </cell>
          <cell r="R1693">
            <v>0.46180555555555558</v>
          </cell>
          <cell r="S1693" t="str">
            <v>sob 10:00</v>
          </cell>
          <cell r="X1693">
            <v>242</v>
          </cell>
          <cell r="Y1693" t="str">
            <v>pojedyncza chłopców MM</v>
          </cell>
          <cell r="Z1693" t="str">
            <v>X08</v>
          </cell>
          <cell r="AA1693" t="str">
            <v/>
          </cell>
          <cell r="AB1693" t="str">
            <v>C4264</v>
          </cell>
          <cell r="AC1693" t="str">
            <v/>
          </cell>
          <cell r="AD1693" t="str">
            <v>X08</v>
          </cell>
          <cell r="AE1693" t="str">
            <v/>
          </cell>
          <cell r="AF1693" t="str">
            <v>12:21,21:16,22:20</v>
          </cell>
          <cell r="AG1693" t="str">
            <v>21:12,16:21,20:22</v>
          </cell>
          <cell r="AH1693" t="str">
            <v/>
          </cell>
          <cell r="AI1693">
            <v>12</v>
          </cell>
          <cell r="AJ1693">
            <v>21</v>
          </cell>
          <cell r="AK1693">
            <v>21</v>
          </cell>
          <cell r="AL1693">
            <v>16</v>
          </cell>
          <cell r="AM1693">
            <v>22</v>
          </cell>
          <cell r="AN1693">
            <v>20</v>
          </cell>
        </row>
        <row r="1694">
          <cell r="A1694" t="str">
            <v/>
          </cell>
          <cell r="B1694" t="str">
            <v>Ilia LARUSIN (Brześć Białoruś)</v>
          </cell>
          <cell r="H1694" t="str">
            <v>X08</v>
          </cell>
          <cell r="K1694" t="str">
            <v>C4264</v>
          </cell>
          <cell r="N1694" t="str">
            <v>Szymon CYBULSKI (MKB Lednik Miastko)</v>
          </cell>
        </row>
        <row r="1695">
          <cell r="A1695" t="str">
            <v/>
          </cell>
          <cell r="B1695" t="str">
            <v/>
          </cell>
          <cell r="H1695" t="str">
            <v/>
          </cell>
          <cell r="K1695" t="str">
            <v/>
          </cell>
          <cell r="N1695" t="str">
            <v/>
          </cell>
        </row>
        <row r="1697">
          <cell r="B1697" t="str">
            <v>zwycięzca(cy): 12:21,21:16,22:20</v>
          </cell>
          <cell r="K1697" t="str">
            <v/>
          </cell>
        </row>
        <row r="1698">
          <cell r="B1698">
            <v>2</v>
          </cell>
          <cell r="C1698" t="str">
            <v>dzień turnieju.</v>
          </cell>
          <cell r="I1698" t="str">
            <v>Nr meczu</v>
          </cell>
          <cell r="N1698" t="str">
            <v>Godz.</v>
          </cell>
          <cell r="R1698" t="str">
            <v>S. prow.</v>
          </cell>
          <cell r="AF1698" t="str">
            <v>wygrany</v>
          </cell>
          <cell r="AG1698" t="str">
            <v>przegrany</v>
          </cell>
        </row>
        <row r="1699">
          <cell r="B1699" t="str">
            <v>Boisko</v>
          </cell>
          <cell r="C1699" t="str">
            <v>Gra</v>
          </cell>
          <cell r="I1699">
            <v>243</v>
          </cell>
          <cell r="N1699" t="str">
            <v>rozp.</v>
          </cell>
          <cell r="P1699" t="str">
            <v>zak.</v>
          </cell>
          <cell r="R1699" t="str">
            <v>S. serw.</v>
          </cell>
        </row>
        <row r="1700">
          <cell r="A1700">
            <v>243</v>
          </cell>
          <cell r="B1700">
            <v>6</v>
          </cell>
          <cell r="C1700" t="str">
            <v>pojedyncza chłopców MM</v>
          </cell>
          <cell r="H1700">
            <v>21</v>
          </cell>
          <cell r="I1700">
            <v>15</v>
          </cell>
          <cell r="J1700">
            <v>21</v>
          </cell>
          <cell r="K1700">
            <v>15</v>
          </cell>
          <cell r="P1700">
            <v>0.46180555555555558</v>
          </cell>
          <cell r="R1700">
            <v>0.46180555555555558</v>
          </cell>
          <cell r="S1700" t="str">
            <v>sob 10:20</v>
          </cell>
          <cell r="X1700">
            <v>243</v>
          </cell>
          <cell r="Y1700" t="str">
            <v>pojedyncza chłopców MM</v>
          </cell>
          <cell r="Z1700" t="str">
            <v>P5350</v>
          </cell>
          <cell r="AA1700" t="str">
            <v/>
          </cell>
          <cell r="AB1700" t="str">
            <v>K4702</v>
          </cell>
          <cell r="AC1700" t="str">
            <v/>
          </cell>
          <cell r="AD1700" t="str">
            <v>P5350</v>
          </cell>
          <cell r="AE1700" t="str">
            <v/>
          </cell>
          <cell r="AF1700" t="str">
            <v>21:15,21:15</v>
          </cell>
          <cell r="AG1700" t="str">
            <v>15:21,15:21</v>
          </cell>
          <cell r="AH1700" t="str">
            <v/>
          </cell>
          <cell r="AI1700">
            <v>21</v>
          </cell>
          <cell r="AJ1700">
            <v>15</v>
          </cell>
          <cell r="AK1700">
            <v>21</v>
          </cell>
          <cell r="AL1700">
            <v>15</v>
          </cell>
          <cell r="AM1700">
            <v>0</v>
          </cell>
          <cell r="AN1700">
            <v>0</v>
          </cell>
        </row>
        <row r="1701">
          <cell r="A1701" t="str">
            <v/>
          </cell>
          <cell r="B1701" t="str">
            <v>Miłosz PIOTROWSKI (UKS Kiko Zamość)</v>
          </cell>
          <cell r="H1701" t="str">
            <v>P5350</v>
          </cell>
          <cell r="K1701" t="str">
            <v>K4702</v>
          </cell>
          <cell r="N1701" t="str">
            <v>Kacper KOPACZ (UTS Akro-Bad Warszawa)</v>
          </cell>
        </row>
        <row r="1702">
          <cell r="A1702" t="str">
            <v/>
          </cell>
          <cell r="B1702" t="str">
            <v/>
          </cell>
          <cell r="H1702" t="str">
            <v/>
          </cell>
          <cell r="K1702" t="str">
            <v/>
          </cell>
          <cell r="N1702" t="str">
            <v/>
          </cell>
        </row>
        <row r="1704">
          <cell r="B1704" t="str">
            <v>zwycięzca(cy): 21:15,21:15</v>
          </cell>
          <cell r="K1704" t="str">
            <v/>
          </cell>
        </row>
        <row r="1705">
          <cell r="B1705">
            <v>2</v>
          </cell>
          <cell r="C1705" t="str">
            <v>dzień turnieju.</v>
          </cell>
          <cell r="I1705" t="str">
            <v>Nr meczu</v>
          </cell>
          <cell r="N1705" t="str">
            <v>Godz.</v>
          </cell>
          <cell r="R1705" t="str">
            <v>S. prow.</v>
          </cell>
          <cell r="AF1705" t="str">
            <v>wygrany</v>
          </cell>
          <cell r="AG1705" t="str">
            <v>przegrany</v>
          </cell>
        </row>
        <row r="1706">
          <cell r="B1706" t="str">
            <v>Boisko</v>
          </cell>
          <cell r="C1706" t="str">
            <v>Gra</v>
          </cell>
          <cell r="I1706">
            <v>244</v>
          </cell>
          <cell r="N1706" t="str">
            <v>rozp.</v>
          </cell>
          <cell r="P1706" t="str">
            <v>zak.</v>
          </cell>
          <cell r="R1706" t="str">
            <v>S. serw.</v>
          </cell>
        </row>
        <row r="1707">
          <cell r="A1707">
            <v>244</v>
          </cell>
          <cell r="B1707">
            <v>2</v>
          </cell>
          <cell r="C1707" t="str">
            <v>pojedyncza chłopców MM</v>
          </cell>
          <cell r="H1707">
            <v>19</v>
          </cell>
          <cell r="I1707">
            <v>21</v>
          </cell>
          <cell r="J1707">
            <v>21</v>
          </cell>
          <cell r="K1707">
            <v>17</v>
          </cell>
          <cell r="L1707">
            <v>25</v>
          </cell>
          <cell r="M1707">
            <v>23</v>
          </cell>
          <cell r="P1707">
            <v>0.47222222222222227</v>
          </cell>
          <cell r="R1707">
            <v>0.47222222222222227</v>
          </cell>
          <cell r="S1707" t="str">
            <v>sob 10:20</v>
          </cell>
          <cell r="X1707">
            <v>244</v>
          </cell>
          <cell r="Y1707" t="str">
            <v>pojedyncza chłopców MM</v>
          </cell>
          <cell r="Z1707" t="str">
            <v>Z4312</v>
          </cell>
          <cell r="AA1707" t="str">
            <v/>
          </cell>
          <cell r="AB1707" t="str">
            <v>K5180</v>
          </cell>
          <cell r="AC1707" t="str">
            <v/>
          </cell>
          <cell r="AD1707" t="str">
            <v>Z4312</v>
          </cell>
          <cell r="AE1707" t="str">
            <v/>
          </cell>
          <cell r="AF1707" t="str">
            <v>19:21,21:17,25:23</v>
          </cell>
          <cell r="AG1707" t="str">
            <v>21:19,17:21,23:25</v>
          </cell>
          <cell r="AH1707" t="str">
            <v/>
          </cell>
          <cell r="AI1707">
            <v>19</v>
          </cell>
          <cell r="AJ1707">
            <v>21</v>
          </cell>
          <cell r="AK1707">
            <v>21</v>
          </cell>
          <cell r="AL1707">
            <v>17</v>
          </cell>
          <cell r="AM1707">
            <v>25</v>
          </cell>
          <cell r="AN1707">
            <v>23</v>
          </cell>
        </row>
        <row r="1708">
          <cell r="A1708" t="str">
            <v/>
          </cell>
          <cell r="B1708" t="str">
            <v>Łukasz ZWIERZCHOWSKI (UKSB Milenium Warszawa)</v>
          </cell>
          <cell r="H1708" t="str">
            <v>Z4312</v>
          </cell>
          <cell r="K1708" t="str">
            <v>K5180</v>
          </cell>
          <cell r="N1708" t="str">
            <v>Patryk KORDEK (UKS Aktywna Piątka Przemyśl)</v>
          </cell>
        </row>
        <row r="1709">
          <cell r="A1709" t="str">
            <v/>
          </cell>
          <cell r="B1709" t="str">
            <v/>
          </cell>
          <cell r="H1709" t="str">
            <v/>
          </cell>
          <cell r="K1709" t="str">
            <v/>
          </cell>
          <cell r="N1709" t="str">
            <v/>
          </cell>
        </row>
        <row r="1711">
          <cell r="B1711" t="str">
            <v>zwycięzca(cy): 19:21,21:17,25:23</v>
          </cell>
          <cell r="K1711" t="str">
            <v/>
          </cell>
        </row>
        <row r="1712">
          <cell r="B1712">
            <v>2</v>
          </cell>
          <cell r="C1712" t="str">
            <v>dzień turnieju.</v>
          </cell>
          <cell r="I1712" t="str">
            <v>Nr meczu</v>
          </cell>
          <cell r="N1712" t="str">
            <v>Godz.</v>
          </cell>
          <cell r="R1712" t="str">
            <v>S. prow.</v>
          </cell>
          <cell r="AF1712" t="str">
            <v>wygrany</v>
          </cell>
          <cell r="AG1712" t="str">
            <v>przegrany</v>
          </cell>
        </row>
        <row r="1713">
          <cell r="B1713" t="str">
            <v>Boisko</v>
          </cell>
          <cell r="C1713" t="str">
            <v>Gra</v>
          </cell>
          <cell r="I1713">
            <v>245</v>
          </cell>
          <cell r="N1713" t="str">
            <v>rozp.</v>
          </cell>
          <cell r="P1713" t="str">
            <v>zak.</v>
          </cell>
          <cell r="R1713" t="str">
            <v>S. serw.</v>
          </cell>
        </row>
        <row r="1714">
          <cell r="A1714">
            <v>245</v>
          </cell>
          <cell r="B1714">
            <v>5</v>
          </cell>
          <cell r="C1714" t="str">
            <v>pojedyncza chłopców MM</v>
          </cell>
          <cell r="H1714">
            <v>21</v>
          </cell>
          <cell r="I1714">
            <v>6</v>
          </cell>
          <cell r="J1714">
            <v>21</v>
          </cell>
          <cell r="K1714">
            <v>14</v>
          </cell>
          <cell r="P1714">
            <v>0.45833333333333331</v>
          </cell>
          <cell r="R1714">
            <v>0.45833333333333331</v>
          </cell>
          <cell r="S1714" t="str">
            <v>sob 10:20</v>
          </cell>
          <cell r="X1714">
            <v>245</v>
          </cell>
          <cell r="Y1714" t="str">
            <v>pojedyncza chłopców MM</v>
          </cell>
          <cell r="Z1714" t="str">
            <v>P5601</v>
          </cell>
          <cell r="AA1714" t="str">
            <v/>
          </cell>
          <cell r="AB1714" t="str">
            <v>M5475</v>
          </cell>
          <cell r="AC1714" t="str">
            <v/>
          </cell>
          <cell r="AD1714" t="str">
            <v>P5601</v>
          </cell>
          <cell r="AE1714" t="str">
            <v/>
          </cell>
          <cell r="AF1714" t="str">
            <v>21:6,21:14</v>
          </cell>
          <cell r="AG1714" t="str">
            <v>6:21,14:21</v>
          </cell>
          <cell r="AH1714" t="str">
            <v/>
          </cell>
          <cell r="AI1714">
            <v>21</v>
          </cell>
          <cell r="AJ1714">
            <v>6</v>
          </cell>
          <cell r="AK1714">
            <v>21</v>
          </cell>
          <cell r="AL1714">
            <v>14</v>
          </cell>
          <cell r="AM1714">
            <v>0</v>
          </cell>
          <cell r="AN1714">
            <v>0</v>
          </cell>
        </row>
        <row r="1715">
          <cell r="A1715" t="str">
            <v/>
          </cell>
          <cell r="B1715" t="str">
            <v>Hubert PUCIŁOWSKI (UKS Hubal Białystok)</v>
          </cell>
          <cell r="H1715" t="str">
            <v>P5601</v>
          </cell>
          <cell r="K1715" t="str">
            <v>M5475</v>
          </cell>
          <cell r="N1715" t="str">
            <v>Jakub MYSŁOWSKI (UKS Iskra Sarbice)</v>
          </cell>
        </row>
        <row r="1716">
          <cell r="A1716" t="str">
            <v/>
          </cell>
          <cell r="B1716" t="str">
            <v/>
          </cell>
          <cell r="H1716" t="str">
            <v/>
          </cell>
          <cell r="K1716" t="str">
            <v/>
          </cell>
          <cell r="N1716" t="str">
            <v/>
          </cell>
        </row>
        <row r="1718">
          <cell r="B1718" t="str">
            <v>zwycięzca(cy): 21:6,21:14</v>
          </cell>
          <cell r="K1718" t="str">
            <v/>
          </cell>
        </row>
        <row r="1719">
          <cell r="B1719">
            <v>2</v>
          </cell>
          <cell r="C1719" t="str">
            <v>dzień turnieju.</v>
          </cell>
          <cell r="I1719" t="str">
            <v>Nr meczu</v>
          </cell>
          <cell r="N1719" t="str">
            <v>Godz.</v>
          </cell>
          <cell r="R1719" t="str">
            <v>S. prow.</v>
          </cell>
          <cell r="AF1719" t="str">
            <v>wygrany</v>
          </cell>
          <cell r="AG1719" t="str">
            <v>przegrany</v>
          </cell>
        </row>
        <row r="1720">
          <cell r="B1720" t="str">
            <v>Boisko</v>
          </cell>
          <cell r="C1720" t="str">
            <v>Gra</v>
          </cell>
          <cell r="I1720">
            <v>246</v>
          </cell>
          <cell r="N1720" t="str">
            <v>rozp.</v>
          </cell>
          <cell r="P1720" t="str">
            <v>zak.</v>
          </cell>
          <cell r="R1720" t="str">
            <v>S. serw.</v>
          </cell>
        </row>
        <row r="1721">
          <cell r="A1721">
            <v>246</v>
          </cell>
          <cell r="B1721">
            <v>1</v>
          </cell>
          <cell r="C1721" t="str">
            <v>pojedyncza chłopców MM</v>
          </cell>
          <cell r="H1721">
            <v>21</v>
          </cell>
          <cell r="I1721">
            <v>14</v>
          </cell>
          <cell r="J1721">
            <v>21</v>
          </cell>
          <cell r="K1721">
            <v>8</v>
          </cell>
          <cell r="P1721">
            <v>0.46180555555555558</v>
          </cell>
          <cell r="R1721">
            <v>0.46180555555555558</v>
          </cell>
          <cell r="S1721" t="str">
            <v>sob 10:20</v>
          </cell>
          <cell r="X1721">
            <v>246</v>
          </cell>
          <cell r="Y1721" t="str">
            <v>pojedyncza chłopców MM</v>
          </cell>
          <cell r="Z1721" t="str">
            <v>Ś5585</v>
          </cell>
          <cell r="AA1721" t="str">
            <v/>
          </cell>
          <cell r="AB1721" t="str">
            <v>Ś5353</v>
          </cell>
          <cell r="AC1721" t="str">
            <v/>
          </cell>
          <cell r="AD1721" t="str">
            <v>Ś5585</v>
          </cell>
          <cell r="AE1721" t="str">
            <v/>
          </cell>
          <cell r="AF1721" t="str">
            <v>21:14,21:8</v>
          </cell>
          <cell r="AG1721" t="str">
            <v>14:21,8:21</v>
          </cell>
          <cell r="AH1721" t="str">
            <v/>
          </cell>
          <cell r="AI1721">
            <v>21</v>
          </cell>
          <cell r="AJ1721">
            <v>14</v>
          </cell>
          <cell r="AK1721">
            <v>21</v>
          </cell>
          <cell r="AL1721">
            <v>8</v>
          </cell>
          <cell r="AM1721">
            <v>0</v>
          </cell>
          <cell r="AN1721">
            <v>0</v>
          </cell>
        </row>
        <row r="1722">
          <cell r="A1722" t="str">
            <v/>
          </cell>
          <cell r="B1722" t="str">
            <v>Szymon ŚLEPECKI (LKS Technik Głubczyce)</v>
          </cell>
          <cell r="H1722" t="str">
            <v>Ś5585</v>
          </cell>
          <cell r="K1722" t="str">
            <v>Ś5353</v>
          </cell>
          <cell r="N1722" t="str">
            <v>Maciej ŚWISZCZ (UKS Kiko Zamość)</v>
          </cell>
        </row>
        <row r="1723">
          <cell r="A1723" t="str">
            <v/>
          </cell>
          <cell r="B1723" t="str">
            <v/>
          </cell>
          <cell r="H1723" t="str">
            <v/>
          </cell>
          <cell r="K1723" t="str">
            <v/>
          </cell>
          <cell r="N1723" t="str">
            <v/>
          </cell>
        </row>
        <row r="1725">
          <cell r="B1725" t="str">
            <v>zwycięzca(cy): 21:14,21:8</v>
          </cell>
          <cell r="K1725" t="str">
            <v/>
          </cell>
        </row>
        <row r="1726">
          <cell r="B1726">
            <v>2</v>
          </cell>
          <cell r="C1726" t="str">
            <v>dzień turnieju.</v>
          </cell>
          <cell r="I1726" t="str">
            <v>Nr meczu</v>
          </cell>
          <cell r="N1726" t="str">
            <v>Godz.</v>
          </cell>
          <cell r="R1726" t="str">
            <v>S. prow.</v>
          </cell>
          <cell r="AF1726" t="str">
            <v>wygrany</v>
          </cell>
          <cell r="AG1726" t="str">
            <v>przegrany</v>
          </cell>
        </row>
        <row r="1727">
          <cell r="B1727" t="str">
            <v>Boisko</v>
          </cell>
          <cell r="C1727" t="str">
            <v>Gra</v>
          </cell>
          <cell r="I1727">
            <v>247</v>
          </cell>
          <cell r="N1727" t="str">
            <v>rozp.</v>
          </cell>
          <cell r="P1727" t="str">
            <v>zak.</v>
          </cell>
          <cell r="R1727" t="str">
            <v>S. serw.</v>
          </cell>
        </row>
        <row r="1728">
          <cell r="A1728">
            <v>247</v>
          </cell>
          <cell r="B1728">
            <v>3</v>
          </cell>
          <cell r="C1728" t="str">
            <v>pojedyncza chłopców MM</v>
          </cell>
          <cell r="H1728">
            <v>22</v>
          </cell>
          <cell r="I1728">
            <v>20</v>
          </cell>
          <cell r="J1728">
            <v>21</v>
          </cell>
          <cell r="K1728">
            <v>17</v>
          </cell>
          <cell r="P1728">
            <v>0.47222222222222227</v>
          </cell>
          <cell r="R1728">
            <v>0.47222222222222227</v>
          </cell>
          <cell r="S1728" t="str">
            <v>sob 10:40</v>
          </cell>
          <cell r="X1728">
            <v>247</v>
          </cell>
          <cell r="Y1728" t="str">
            <v>pojedyncza chłopców MM</v>
          </cell>
          <cell r="Z1728" t="str">
            <v>F4888</v>
          </cell>
          <cell r="AA1728" t="str">
            <v/>
          </cell>
          <cell r="AB1728" t="str">
            <v>B4655</v>
          </cell>
          <cell r="AC1728" t="str">
            <v/>
          </cell>
          <cell r="AD1728" t="str">
            <v>F4888</v>
          </cell>
          <cell r="AE1728" t="str">
            <v/>
          </cell>
          <cell r="AF1728" t="str">
            <v>22:20,21:17</v>
          </cell>
          <cell r="AG1728" t="str">
            <v>20:22,17:21</v>
          </cell>
          <cell r="AH1728" t="str">
            <v/>
          </cell>
          <cell r="AI1728">
            <v>22</v>
          </cell>
          <cell r="AJ1728">
            <v>20</v>
          </cell>
          <cell r="AK1728">
            <v>21</v>
          </cell>
          <cell r="AL1728">
            <v>17</v>
          </cell>
          <cell r="AM1728">
            <v>0</v>
          </cell>
          <cell r="AN1728">
            <v>0</v>
          </cell>
        </row>
        <row r="1729">
          <cell r="A1729" t="str">
            <v/>
          </cell>
          <cell r="B1729" t="str">
            <v>Jarosław FIJAŁKOWSKI (UKSB Milenium Warszawa)</v>
          </cell>
          <cell r="H1729" t="str">
            <v>F4888</v>
          </cell>
          <cell r="K1729" t="str">
            <v>B4655</v>
          </cell>
          <cell r="N1729" t="str">
            <v>Sebastian BILBIN (SKB Suwałki)</v>
          </cell>
        </row>
        <row r="1730">
          <cell r="A1730" t="str">
            <v/>
          </cell>
          <cell r="B1730" t="str">
            <v/>
          </cell>
          <cell r="H1730" t="str">
            <v/>
          </cell>
          <cell r="K1730" t="str">
            <v/>
          </cell>
          <cell r="N1730" t="str">
            <v/>
          </cell>
        </row>
        <row r="1732">
          <cell r="B1732" t="str">
            <v>zwycięzca(cy): 22:20,21:17</v>
          </cell>
          <cell r="K1732" t="str">
            <v/>
          </cell>
        </row>
        <row r="1733">
          <cell r="B1733">
            <v>2</v>
          </cell>
          <cell r="C1733" t="str">
            <v>dzień turnieju.</v>
          </cell>
          <cell r="I1733" t="str">
            <v>Nr meczu</v>
          </cell>
          <cell r="N1733" t="str">
            <v>Godz.</v>
          </cell>
          <cell r="R1733" t="str">
            <v>S. prow.</v>
          </cell>
          <cell r="AF1733" t="str">
            <v>wygrany</v>
          </cell>
          <cell r="AG1733" t="str">
            <v>przegrany</v>
          </cell>
        </row>
        <row r="1734">
          <cell r="B1734" t="str">
            <v>Boisko</v>
          </cell>
          <cell r="C1734" t="str">
            <v>Gra</v>
          </cell>
          <cell r="I1734">
            <v>248</v>
          </cell>
          <cell r="N1734" t="str">
            <v>rozp.</v>
          </cell>
          <cell r="P1734" t="str">
            <v>zak.</v>
          </cell>
          <cell r="R1734" t="str">
            <v>S. serw.</v>
          </cell>
        </row>
        <row r="1735">
          <cell r="A1735">
            <v>248</v>
          </cell>
          <cell r="B1735">
            <v>5</v>
          </cell>
          <cell r="C1735" t="str">
            <v>pojedyncza chłopców MM</v>
          </cell>
          <cell r="H1735">
            <v>6</v>
          </cell>
          <cell r="I1735">
            <v>21</v>
          </cell>
          <cell r="J1735">
            <v>5</v>
          </cell>
          <cell r="K1735">
            <v>21</v>
          </cell>
          <cell r="P1735">
            <v>0.47222222222222227</v>
          </cell>
          <cell r="R1735">
            <v>0.47222222222222227</v>
          </cell>
          <cell r="S1735" t="str">
            <v>sob 10:40</v>
          </cell>
          <cell r="X1735">
            <v>248</v>
          </cell>
          <cell r="Y1735" t="str">
            <v>pojedyncza chłopców MM</v>
          </cell>
          <cell r="Z1735" t="str">
            <v>O5453</v>
          </cell>
          <cell r="AA1735" t="str">
            <v/>
          </cell>
          <cell r="AB1735" t="str">
            <v>M4612</v>
          </cell>
          <cell r="AC1735" t="str">
            <v/>
          </cell>
          <cell r="AD1735" t="str">
            <v>M4612</v>
          </cell>
          <cell r="AE1735" t="str">
            <v/>
          </cell>
          <cell r="AF1735" t="str">
            <v>21:6,21:5</v>
          </cell>
          <cell r="AG1735" t="str">
            <v>6:21,5:21</v>
          </cell>
          <cell r="AH1735" t="str">
            <v/>
          </cell>
          <cell r="AI1735">
            <v>6</v>
          </cell>
          <cell r="AJ1735">
            <v>21</v>
          </cell>
          <cell r="AK1735">
            <v>5</v>
          </cell>
          <cell r="AL1735">
            <v>21</v>
          </cell>
          <cell r="AM1735">
            <v>0</v>
          </cell>
          <cell r="AN1735">
            <v>0</v>
          </cell>
        </row>
        <row r="1736">
          <cell r="A1736" t="str">
            <v/>
          </cell>
          <cell r="B1736" t="str">
            <v>Kacper OKROJEK (UKS Korona Pabianice)</v>
          </cell>
          <cell r="H1736" t="str">
            <v>O5453</v>
          </cell>
          <cell r="K1736" t="str">
            <v>M4612</v>
          </cell>
          <cell r="N1736" t="str">
            <v>Patryk MICHAŁEK (UKS Orbitek Straszęcin)</v>
          </cell>
        </row>
        <row r="1737">
          <cell r="A1737" t="str">
            <v/>
          </cell>
          <cell r="B1737" t="str">
            <v/>
          </cell>
          <cell r="H1737" t="str">
            <v/>
          </cell>
          <cell r="K1737" t="str">
            <v/>
          </cell>
          <cell r="N1737" t="str">
            <v/>
          </cell>
        </row>
        <row r="1739">
          <cell r="B1739" t="str">
            <v/>
          </cell>
          <cell r="K1739" t="str">
            <v>zwycięzca(cy): 21:6,21:5</v>
          </cell>
        </row>
        <row r="1740">
          <cell r="B1740">
            <v>2</v>
          </cell>
          <cell r="C1740" t="str">
            <v>dzień turnieju.</v>
          </cell>
          <cell r="I1740" t="str">
            <v>Nr meczu</v>
          </cell>
          <cell r="N1740" t="str">
            <v>Godz.</v>
          </cell>
          <cell r="R1740" t="str">
            <v>S. prow.</v>
          </cell>
          <cell r="AF1740" t="str">
            <v>wygrany</v>
          </cell>
          <cell r="AG1740" t="str">
            <v>przegrany</v>
          </cell>
        </row>
        <row r="1741">
          <cell r="B1741" t="str">
            <v>Boisko</v>
          </cell>
          <cell r="C1741" t="str">
            <v>Gra</v>
          </cell>
          <cell r="I1741">
            <v>249</v>
          </cell>
          <cell r="N1741" t="str">
            <v>rozp.</v>
          </cell>
          <cell r="P1741" t="str">
            <v>zak.</v>
          </cell>
          <cell r="R1741" t="str">
            <v>S. serw.</v>
          </cell>
        </row>
        <row r="1742">
          <cell r="A1742">
            <v>249</v>
          </cell>
          <cell r="B1742">
            <v>1</v>
          </cell>
          <cell r="C1742" t="str">
            <v>pojedyncza dziewcząt Ż</v>
          </cell>
          <cell r="H1742">
            <v>21</v>
          </cell>
          <cell r="I1742">
            <v>0</v>
          </cell>
          <cell r="J1742">
            <v>21</v>
          </cell>
          <cell r="K1742">
            <v>0</v>
          </cell>
          <cell r="P1742">
            <v>0.41666666666666669</v>
          </cell>
          <cell r="R1742">
            <v>0.41666666666666669</v>
          </cell>
          <cell r="S1742" t="str">
            <v>sob 10:40</v>
          </cell>
          <cell r="X1742">
            <v>249</v>
          </cell>
          <cell r="Y1742" t="str">
            <v>pojedyncza dziewcząt Ż</v>
          </cell>
          <cell r="Z1742" t="str">
            <v>N5113</v>
          </cell>
          <cell r="AA1742" t="str">
            <v/>
          </cell>
          <cell r="AB1742" t="str">
            <v>C5991</v>
          </cell>
          <cell r="AC1742" t="str">
            <v/>
          </cell>
          <cell r="AD1742" t="str">
            <v>N5113</v>
          </cell>
          <cell r="AE1742" t="str">
            <v/>
          </cell>
          <cell r="AF1742" t="str">
            <v>21:0,21:0</v>
          </cell>
          <cell r="AG1742" t="str">
            <v>0:21,0:21</v>
          </cell>
          <cell r="AH1742" t="str">
            <v/>
          </cell>
          <cell r="AI1742">
            <v>21</v>
          </cell>
          <cell r="AJ1742">
            <v>0</v>
          </cell>
          <cell r="AK1742">
            <v>21</v>
          </cell>
          <cell r="AL1742">
            <v>0</v>
          </cell>
          <cell r="AM1742">
            <v>0</v>
          </cell>
          <cell r="AN1742">
            <v>0</v>
          </cell>
        </row>
        <row r="1743">
          <cell r="A1743" t="str">
            <v/>
          </cell>
          <cell r="B1743" t="str">
            <v>Weronika NIKLAS (ULKS U-2 Lotka Bytów)</v>
          </cell>
          <cell r="H1743" t="str">
            <v>N5113</v>
          </cell>
          <cell r="K1743" t="str">
            <v>C5991</v>
          </cell>
          <cell r="N1743" t="str">
            <v>Gabriela CZARNECKA (KSR Wolant Łódź)</v>
          </cell>
        </row>
        <row r="1744">
          <cell r="A1744" t="str">
            <v/>
          </cell>
          <cell r="B1744" t="str">
            <v/>
          </cell>
          <cell r="H1744" t="str">
            <v/>
          </cell>
          <cell r="K1744" t="str">
            <v/>
          </cell>
          <cell r="N1744" t="str">
            <v/>
          </cell>
        </row>
        <row r="1746">
          <cell r="B1746" t="str">
            <v>zwycięzca(cy): 21:0,21:0</v>
          </cell>
          <cell r="K1746" t="str">
            <v/>
          </cell>
        </row>
        <row r="1747">
          <cell r="B1747">
            <v>2</v>
          </cell>
          <cell r="C1747" t="str">
            <v>dzień turnieju.</v>
          </cell>
          <cell r="I1747" t="str">
            <v>Nr meczu</v>
          </cell>
          <cell r="N1747" t="str">
            <v>Godz.</v>
          </cell>
          <cell r="R1747" t="str">
            <v>S. prow.</v>
          </cell>
          <cell r="AF1747" t="str">
            <v>wygrany</v>
          </cell>
          <cell r="AG1747" t="str">
            <v>przegrany</v>
          </cell>
        </row>
        <row r="1748">
          <cell r="B1748" t="str">
            <v>Boisko</v>
          </cell>
          <cell r="C1748" t="str">
            <v>Gra</v>
          </cell>
          <cell r="I1748">
            <v>250</v>
          </cell>
          <cell r="N1748" t="str">
            <v>rozp.</v>
          </cell>
          <cell r="P1748" t="str">
            <v>zak.</v>
          </cell>
          <cell r="R1748" t="str">
            <v>S. serw.</v>
          </cell>
        </row>
        <row r="1749">
          <cell r="A1749">
            <v>250</v>
          </cell>
          <cell r="B1749">
            <v>6</v>
          </cell>
          <cell r="C1749" t="str">
            <v>pojedyncza dziewcząt Ż</v>
          </cell>
          <cell r="H1749">
            <v>22</v>
          </cell>
          <cell r="I1749">
            <v>20</v>
          </cell>
          <cell r="J1749">
            <v>21</v>
          </cell>
          <cell r="K1749">
            <v>11</v>
          </cell>
          <cell r="P1749">
            <v>0.47569444444444442</v>
          </cell>
          <cell r="R1749">
            <v>0.47569444444444442</v>
          </cell>
          <cell r="S1749" t="str">
            <v>sob 10:40</v>
          </cell>
          <cell r="X1749">
            <v>250</v>
          </cell>
          <cell r="Y1749" t="str">
            <v>pojedyncza dziewcząt Ż</v>
          </cell>
          <cell r="Z1749" t="str">
            <v>X64</v>
          </cell>
          <cell r="AA1749" t="str">
            <v/>
          </cell>
          <cell r="AB1749" t="str">
            <v>W5473</v>
          </cell>
          <cell r="AC1749" t="str">
            <v/>
          </cell>
          <cell r="AD1749" t="str">
            <v>X64</v>
          </cell>
          <cell r="AE1749" t="str">
            <v/>
          </cell>
          <cell r="AF1749" t="str">
            <v>22:20,21:11</v>
          </cell>
          <cell r="AG1749" t="str">
            <v>20:22,11:21</v>
          </cell>
          <cell r="AH1749" t="str">
            <v/>
          </cell>
          <cell r="AI1749">
            <v>22</v>
          </cell>
          <cell r="AJ1749">
            <v>20</v>
          </cell>
          <cell r="AK1749">
            <v>21</v>
          </cell>
          <cell r="AL1749">
            <v>11</v>
          </cell>
          <cell r="AM1749">
            <v>0</v>
          </cell>
          <cell r="AN1749">
            <v>0</v>
          </cell>
        </row>
        <row r="1750">
          <cell r="A1750" t="str">
            <v/>
          </cell>
          <cell r="B1750" t="str">
            <v>Ulyana VOLSKAYA (Brześć 2 Białoruś)</v>
          </cell>
          <cell r="H1750" t="str">
            <v>X64</v>
          </cell>
          <cell r="K1750" t="str">
            <v>W5473</v>
          </cell>
          <cell r="N1750" t="str">
            <v>Paulina WUDARSKA (UKS Iskra Sarbice)</v>
          </cell>
        </row>
        <row r="1751">
          <cell r="A1751" t="str">
            <v/>
          </cell>
          <cell r="B1751" t="str">
            <v/>
          </cell>
          <cell r="H1751" t="str">
            <v/>
          </cell>
          <cell r="K1751" t="str">
            <v/>
          </cell>
          <cell r="N1751" t="str">
            <v/>
          </cell>
        </row>
        <row r="1753">
          <cell r="B1753" t="str">
            <v>zwycięzca(cy): 22:20,21:11</v>
          </cell>
          <cell r="K1753" t="str">
            <v/>
          </cell>
        </row>
        <row r="1754">
          <cell r="B1754">
            <v>2</v>
          </cell>
          <cell r="C1754" t="str">
            <v>dzień turnieju.</v>
          </cell>
          <cell r="I1754" t="str">
            <v>Nr meczu</v>
          </cell>
          <cell r="N1754" t="str">
            <v>Godz.</v>
          </cell>
          <cell r="R1754" t="str">
            <v>S. prow.</v>
          </cell>
          <cell r="AF1754" t="str">
            <v>wygrany</v>
          </cell>
          <cell r="AG1754" t="str">
            <v>przegrany</v>
          </cell>
        </row>
        <row r="1755">
          <cell r="B1755" t="str">
            <v>Boisko</v>
          </cell>
          <cell r="C1755" t="str">
            <v>Gra</v>
          </cell>
          <cell r="I1755">
            <v>251</v>
          </cell>
          <cell r="N1755" t="str">
            <v>rozp.</v>
          </cell>
          <cell r="P1755" t="str">
            <v>zak.</v>
          </cell>
          <cell r="R1755" t="str">
            <v>S. serw.</v>
          </cell>
        </row>
        <row r="1756">
          <cell r="A1756">
            <v>251</v>
          </cell>
          <cell r="B1756">
            <v>1</v>
          </cell>
          <cell r="C1756" t="str">
            <v>pojedyncza dziewcząt Ż</v>
          </cell>
          <cell r="H1756">
            <v>16</v>
          </cell>
          <cell r="I1756">
            <v>21</v>
          </cell>
          <cell r="J1756">
            <v>18</v>
          </cell>
          <cell r="K1756">
            <v>21</v>
          </cell>
          <cell r="P1756">
            <v>0.48055555555555557</v>
          </cell>
          <cell r="R1756">
            <v>0.48055555555555557</v>
          </cell>
          <cell r="S1756" t="str">
            <v>sob 10:40</v>
          </cell>
          <cell r="X1756">
            <v>251</v>
          </cell>
          <cell r="Y1756" t="str">
            <v>pojedyncza dziewcząt Ż</v>
          </cell>
          <cell r="Z1756" t="str">
            <v>X37</v>
          </cell>
          <cell r="AA1756" t="str">
            <v/>
          </cell>
          <cell r="AB1756" t="str">
            <v>Ł5765</v>
          </cell>
          <cell r="AC1756" t="str">
            <v/>
          </cell>
          <cell r="AD1756" t="str">
            <v>Ł5765</v>
          </cell>
          <cell r="AE1756" t="str">
            <v/>
          </cell>
          <cell r="AF1756" t="str">
            <v>21:16,21:18</v>
          </cell>
          <cell r="AG1756" t="str">
            <v>16:21,18:21</v>
          </cell>
          <cell r="AH1756" t="str">
            <v/>
          </cell>
          <cell r="AI1756">
            <v>16</v>
          </cell>
          <cell r="AJ1756">
            <v>21</v>
          </cell>
          <cell r="AK1756">
            <v>18</v>
          </cell>
          <cell r="AL1756">
            <v>21</v>
          </cell>
          <cell r="AM1756">
            <v>0</v>
          </cell>
          <cell r="AN1756">
            <v>0</v>
          </cell>
        </row>
        <row r="1757">
          <cell r="A1757" t="str">
            <v/>
          </cell>
          <cell r="B1757" t="str">
            <v>Anastasiya POPAR (Białoruś)</v>
          </cell>
          <cell r="H1757" t="str">
            <v>X37</v>
          </cell>
          <cell r="K1757" t="str">
            <v>Ł5765</v>
          </cell>
          <cell r="N1757" t="str">
            <v>Martyna ŁYŻWA (UKS Lotka Łódź)</v>
          </cell>
        </row>
        <row r="1758">
          <cell r="A1758" t="str">
            <v/>
          </cell>
          <cell r="B1758" t="str">
            <v/>
          </cell>
          <cell r="H1758" t="str">
            <v/>
          </cell>
          <cell r="K1758" t="str">
            <v/>
          </cell>
          <cell r="N1758" t="str">
            <v/>
          </cell>
        </row>
        <row r="1760">
          <cell r="B1760" t="str">
            <v/>
          </cell>
          <cell r="K1760" t="str">
            <v>zwycięzca(cy): 21:16,21:18</v>
          </cell>
        </row>
        <row r="1761">
          <cell r="B1761">
            <v>2</v>
          </cell>
          <cell r="C1761" t="str">
            <v>dzień turnieju.</v>
          </cell>
          <cell r="I1761" t="str">
            <v>Nr meczu</v>
          </cell>
          <cell r="N1761" t="str">
            <v>Godz.</v>
          </cell>
          <cell r="R1761" t="str">
            <v>S. prow.</v>
          </cell>
          <cell r="AF1761" t="str">
            <v>wygrany</v>
          </cell>
          <cell r="AG1761" t="str">
            <v>przegrany</v>
          </cell>
        </row>
        <row r="1762">
          <cell r="B1762" t="str">
            <v>Boisko</v>
          </cell>
          <cell r="C1762" t="str">
            <v>Gra</v>
          </cell>
          <cell r="I1762">
            <v>252</v>
          </cell>
          <cell r="N1762" t="str">
            <v>rozp.</v>
          </cell>
          <cell r="P1762" t="str">
            <v>zak.</v>
          </cell>
          <cell r="R1762" t="str">
            <v>S. serw.</v>
          </cell>
        </row>
        <row r="1763">
          <cell r="A1763">
            <v>252</v>
          </cell>
          <cell r="B1763">
            <v>4</v>
          </cell>
          <cell r="C1763" t="str">
            <v>pojedyncza dziewcząt Ż</v>
          </cell>
          <cell r="H1763">
            <v>21</v>
          </cell>
          <cell r="I1763">
            <v>12</v>
          </cell>
          <cell r="J1763">
            <v>21</v>
          </cell>
          <cell r="K1763">
            <v>10</v>
          </cell>
          <cell r="P1763">
            <v>0.4826388888888889</v>
          </cell>
          <cell r="R1763">
            <v>0.4826388888888889</v>
          </cell>
          <cell r="S1763" t="str">
            <v>sob 10:40</v>
          </cell>
          <cell r="X1763">
            <v>252</v>
          </cell>
          <cell r="Y1763" t="str">
            <v>pojedyncza dziewcząt Ż</v>
          </cell>
          <cell r="Z1763" t="str">
            <v>X34</v>
          </cell>
          <cell r="AA1763" t="str">
            <v/>
          </cell>
          <cell r="AB1763" t="str">
            <v>X46</v>
          </cell>
          <cell r="AC1763" t="str">
            <v/>
          </cell>
          <cell r="AD1763" t="str">
            <v>X34</v>
          </cell>
          <cell r="AE1763" t="str">
            <v/>
          </cell>
          <cell r="AF1763" t="str">
            <v>21:12,21:10</v>
          </cell>
          <cell r="AG1763" t="str">
            <v>12:21,10:21</v>
          </cell>
          <cell r="AH1763" t="str">
            <v/>
          </cell>
          <cell r="AI1763">
            <v>21</v>
          </cell>
          <cell r="AJ1763">
            <v>12</v>
          </cell>
          <cell r="AK1763">
            <v>21</v>
          </cell>
          <cell r="AL1763">
            <v>10</v>
          </cell>
          <cell r="AM1763">
            <v>0</v>
          </cell>
          <cell r="AN1763">
            <v>0</v>
          </cell>
        </row>
        <row r="1764">
          <cell r="A1764" t="str">
            <v/>
          </cell>
          <cell r="B1764" t="str">
            <v>Marina YANBAYEVA (Białoruś)</v>
          </cell>
          <cell r="H1764" t="str">
            <v>X34</v>
          </cell>
          <cell r="K1764" t="str">
            <v>X46</v>
          </cell>
          <cell r="N1764" t="str">
            <v>Julia  GRENDA (UKS Korona Pabianice)</v>
          </cell>
        </row>
        <row r="1765">
          <cell r="A1765" t="str">
            <v/>
          </cell>
          <cell r="B1765" t="str">
            <v/>
          </cell>
          <cell r="H1765" t="str">
            <v/>
          </cell>
          <cell r="K1765" t="str">
            <v/>
          </cell>
          <cell r="N1765" t="str">
            <v/>
          </cell>
        </row>
        <row r="1767">
          <cell r="B1767" t="str">
            <v>zwycięzca(cy): 21:12,21:10</v>
          </cell>
          <cell r="K1767" t="str">
            <v/>
          </cell>
        </row>
        <row r="1768">
          <cell r="B1768">
            <v>2</v>
          </cell>
          <cell r="C1768" t="str">
            <v>dzień turnieju.</v>
          </cell>
          <cell r="I1768" t="str">
            <v>Nr meczu</v>
          </cell>
          <cell r="N1768" t="str">
            <v>Godz.</v>
          </cell>
          <cell r="R1768" t="str">
            <v>S. prow.</v>
          </cell>
          <cell r="AF1768" t="str">
            <v>wygrany</v>
          </cell>
          <cell r="AG1768" t="str">
            <v>przegrany</v>
          </cell>
        </row>
        <row r="1769">
          <cell r="B1769" t="str">
            <v>Boisko</v>
          </cell>
          <cell r="C1769" t="str">
            <v>Gra</v>
          </cell>
          <cell r="I1769">
            <v>253</v>
          </cell>
          <cell r="N1769" t="str">
            <v>rozp.</v>
          </cell>
          <cell r="P1769" t="str">
            <v>zak.</v>
          </cell>
          <cell r="R1769" t="str">
            <v>S. serw.</v>
          </cell>
        </row>
        <row r="1770">
          <cell r="A1770">
            <v>253</v>
          </cell>
          <cell r="B1770">
            <v>5</v>
          </cell>
          <cell r="C1770" t="str">
            <v>pojedyncza dziewcząt Ż</v>
          </cell>
          <cell r="H1770">
            <v>21</v>
          </cell>
          <cell r="I1770">
            <v>8</v>
          </cell>
          <cell r="J1770">
            <v>21</v>
          </cell>
          <cell r="K1770">
            <v>7</v>
          </cell>
          <cell r="P1770">
            <v>0.4861111111111111</v>
          </cell>
          <cell r="R1770">
            <v>0.4861111111111111</v>
          </cell>
          <cell r="S1770" t="str">
            <v>sob 10:40</v>
          </cell>
          <cell r="X1770">
            <v>253</v>
          </cell>
          <cell r="Y1770" t="str">
            <v>pojedyncza dziewcząt Ż</v>
          </cell>
          <cell r="Z1770" t="str">
            <v>X18</v>
          </cell>
          <cell r="AA1770" t="str">
            <v/>
          </cell>
          <cell r="AB1770" t="str">
            <v>K5975</v>
          </cell>
          <cell r="AC1770" t="str">
            <v/>
          </cell>
          <cell r="AD1770" t="str">
            <v>X18</v>
          </cell>
          <cell r="AE1770" t="str">
            <v/>
          </cell>
          <cell r="AF1770" t="str">
            <v>21:8,21:7</v>
          </cell>
          <cell r="AG1770" t="str">
            <v>8:21,7:21</v>
          </cell>
          <cell r="AH1770" t="str">
            <v/>
          </cell>
          <cell r="AI1770">
            <v>21</v>
          </cell>
          <cell r="AJ1770">
            <v>8</v>
          </cell>
          <cell r="AK1770">
            <v>21</v>
          </cell>
          <cell r="AL1770">
            <v>7</v>
          </cell>
          <cell r="AM1770">
            <v>0</v>
          </cell>
          <cell r="AN1770">
            <v>0</v>
          </cell>
        </row>
        <row r="1771">
          <cell r="A1771" t="str">
            <v/>
          </cell>
          <cell r="B1771" t="str">
            <v>Veranika TARUSAVA (Mińsk Białoruś)</v>
          </cell>
          <cell r="H1771" t="str">
            <v>X18</v>
          </cell>
          <cell r="K1771" t="str">
            <v>K5975</v>
          </cell>
          <cell r="N1771" t="str">
            <v>Izabella KAMOLA (UKS Badminton Stare Babice)</v>
          </cell>
        </row>
        <row r="1772">
          <cell r="A1772" t="str">
            <v/>
          </cell>
          <cell r="B1772" t="str">
            <v/>
          </cell>
          <cell r="H1772" t="str">
            <v/>
          </cell>
          <cell r="K1772" t="str">
            <v/>
          </cell>
          <cell r="N1772" t="str">
            <v/>
          </cell>
        </row>
        <row r="1774">
          <cell r="B1774" t="str">
            <v>zwycięzca(cy): 21:8,21:7</v>
          </cell>
          <cell r="K1774" t="str">
            <v/>
          </cell>
        </row>
        <row r="1775">
          <cell r="B1775">
            <v>2</v>
          </cell>
          <cell r="C1775" t="str">
            <v>dzień turnieju.</v>
          </cell>
          <cell r="I1775" t="str">
            <v>Nr meczu</v>
          </cell>
          <cell r="N1775" t="str">
            <v>Godz.</v>
          </cell>
          <cell r="R1775" t="str">
            <v>S. prow.</v>
          </cell>
          <cell r="AF1775" t="str">
            <v>wygrany</v>
          </cell>
          <cell r="AG1775" t="str">
            <v>przegrany</v>
          </cell>
        </row>
        <row r="1776">
          <cell r="B1776" t="str">
            <v>Boisko</v>
          </cell>
          <cell r="C1776" t="str">
            <v>Gra</v>
          </cell>
          <cell r="I1776">
            <v>254</v>
          </cell>
          <cell r="N1776" t="str">
            <v>rozp.</v>
          </cell>
          <cell r="P1776" t="str">
            <v>zak.</v>
          </cell>
          <cell r="R1776" t="str">
            <v>S. serw.</v>
          </cell>
        </row>
        <row r="1777">
          <cell r="A1777">
            <v>254</v>
          </cell>
          <cell r="B1777">
            <v>3</v>
          </cell>
          <cell r="C1777" t="str">
            <v>pojedyncza dziewcząt Ż</v>
          </cell>
          <cell r="H1777">
            <v>21</v>
          </cell>
          <cell r="I1777">
            <v>5</v>
          </cell>
          <cell r="J1777">
            <v>21</v>
          </cell>
          <cell r="K1777">
            <v>8</v>
          </cell>
          <cell r="P1777">
            <v>0.4861111111111111</v>
          </cell>
          <cell r="R1777">
            <v>0.4861111111111111</v>
          </cell>
          <cell r="S1777" t="str">
            <v>sob 10:40</v>
          </cell>
          <cell r="X1777">
            <v>254</v>
          </cell>
          <cell r="Y1777" t="str">
            <v>pojedyncza dziewcząt Ż</v>
          </cell>
          <cell r="Z1777" t="str">
            <v>X35</v>
          </cell>
          <cell r="AA1777" t="str">
            <v/>
          </cell>
          <cell r="AB1777" t="str">
            <v>X27</v>
          </cell>
          <cell r="AC1777" t="str">
            <v/>
          </cell>
          <cell r="AD1777" t="str">
            <v>X35</v>
          </cell>
          <cell r="AE1777" t="str">
            <v/>
          </cell>
          <cell r="AF1777" t="str">
            <v>21:5,21:8</v>
          </cell>
          <cell r="AG1777" t="str">
            <v>5:21,8:21</v>
          </cell>
          <cell r="AH1777" t="str">
            <v/>
          </cell>
          <cell r="AI1777">
            <v>21</v>
          </cell>
          <cell r="AJ1777">
            <v>5</v>
          </cell>
          <cell r="AK1777">
            <v>21</v>
          </cell>
          <cell r="AL1777">
            <v>8</v>
          </cell>
          <cell r="AM1777">
            <v>0</v>
          </cell>
          <cell r="AN1777">
            <v>0</v>
          </cell>
        </row>
        <row r="1778">
          <cell r="A1778" t="str">
            <v/>
          </cell>
          <cell r="B1778" t="str">
            <v>Hanna ABRAMAVA (Białoruś)</v>
          </cell>
          <cell r="H1778" t="str">
            <v>X35</v>
          </cell>
          <cell r="K1778" t="str">
            <v>X27</v>
          </cell>
          <cell r="N1778" t="str">
            <v>Viktoria PONOMARENKO (Vinnica Ukraina)</v>
          </cell>
        </row>
        <row r="1779">
          <cell r="A1779" t="str">
            <v/>
          </cell>
          <cell r="B1779" t="str">
            <v/>
          </cell>
          <cell r="H1779" t="str">
            <v/>
          </cell>
          <cell r="K1779" t="str">
            <v/>
          </cell>
          <cell r="N1779" t="str">
            <v/>
          </cell>
        </row>
        <row r="1781">
          <cell r="B1781" t="str">
            <v>zwycięzca(cy): 21:5,21:8</v>
          </cell>
          <cell r="K1781" t="str">
            <v/>
          </cell>
        </row>
        <row r="1782">
          <cell r="B1782">
            <v>2</v>
          </cell>
          <cell r="C1782" t="str">
            <v>dzień turnieju.</v>
          </cell>
          <cell r="I1782" t="str">
            <v>Nr meczu</v>
          </cell>
          <cell r="N1782" t="str">
            <v>Godz.</v>
          </cell>
          <cell r="R1782" t="str">
            <v>S. prow.</v>
          </cell>
          <cell r="AF1782" t="str">
            <v>wygrany</v>
          </cell>
          <cell r="AG1782" t="str">
            <v>przegrany</v>
          </cell>
        </row>
        <row r="1783">
          <cell r="B1783" t="str">
            <v>Boisko</v>
          </cell>
          <cell r="C1783" t="str">
            <v>Gra</v>
          </cell>
          <cell r="I1783">
            <v>255</v>
          </cell>
          <cell r="N1783" t="str">
            <v>rozp.</v>
          </cell>
          <cell r="P1783" t="str">
            <v>zak.</v>
          </cell>
          <cell r="R1783" t="str">
            <v>S. serw.</v>
          </cell>
        </row>
        <row r="1784">
          <cell r="A1784">
            <v>255</v>
          </cell>
          <cell r="B1784">
            <v>2</v>
          </cell>
          <cell r="C1784" t="str">
            <v>pojedyncza dziewcząt Ż</v>
          </cell>
          <cell r="H1784">
            <v>21</v>
          </cell>
          <cell r="I1784">
            <v>9</v>
          </cell>
          <cell r="J1784">
            <v>21</v>
          </cell>
          <cell r="K1784">
            <v>9</v>
          </cell>
          <cell r="P1784">
            <v>0.48958333333333331</v>
          </cell>
          <cell r="R1784">
            <v>0.48958333333333331</v>
          </cell>
          <cell r="S1784" t="str">
            <v>sob 11:10</v>
          </cell>
          <cell r="X1784">
            <v>255</v>
          </cell>
          <cell r="Y1784" t="str">
            <v>pojedyncza dziewcząt Ż</v>
          </cell>
          <cell r="Z1784" t="str">
            <v>X36</v>
          </cell>
          <cell r="AA1784" t="str">
            <v/>
          </cell>
          <cell r="AB1784" t="str">
            <v>X60</v>
          </cell>
          <cell r="AC1784" t="str">
            <v/>
          </cell>
          <cell r="AD1784" t="str">
            <v>X36</v>
          </cell>
          <cell r="AE1784" t="str">
            <v/>
          </cell>
          <cell r="AF1784" t="str">
            <v>21:9,21:9</v>
          </cell>
          <cell r="AG1784" t="str">
            <v>9:21,9:21</v>
          </cell>
          <cell r="AH1784" t="str">
            <v/>
          </cell>
          <cell r="AI1784">
            <v>21</v>
          </cell>
          <cell r="AJ1784">
            <v>9</v>
          </cell>
          <cell r="AK1784">
            <v>21</v>
          </cell>
          <cell r="AL1784">
            <v>9</v>
          </cell>
          <cell r="AM1784">
            <v>0</v>
          </cell>
          <cell r="AN1784">
            <v>0</v>
          </cell>
        </row>
        <row r="1785">
          <cell r="A1785" t="str">
            <v/>
          </cell>
          <cell r="B1785" t="str">
            <v>Aliaksndra PILIPTSEVICH (Białoruś)</v>
          </cell>
          <cell r="H1785" t="str">
            <v>X36</v>
          </cell>
          <cell r="K1785" t="str">
            <v>X60</v>
          </cell>
          <cell r="N1785" t="str">
            <v>Julia  RACHOWSKA (SKSR Wolant Łódź)</v>
          </cell>
        </row>
        <row r="1786">
          <cell r="A1786" t="str">
            <v/>
          </cell>
          <cell r="B1786" t="str">
            <v/>
          </cell>
          <cell r="H1786" t="str">
            <v/>
          </cell>
          <cell r="K1786" t="str">
            <v/>
          </cell>
          <cell r="N1786" t="str">
            <v/>
          </cell>
        </row>
        <row r="1788">
          <cell r="B1788" t="str">
            <v>zwycięzca(cy): 21:9,21:9</v>
          </cell>
          <cell r="K1788" t="str">
            <v/>
          </cell>
        </row>
        <row r="1789">
          <cell r="B1789">
            <v>2</v>
          </cell>
          <cell r="C1789" t="str">
            <v>dzień turnieju.</v>
          </cell>
          <cell r="I1789" t="str">
            <v>Nr meczu</v>
          </cell>
          <cell r="N1789" t="str">
            <v>Godz.</v>
          </cell>
          <cell r="R1789" t="str">
            <v>S. prow.</v>
          </cell>
          <cell r="AF1789" t="str">
            <v>wygrany</v>
          </cell>
          <cell r="AG1789" t="str">
            <v>przegrany</v>
          </cell>
        </row>
        <row r="1790">
          <cell r="B1790" t="str">
            <v>Boisko</v>
          </cell>
          <cell r="C1790" t="str">
            <v>Gra</v>
          </cell>
          <cell r="I1790">
            <v>256</v>
          </cell>
          <cell r="N1790" t="str">
            <v>rozp.</v>
          </cell>
          <cell r="P1790" t="str">
            <v>zak.</v>
          </cell>
          <cell r="R1790" t="str">
            <v>S. serw.</v>
          </cell>
        </row>
        <row r="1791">
          <cell r="A1791">
            <v>256</v>
          </cell>
          <cell r="B1791">
            <v>6</v>
          </cell>
          <cell r="C1791" t="str">
            <v>pojedyncza dziewcząt Ż</v>
          </cell>
          <cell r="H1791">
            <v>21</v>
          </cell>
          <cell r="I1791">
            <v>6</v>
          </cell>
          <cell r="J1791">
            <v>21</v>
          </cell>
          <cell r="K1791">
            <v>3</v>
          </cell>
          <cell r="P1791">
            <v>0.48958333333333331</v>
          </cell>
          <cell r="R1791">
            <v>0.48958333333333331</v>
          </cell>
          <cell r="S1791" t="str">
            <v>sob 11:10</v>
          </cell>
          <cell r="X1791">
            <v>256</v>
          </cell>
          <cell r="Y1791" t="str">
            <v>pojedyncza dziewcząt Ż</v>
          </cell>
          <cell r="Z1791" t="str">
            <v>k5598</v>
          </cell>
          <cell r="AA1791" t="str">
            <v/>
          </cell>
          <cell r="AB1791" t="str">
            <v>W5766</v>
          </cell>
          <cell r="AC1791" t="str">
            <v/>
          </cell>
          <cell r="AD1791" t="str">
            <v>k5598</v>
          </cell>
          <cell r="AE1791" t="str">
            <v/>
          </cell>
          <cell r="AF1791" t="str">
            <v>21:6,21:3</v>
          </cell>
          <cell r="AG1791" t="str">
            <v>6:21,3:21</v>
          </cell>
          <cell r="AH1791" t="str">
            <v/>
          </cell>
          <cell r="AI1791">
            <v>21</v>
          </cell>
          <cell r="AJ1791">
            <v>6</v>
          </cell>
          <cell r="AK1791">
            <v>21</v>
          </cell>
          <cell r="AL1791">
            <v>3</v>
          </cell>
          <cell r="AM1791">
            <v>0</v>
          </cell>
          <cell r="AN1791">
            <v>0</v>
          </cell>
        </row>
        <row r="1792">
          <cell r="A1792" t="str">
            <v/>
          </cell>
          <cell r="B1792" t="str">
            <v>Eliza KWIATKOWSKA (STB Energia Lubliniec)</v>
          </cell>
          <cell r="H1792" t="str">
            <v>k5598</v>
          </cell>
          <cell r="K1792" t="str">
            <v>W5766</v>
          </cell>
          <cell r="N1792" t="str">
            <v>Paulina WZOREK (UKS Lotka Łódź)</v>
          </cell>
        </row>
        <row r="1793">
          <cell r="A1793" t="str">
            <v/>
          </cell>
          <cell r="B1793" t="str">
            <v/>
          </cell>
          <cell r="H1793" t="str">
            <v/>
          </cell>
          <cell r="K1793" t="str">
            <v/>
          </cell>
          <cell r="N1793" t="str">
            <v/>
          </cell>
        </row>
        <row r="1795">
          <cell r="B1795" t="str">
            <v>zwycięzca(cy): 21:6,21:3</v>
          </cell>
          <cell r="K1795" t="str">
            <v/>
          </cell>
        </row>
        <row r="1796">
          <cell r="B1796">
            <v>2</v>
          </cell>
          <cell r="C1796" t="str">
            <v>dzień turnieju.</v>
          </cell>
          <cell r="I1796" t="str">
            <v>Nr meczu</v>
          </cell>
          <cell r="N1796" t="str">
            <v>Godz.</v>
          </cell>
          <cell r="R1796" t="str">
            <v>S. prow.</v>
          </cell>
          <cell r="AF1796" t="str">
            <v>wygrany</v>
          </cell>
          <cell r="AG1796" t="str">
            <v>przegrany</v>
          </cell>
        </row>
        <row r="1797">
          <cell r="B1797" t="str">
            <v>Boisko</v>
          </cell>
          <cell r="C1797" t="str">
            <v>Gra</v>
          </cell>
          <cell r="I1797">
            <v>257</v>
          </cell>
          <cell r="N1797" t="str">
            <v>rozp.</v>
          </cell>
          <cell r="P1797" t="str">
            <v>zak.</v>
          </cell>
          <cell r="R1797" t="str">
            <v>S. serw.</v>
          </cell>
        </row>
        <row r="1798">
          <cell r="A1798">
            <v>257</v>
          </cell>
          <cell r="B1798">
            <v>1</v>
          </cell>
          <cell r="C1798" t="str">
            <v>pojedyncza chłopców Ż</v>
          </cell>
          <cell r="H1798">
            <v>21</v>
          </cell>
          <cell r="I1798">
            <v>4</v>
          </cell>
          <cell r="J1798">
            <v>21</v>
          </cell>
          <cell r="K1798">
            <v>2</v>
          </cell>
          <cell r="P1798">
            <v>0.48958333333333331</v>
          </cell>
          <cell r="R1798">
            <v>0.48958333333333331</v>
          </cell>
          <cell r="S1798" t="str">
            <v>sob 11:10</v>
          </cell>
          <cell r="X1798">
            <v>257</v>
          </cell>
          <cell r="Y1798" t="str">
            <v>pojedyncza chłopców Ż</v>
          </cell>
          <cell r="Z1798" t="str">
            <v>Ś5585</v>
          </cell>
          <cell r="AA1798" t="str">
            <v/>
          </cell>
          <cell r="AB1798" t="str">
            <v>B5816</v>
          </cell>
          <cell r="AC1798" t="str">
            <v/>
          </cell>
          <cell r="AD1798" t="str">
            <v>Ś5585</v>
          </cell>
          <cell r="AE1798" t="str">
            <v/>
          </cell>
          <cell r="AF1798" t="str">
            <v>21:4,21:2</v>
          </cell>
          <cell r="AG1798" t="str">
            <v>4:21,2:21</v>
          </cell>
          <cell r="AH1798" t="str">
            <v/>
          </cell>
          <cell r="AI1798">
            <v>21</v>
          </cell>
          <cell r="AJ1798">
            <v>4</v>
          </cell>
          <cell r="AK1798">
            <v>21</v>
          </cell>
          <cell r="AL1798">
            <v>2</v>
          </cell>
          <cell r="AM1798">
            <v>0</v>
          </cell>
          <cell r="AN1798">
            <v>0</v>
          </cell>
        </row>
        <row r="1799">
          <cell r="A1799" t="str">
            <v/>
          </cell>
          <cell r="B1799" t="str">
            <v>Szymon ŚLEPECKI (LKS Technik Głubczyce)</v>
          </cell>
          <cell r="H1799" t="str">
            <v>Ś5585</v>
          </cell>
          <cell r="K1799" t="str">
            <v>B5816</v>
          </cell>
          <cell r="N1799" t="str">
            <v>Tomasz BUZA (UKSB Milenium Warszawa)</v>
          </cell>
        </row>
        <row r="1800">
          <cell r="A1800" t="str">
            <v/>
          </cell>
          <cell r="B1800" t="str">
            <v/>
          </cell>
          <cell r="H1800" t="str">
            <v/>
          </cell>
          <cell r="K1800" t="str">
            <v/>
          </cell>
          <cell r="N1800" t="str">
            <v/>
          </cell>
        </row>
        <row r="1802">
          <cell r="B1802" t="str">
            <v>zwycięzca(cy): 21:4,21:2</v>
          </cell>
          <cell r="K1802" t="str">
            <v/>
          </cell>
        </row>
        <row r="1803">
          <cell r="B1803">
            <v>2</v>
          </cell>
          <cell r="C1803" t="str">
            <v>dzień turnieju.</v>
          </cell>
          <cell r="I1803" t="str">
            <v>Nr meczu</v>
          </cell>
          <cell r="N1803" t="str">
            <v>Godz.</v>
          </cell>
          <cell r="R1803" t="str">
            <v>S. prow.</v>
          </cell>
          <cell r="AF1803" t="str">
            <v>wygrany</v>
          </cell>
          <cell r="AG1803" t="str">
            <v>przegrany</v>
          </cell>
        </row>
        <row r="1804">
          <cell r="B1804" t="str">
            <v>Boisko</v>
          </cell>
          <cell r="C1804" t="str">
            <v>Gra</v>
          </cell>
          <cell r="I1804">
            <v>258</v>
          </cell>
          <cell r="N1804" t="str">
            <v>rozp.</v>
          </cell>
          <cell r="P1804" t="str">
            <v>zak.</v>
          </cell>
          <cell r="R1804" t="str">
            <v>S. serw.</v>
          </cell>
        </row>
        <row r="1805">
          <cell r="A1805">
            <v>258</v>
          </cell>
          <cell r="B1805">
            <v>4</v>
          </cell>
          <cell r="C1805" t="str">
            <v>pojedyncza chłopców Ż</v>
          </cell>
          <cell r="H1805">
            <v>25</v>
          </cell>
          <cell r="I1805">
            <v>23</v>
          </cell>
          <cell r="J1805">
            <v>11</v>
          </cell>
          <cell r="K1805">
            <v>21</v>
          </cell>
          <cell r="L1805">
            <v>15</v>
          </cell>
          <cell r="M1805">
            <v>21</v>
          </cell>
          <cell r="P1805">
            <v>0.50694444444444442</v>
          </cell>
          <cell r="R1805">
            <v>0.50694444444444442</v>
          </cell>
          <cell r="S1805" t="str">
            <v>sob 11:10</v>
          </cell>
          <cell r="X1805">
            <v>258</v>
          </cell>
          <cell r="Y1805" t="str">
            <v>pojedyncza chłopców Ż</v>
          </cell>
          <cell r="Z1805" t="str">
            <v>X44</v>
          </cell>
          <cell r="AA1805" t="str">
            <v/>
          </cell>
          <cell r="AB1805" t="str">
            <v>S5976</v>
          </cell>
          <cell r="AC1805" t="str">
            <v/>
          </cell>
          <cell r="AD1805" t="str">
            <v>S5976</v>
          </cell>
          <cell r="AE1805" t="str">
            <v/>
          </cell>
          <cell r="AF1805" t="str">
            <v>23:25,21:11,21:15</v>
          </cell>
          <cell r="AG1805" t="str">
            <v>25:23,11:21,15:21</v>
          </cell>
          <cell r="AH1805" t="str">
            <v/>
          </cell>
          <cell r="AI1805">
            <v>25</v>
          </cell>
          <cell r="AJ1805">
            <v>23</v>
          </cell>
          <cell r="AK1805">
            <v>11</v>
          </cell>
          <cell r="AL1805">
            <v>21</v>
          </cell>
          <cell r="AM1805">
            <v>15</v>
          </cell>
          <cell r="AN1805">
            <v>21</v>
          </cell>
        </row>
        <row r="1806">
          <cell r="A1806" t="str">
            <v/>
          </cell>
          <cell r="B1806" t="str">
            <v>Myroslav KLYUCHOVSKYY (Lwów Ukraina)</v>
          </cell>
          <cell r="H1806" t="str">
            <v>X44</v>
          </cell>
          <cell r="K1806" t="str">
            <v>S5976</v>
          </cell>
          <cell r="N1806" t="str">
            <v>Andrzej SZCZEPANEK (UKS Badminton Stare Babice)</v>
          </cell>
        </row>
        <row r="1807">
          <cell r="A1807" t="str">
            <v/>
          </cell>
          <cell r="B1807" t="str">
            <v/>
          </cell>
          <cell r="H1807" t="str">
            <v/>
          </cell>
          <cell r="K1807" t="str">
            <v/>
          </cell>
          <cell r="N1807" t="str">
            <v/>
          </cell>
        </row>
        <row r="1809">
          <cell r="B1809" t="str">
            <v/>
          </cell>
          <cell r="K1809" t="str">
            <v>zwycięzca(cy): 23:25,21:11,21:15</v>
          </cell>
        </row>
        <row r="1810">
          <cell r="B1810">
            <v>2</v>
          </cell>
          <cell r="C1810" t="str">
            <v>dzień turnieju.</v>
          </cell>
          <cell r="I1810" t="str">
            <v>Nr meczu</v>
          </cell>
          <cell r="N1810" t="str">
            <v>Godz.</v>
          </cell>
          <cell r="R1810" t="str">
            <v>S. prow.</v>
          </cell>
          <cell r="AF1810" t="str">
            <v>wygrany</v>
          </cell>
          <cell r="AG1810" t="str">
            <v>przegrany</v>
          </cell>
        </row>
        <row r="1811">
          <cell r="B1811" t="str">
            <v>Boisko</v>
          </cell>
          <cell r="C1811" t="str">
            <v>Gra</v>
          </cell>
          <cell r="I1811">
            <v>259</v>
          </cell>
          <cell r="N1811" t="str">
            <v>rozp.</v>
          </cell>
          <cell r="P1811" t="str">
            <v>zak.</v>
          </cell>
          <cell r="R1811" t="str">
            <v>S. serw.</v>
          </cell>
        </row>
        <row r="1812">
          <cell r="A1812">
            <v>259</v>
          </cell>
          <cell r="B1812">
            <v>5</v>
          </cell>
          <cell r="C1812" t="str">
            <v>pojedyncza chłopców Ż</v>
          </cell>
          <cell r="H1812">
            <v>21</v>
          </cell>
          <cell r="I1812">
            <v>9</v>
          </cell>
          <cell r="J1812">
            <v>21</v>
          </cell>
          <cell r="K1812">
            <v>7</v>
          </cell>
          <cell r="P1812">
            <v>0.49652777777777773</v>
          </cell>
          <cell r="R1812">
            <v>0.49652777777777773</v>
          </cell>
          <cell r="S1812" t="str">
            <v>sob 11:10</v>
          </cell>
          <cell r="X1812">
            <v>259</v>
          </cell>
          <cell r="Y1812" t="str">
            <v>pojedyncza chłopców Ż</v>
          </cell>
          <cell r="Z1812" t="str">
            <v>N5960</v>
          </cell>
          <cell r="AA1812" t="str">
            <v/>
          </cell>
          <cell r="AB1812" t="str">
            <v>K5833</v>
          </cell>
          <cell r="AC1812" t="str">
            <v/>
          </cell>
          <cell r="AD1812" t="str">
            <v>N5960</v>
          </cell>
          <cell r="AE1812" t="str">
            <v/>
          </cell>
          <cell r="AF1812" t="str">
            <v>21:9,21:7</v>
          </cell>
          <cell r="AG1812" t="str">
            <v>9:21,7:21</v>
          </cell>
          <cell r="AH1812" t="str">
            <v/>
          </cell>
          <cell r="AI1812">
            <v>21</v>
          </cell>
          <cell r="AJ1812">
            <v>9</v>
          </cell>
          <cell r="AK1812">
            <v>21</v>
          </cell>
          <cell r="AL1812">
            <v>7</v>
          </cell>
          <cell r="AM1812">
            <v>0</v>
          </cell>
          <cell r="AN1812">
            <v>0</v>
          </cell>
        </row>
        <row r="1813">
          <cell r="A1813" t="str">
            <v/>
          </cell>
          <cell r="B1813" t="str">
            <v>Andrzej NICZYPORUK (AZSUW Warszawa)</v>
          </cell>
          <cell r="H1813" t="str">
            <v>N5960</v>
          </cell>
          <cell r="K1813" t="str">
            <v>K5833</v>
          </cell>
          <cell r="N1813" t="str">
            <v>Natan KUBAS (UKS Hubal Białystok)</v>
          </cell>
        </row>
        <row r="1814">
          <cell r="A1814" t="str">
            <v/>
          </cell>
          <cell r="B1814" t="str">
            <v/>
          </cell>
          <cell r="H1814" t="str">
            <v/>
          </cell>
          <cell r="K1814" t="str">
            <v/>
          </cell>
          <cell r="N1814" t="str">
            <v/>
          </cell>
        </row>
        <row r="1816">
          <cell r="B1816" t="str">
            <v>zwycięzca(cy): 21:9,21:7</v>
          </cell>
          <cell r="K1816" t="str">
            <v/>
          </cell>
        </row>
        <row r="1817">
          <cell r="B1817">
            <v>2</v>
          </cell>
          <cell r="C1817" t="str">
            <v>dzień turnieju.</v>
          </cell>
          <cell r="I1817" t="str">
            <v>Nr meczu</v>
          </cell>
          <cell r="N1817" t="str">
            <v>Godz.</v>
          </cell>
          <cell r="R1817" t="str">
            <v>S. prow.</v>
          </cell>
          <cell r="AF1817" t="str">
            <v>wygrany</v>
          </cell>
          <cell r="AG1817" t="str">
            <v>przegrany</v>
          </cell>
        </row>
        <row r="1818">
          <cell r="B1818" t="str">
            <v>Boisko</v>
          </cell>
          <cell r="C1818" t="str">
            <v>Gra</v>
          </cell>
          <cell r="I1818">
            <v>260</v>
          </cell>
          <cell r="N1818" t="str">
            <v>rozp.</v>
          </cell>
          <cell r="P1818" t="str">
            <v>zak.</v>
          </cell>
          <cell r="R1818" t="str">
            <v>S. serw.</v>
          </cell>
        </row>
        <row r="1819">
          <cell r="A1819">
            <v>260</v>
          </cell>
          <cell r="B1819">
            <v>3</v>
          </cell>
          <cell r="C1819" t="str">
            <v>pojedyncza chłopców Ż</v>
          </cell>
          <cell r="H1819">
            <v>21</v>
          </cell>
          <cell r="I1819">
            <v>5</v>
          </cell>
          <cell r="J1819">
            <v>21</v>
          </cell>
          <cell r="K1819">
            <v>4</v>
          </cell>
          <cell r="P1819">
            <v>0.49652777777777773</v>
          </cell>
          <cell r="R1819">
            <v>0.49652777777777773</v>
          </cell>
          <cell r="S1819" t="str">
            <v>sob 11:10</v>
          </cell>
          <cell r="X1819">
            <v>260</v>
          </cell>
          <cell r="Y1819" t="str">
            <v>pojedyncza chłopców Ż</v>
          </cell>
          <cell r="Z1819" t="str">
            <v>M5584</v>
          </cell>
          <cell r="AA1819" t="str">
            <v/>
          </cell>
          <cell r="AB1819" t="str">
            <v>X53</v>
          </cell>
          <cell r="AC1819" t="str">
            <v/>
          </cell>
          <cell r="AD1819" t="str">
            <v>M5584</v>
          </cell>
          <cell r="AE1819" t="str">
            <v/>
          </cell>
          <cell r="AF1819" t="str">
            <v>21:5,21:4</v>
          </cell>
          <cell r="AG1819" t="str">
            <v>5:21,4:21</v>
          </cell>
          <cell r="AH1819" t="str">
            <v/>
          </cell>
          <cell r="AI1819">
            <v>21</v>
          </cell>
          <cell r="AJ1819">
            <v>5</v>
          </cell>
          <cell r="AK1819">
            <v>21</v>
          </cell>
          <cell r="AL1819">
            <v>4</v>
          </cell>
          <cell r="AM1819">
            <v>0</v>
          </cell>
          <cell r="AN1819">
            <v>0</v>
          </cell>
        </row>
        <row r="1820">
          <cell r="A1820" t="str">
            <v/>
          </cell>
          <cell r="B1820" t="str">
            <v>Jakub MAZUR (LKS Technik Głubczyce)</v>
          </cell>
          <cell r="H1820" t="str">
            <v>M5584</v>
          </cell>
          <cell r="K1820" t="str">
            <v>X53</v>
          </cell>
          <cell r="N1820" t="str">
            <v>Kacper KRAWCZYK (UKS Korona Pabianice)</v>
          </cell>
        </row>
        <row r="1821">
          <cell r="A1821" t="str">
            <v/>
          </cell>
          <cell r="B1821" t="str">
            <v/>
          </cell>
          <cell r="H1821" t="str">
            <v/>
          </cell>
          <cell r="K1821" t="str">
            <v/>
          </cell>
          <cell r="N1821" t="str">
            <v/>
          </cell>
        </row>
        <row r="1823">
          <cell r="B1823" t="str">
            <v>zwycięzca(cy): 21:5,21:4</v>
          </cell>
          <cell r="K1823" t="str">
            <v/>
          </cell>
        </row>
        <row r="1824">
          <cell r="B1824">
            <v>2</v>
          </cell>
          <cell r="C1824" t="str">
            <v>dzień turnieju.</v>
          </cell>
          <cell r="I1824" t="str">
            <v>Nr meczu</v>
          </cell>
          <cell r="N1824" t="str">
            <v>Godz.</v>
          </cell>
          <cell r="R1824" t="str">
            <v>S. prow.</v>
          </cell>
          <cell r="AF1824" t="str">
            <v>wygrany</v>
          </cell>
          <cell r="AG1824" t="str">
            <v>przegrany</v>
          </cell>
        </row>
        <row r="1825">
          <cell r="B1825" t="str">
            <v>Boisko</v>
          </cell>
          <cell r="C1825" t="str">
            <v>Gra</v>
          </cell>
          <cell r="I1825">
            <v>261</v>
          </cell>
          <cell r="N1825" t="str">
            <v>rozp.</v>
          </cell>
          <cell r="P1825" t="str">
            <v>zak.</v>
          </cell>
          <cell r="R1825" t="str">
            <v>S. serw.</v>
          </cell>
        </row>
        <row r="1826">
          <cell r="A1826">
            <v>261</v>
          </cell>
          <cell r="B1826">
            <v>2</v>
          </cell>
          <cell r="C1826" t="str">
            <v>mieszana M</v>
          </cell>
          <cell r="H1826">
            <v>21</v>
          </cell>
          <cell r="I1826">
            <v>7</v>
          </cell>
          <cell r="J1826">
            <v>21</v>
          </cell>
          <cell r="K1826">
            <v>10</v>
          </cell>
          <cell r="P1826">
            <v>0.5</v>
          </cell>
          <cell r="R1826">
            <v>0.5</v>
          </cell>
          <cell r="S1826" t="str">
            <v>sob 11:10</v>
          </cell>
          <cell r="X1826">
            <v>261</v>
          </cell>
          <cell r="Y1826" t="str">
            <v>mieszana M</v>
          </cell>
          <cell r="Z1826" t="str">
            <v>Ś5003</v>
          </cell>
          <cell r="AA1826" t="str">
            <v>K5206</v>
          </cell>
          <cell r="AB1826" t="str">
            <v>S5947</v>
          </cell>
          <cell r="AC1826" t="str">
            <v>G3854</v>
          </cell>
          <cell r="AD1826" t="str">
            <v>Ś5003</v>
          </cell>
          <cell r="AE1826" t="str">
            <v>K5206</v>
          </cell>
          <cell r="AF1826" t="str">
            <v>21:7,21:10</v>
          </cell>
          <cell r="AG1826" t="str">
            <v>7:21,10:21</v>
          </cell>
          <cell r="AH1826" t="str">
            <v/>
          </cell>
          <cell r="AI1826">
            <v>21</v>
          </cell>
          <cell r="AJ1826">
            <v>7</v>
          </cell>
          <cell r="AK1826">
            <v>21</v>
          </cell>
          <cell r="AL1826">
            <v>10</v>
          </cell>
          <cell r="AM1826">
            <v>0</v>
          </cell>
          <cell r="AN1826">
            <v>0</v>
          </cell>
        </row>
        <row r="1827">
          <cell r="A1827" t="str">
            <v/>
          </cell>
          <cell r="B1827" t="str">
            <v>Norbert ŚWIERK (UKS Aktywna Piątka Przemyśl)</v>
          </cell>
          <cell r="H1827" t="str">
            <v>Ś5003</v>
          </cell>
          <cell r="K1827" t="str">
            <v>S5947</v>
          </cell>
          <cell r="N1827" t="str">
            <v>Mateusz SADOWSKI (UKSB Milenium Warszawa)</v>
          </cell>
        </row>
        <row r="1828">
          <cell r="A1828" t="str">
            <v/>
          </cell>
          <cell r="B1828" t="str">
            <v>Klaudia KORDEK (UKS Jagiellonka Medyka)</v>
          </cell>
          <cell r="H1828" t="str">
            <v>K5206</v>
          </cell>
          <cell r="K1828" t="str">
            <v>G3854</v>
          </cell>
          <cell r="N1828" t="str">
            <v>Katarzyna GĘSICKA (KS Hubertus Zalesie Górne)</v>
          </cell>
        </row>
        <row r="1830">
          <cell r="B1830" t="str">
            <v>zwycięzca(cy): 21:7,21:10</v>
          </cell>
          <cell r="K1830" t="str">
            <v/>
          </cell>
        </row>
        <row r="1831">
          <cell r="B1831">
            <v>2</v>
          </cell>
          <cell r="C1831" t="str">
            <v>dzień turnieju.</v>
          </cell>
          <cell r="I1831" t="str">
            <v>Nr meczu</v>
          </cell>
          <cell r="N1831" t="str">
            <v>Godz.</v>
          </cell>
          <cell r="R1831" t="str">
            <v>S. prow.</v>
          </cell>
          <cell r="AF1831" t="str">
            <v>wygrany</v>
          </cell>
          <cell r="AG1831" t="str">
            <v>przegrany</v>
          </cell>
        </row>
        <row r="1832">
          <cell r="B1832" t="str">
            <v>Boisko</v>
          </cell>
          <cell r="C1832" t="str">
            <v>Gra</v>
          </cell>
          <cell r="I1832">
            <v>262</v>
          </cell>
          <cell r="N1832" t="str">
            <v>rozp.</v>
          </cell>
          <cell r="P1832" t="str">
            <v>zak.</v>
          </cell>
          <cell r="R1832" t="str">
            <v>S. serw.</v>
          </cell>
        </row>
        <row r="1833">
          <cell r="A1833">
            <v>262</v>
          </cell>
          <cell r="B1833">
            <v>1</v>
          </cell>
          <cell r="C1833" t="str">
            <v>mieszana M</v>
          </cell>
          <cell r="H1833">
            <v>21</v>
          </cell>
          <cell r="I1833">
            <v>8</v>
          </cell>
          <cell r="J1833">
            <v>21</v>
          </cell>
          <cell r="K1833">
            <v>3</v>
          </cell>
          <cell r="P1833">
            <v>0.5</v>
          </cell>
          <cell r="R1833">
            <v>0.5</v>
          </cell>
          <cell r="S1833" t="str">
            <v>sob 11:10</v>
          </cell>
          <cell r="X1833">
            <v>262</v>
          </cell>
          <cell r="Y1833" t="str">
            <v>mieszana M</v>
          </cell>
          <cell r="Z1833" t="str">
            <v>W4701</v>
          </cell>
          <cell r="AA1833" t="str">
            <v>F3777</v>
          </cell>
          <cell r="AB1833" t="str">
            <v>B5525</v>
          </cell>
          <cell r="AC1833" t="str">
            <v>T5056</v>
          </cell>
          <cell r="AD1833" t="str">
            <v>W4701</v>
          </cell>
          <cell r="AE1833" t="str">
            <v>F3777</v>
          </cell>
          <cell r="AF1833" t="str">
            <v>21:8,21:3</v>
          </cell>
          <cell r="AG1833" t="str">
            <v>8:21,3:21</v>
          </cell>
          <cell r="AH1833" t="str">
            <v/>
          </cell>
          <cell r="AI1833">
            <v>21</v>
          </cell>
          <cell r="AJ1833">
            <v>8</v>
          </cell>
          <cell r="AK1833">
            <v>21</v>
          </cell>
          <cell r="AL1833">
            <v>3</v>
          </cell>
          <cell r="AM1833">
            <v>0</v>
          </cell>
          <cell r="AN1833">
            <v>0</v>
          </cell>
        </row>
        <row r="1834">
          <cell r="A1834" t="str">
            <v/>
          </cell>
          <cell r="B1834" t="str">
            <v>Radosław WRÓBEL (KB Vol-Trick Kępno)</v>
          </cell>
          <cell r="H1834" t="str">
            <v>W4701</v>
          </cell>
          <cell r="K1834" t="str">
            <v>B5525</v>
          </cell>
          <cell r="N1834" t="str">
            <v>Michał BARAŃSKI (SKB Suwałki)</v>
          </cell>
        </row>
        <row r="1835">
          <cell r="A1835" t="str">
            <v/>
          </cell>
          <cell r="B1835" t="str">
            <v>Aleksandra FELSKA (UKS Orkan Przeźmierowo)</v>
          </cell>
          <cell r="H1835" t="str">
            <v>F3777</v>
          </cell>
          <cell r="K1835" t="str">
            <v>T5056</v>
          </cell>
          <cell r="N1835" t="str">
            <v>Martyna TROJNIAR (SKB Suwałki)</v>
          </cell>
        </row>
        <row r="1837">
          <cell r="B1837" t="str">
            <v>zwycięzca(cy): 21:8,21:3</v>
          </cell>
          <cell r="K1837" t="str">
            <v/>
          </cell>
        </row>
        <row r="1838">
          <cell r="B1838">
            <v>2</v>
          </cell>
          <cell r="C1838" t="str">
            <v>dzień turnieju.</v>
          </cell>
          <cell r="I1838" t="str">
            <v>Nr meczu</v>
          </cell>
          <cell r="N1838" t="str">
            <v>Godz.</v>
          </cell>
          <cell r="R1838" t="str">
            <v>S. prow.</v>
          </cell>
          <cell r="AF1838" t="str">
            <v>wygrany</v>
          </cell>
          <cell r="AG1838" t="str">
            <v>przegrany</v>
          </cell>
        </row>
        <row r="1839">
          <cell r="B1839" t="str">
            <v>Boisko</v>
          </cell>
          <cell r="C1839" t="str">
            <v>Gra</v>
          </cell>
          <cell r="I1839">
            <v>263</v>
          </cell>
          <cell r="N1839" t="str">
            <v>rozp.</v>
          </cell>
          <cell r="P1839" t="str">
            <v>zak.</v>
          </cell>
          <cell r="R1839" t="str">
            <v>S. serw.</v>
          </cell>
        </row>
        <row r="1840">
          <cell r="A1840">
            <v>263</v>
          </cell>
          <cell r="B1840">
            <v>6</v>
          </cell>
          <cell r="C1840" t="str">
            <v>mieszana M</v>
          </cell>
          <cell r="H1840">
            <v>19</v>
          </cell>
          <cell r="I1840">
            <v>21</v>
          </cell>
          <cell r="J1840">
            <v>19</v>
          </cell>
          <cell r="K1840">
            <v>21</v>
          </cell>
          <cell r="P1840">
            <v>0.51041666666666663</v>
          </cell>
          <cell r="R1840">
            <v>0.51041666666666663</v>
          </cell>
          <cell r="S1840" t="str">
            <v>sob 11:40</v>
          </cell>
          <cell r="X1840">
            <v>263</v>
          </cell>
          <cell r="Y1840" t="str">
            <v>mieszana M</v>
          </cell>
          <cell r="Z1840" t="str">
            <v>M4170</v>
          </cell>
          <cell r="AA1840" t="str">
            <v>J4555</v>
          </cell>
          <cell r="AB1840" t="str">
            <v>K4563</v>
          </cell>
          <cell r="AC1840" t="str">
            <v>F4371</v>
          </cell>
          <cell r="AD1840" t="str">
            <v>K4563</v>
          </cell>
          <cell r="AE1840" t="str">
            <v>F4371</v>
          </cell>
          <cell r="AF1840" t="str">
            <v>21:19,21:19</v>
          </cell>
          <cell r="AG1840" t="str">
            <v>19:21,19:21</v>
          </cell>
          <cell r="AH1840" t="str">
            <v/>
          </cell>
          <cell r="AI1840">
            <v>19</v>
          </cell>
          <cell r="AJ1840">
            <v>21</v>
          </cell>
          <cell r="AK1840">
            <v>19</v>
          </cell>
          <cell r="AL1840">
            <v>21</v>
          </cell>
          <cell r="AM1840">
            <v>0</v>
          </cell>
          <cell r="AN1840">
            <v>0</v>
          </cell>
        </row>
        <row r="1841">
          <cell r="A1841" t="str">
            <v/>
          </cell>
          <cell r="B1841" t="str">
            <v>Kamil MICHAŁEK (UKS Orbitek Straszęcin)</v>
          </cell>
          <cell r="H1841" t="str">
            <v>M4170</v>
          </cell>
          <cell r="K1841" t="str">
            <v>K4563</v>
          </cell>
          <cell r="N1841" t="str">
            <v>Kordian KOBYLNIK (LKS Technik Głubczyce)</v>
          </cell>
        </row>
        <row r="1842">
          <cell r="A1842" t="str">
            <v/>
          </cell>
          <cell r="B1842" t="str">
            <v>Izabela JAJKO (UKS Orliki Ropica Polska)</v>
          </cell>
          <cell r="H1842" t="str">
            <v>J4555</v>
          </cell>
          <cell r="K1842" t="str">
            <v>F4371</v>
          </cell>
          <cell r="N1842" t="str">
            <v>Agnieszka FORYTA (STB Energia Lubliniec)</v>
          </cell>
        </row>
        <row r="1844">
          <cell r="B1844" t="str">
            <v/>
          </cell>
          <cell r="K1844" t="str">
            <v>zwycięzca(cy): 21:19,21:19</v>
          </cell>
        </row>
        <row r="1845">
          <cell r="B1845">
            <v>2</v>
          </cell>
          <cell r="C1845" t="str">
            <v>dzień turnieju.</v>
          </cell>
          <cell r="I1845" t="str">
            <v>Nr meczu</v>
          </cell>
          <cell r="N1845" t="str">
            <v>Godz.</v>
          </cell>
          <cell r="R1845" t="str">
            <v>S. prow.</v>
          </cell>
          <cell r="AF1845" t="str">
            <v>wygrany</v>
          </cell>
          <cell r="AG1845" t="str">
            <v>przegrany</v>
          </cell>
        </row>
        <row r="1846">
          <cell r="B1846" t="str">
            <v>Boisko</v>
          </cell>
          <cell r="C1846" t="str">
            <v>Gra</v>
          </cell>
          <cell r="I1846">
            <v>264</v>
          </cell>
          <cell r="N1846" t="str">
            <v>rozp.</v>
          </cell>
          <cell r="P1846" t="str">
            <v>zak.</v>
          </cell>
          <cell r="R1846" t="str">
            <v>S. serw.</v>
          </cell>
        </row>
        <row r="1847">
          <cell r="A1847">
            <v>264</v>
          </cell>
          <cell r="B1847">
            <v>3</v>
          </cell>
          <cell r="C1847" t="str">
            <v>mieszana M</v>
          </cell>
          <cell r="H1847">
            <v>21</v>
          </cell>
          <cell r="I1847">
            <v>15</v>
          </cell>
          <cell r="J1847">
            <v>19</v>
          </cell>
          <cell r="K1847">
            <v>21</v>
          </cell>
          <cell r="L1847">
            <v>21</v>
          </cell>
          <cell r="M1847">
            <v>19</v>
          </cell>
          <cell r="P1847">
            <v>0.52083333333333337</v>
          </cell>
          <cell r="R1847">
            <v>0.52083333333333337</v>
          </cell>
          <cell r="S1847" t="str">
            <v>sob 11:40</v>
          </cell>
          <cell r="X1847">
            <v>264</v>
          </cell>
          <cell r="Y1847" t="str">
            <v>mieszana M</v>
          </cell>
          <cell r="Z1847" t="str">
            <v>K4283</v>
          </cell>
          <cell r="AA1847" t="str">
            <v>J4598</v>
          </cell>
          <cell r="AB1847" t="str">
            <v>S5036</v>
          </cell>
          <cell r="AC1847" t="str">
            <v>K5033</v>
          </cell>
          <cell r="AD1847" t="str">
            <v>K4283</v>
          </cell>
          <cell r="AE1847" t="str">
            <v>J4598</v>
          </cell>
          <cell r="AF1847" t="str">
            <v>21:15,19:21,21:19</v>
          </cell>
          <cell r="AG1847" t="str">
            <v>15:21,21:19,19:21</v>
          </cell>
          <cell r="AH1847" t="str">
            <v/>
          </cell>
          <cell r="AI1847">
            <v>21</v>
          </cell>
          <cell r="AJ1847">
            <v>15</v>
          </cell>
          <cell r="AK1847">
            <v>19</v>
          </cell>
          <cell r="AL1847">
            <v>21</v>
          </cell>
          <cell r="AM1847">
            <v>21</v>
          </cell>
          <cell r="AN1847">
            <v>19</v>
          </cell>
        </row>
        <row r="1848">
          <cell r="A1848" t="str">
            <v/>
          </cell>
          <cell r="B1848" t="str">
            <v>Filip KRUKOWSKI (SKB Suwałki)</v>
          </cell>
          <cell r="H1848" t="str">
            <v>K4283</v>
          </cell>
          <cell r="K1848" t="str">
            <v>S5036</v>
          </cell>
          <cell r="N1848" t="str">
            <v>Wojciech SAJDOK (UKS Unia Bieruń)</v>
          </cell>
        </row>
        <row r="1849">
          <cell r="A1849" t="str">
            <v/>
          </cell>
          <cell r="B1849" t="str">
            <v>Karolina JODZIO (SKB Suwałki)</v>
          </cell>
          <cell r="H1849" t="str">
            <v>J4598</v>
          </cell>
          <cell r="K1849" t="str">
            <v>K5033</v>
          </cell>
          <cell r="N1849" t="str">
            <v>Magdalena KULSKA (UKS Unia Bieruń)</v>
          </cell>
        </row>
        <row r="1851">
          <cell r="B1851" t="str">
            <v>zwycięzca(cy): 21:15,19:21,21:19</v>
          </cell>
          <cell r="K1851" t="str">
            <v/>
          </cell>
        </row>
        <row r="1852">
          <cell r="B1852">
            <v>2</v>
          </cell>
          <cell r="C1852" t="str">
            <v>dzień turnieju.</v>
          </cell>
          <cell r="I1852" t="str">
            <v>Nr meczu</v>
          </cell>
          <cell r="N1852" t="str">
            <v>Godz.</v>
          </cell>
          <cell r="R1852" t="str">
            <v>S. prow.</v>
          </cell>
          <cell r="AF1852" t="str">
            <v>wygrany</v>
          </cell>
          <cell r="AG1852" t="str">
            <v>przegrany</v>
          </cell>
        </row>
        <row r="1853">
          <cell r="B1853" t="str">
            <v>Boisko</v>
          </cell>
          <cell r="C1853" t="str">
            <v>Gra</v>
          </cell>
          <cell r="I1853">
            <v>265</v>
          </cell>
          <cell r="N1853" t="str">
            <v>rozp.</v>
          </cell>
          <cell r="P1853" t="str">
            <v>zak.</v>
          </cell>
          <cell r="R1853" t="str">
            <v>S. serw.</v>
          </cell>
        </row>
        <row r="1854">
          <cell r="A1854">
            <v>265</v>
          </cell>
          <cell r="B1854">
            <v>5</v>
          </cell>
          <cell r="C1854" t="str">
            <v>mieszana M</v>
          </cell>
          <cell r="H1854">
            <v>21</v>
          </cell>
          <cell r="I1854">
            <v>17</v>
          </cell>
          <cell r="J1854">
            <v>21</v>
          </cell>
          <cell r="K1854">
            <v>15</v>
          </cell>
          <cell r="P1854">
            <v>0.51388888888888895</v>
          </cell>
          <cell r="R1854">
            <v>0.51388888888888895</v>
          </cell>
          <cell r="S1854" t="str">
            <v>sob 11:40</v>
          </cell>
          <cell r="X1854">
            <v>265</v>
          </cell>
          <cell r="Y1854" t="str">
            <v>mieszana M</v>
          </cell>
          <cell r="Z1854" t="str">
            <v>K4579</v>
          </cell>
          <cell r="AA1854" t="str">
            <v>G4680</v>
          </cell>
          <cell r="AB1854" t="str">
            <v>W4753</v>
          </cell>
          <cell r="AC1854" t="str">
            <v>K4576</v>
          </cell>
          <cell r="AD1854" t="str">
            <v>K4579</v>
          </cell>
          <cell r="AE1854" t="str">
            <v>G4680</v>
          </cell>
          <cell r="AF1854" t="str">
            <v>21:17,21:15</v>
          </cell>
          <cell r="AG1854" t="str">
            <v>17:21,15:21</v>
          </cell>
          <cell r="AH1854" t="str">
            <v/>
          </cell>
          <cell r="AI1854">
            <v>21</v>
          </cell>
          <cell r="AJ1854">
            <v>17</v>
          </cell>
          <cell r="AK1854">
            <v>21</v>
          </cell>
          <cell r="AL1854">
            <v>15</v>
          </cell>
          <cell r="AM1854">
            <v>0</v>
          </cell>
          <cell r="AN1854">
            <v>0</v>
          </cell>
        </row>
        <row r="1855">
          <cell r="A1855" t="str">
            <v/>
          </cell>
          <cell r="B1855" t="str">
            <v>Miłosz KAIM (KS Masovia Płock)</v>
          </cell>
          <cell r="H1855" t="str">
            <v>K4579</v>
          </cell>
          <cell r="K1855" t="str">
            <v>W4753</v>
          </cell>
          <cell r="N1855" t="str">
            <v>Natan VOGT (MMKS Kędzierzyn-Koźle)</v>
          </cell>
        </row>
        <row r="1856">
          <cell r="A1856" t="str">
            <v/>
          </cell>
          <cell r="B1856" t="str">
            <v>Aneta GADOMSKA (UTS Akro-Bad Warszawa)</v>
          </cell>
          <cell r="H1856" t="str">
            <v>G4680</v>
          </cell>
          <cell r="K1856" t="str">
            <v>K4576</v>
          </cell>
          <cell r="N1856" t="str">
            <v>Paulina KLIMEK (MKS Strzelce Opolskie)</v>
          </cell>
        </row>
        <row r="1858">
          <cell r="B1858" t="str">
            <v>zwycięzca(cy): 21:17,21:15</v>
          </cell>
          <cell r="K1858" t="str">
            <v/>
          </cell>
        </row>
        <row r="1859">
          <cell r="B1859">
            <v>2</v>
          </cell>
          <cell r="C1859" t="str">
            <v>dzień turnieju.</v>
          </cell>
          <cell r="I1859" t="str">
            <v>Nr meczu</v>
          </cell>
          <cell r="N1859" t="str">
            <v>Godz.</v>
          </cell>
          <cell r="R1859" t="str">
            <v>S. prow.</v>
          </cell>
          <cell r="AF1859" t="str">
            <v>wygrany</v>
          </cell>
          <cell r="AG1859" t="str">
            <v>przegrany</v>
          </cell>
        </row>
        <row r="1860">
          <cell r="B1860" t="str">
            <v>Boisko</v>
          </cell>
          <cell r="C1860" t="str">
            <v>Gra</v>
          </cell>
          <cell r="I1860">
            <v>266</v>
          </cell>
          <cell r="N1860" t="str">
            <v>rozp.</v>
          </cell>
          <cell r="P1860" t="str">
            <v>zak.</v>
          </cell>
          <cell r="R1860" t="str">
            <v>S. serw.</v>
          </cell>
        </row>
        <row r="1861">
          <cell r="A1861">
            <v>266</v>
          </cell>
          <cell r="B1861">
            <v>2</v>
          </cell>
          <cell r="C1861" t="str">
            <v>mieszana M</v>
          </cell>
          <cell r="H1861">
            <v>21</v>
          </cell>
          <cell r="I1861">
            <v>14</v>
          </cell>
          <cell r="J1861">
            <v>19</v>
          </cell>
          <cell r="K1861">
            <v>21</v>
          </cell>
          <cell r="L1861">
            <v>18</v>
          </cell>
          <cell r="M1861">
            <v>21</v>
          </cell>
          <cell r="P1861">
            <v>0.52777777777777779</v>
          </cell>
          <cell r="R1861">
            <v>0.52777777777777779</v>
          </cell>
          <cell r="S1861" t="str">
            <v>sob 11:40</v>
          </cell>
          <cell r="X1861">
            <v>266</v>
          </cell>
          <cell r="Y1861" t="str">
            <v>mieszana M</v>
          </cell>
          <cell r="Z1861" t="str">
            <v>T4723</v>
          </cell>
          <cell r="AA1861" t="str">
            <v>S4873</v>
          </cell>
          <cell r="AB1861" t="str">
            <v>X23</v>
          </cell>
          <cell r="AC1861" t="str">
            <v>X21</v>
          </cell>
          <cell r="AD1861" t="str">
            <v>X23</v>
          </cell>
          <cell r="AE1861" t="str">
            <v>X21</v>
          </cell>
          <cell r="AF1861" t="str">
            <v>14:21,21:19,21:18</v>
          </cell>
          <cell r="AG1861" t="str">
            <v>21:14,19:21,18:21</v>
          </cell>
          <cell r="AH1861" t="str">
            <v/>
          </cell>
          <cell r="AI1861">
            <v>21</v>
          </cell>
          <cell r="AJ1861">
            <v>14</v>
          </cell>
          <cell r="AK1861">
            <v>19</v>
          </cell>
          <cell r="AL1861">
            <v>21</v>
          </cell>
          <cell r="AM1861">
            <v>18</v>
          </cell>
          <cell r="AN1861">
            <v>21</v>
          </cell>
        </row>
        <row r="1862">
          <cell r="A1862" t="str">
            <v/>
          </cell>
          <cell r="B1862" t="str">
            <v>Dominik TELAKOWIEC (KS Hubertus Zalesie Górne)</v>
          </cell>
          <cell r="H1862" t="str">
            <v>T4723</v>
          </cell>
          <cell r="K1862" t="str">
            <v>X23</v>
          </cell>
          <cell r="N1862" t="str">
            <v>Bogdan BRYCHUK (Vinnica Ukraina)</v>
          </cell>
        </row>
        <row r="1863">
          <cell r="A1863" t="str">
            <v/>
          </cell>
          <cell r="B1863" t="str">
            <v>Natalia STRZELCZYK (KS Hubertus Zalesie Górne)</v>
          </cell>
          <cell r="H1863" t="str">
            <v>S4873</v>
          </cell>
          <cell r="K1863" t="str">
            <v>X21</v>
          </cell>
          <cell r="N1863" t="str">
            <v>Tetiana ABRAMOVA (Vinnica Ukraina)</v>
          </cell>
        </row>
        <row r="1865">
          <cell r="B1865" t="str">
            <v/>
          </cell>
          <cell r="K1865" t="str">
            <v>zwycięzca(cy): 14:21,21:19,21:18</v>
          </cell>
        </row>
        <row r="1866">
          <cell r="B1866">
            <v>2</v>
          </cell>
          <cell r="C1866" t="str">
            <v>dzień turnieju.</v>
          </cell>
          <cell r="I1866" t="str">
            <v>Nr meczu</v>
          </cell>
          <cell r="N1866" t="str">
            <v>Godz.</v>
          </cell>
          <cell r="R1866" t="str">
            <v>S. prow.</v>
          </cell>
          <cell r="AF1866" t="str">
            <v>wygrany</v>
          </cell>
          <cell r="AG1866" t="str">
            <v>przegrany</v>
          </cell>
        </row>
        <row r="1867">
          <cell r="B1867" t="str">
            <v>Boisko</v>
          </cell>
          <cell r="C1867" t="str">
            <v>Gra</v>
          </cell>
          <cell r="I1867">
            <v>267</v>
          </cell>
          <cell r="N1867" t="str">
            <v>rozp.</v>
          </cell>
          <cell r="P1867" t="str">
            <v>zak.</v>
          </cell>
          <cell r="R1867" t="str">
            <v>S. serw.</v>
          </cell>
        </row>
        <row r="1868">
          <cell r="A1868">
            <v>267</v>
          </cell>
          <cell r="B1868">
            <v>1</v>
          </cell>
          <cell r="C1868" t="str">
            <v>mieszana M</v>
          </cell>
          <cell r="H1868">
            <v>21</v>
          </cell>
          <cell r="I1868">
            <v>11</v>
          </cell>
          <cell r="J1868">
            <v>21</v>
          </cell>
          <cell r="K1868">
            <v>11</v>
          </cell>
          <cell r="P1868">
            <v>0.51736111111111105</v>
          </cell>
          <cell r="R1868">
            <v>0.51736111111111105</v>
          </cell>
          <cell r="S1868" t="str">
            <v>sob 11:40</v>
          </cell>
          <cell r="X1868">
            <v>267</v>
          </cell>
          <cell r="Y1868" t="str">
            <v>mieszana M</v>
          </cell>
          <cell r="Z1868" t="str">
            <v>M4689</v>
          </cell>
          <cell r="AA1868" t="str">
            <v>D3427</v>
          </cell>
          <cell r="AB1868" t="str">
            <v>M5027</v>
          </cell>
          <cell r="AC1868" t="str">
            <v>N4575</v>
          </cell>
          <cell r="AD1868" t="str">
            <v>M4689</v>
          </cell>
          <cell r="AE1868" t="str">
            <v>D3427</v>
          </cell>
          <cell r="AF1868" t="str">
            <v>21:11,21:11</v>
          </cell>
          <cell r="AG1868" t="str">
            <v>11:21,11:21</v>
          </cell>
          <cell r="AH1868" t="str">
            <v/>
          </cell>
          <cell r="AI1868">
            <v>21</v>
          </cell>
          <cell r="AJ1868">
            <v>11</v>
          </cell>
          <cell r="AK1868">
            <v>21</v>
          </cell>
          <cell r="AL1868">
            <v>11</v>
          </cell>
          <cell r="AM1868">
            <v>0</v>
          </cell>
          <cell r="AN1868">
            <v>0</v>
          </cell>
        </row>
        <row r="1869">
          <cell r="A1869" t="str">
            <v/>
          </cell>
          <cell r="B1869" t="str">
            <v>Maciej MAŁACHOWSKI (UKS Kometa Sianów)</v>
          </cell>
          <cell r="H1869" t="str">
            <v>M4689</v>
          </cell>
          <cell r="K1869" t="str">
            <v>M5027</v>
          </cell>
          <cell r="N1869" t="str">
            <v>Kamil MACIOŁEK (MKS Strzelce Opolskie)</v>
          </cell>
        </row>
        <row r="1870">
          <cell r="A1870" t="str">
            <v/>
          </cell>
          <cell r="B1870" t="str">
            <v>Wiktoria DĄBCZYŃSKA (MKS Orlicz Suchedniów)</v>
          </cell>
          <cell r="H1870" t="str">
            <v>D3427</v>
          </cell>
          <cell r="K1870" t="str">
            <v>N4575</v>
          </cell>
          <cell r="N1870" t="str">
            <v>Wiktoria NIEMIEC (MKS Strzelce Opolskie)</v>
          </cell>
        </row>
        <row r="1872">
          <cell r="B1872" t="str">
            <v>zwycięzca(cy): 21:11,21:11</v>
          </cell>
          <cell r="K1872" t="str">
            <v/>
          </cell>
        </row>
        <row r="1873">
          <cell r="B1873">
            <v>2</v>
          </cell>
          <cell r="C1873" t="str">
            <v>dzień turnieju.</v>
          </cell>
          <cell r="I1873" t="str">
            <v>Nr meczu</v>
          </cell>
          <cell r="N1873" t="str">
            <v>Godz.</v>
          </cell>
          <cell r="R1873" t="str">
            <v>S. prow.</v>
          </cell>
          <cell r="AF1873" t="str">
            <v>wygrany</v>
          </cell>
          <cell r="AG1873" t="str">
            <v>przegrany</v>
          </cell>
        </row>
        <row r="1874">
          <cell r="B1874" t="str">
            <v>Boisko</v>
          </cell>
          <cell r="C1874" t="str">
            <v>Gra</v>
          </cell>
          <cell r="I1874">
            <v>268</v>
          </cell>
          <cell r="N1874" t="str">
            <v>rozp.</v>
          </cell>
          <cell r="P1874" t="str">
            <v>zak.</v>
          </cell>
          <cell r="R1874" t="str">
            <v>S. serw.</v>
          </cell>
        </row>
        <row r="1875">
          <cell r="A1875">
            <v>268</v>
          </cell>
          <cell r="B1875">
            <v>4</v>
          </cell>
          <cell r="C1875" t="str">
            <v>mieszana M</v>
          </cell>
          <cell r="H1875">
            <v>21</v>
          </cell>
          <cell r="I1875">
            <v>18</v>
          </cell>
          <cell r="J1875">
            <v>21</v>
          </cell>
          <cell r="K1875">
            <v>13</v>
          </cell>
          <cell r="P1875">
            <v>0.52777777777777779</v>
          </cell>
          <cell r="R1875">
            <v>0.52777777777777779</v>
          </cell>
          <cell r="S1875" t="str">
            <v>sob 11:40</v>
          </cell>
          <cell r="X1875">
            <v>268</v>
          </cell>
          <cell r="Y1875" t="str">
            <v>mieszana M</v>
          </cell>
          <cell r="Z1875" t="str">
            <v>G4577</v>
          </cell>
          <cell r="AA1875" t="str">
            <v>K4136</v>
          </cell>
          <cell r="AB1875" t="str">
            <v>X15</v>
          </cell>
          <cell r="AC1875" t="str">
            <v>X14</v>
          </cell>
          <cell r="AD1875" t="str">
            <v>G4577</v>
          </cell>
          <cell r="AE1875" t="str">
            <v>K4136</v>
          </cell>
          <cell r="AF1875" t="str">
            <v>21:18,21:13</v>
          </cell>
          <cell r="AG1875" t="str">
            <v>18:21,13:21</v>
          </cell>
          <cell r="AH1875" t="str">
            <v/>
          </cell>
          <cell r="AI1875">
            <v>21</v>
          </cell>
          <cell r="AJ1875">
            <v>18</v>
          </cell>
          <cell r="AK1875">
            <v>21</v>
          </cell>
          <cell r="AL1875">
            <v>13</v>
          </cell>
          <cell r="AM1875">
            <v>0</v>
          </cell>
          <cell r="AN1875">
            <v>0</v>
          </cell>
        </row>
        <row r="1876">
          <cell r="A1876" t="str">
            <v/>
          </cell>
          <cell r="B1876" t="str">
            <v>Jakub GIREŃ (MKS Strzelce Opolskie)</v>
          </cell>
          <cell r="H1876" t="str">
            <v>G4577</v>
          </cell>
          <cell r="K1876" t="str">
            <v>X15</v>
          </cell>
          <cell r="N1876" t="str">
            <v>Ilya SHCHARBENKA (Mińsk Białoruś)</v>
          </cell>
        </row>
        <row r="1877">
          <cell r="A1877" t="str">
            <v/>
          </cell>
          <cell r="B1877" t="str">
            <v>Weronika KOŚCIÓŁEK (LKS Technik Głubczyce)</v>
          </cell>
          <cell r="H1877" t="str">
            <v>K4136</v>
          </cell>
          <cell r="K1877" t="str">
            <v>X14</v>
          </cell>
          <cell r="N1877" t="str">
            <v>Yana  ZDROK (Mińsk Białoruś)</v>
          </cell>
        </row>
        <row r="1879">
          <cell r="B1879" t="str">
            <v>zwycięzca(cy): 21:18,21:13</v>
          </cell>
          <cell r="K1879" t="str">
            <v/>
          </cell>
        </row>
        <row r="1880">
          <cell r="B1880">
            <v>2</v>
          </cell>
          <cell r="C1880" t="str">
            <v>dzień turnieju.</v>
          </cell>
          <cell r="I1880" t="str">
            <v>Nr meczu</v>
          </cell>
          <cell r="N1880" t="str">
            <v>Godz.</v>
          </cell>
          <cell r="R1880" t="str">
            <v>S. prow.</v>
          </cell>
          <cell r="AF1880" t="str">
            <v>wygrany</v>
          </cell>
          <cell r="AG1880" t="str">
            <v>przegrany</v>
          </cell>
        </row>
        <row r="1881">
          <cell r="B1881" t="str">
            <v>Boisko</v>
          </cell>
          <cell r="C1881" t="str">
            <v>Gra</v>
          </cell>
          <cell r="I1881">
            <v>269</v>
          </cell>
          <cell r="N1881" t="str">
            <v>rozp.</v>
          </cell>
          <cell r="P1881" t="str">
            <v>zak.</v>
          </cell>
          <cell r="R1881" t="str">
            <v>S. serw.</v>
          </cell>
        </row>
        <row r="1882">
          <cell r="A1882">
            <v>269</v>
          </cell>
          <cell r="B1882">
            <v>6</v>
          </cell>
          <cell r="C1882" t="str">
            <v>mieszana M</v>
          </cell>
          <cell r="H1882">
            <v>21</v>
          </cell>
          <cell r="I1882">
            <v>7</v>
          </cell>
          <cell r="J1882">
            <v>21</v>
          </cell>
          <cell r="K1882">
            <v>8</v>
          </cell>
          <cell r="P1882">
            <v>0.52430555555555558</v>
          </cell>
          <cell r="R1882">
            <v>0.52430555555555558</v>
          </cell>
          <cell r="S1882" t="str">
            <v>sob 11:40</v>
          </cell>
          <cell r="X1882">
            <v>269</v>
          </cell>
          <cell r="Y1882" t="str">
            <v>mieszana M</v>
          </cell>
          <cell r="Z1882" t="str">
            <v>P4121</v>
          </cell>
          <cell r="AA1882" t="str">
            <v>R4591</v>
          </cell>
          <cell r="AB1882" t="str">
            <v>K5874</v>
          </cell>
          <cell r="AC1882" t="str">
            <v>W4281</v>
          </cell>
          <cell r="AD1882" t="str">
            <v>P4121</v>
          </cell>
          <cell r="AE1882" t="str">
            <v>R4591</v>
          </cell>
          <cell r="AF1882" t="str">
            <v>21:7,21:8</v>
          </cell>
          <cell r="AG1882" t="str">
            <v>7:21,8:21</v>
          </cell>
          <cell r="AH1882" t="str">
            <v/>
          </cell>
          <cell r="AI1882">
            <v>21</v>
          </cell>
          <cell r="AJ1882">
            <v>7</v>
          </cell>
          <cell r="AK1882">
            <v>21</v>
          </cell>
          <cell r="AL1882">
            <v>8</v>
          </cell>
          <cell r="AM1882">
            <v>0</v>
          </cell>
          <cell r="AN1882">
            <v>0</v>
          </cell>
        </row>
        <row r="1883">
          <cell r="A1883" t="str">
            <v/>
          </cell>
          <cell r="B1883" t="str">
            <v>Konrad PŁOCH (UKS Start Widełka)</v>
          </cell>
          <cell r="H1883" t="str">
            <v>P4121</v>
          </cell>
          <cell r="K1883" t="str">
            <v>K5874</v>
          </cell>
          <cell r="N1883" t="str">
            <v>Maciej KURAN (----)</v>
          </cell>
        </row>
        <row r="1884">
          <cell r="A1884" t="str">
            <v/>
          </cell>
          <cell r="B1884" t="str">
            <v>Natalia RÓG (MKS Stal Nowa Dęba)</v>
          </cell>
          <cell r="H1884" t="str">
            <v>R4591</v>
          </cell>
          <cell r="K1884" t="str">
            <v>W4281</v>
          </cell>
          <cell r="N1884" t="str">
            <v>Ida WIŚNIEWSKA (----)</v>
          </cell>
        </row>
        <row r="1886">
          <cell r="B1886" t="str">
            <v>zwycięzca(cy): 21:7,21:8</v>
          </cell>
          <cell r="K1886" t="str">
            <v/>
          </cell>
        </row>
        <row r="1887">
          <cell r="B1887">
            <v>2</v>
          </cell>
          <cell r="C1887" t="str">
            <v>dzień turnieju.</v>
          </cell>
          <cell r="I1887" t="str">
            <v>Nr meczu</v>
          </cell>
          <cell r="N1887" t="str">
            <v>Godz.</v>
          </cell>
          <cell r="R1887" t="str">
            <v>S. prow.</v>
          </cell>
          <cell r="AF1887" t="str">
            <v>wygrany</v>
          </cell>
          <cell r="AG1887" t="str">
            <v>przegrany</v>
          </cell>
        </row>
        <row r="1888">
          <cell r="B1888" t="str">
            <v>Boisko</v>
          </cell>
          <cell r="C1888" t="str">
            <v>Gra</v>
          </cell>
          <cell r="I1888">
            <v>270</v>
          </cell>
          <cell r="N1888" t="str">
            <v>rozp.</v>
          </cell>
          <cell r="P1888" t="str">
            <v>zak.</v>
          </cell>
          <cell r="R1888" t="str">
            <v>S. serw.</v>
          </cell>
        </row>
        <row r="1889">
          <cell r="A1889">
            <v>270</v>
          </cell>
          <cell r="B1889">
            <v>5</v>
          </cell>
          <cell r="C1889" t="str">
            <v>mieszana M</v>
          </cell>
          <cell r="H1889">
            <v>21</v>
          </cell>
          <cell r="I1889">
            <v>17</v>
          </cell>
          <cell r="J1889">
            <v>21</v>
          </cell>
          <cell r="K1889">
            <v>13</v>
          </cell>
          <cell r="P1889">
            <v>0.52777777777777779</v>
          </cell>
          <cell r="R1889">
            <v>0.52777777777777779</v>
          </cell>
          <cell r="S1889" t="str">
            <v>sob 11:40</v>
          </cell>
          <cell r="X1889">
            <v>270</v>
          </cell>
          <cell r="Y1889" t="str">
            <v>mieszana M</v>
          </cell>
          <cell r="Z1889" t="str">
            <v>S4287</v>
          </cell>
          <cell r="AA1889" t="str">
            <v>P4286</v>
          </cell>
          <cell r="AB1889" t="str">
            <v>R4718</v>
          </cell>
          <cell r="AC1889" t="str">
            <v>X22</v>
          </cell>
          <cell r="AD1889" t="str">
            <v>S4287</v>
          </cell>
          <cell r="AE1889" t="str">
            <v>P4286</v>
          </cell>
          <cell r="AF1889" t="str">
            <v>21:17,21:13</v>
          </cell>
          <cell r="AG1889" t="str">
            <v>17:21,13:21</v>
          </cell>
          <cell r="AH1889" t="str">
            <v/>
          </cell>
          <cell r="AI1889">
            <v>21</v>
          </cell>
          <cell r="AJ1889">
            <v>17</v>
          </cell>
          <cell r="AK1889">
            <v>21</v>
          </cell>
          <cell r="AL1889">
            <v>13</v>
          </cell>
          <cell r="AM1889">
            <v>0</v>
          </cell>
          <cell r="AN1889">
            <v>0</v>
          </cell>
        </row>
        <row r="1890">
          <cell r="A1890" t="str">
            <v/>
          </cell>
          <cell r="B1890" t="str">
            <v>Michał SOBOLEWSKI (SKB Suwałki)</v>
          </cell>
          <cell r="H1890" t="str">
            <v>S4287</v>
          </cell>
          <cell r="K1890" t="str">
            <v>R4718</v>
          </cell>
          <cell r="N1890" t="str">
            <v>Patryk RÓG (MKS Stal Nowa Dęba)</v>
          </cell>
        </row>
        <row r="1891">
          <cell r="A1891" t="str">
            <v/>
          </cell>
          <cell r="B1891" t="str">
            <v>Ewelina PODZIEWSKA (SKB Suwałki)</v>
          </cell>
          <cell r="H1891" t="str">
            <v>P4286</v>
          </cell>
          <cell r="K1891" t="str">
            <v>X22</v>
          </cell>
          <cell r="N1891" t="str">
            <v>Elyzaveta NIKOLAEVA (Vinnica Ukraina)</v>
          </cell>
        </row>
        <row r="1893">
          <cell r="B1893" t="str">
            <v>zwycięzca(cy): 21:17,21:13</v>
          </cell>
          <cell r="K1893" t="str">
            <v/>
          </cell>
        </row>
        <row r="1894">
          <cell r="B1894">
            <v>2</v>
          </cell>
          <cell r="C1894" t="str">
            <v>dzień turnieju.</v>
          </cell>
          <cell r="I1894" t="str">
            <v>Nr meczu</v>
          </cell>
          <cell r="N1894" t="str">
            <v>Godz.</v>
          </cell>
          <cell r="R1894" t="str">
            <v>S. prow.</v>
          </cell>
          <cell r="AF1894" t="str">
            <v>wygrany</v>
          </cell>
          <cell r="AG1894" t="str">
            <v>przegrany</v>
          </cell>
        </row>
        <row r="1895">
          <cell r="B1895" t="str">
            <v>Boisko</v>
          </cell>
          <cell r="C1895" t="str">
            <v>Gra</v>
          </cell>
          <cell r="I1895">
            <v>271</v>
          </cell>
          <cell r="N1895" t="str">
            <v>rozp.</v>
          </cell>
          <cell r="P1895" t="str">
            <v>zak.</v>
          </cell>
          <cell r="R1895" t="str">
            <v>S. serw.</v>
          </cell>
        </row>
        <row r="1896">
          <cell r="A1896">
            <v>271</v>
          </cell>
          <cell r="B1896">
            <v>5</v>
          </cell>
          <cell r="C1896" t="str">
            <v>podwójna dziewcząt M</v>
          </cell>
          <cell r="H1896">
            <v>14</v>
          </cell>
          <cell r="I1896">
            <v>21</v>
          </cell>
          <cell r="J1896">
            <v>21</v>
          </cell>
          <cell r="K1896">
            <v>16</v>
          </cell>
          <cell r="L1896">
            <v>21</v>
          </cell>
          <cell r="M1896">
            <v>19</v>
          </cell>
          <cell r="P1896">
            <v>0.55555555555555558</v>
          </cell>
          <cell r="R1896">
            <v>0.55555555555555558</v>
          </cell>
          <cell r="S1896" t="str">
            <v>sob 11:40</v>
          </cell>
          <cell r="X1896">
            <v>271</v>
          </cell>
          <cell r="Y1896" t="str">
            <v>podwójna dziewcząt M</v>
          </cell>
          <cell r="Z1896" t="str">
            <v>J4505</v>
          </cell>
          <cell r="AA1896" t="str">
            <v>K5041</v>
          </cell>
          <cell r="AB1896" t="str">
            <v>B4564</v>
          </cell>
          <cell r="AC1896" t="str">
            <v>K4136</v>
          </cell>
          <cell r="AD1896" t="str">
            <v>J4505</v>
          </cell>
          <cell r="AE1896" t="str">
            <v>K5041</v>
          </cell>
          <cell r="AF1896" t="str">
            <v>14:21,21:16,21:19</v>
          </cell>
          <cell r="AG1896" t="str">
            <v>21:14,16:21,19:21</v>
          </cell>
          <cell r="AH1896" t="str">
            <v/>
          </cell>
          <cell r="AI1896">
            <v>14</v>
          </cell>
          <cell r="AJ1896">
            <v>21</v>
          </cell>
          <cell r="AK1896">
            <v>21</v>
          </cell>
          <cell r="AL1896">
            <v>16</v>
          </cell>
          <cell r="AM1896">
            <v>21</v>
          </cell>
          <cell r="AN1896">
            <v>19</v>
          </cell>
        </row>
        <row r="1897">
          <cell r="A1897" t="str">
            <v/>
          </cell>
          <cell r="B1897" t="str">
            <v>Wiktoria JUSZCZAK (MMKS Gdańsk)</v>
          </cell>
          <cell r="H1897" t="str">
            <v>J4505</v>
          </cell>
          <cell r="K1897" t="str">
            <v>B4564</v>
          </cell>
          <cell r="N1897" t="str">
            <v>Laura BERESTECKA (LKS Technik Głubczyce)</v>
          </cell>
        </row>
        <row r="1898">
          <cell r="A1898" t="str">
            <v/>
          </cell>
          <cell r="B1898" t="str">
            <v>Aleksandra KOŁODZIEJ (KSR Wolant Łódź)</v>
          </cell>
          <cell r="H1898" t="str">
            <v>K5041</v>
          </cell>
          <cell r="K1898" t="str">
            <v>K4136</v>
          </cell>
          <cell r="N1898" t="str">
            <v>Weronika KOŚCIÓŁEK (LKS Technik Głubczyce)</v>
          </cell>
        </row>
        <row r="1900">
          <cell r="B1900" t="str">
            <v>zwycięzca(cy): 14:21,21:16,21:19</v>
          </cell>
          <cell r="K1900" t="str">
            <v/>
          </cell>
        </row>
        <row r="1901">
          <cell r="B1901">
            <v>2</v>
          </cell>
          <cell r="C1901" t="str">
            <v>dzień turnieju.</v>
          </cell>
          <cell r="I1901" t="str">
            <v>Nr meczu</v>
          </cell>
          <cell r="N1901" t="str">
            <v>Godz.</v>
          </cell>
          <cell r="R1901" t="str">
            <v>S. prow.</v>
          </cell>
          <cell r="AF1901" t="str">
            <v>wygrany</v>
          </cell>
          <cell r="AG1901" t="str">
            <v>przegrany</v>
          </cell>
        </row>
        <row r="1902">
          <cell r="B1902" t="str">
            <v>Boisko</v>
          </cell>
          <cell r="C1902" t="str">
            <v>Gra</v>
          </cell>
          <cell r="I1902">
            <v>272</v>
          </cell>
          <cell r="N1902" t="str">
            <v>rozp.</v>
          </cell>
          <cell r="P1902" t="str">
            <v>zak.</v>
          </cell>
          <cell r="R1902" t="str">
            <v>S. serw.</v>
          </cell>
        </row>
        <row r="1903">
          <cell r="A1903">
            <v>272</v>
          </cell>
          <cell r="B1903">
            <v>1</v>
          </cell>
          <cell r="C1903" t="str">
            <v>podwójna dziewcząt M</v>
          </cell>
          <cell r="H1903">
            <v>13</v>
          </cell>
          <cell r="I1903">
            <v>21</v>
          </cell>
          <cell r="J1903">
            <v>21</v>
          </cell>
          <cell r="K1903">
            <v>16</v>
          </cell>
          <cell r="L1903">
            <v>20</v>
          </cell>
          <cell r="M1903">
            <v>22</v>
          </cell>
          <cell r="P1903">
            <v>0.54513888888888895</v>
          </cell>
          <cell r="R1903">
            <v>0.54513888888888895</v>
          </cell>
          <cell r="S1903" t="str">
            <v>sob 11:40</v>
          </cell>
          <cell r="X1903">
            <v>272</v>
          </cell>
          <cell r="Y1903" t="str">
            <v>podwójna dziewcząt M</v>
          </cell>
          <cell r="Z1903" t="str">
            <v>B4737</v>
          </cell>
          <cell r="AA1903" t="str">
            <v>t4823</v>
          </cell>
          <cell r="AB1903" t="str">
            <v>F4339</v>
          </cell>
          <cell r="AC1903" t="str">
            <v>P4758</v>
          </cell>
          <cell r="AD1903" t="str">
            <v>F4339</v>
          </cell>
          <cell r="AE1903" t="str">
            <v>P4758</v>
          </cell>
          <cell r="AF1903" t="str">
            <v>21:13,16:21,22:20</v>
          </cell>
          <cell r="AG1903" t="str">
            <v>13:21,21:16,20:22</v>
          </cell>
          <cell r="AH1903" t="str">
            <v/>
          </cell>
          <cell r="AI1903">
            <v>13</v>
          </cell>
          <cell r="AJ1903">
            <v>21</v>
          </cell>
          <cell r="AK1903">
            <v>21</v>
          </cell>
          <cell r="AL1903">
            <v>16</v>
          </cell>
          <cell r="AM1903">
            <v>20</v>
          </cell>
          <cell r="AN1903">
            <v>22</v>
          </cell>
        </row>
        <row r="1904">
          <cell r="A1904" t="str">
            <v/>
          </cell>
          <cell r="B1904" t="str">
            <v>Wiktoria BUDZISZEWSKA (UKS Kiko Zamość)</v>
          </cell>
          <cell r="H1904" t="str">
            <v>B4737</v>
          </cell>
          <cell r="K1904" t="str">
            <v>F4339</v>
          </cell>
          <cell r="N1904" t="str">
            <v>Martyna FILIPIAK (MLKS Solec Kuj.)</v>
          </cell>
        </row>
        <row r="1905">
          <cell r="A1905" t="str">
            <v/>
          </cell>
          <cell r="B1905" t="str">
            <v>Sandra TATARELIS (UKS Kiko Zamość)</v>
          </cell>
          <cell r="H1905" t="str">
            <v>t4823</v>
          </cell>
          <cell r="K1905" t="str">
            <v>P4758</v>
          </cell>
          <cell r="N1905" t="str">
            <v>Natalia PIETRZAK (MLKS Solec Kuj.)</v>
          </cell>
        </row>
        <row r="1907">
          <cell r="B1907" t="str">
            <v/>
          </cell>
          <cell r="K1907" t="str">
            <v>zwycięzca(cy): 21:13,16:21,22:20</v>
          </cell>
        </row>
        <row r="1908">
          <cell r="B1908">
            <v>2</v>
          </cell>
          <cell r="C1908" t="str">
            <v>dzień turnieju.</v>
          </cell>
          <cell r="I1908" t="str">
            <v>Nr meczu</v>
          </cell>
          <cell r="N1908" t="str">
            <v>Godz.</v>
          </cell>
          <cell r="R1908" t="str">
            <v>S. prow.</v>
          </cell>
          <cell r="AF1908" t="str">
            <v>wygrany</v>
          </cell>
          <cell r="AG1908" t="str">
            <v>przegrany</v>
          </cell>
        </row>
        <row r="1909">
          <cell r="B1909" t="str">
            <v>Boisko</v>
          </cell>
          <cell r="C1909" t="str">
            <v>Gra</v>
          </cell>
          <cell r="I1909">
            <v>273</v>
          </cell>
          <cell r="N1909" t="str">
            <v>rozp.</v>
          </cell>
          <cell r="P1909" t="str">
            <v>zak.</v>
          </cell>
          <cell r="R1909" t="str">
            <v>S. serw.</v>
          </cell>
        </row>
        <row r="1910">
          <cell r="A1910">
            <v>273</v>
          </cell>
          <cell r="B1910">
            <v>4</v>
          </cell>
          <cell r="C1910" t="str">
            <v>podwójna dziewcząt M</v>
          </cell>
          <cell r="H1910">
            <v>21</v>
          </cell>
          <cell r="I1910">
            <v>13</v>
          </cell>
          <cell r="J1910">
            <v>11</v>
          </cell>
          <cell r="K1910">
            <v>21</v>
          </cell>
          <cell r="L1910">
            <v>15</v>
          </cell>
          <cell r="M1910">
            <v>21</v>
          </cell>
          <cell r="P1910">
            <v>0.55902777777777779</v>
          </cell>
          <cell r="R1910">
            <v>0.55902777777777779</v>
          </cell>
          <cell r="S1910" t="str">
            <v>sob 11:40</v>
          </cell>
          <cell r="X1910">
            <v>273</v>
          </cell>
          <cell r="Y1910" t="str">
            <v>podwójna dziewcząt M</v>
          </cell>
          <cell r="Z1910" t="str">
            <v>S4547</v>
          </cell>
          <cell r="AA1910" t="str">
            <v>W4550</v>
          </cell>
          <cell r="AB1910" t="str">
            <v>x22</v>
          </cell>
          <cell r="AC1910" t="str">
            <v>x24</v>
          </cell>
          <cell r="AD1910" t="str">
            <v>x22</v>
          </cell>
          <cell r="AE1910" t="str">
            <v>x24</v>
          </cell>
          <cell r="AF1910" t="str">
            <v>13:21,21:11,21:15</v>
          </cell>
          <cell r="AG1910" t="str">
            <v>21:13,11:21,15:21</v>
          </cell>
          <cell r="AH1910" t="str">
            <v/>
          </cell>
          <cell r="AI1910">
            <v>21</v>
          </cell>
          <cell r="AJ1910">
            <v>13</v>
          </cell>
          <cell r="AK1910">
            <v>11</v>
          </cell>
          <cell r="AL1910">
            <v>21</v>
          </cell>
          <cell r="AM1910">
            <v>15</v>
          </cell>
          <cell r="AN1910">
            <v>21</v>
          </cell>
        </row>
        <row r="1911">
          <cell r="A1911" t="str">
            <v/>
          </cell>
          <cell r="B1911" t="str">
            <v>Aleksandra SZWEDA (MKB Lednik Miastko)</v>
          </cell>
          <cell r="H1911" t="str">
            <v>S4547</v>
          </cell>
          <cell r="K1911" t="str">
            <v>x22</v>
          </cell>
          <cell r="N1911" t="str">
            <v>Elyzaveta NIKOLAEVA (Vinnica Ukraina)</v>
          </cell>
        </row>
        <row r="1912">
          <cell r="A1912" t="str">
            <v/>
          </cell>
          <cell r="B1912" t="str">
            <v>Magdalena WOLSKA (MKB Lednik Miastko)</v>
          </cell>
          <cell r="H1912" t="str">
            <v>W4550</v>
          </cell>
          <cell r="K1912" t="str">
            <v>x24</v>
          </cell>
          <cell r="N1912" t="str">
            <v>Anna  POLISCHUK (Lwów Ukraina)</v>
          </cell>
        </row>
        <row r="1914">
          <cell r="B1914" t="str">
            <v/>
          </cell>
          <cell r="K1914" t="str">
            <v>zwycięzca(cy): 13:21,21:11,21:15</v>
          </cell>
        </row>
        <row r="1915">
          <cell r="B1915">
            <v>2</v>
          </cell>
          <cell r="C1915" t="str">
            <v>dzień turnieju.</v>
          </cell>
          <cell r="I1915" t="str">
            <v>Nr meczu</v>
          </cell>
          <cell r="N1915" t="str">
            <v>Godz.</v>
          </cell>
          <cell r="R1915" t="str">
            <v>S. prow.</v>
          </cell>
          <cell r="AF1915" t="str">
            <v>wygrany</v>
          </cell>
          <cell r="AG1915" t="str">
            <v>przegrany</v>
          </cell>
        </row>
        <row r="1916">
          <cell r="B1916" t="str">
            <v>Boisko</v>
          </cell>
          <cell r="C1916" t="str">
            <v>Gra</v>
          </cell>
          <cell r="I1916">
            <v>274</v>
          </cell>
          <cell r="N1916" t="str">
            <v>rozp.</v>
          </cell>
          <cell r="P1916" t="str">
            <v>zak.</v>
          </cell>
          <cell r="R1916" t="str">
            <v>S. serw.</v>
          </cell>
        </row>
        <row r="1917">
          <cell r="A1917">
            <v>274</v>
          </cell>
          <cell r="B1917">
            <v>1</v>
          </cell>
          <cell r="C1917" t="str">
            <v>podwójna dziewcząt M</v>
          </cell>
          <cell r="H1917">
            <v>15</v>
          </cell>
          <cell r="I1917">
            <v>21</v>
          </cell>
          <cell r="J1917">
            <v>19</v>
          </cell>
          <cell r="K1917">
            <v>21</v>
          </cell>
          <cell r="P1917">
            <v>0.5625</v>
          </cell>
          <cell r="R1917">
            <v>0.5625</v>
          </cell>
          <cell r="S1917" t="str">
            <v>sob 11:40</v>
          </cell>
          <cell r="X1917">
            <v>274</v>
          </cell>
          <cell r="Y1917" t="str">
            <v>podwójna dziewcząt M</v>
          </cell>
          <cell r="Z1917" t="str">
            <v>F4371</v>
          </cell>
          <cell r="AA1917" t="str">
            <v>S4370</v>
          </cell>
          <cell r="AB1917" t="str">
            <v>M4748</v>
          </cell>
          <cell r="AC1917" t="str">
            <v>W4281</v>
          </cell>
          <cell r="AD1917" t="str">
            <v>M4748</v>
          </cell>
          <cell r="AE1917" t="str">
            <v>W4281</v>
          </cell>
          <cell r="AF1917" t="str">
            <v>21:15,21:19</v>
          </cell>
          <cell r="AG1917" t="str">
            <v>15:21,19:21</v>
          </cell>
          <cell r="AH1917" t="str">
            <v/>
          </cell>
          <cell r="AI1917">
            <v>15</v>
          </cell>
          <cell r="AJ1917">
            <v>21</v>
          </cell>
          <cell r="AK1917">
            <v>19</v>
          </cell>
          <cell r="AL1917">
            <v>21</v>
          </cell>
          <cell r="AM1917">
            <v>0</v>
          </cell>
          <cell r="AN1917">
            <v>0</v>
          </cell>
        </row>
        <row r="1918">
          <cell r="A1918" t="str">
            <v/>
          </cell>
          <cell r="B1918" t="str">
            <v>Agnieszka FORYTA (STB Energia Lubliniec)</v>
          </cell>
          <cell r="H1918" t="str">
            <v>F4371</v>
          </cell>
          <cell r="K1918" t="str">
            <v>M4748</v>
          </cell>
          <cell r="N1918" t="str">
            <v>Olga MIKSZA (KS Wesoła Warszawa)</v>
          </cell>
        </row>
        <row r="1919">
          <cell r="A1919" t="str">
            <v/>
          </cell>
          <cell r="B1919" t="str">
            <v>Hanna SZYMAŃSKA (STB Energia Lubliniec)</v>
          </cell>
          <cell r="H1919" t="str">
            <v>S4370</v>
          </cell>
          <cell r="K1919" t="str">
            <v>W4281</v>
          </cell>
          <cell r="N1919" t="str">
            <v>Ida WIŚNIEWSKA (----)</v>
          </cell>
        </row>
        <row r="1921">
          <cell r="B1921" t="str">
            <v/>
          </cell>
          <cell r="K1921" t="str">
            <v>zwycięzca(cy): 21:15,21:19</v>
          </cell>
        </row>
        <row r="1922">
          <cell r="B1922">
            <v>2</v>
          </cell>
          <cell r="C1922" t="str">
            <v>dzień turnieju.</v>
          </cell>
          <cell r="I1922" t="str">
            <v>Nr meczu</v>
          </cell>
          <cell r="N1922" t="str">
            <v>Godz.</v>
          </cell>
          <cell r="R1922" t="str">
            <v>S. prow.</v>
          </cell>
          <cell r="AF1922" t="str">
            <v>wygrany</v>
          </cell>
          <cell r="AG1922" t="str">
            <v>przegrany</v>
          </cell>
        </row>
        <row r="1923">
          <cell r="B1923" t="str">
            <v>Boisko</v>
          </cell>
          <cell r="C1923" t="str">
            <v>Gra</v>
          </cell>
          <cell r="I1923">
            <v>275</v>
          </cell>
          <cell r="N1923" t="str">
            <v>rozp.</v>
          </cell>
          <cell r="P1923" t="str">
            <v>zak.</v>
          </cell>
          <cell r="R1923" t="str">
            <v>S. serw.</v>
          </cell>
        </row>
        <row r="1924">
          <cell r="A1924">
            <v>275</v>
          </cell>
          <cell r="B1924">
            <v>6</v>
          </cell>
          <cell r="C1924" t="str">
            <v>podwójna dziewcząt M</v>
          </cell>
          <cell r="H1924">
            <v>21</v>
          </cell>
          <cell r="I1924">
            <v>10</v>
          </cell>
          <cell r="J1924">
            <v>21</v>
          </cell>
          <cell r="K1924">
            <v>17</v>
          </cell>
          <cell r="P1924">
            <v>0.54166666666666663</v>
          </cell>
          <cell r="R1924">
            <v>0.54166666666666663</v>
          </cell>
          <cell r="S1924" t="str">
            <v>sob 12:20</v>
          </cell>
          <cell r="X1924">
            <v>275</v>
          </cell>
          <cell r="Y1924" t="str">
            <v>podwójna dziewcząt M</v>
          </cell>
          <cell r="Z1924" t="str">
            <v>J4598</v>
          </cell>
          <cell r="AA1924" t="str">
            <v>S4609</v>
          </cell>
          <cell r="AB1924" t="str">
            <v>F3777</v>
          </cell>
          <cell r="AC1924" t="str">
            <v>K5387</v>
          </cell>
          <cell r="AD1924" t="str">
            <v>J4598</v>
          </cell>
          <cell r="AE1924" t="str">
            <v>S4609</v>
          </cell>
          <cell r="AF1924" t="str">
            <v>21:10,21:17</v>
          </cell>
          <cell r="AG1924" t="str">
            <v>10:21,17:21</v>
          </cell>
          <cell r="AH1924" t="str">
            <v/>
          </cell>
          <cell r="AI1924">
            <v>21</v>
          </cell>
          <cell r="AJ1924">
            <v>10</v>
          </cell>
          <cell r="AK1924">
            <v>21</v>
          </cell>
          <cell r="AL1924">
            <v>17</v>
          </cell>
          <cell r="AM1924">
            <v>0</v>
          </cell>
          <cell r="AN1924">
            <v>0</v>
          </cell>
        </row>
        <row r="1925">
          <cell r="A1925" t="str">
            <v/>
          </cell>
          <cell r="B1925" t="str">
            <v>Karolina JODZIO (SKB Suwałki)</v>
          </cell>
          <cell r="H1925" t="str">
            <v>J4598</v>
          </cell>
          <cell r="K1925" t="str">
            <v>F3777</v>
          </cell>
          <cell r="N1925" t="str">
            <v>Aleksandra FELSKA (UKS Orkan Przeźmierowo)</v>
          </cell>
        </row>
        <row r="1926">
          <cell r="A1926" t="str">
            <v/>
          </cell>
          <cell r="B1926" t="str">
            <v>Jolanta SZYMAŃSKA (SKB Suwałki)</v>
          </cell>
          <cell r="H1926" t="str">
            <v>S4609</v>
          </cell>
          <cell r="K1926" t="str">
            <v>K5387</v>
          </cell>
          <cell r="N1926" t="str">
            <v>Klaudia KUSIAK (UKS Orliki Ropica Polska)</v>
          </cell>
        </row>
        <row r="1928">
          <cell r="B1928" t="str">
            <v>zwycięzca(cy): 21:10,21:17</v>
          </cell>
          <cell r="K1928" t="str">
            <v/>
          </cell>
        </row>
        <row r="1929">
          <cell r="B1929">
            <v>2</v>
          </cell>
          <cell r="C1929" t="str">
            <v>dzień turnieju.</v>
          </cell>
          <cell r="I1929" t="str">
            <v>Nr meczu</v>
          </cell>
          <cell r="N1929" t="str">
            <v>Godz.</v>
          </cell>
          <cell r="R1929" t="str">
            <v>S. prow.</v>
          </cell>
          <cell r="AF1929" t="str">
            <v>wygrany</v>
          </cell>
          <cell r="AG1929" t="str">
            <v>przegrany</v>
          </cell>
        </row>
        <row r="1930">
          <cell r="B1930" t="str">
            <v>Boisko</v>
          </cell>
          <cell r="C1930" t="str">
            <v>Gra</v>
          </cell>
          <cell r="I1930">
            <v>276</v>
          </cell>
          <cell r="N1930" t="str">
            <v>rozp.</v>
          </cell>
          <cell r="P1930" t="str">
            <v>zak.</v>
          </cell>
          <cell r="R1930" t="str">
            <v>S. serw.</v>
          </cell>
        </row>
        <row r="1931">
          <cell r="A1931">
            <v>276</v>
          </cell>
          <cell r="B1931">
            <v>3</v>
          </cell>
          <cell r="C1931" t="str">
            <v>podwójna dziewcząt M</v>
          </cell>
          <cell r="H1931">
            <v>18</v>
          </cell>
          <cell r="I1931">
            <v>21</v>
          </cell>
          <cell r="J1931">
            <v>27</v>
          </cell>
          <cell r="K1931">
            <v>25</v>
          </cell>
          <cell r="L1931">
            <v>15</v>
          </cell>
          <cell r="M1931">
            <v>21</v>
          </cell>
          <cell r="P1931">
            <v>0.55208333333333337</v>
          </cell>
          <cell r="R1931">
            <v>0.55208333333333337</v>
          </cell>
          <cell r="S1931" t="str">
            <v>sob 12:20</v>
          </cell>
          <cell r="X1931">
            <v>276</v>
          </cell>
          <cell r="Y1931" t="str">
            <v>podwójna dziewcząt M</v>
          </cell>
          <cell r="Z1931" t="str">
            <v>D4545</v>
          </cell>
          <cell r="AA1931" t="str">
            <v>O4640</v>
          </cell>
          <cell r="AB1931" t="str">
            <v>X17</v>
          </cell>
          <cell r="AC1931" t="str">
            <v>X06</v>
          </cell>
          <cell r="AD1931" t="str">
            <v>X17</v>
          </cell>
          <cell r="AE1931" t="str">
            <v>X06</v>
          </cell>
          <cell r="AF1931" t="str">
            <v>21:18,25:27,21:15</v>
          </cell>
          <cell r="AG1931" t="str">
            <v>18:21,27:25,15:21</v>
          </cell>
          <cell r="AH1931" t="str">
            <v/>
          </cell>
          <cell r="AI1931">
            <v>18</v>
          </cell>
          <cell r="AJ1931">
            <v>21</v>
          </cell>
          <cell r="AK1931">
            <v>27</v>
          </cell>
          <cell r="AL1931">
            <v>25</v>
          </cell>
          <cell r="AM1931">
            <v>15</v>
          </cell>
          <cell r="AN1931">
            <v>21</v>
          </cell>
        </row>
        <row r="1932">
          <cell r="A1932" t="str">
            <v/>
          </cell>
          <cell r="B1932" t="str">
            <v>Joanna DORAWA (MKB Lednik Miastko)</v>
          </cell>
          <cell r="H1932" t="str">
            <v>D4545</v>
          </cell>
          <cell r="K1932" t="str">
            <v>X17</v>
          </cell>
          <cell r="N1932" t="str">
            <v>Anna BANDARENKA (Mińsk Białoruś)</v>
          </cell>
        </row>
        <row r="1933">
          <cell r="A1933" t="str">
            <v/>
          </cell>
          <cell r="B1933" t="str">
            <v>Klaudia OSTROWSKA (MKB Lednik Miastko)</v>
          </cell>
          <cell r="H1933" t="str">
            <v>O4640</v>
          </cell>
          <cell r="K1933" t="str">
            <v>X06</v>
          </cell>
          <cell r="N1933" t="str">
            <v>Uliana ZACHROVA (Brześć Białoruś)</v>
          </cell>
        </row>
        <row r="1935">
          <cell r="B1935" t="str">
            <v/>
          </cell>
          <cell r="K1935" t="str">
            <v>zwycięzca(cy): 21:18,25:27,21:15</v>
          </cell>
        </row>
        <row r="1936">
          <cell r="B1936">
            <v>2</v>
          </cell>
          <cell r="C1936" t="str">
            <v>dzień turnieju.</v>
          </cell>
          <cell r="I1936" t="str">
            <v>Nr meczu</v>
          </cell>
          <cell r="N1936" t="str">
            <v>Godz.</v>
          </cell>
          <cell r="R1936" t="str">
            <v>S. prow.</v>
          </cell>
          <cell r="AF1936" t="str">
            <v>wygrany</v>
          </cell>
          <cell r="AG1936" t="str">
            <v>przegrany</v>
          </cell>
        </row>
        <row r="1937">
          <cell r="B1937" t="str">
            <v>Boisko</v>
          </cell>
          <cell r="C1937" t="str">
            <v>Gra</v>
          </cell>
          <cell r="I1937">
            <v>277</v>
          </cell>
          <cell r="N1937" t="str">
            <v>rozp.</v>
          </cell>
          <cell r="P1937" t="str">
            <v>zak.</v>
          </cell>
          <cell r="R1937" t="str">
            <v>S. serw.</v>
          </cell>
        </row>
        <row r="1938">
          <cell r="A1938">
            <v>277</v>
          </cell>
          <cell r="B1938">
            <v>6</v>
          </cell>
          <cell r="C1938" t="str">
            <v>podwójna dziewcząt M</v>
          </cell>
          <cell r="H1938">
            <v>21</v>
          </cell>
          <cell r="I1938">
            <v>10</v>
          </cell>
          <cell r="J1938">
            <v>21</v>
          </cell>
          <cell r="K1938">
            <v>7</v>
          </cell>
          <cell r="P1938">
            <v>0.55902777777777779</v>
          </cell>
          <cell r="R1938">
            <v>0.55902777777777779</v>
          </cell>
          <cell r="S1938" t="str">
            <v>sob 12:20</v>
          </cell>
          <cell r="X1938">
            <v>277</v>
          </cell>
          <cell r="Y1938" t="str">
            <v>podwójna dziewcząt M</v>
          </cell>
          <cell r="Z1938" t="str">
            <v>K5033</v>
          </cell>
          <cell r="AA1938" t="str">
            <v>P4197</v>
          </cell>
          <cell r="AB1938" t="str">
            <v>K4023</v>
          </cell>
          <cell r="AC1938" t="str">
            <v>S4125</v>
          </cell>
          <cell r="AD1938" t="str">
            <v>K5033</v>
          </cell>
          <cell r="AE1938" t="str">
            <v>P4197</v>
          </cell>
          <cell r="AF1938" t="str">
            <v>21:10,21:7</v>
          </cell>
          <cell r="AG1938" t="str">
            <v>10:21,7:21</v>
          </cell>
          <cell r="AH1938" t="str">
            <v/>
          </cell>
          <cell r="AI1938">
            <v>21</v>
          </cell>
          <cell r="AJ1938">
            <v>10</v>
          </cell>
          <cell r="AK1938">
            <v>21</v>
          </cell>
          <cell r="AL1938">
            <v>7</v>
          </cell>
          <cell r="AM1938">
            <v>0</v>
          </cell>
          <cell r="AN1938">
            <v>0</v>
          </cell>
        </row>
        <row r="1939">
          <cell r="A1939" t="str">
            <v/>
          </cell>
          <cell r="B1939" t="str">
            <v>Magdalena KULSKA (UKS Unia Bieruń)</v>
          </cell>
          <cell r="H1939" t="str">
            <v>K5033</v>
          </cell>
          <cell r="K1939" t="str">
            <v>K4023</v>
          </cell>
          <cell r="N1939" t="str">
            <v>Agnieszka KOPER (KKS Warmia Olsztyn)</v>
          </cell>
        </row>
        <row r="1940">
          <cell r="A1940" t="str">
            <v/>
          </cell>
          <cell r="B1940" t="str">
            <v>Zuzanna PARYSZ (UKS Unia Bieruń)</v>
          </cell>
          <cell r="H1940" t="str">
            <v>P4197</v>
          </cell>
          <cell r="K1940" t="str">
            <v>S4125</v>
          </cell>
          <cell r="N1940" t="str">
            <v>Natalia SIDOR (ŚKBad Harcownik Warszawa)</v>
          </cell>
        </row>
        <row r="1942">
          <cell r="B1942" t="str">
            <v>zwycięzca(cy): 21:10,21:7</v>
          </cell>
          <cell r="K1942" t="str">
            <v/>
          </cell>
        </row>
        <row r="1943">
          <cell r="B1943">
            <v>2</v>
          </cell>
          <cell r="C1943" t="str">
            <v>dzień turnieju.</v>
          </cell>
          <cell r="I1943" t="str">
            <v>Nr meczu</v>
          </cell>
          <cell r="N1943" t="str">
            <v>Godz.</v>
          </cell>
          <cell r="R1943" t="str">
            <v>S. prow.</v>
          </cell>
          <cell r="AF1943" t="str">
            <v>wygrany</v>
          </cell>
          <cell r="AG1943" t="str">
            <v>przegrany</v>
          </cell>
        </row>
        <row r="1944">
          <cell r="B1944" t="str">
            <v>Boisko</v>
          </cell>
          <cell r="C1944" t="str">
            <v>Gra</v>
          </cell>
          <cell r="I1944">
            <v>278</v>
          </cell>
          <cell r="N1944" t="str">
            <v>rozp.</v>
          </cell>
          <cell r="P1944" t="str">
            <v>zak.</v>
          </cell>
          <cell r="R1944" t="str">
            <v>S. serw.</v>
          </cell>
        </row>
        <row r="1945">
          <cell r="A1945">
            <v>278</v>
          </cell>
          <cell r="B1945">
            <v>3</v>
          </cell>
          <cell r="C1945" t="str">
            <v>podwójna dziewcząt M</v>
          </cell>
          <cell r="H1945">
            <v>21</v>
          </cell>
          <cell r="I1945">
            <v>19</v>
          </cell>
          <cell r="J1945">
            <v>21</v>
          </cell>
          <cell r="K1945">
            <v>19</v>
          </cell>
          <cell r="P1945">
            <v>0.57291666666666663</v>
          </cell>
          <cell r="R1945">
            <v>0.57291666666666663</v>
          </cell>
          <cell r="S1945" t="str">
            <v>sob 12:20</v>
          </cell>
          <cell r="X1945">
            <v>278</v>
          </cell>
          <cell r="Y1945" t="str">
            <v>podwójna dziewcząt M</v>
          </cell>
          <cell r="Z1945" t="str">
            <v>P5195</v>
          </cell>
          <cell r="AA1945" t="str">
            <v>Ż5193</v>
          </cell>
          <cell r="AB1945" t="str">
            <v>X03</v>
          </cell>
          <cell r="AC1945" t="str">
            <v>X01</v>
          </cell>
          <cell r="AD1945" t="str">
            <v>P5195</v>
          </cell>
          <cell r="AE1945" t="str">
            <v>Ż5193</v>
          </cell>
          <cell r="AF1945" t="str">
            <v>21:19,21:19</v>
          </cell>
          <cell r="AG1945" t="str">
            <v>19:21,19:21</v>
          </cell>
          <cell r="AH1945" t="str">
            <v/>
          </cell>
          <cell r="AI1945">
            <v>21</v>
          </cell>
          <cell r="AJ1945">
            <v>19</v>
          </cell>
          <cell r="AK1945">
            <v>21</v>
          </cell>
          <cell r="AL1945">
            <v>19</v>
          </cell>
          <cell r="AM1945">
            <v>0</v>
          </cell>
          <cell r="AN1945">
            <v>0</v>
          </cell>
        </row>
        <row r="1946">
          <cell r="A1946" t="str">
            <v/>
          </cell>
          <cell r="B1946" t="str">
            <v>Monika PIOTROWSKA (UKS Kiko Zamość)</v>
          </cell>
          <cell r="H1946" t="str">
            <v>P5195</v>
          </cell>
          <cell r="K1946" t="str">
            <v>X03</v>
          </cell>
          <cell r="N1946" t="str">
            <v>Ugne MASILIONYTE (Litwa)</v>
          </cell>
        </row>
        <row r="1947">
          <cell r="A1947" t="str">
            <v/>
          </cell>
          <cell r="B1947" t="str">
            <v>Natalia ŻUJEWSKA (UKS Kiko Zamość)</v>
          </cell>
          <cell r="H1947" t="str">
            <v>Ż5193</v>
          </cell>
          <cell r="K1947" t="str">
            <v>X01</v>
          </cell>
          <cell r="N1947" t="str">
            <v>Sofija ORLOVAITE (Litwa)</v>
          </cell>
        </row>
        <row r="1949">
          <cell r="B1949" t="str">
            <v>zwycięzca(cy): 21:19,21:19</v>
          </cell>
          <cell r="K1949" t="str">
            <v/>
          </cell>
        </row>
        <row r="1950">
          <cell r="B1950">
            <v>2</v>
          </cell>
          <cell r="C1950" t="str">
            <v>dzień turnieju.</v>
          </cell>
          <cell r="I1950" t="str">
            <v>Nr meczu</v>
          </cell>
          <cell r="N1950" t="str">
            <v>Godz.</v>
          </cell>
          <cell r="R1950" t="str">
            <v>S. prow.</v>
          </cell>
          <cell r="AF1950" t="str">
            <v>wygrany</v>
          </cell>
          <cell r="AG1950" t="str">
            <v>przegrany</v>
          </cell>
        </row>
        <row r="1951">
          <cell r="B1951" t="str">
            <v>Boisko</v>
          </cell>
          <cell r="C1951" t="str">
            <v>Gra</v>
          </cell>
          <cell r="I1951">
            <v>279</v>
          </cell>
          <cell r="N1951" t="str">
            <v>rozp.</v>
          </cell>
          <cell r="P1951" t="str">
            <v>zak.</v>
          </cell>
          <cell r="R1951" t="str">
            <v>S. serw.</v>
          </cell>
        </row>
        <row r="1952">
          <cell r="A1952">
            <v>279</v>
          </cell>
          <cell r="B1952">
            <v>2</v>
          </cell>
          <cell r="C1952" t="str">
            <v>podwójna dziewcząt M</v>
          </cell>
          <cell r="H1952">
            <v>21</v>
          </cell>
          <cell r="I1952">
            <v>14</v>
          </cell>
          <cell r="J1952">
            <v>10</v>
          </cell>
          <cell r="K1952">
            <v>21</v>
          </cell>
          <cell r="L1952">
            <v>14</v>
          </cell>
          <cell r="M1952">
            <v>21</v>
          </cell>
          <cell r="P1952">
            <v>0.54861111111111105</v>
          </cell>
          <cell r="R1952">
            <v>0.54861111111111105</v>
          </cell>
          <cell r="S1952" t="str">
            <v>sob 12:20</v>
          </cell>
          <cell r="X1952">
            <v>279</v>
          </cell>
          <cell r="Y1952" t="str">
            <v>podwójna dziewcząt M</v>
          </cell>
          <cell r="Z1952" t="str">
            <v>M4285</v>
          </cell>
          <cell r="AA1952" t="str">
            <v>T5056</v>
          </cell>
          <cell r="AB1952" t="str">
            <v>G5122</v>
          </cell>
          <cell r="AC1952" t="str">
            <v>R4341</v>
          </cell>
          <cell r="AD1952" t="str">
            <v>G5122</v>
          </cell>
          <cell r="AE1952" t="str">
            <v>R4341</v>
          </cell>
          <cell r="AF1952" t="str">
            <v>14:21,21:10,21:14</v>
          </cell>
          <cell r="AG1952" t="str">
            <v>21:14,10:21,14:21</v>
          </cell>
          <cell r="AH1952" t="str">
            <v/>
          </cell>
          <cell r="AI1952">
            <v>21</v>
          </cell>
          <cell r="AJ1952">
            <v>14</v>
          </cell>
          <cell r="AK1952">
            <v>10</v>
          </cell>
          <cell r="AL1952">
            <v>21</v>
          </cell>
          <cell r="AM1952">
            <v>14</v>
          </cell>
          <cell r="AN1952">
            <v>21</v>
          </cell>
        </row>
        <row r="1953">
          <cell r="A1953" t="str">
            <v/>
          </cell>
          <cell r="B1953" t="str">
            <v>Beata MICHALUK (SKB Suwałki)</v>
          </cell>
          <cell r="H1953" t="str">
            <v>M4285</v>
          </cell>
          <cell r="K1953" t="str">
            <v>G5122</v>
          </cell>
          <cell r="N1953" t="str">
            <v>Weronika GAPIŃSKA (MLKS Solec Kuj.)</v>
          </cell>
        </row>
        <row r="1954">
          <cell r="A1954" t="str">
            <v/>
          </cell>
          <cell r="B1954" t="str">
            <v>Martyna TROJNIAR (SKB Suwałki)</v>
          </cell>
          <cell r="H1954" t="str">
            <v>T5056</v>
          </cell>
          <cell r="K1954" t="str">
            <v>R4341</v>
          </cell>
          <cell r="N1954" t="str">
            <v>Małgorzata ROGUT (MLKS Solec Kuj.)</v>
          </cell>
        </row>
        <row r="1956">
          <cell r="B1956" t="str">
            <v/>
          </cell>
          <cell r="K1956" t="str">
            <v>zwycięzca(cy): 14:21,21:10,21:14</v>
          </cell>
        </row>
        <row r="1957">
          <cell r="B1957">
            <v>2</v>
          </cell>
          <cell r="C1957" t="str">
            <v>dzień turnieju.</v>
          </cell>
          <cell r="I1957" t="str">
            <v>Nr meczu</v>
          </cell>
          <cell r="N1957" t="str">
            <v>Godz.</v>
          </cell>
          <cell r="R1957" t="str">
            <v>S. prow.</v>
          </cell>
          <cell r="AF1957" t="str">
            <v>wygrany</v>
          </cell>
          <cell r="AG1957" t="str">
            <v>przegrany</v>
          </cell>
        </row>
        <row r="1958">
          <cell r="B1958" t="str">
            <v>Boisko</v>
          </cell>
          <cell r="C1958" t="str">
            <v>Gra</v>
          </cell>
          <cell r="I1958">
            <v>280</v>
          </cell>
          <cell r="N1958" t="str">
            <v>rozp.</v>
          </cell>
          <cell r="P1958" t="str">
            <v>zak.</v>
          </cell>
          <cell r="R1958" t="str">
            <v>S. serw.</v>
          </cell>
        </row>
        <row r="1959">
          <cell r="A1959">
            <v>280</v>
          </cell>
          <cell r="B1959">
            <v>4</v>
          </cell>
          <cell r="C1959" t="str">
            <v>podwójna dziewcząt M</v>
          </cell>
          <cell r="H1959">
            <v>21</v>
          </cell>
          <cell r="I1959">
            <v>7</v>
          </cell>
          <cell r="J1959">
            <v>21</v>
          </cell>
          <cell r="K1959">
            <v>7</v>
          </cell>
          <cell r="P1959">
            <v>0.53472222222222221</v>
          </cell>
          <cell r="R1959">
            <v>0.53472222222222221</v>
          </cell>
          <cell r="S1959" t="str">
            <v>sob 12:20</v>
          </cell>
          <cell r="X1959">
            <v>280</v>
          </cell>
          <cell r="Y1959" t="str">
            <v>podwójna dziewcząt M</v>
          </cell>
          <cell r="Z1959" t="str">
            <v>X21</v>
          </cell>
          <cell r="AA1959" t="str">
            <v>G3411</v>
          </cell>
          <cell r="AB1959" t="str">
            <v>R5590</v>
          </cell>
          <cell r="AC1959" t="str">
            <v>S5361</v>
          </cell>
          <cell r="AD1959" t="str">
            <v>X21</v>
          </cell>
          <cell r="AE1959" t="str">
            <v>G3411</v>
          </cell>
          <cell r="AF1959" t="str">
            <v>21:7,21:7</v>
          </cell>
          <cell r="AG1959" t="str">
            <v>7:21,7:21</v>
          </cell>
          <cell r="AH1959" t="str">
            <v/>
          </cell>
          <cell r="AI1959">
            <v>21</v>
          </cell>
          <cell r="AJ1959">
            <v>7</v>
          </cell>
          <cell r="AK1959">
            <v>21</v>
          </cell>
          <cell r="AL1959">
            <v>7</v>
          </cell>
          <cell r="AM1959">
            <v>0</v>
          </cell>
          <cell r="AN1959">
            <v>0</v>
          </cell>
        </row>
        <row r="1960">
          <cell r="A1960" t="str">
            <v/>
          </cell>
          <cell r="B1960" t="str">
            <v>Tetiana ABRAMOVA (Vinnica Ukraina)</v>
          </cell>
          <cell r="H1960" t="str">
            <v>X21</v>
          </cell>
          <cell r="K1960" t="str">
            <v>R5590</v>
          </cell>
          <cell r="N1960" t="str">
            <v>Julia RUSZKOWSKA (KSR Wolant Łódź)</v>
          </cell>
        </row>
        <row r="1961">
          <cell r="A1961" t="str">
            <v/>
          </cell>
          <cell r="B1961" t="str">
            <v>Magdalena GOLENIA (UKS Sokół Ropczyce)</v>
          </cell>
          <cell r="H1961" t="str">
            <v>G3411</v>
          </cell>
          <cell r="K1961" t="str">
            <v>S5361</v>
          </cell>
          <cell r="N1961" t="str">
            <v>Hanna SZEJN (KSR Wolant Łódź)</v>
          </cell>
        </row>
        <row r="1963">
          <cell r="B1963" t="str">
            <v>zwycięzca(cy): 21:7,21:7</v>
          </cell>
          <cell r="K1963" t="str">
            <v/>
          </cell>
        </row>
        <row r="1964">
          <cell r="B1964">
            <v>2</v>
          </cell>
          <cell r="C1964" t="str">
            <v>dzień turnieju.</v>
          </cell>
          <cell r="I1964" t="str">
            <v>Nr meczu</v>
          </cell>
          <cell r="N1964" t="str">
            <v>Godz.</v>
          </cell>
          <cell r="R1964" t="str">
            <v>S. prow.</v>
          </cell>
          <cell r="AF1964" t="str">
            <v>wygrany</v>
          </cell>
          <cell r="AG1964" t="str">
            <v>przegrany</v>
          </cell>
        </row>
        <row r="1965">
          <cell r="B1965" t="str">
            <v>Boisko</v>
          </cell>
          <cell r="C1965" t="str">
            <v>Gra</v>
          </cell>
          <cell r="I1965">
            <v>281</v>
          </cell>
          <cell r="N1965" t="str">
            <v>rozp.</v>
          </cell>
          <cell r="P1965" t="str">
            <v>zak.</v>
          </cell>
          <cell r="R1965" t="str">
            <v>S. serw.</v>
          </cell>
        </row>
        <row r="1966">
          <cell r="A1966">
            <v>281</v>
          </cell>
          <cell r="B1966">
            <v>2</v>
          </cell>
          <cell r="C1966" t="str">
            <v>podwójna dziewcząt M</v>
          </cell>
          <cell r="H1966">
            <v>5</v>
          </cell>
          <cell r="I1966">
            <v>21</v>
          </cell>
          <cell r="J1966">
            <v>6</v>
          </cell>
          <cell r="K1966">
            <v>21</v>
          </cell>
          <cell r="P1966">
            <v>0.5625</v>
          </cell>
          <cell r="R1966">
            <v>0.5625</v>
          </cell>
          <cell r="S1966" t="str">
            <v>sob 12:20</v>
          </cell>
          <cell r="X1966">
            <v>281</v>
          </cell>
          <cell r="Y1966" t="str">
            <v>podwójna dziewcząt M</v>
          </cell>
          <cell r="Z1966" t="str">
            <v>K4735</v>
          </cell>
          <cell r="AA1966" t="str">
            <v>Z4822</v>
          </cell>
          <cell r="AB1966" t="str">
            <v>A4292</v>
          </cell>
          <cell r="AC1966" t="str">
            <v>P4786</v>
          </cell>
          <cell r="AD1966" t="str">
            <v>A4292</v>
          </cell>
          <cell r="AE1966" t="str">
            <v>P4786</v>
          </cell>
          <cell r="AF1966" t="str">
            <v>21:5,21:6</v>
          </cell>
          <cell r="AG1966" t="str">
            <v>5:21,6:21</v>
          </cell>
          <cell r="AH1966" t="str">
            <v/>
          </cell>
          <cell r="AI1966">
            <v>5</v>
          </cell>
          <cell r="AJ1966">
            <v>21</v>
          </cell>
          <cell r="AK1966">
            <v>6</v>
          </cell>
          <cell r="AL1966">
            <v>21</v>
          </cell>
          <cell r="AM1966">
            <v>0</v>
          </cell>
          <cell r="AN1966">
            <v>0</v>
          </cell>
        </row>
        <row r="1967">
          <cell r="A1967" t="str">
            <v/>
          </cell>
          <cell r="B1967" t="str">
            <v>Oktawia KOISZ (UKS Kiko Zamość)</v>
          </cell>
          <cell r="H1967" t="str">
            <v>K4735</v>
          </cell>
          <cell r="K1967" t="str">
            <v>A4292</v>
          </cell>
          <cell r="N1967" t="str">
            <v>Wiktoria ADAMEK (UKS Ząbkowice Dąbrowa Górn.)</v>
          </cell>
        </row>
        <row r="1968">
          <cell r="A1968" t="str">
            <v/>
          </cell>
          <cell r="B1968" t="str">
            <v>Julia ZIEMIŃSKA (UKS Kiko Zamość)</v>
          </cell>
          <cell r="H1968" t="str">
            <v>Z4822</v>
          </cell>
          <cell r="K1968" t="str">
            <v>P4786</v>
          </cell>
          <cell r="N1968" t="str">
            <v>Aleksandra PTAK (STB Energia Lubliniec)</v>
          </cell>
        </row>
        <row r="1970">
          <cell r="B1970" t="str">
            <v/>
          </cell>
          <cell r="K1970" t="str">
            <v>zwycięzca(cy): 21:5,21:6</v>
          </cell>
        </row>
        <row r="1971">
          <cell r="B1971">
            <v>2</v>
          </cell>
          <cell r="C1971" t="str">
            <v>dzień turnieju.</v>
          </cell>
          <cell r="I1971" t="str">
            <v>Nr meczu</v>
          </cell>
          <cell r="N1971" t="str">
            <v>Godz.</v>
          </cell>
          <cell r="R1971" t="str">
            <v>S. prow.</v>
          </cell>
          <cell r="AF1971" t="str">
            <v>wygrany</v>
          </cell>
          <cell r="AG1971" t="str">
            <v>przegrany</v>
          </cell>
        </row>
        <row r="1972">
          <cell r="B1972" t="str">
            <v>Boisko</v>
          </cell>
          <cell r="C1972" t="str">
            <v>Gra</v>
          </cell>
          <cell r="I1972">
            <v>282</v>
          </cell>
          <cell r="N1972" t="str">
            <v>rozp.</v>
          </cell>
          <cell r="P1972" t="str">
            <v>zak.</v>
          </cell>
          <cell r="R1972" t="str">
            <v>S. serw.</v>
          </cell>
        </row>
        <row r="1973">
          <cell r="A1973">
            <v>282</v>
          </cell>
          <cell r="B1973">
            <v>5</v>
          </cell>
          <cell r="C1973" t="str">
            <v>podwójna chłopców M</v>
          </cell>
          <cell r="H1973">
            <v>17</v>
          </cell>
          <cell r="I1973">
            <v>21</v>
          </cell>
          <cell r="J1973">
            <v>19</v>
          </cell>
          <cell r="K1973">
            <v>21</v>
          </cell>
          <cell r="P1973">
            <v>0.57291666666666663</v>
          </cell>
          <cell r="R1973">
            <v>0.57291666666666663</v>
          </cell>
          <cell r="S1973" t="str">
            <v>sob 12:20</v>
          </cell>
          <cell r="X1973">
            <v>282</v>
          </cell>
          <cell r="Y1973" t="str">
            <v>podwójna chłopców M</v>
          </cell>
          <cell r="Z1973" t="str">
            <v>K4579</v>
          </cell>
          <cell r="AA1973" t="str">
            <v>S5541</v>
          </cell>
          <cell r="AB1973" t="str">
            <v>K4613</v>
          </cell>
          <cell r="AC1973" t="str">
            <v>L4716</v>
          </cell>
          <cell r="AD1973" t="str">
            <v>K4613</v>
          </cell>
          <cell r="AE1973" t="str">
            <v>L4716</v>
          </cell>
          <cell r="AF1973" t="str">
            <v>21:17,21:19</v>
          </cell>
          <cell r="AG1973" t="str">
            <v>17:21,19:21</v>
          </cell>
          <cell r="AH1973" t="str">
            <v/>
          </cell>
          <cell r="AI1973">
            <v>17</v>
          </cell>
          <cell r="AJ1973">
            <v>21</v>
          </cell>
          <cell r="AK1973">
            <v>19</v>
          </cell>
          <cell r="AL1973">
            <v>21</v>
          </cell>
          <cell r="AM1973">
            <v>0</v>
          </cell>
          <cell r="AN1973">
            <v>0</v>
          </cell>
        </row>
        <row r="1974">
          <cell r="A1974" t="str">
            <v/>
          </cell>
          <cell r="B1974" t="str">
            <v>Miłosz KAIM (KS Masovia Płock)</v>
          </cell>
          <cell r="H1974" t="str">
            <v>K4579</v>
          </cell>
          <cell r="K1974" t="str">
            <v>K4613</v>
          </cell>
          <cell r="N1974" t="str">
            <v>Jakub KUFEL (UKS Orbitek Straszęcin)</v>
          </cell>
        </row>
        <row r="1975">
          <cell r="A1975" t="str">
            <v/>
          </cell>
          <cell r="B1975" t="str">
            <v>Kamil SOKOŁOWSKI (KS Masovia Płock)</v>
          </cell>
          <cell r="H1975" t="str">
            <v>S5541</v>
          </cell>
          <cell r="K1975" t="str">
            <v>L4716</v>
          </cell>
          <cell r="N1975" t="str">
            <v>Rafał LEJKO (MKS Stal Nowa Dęba)</v>
          </cell>
        </row>
        <row r="1977">
          <cell r="B1977" t="str">
            <v/>
          </cell>
          <cell r="K1977" t="str">
            <v>zwycięzca(cy): 21:17,21:19</v>
          </cell>
        </row>
        <row r="1978">
          <cell r="B1978">
            <v>2</v>
          </cell>
          <cell r="C1978" t="str">
            <v>dzień turnieju.</v>
          </cell>
          <cell r="I1978" t="str">
            <v>Nr meczu</v>
          </cell>
          <cell r="N1978" t="str">
            <v>Godz.</v>
          </cell>
          <cell r="R1978" t="str">
            <v>S. prow.</v>
          </cell>
          <cell r="AF1978" t="str">
            <v>wygrany</v>
          </cell>
          <cell r="AG1978" t="str">
            <v>przegrany</v>
          </cell>
        </row>
        <row r="1979">
          <cell r="B1979" t="str">
            <v>Boisko</v>
          </cell>
          <cell r="C1979" t="str">
            <v>Gra</v>
          </cell>
          <cell r="I1979">
            <v>283</v>
          </cell>
          <cell r="N1979" t="str">
            <v>rozp.</v>
          </cell>
          <cell r="P1979" t="str">
            <v>zak.</v>
          </cell>
          <cell r="R1979" t="str">
            <v>S. serw.</v>
          </cell>
        </row>
        <row r="1980">
          <cell r="A1980">
            <v>283</v>
          </cell>
          <cell r="B1980">
            <v>4</v>
          </cell>
          <cell r="C1980" t="str">
            <v>podwójna chłopców M</v>
          </cell>
          <cell r="H1980">
            <v>21</v>
          </cell>
          <cell r="I1980">
            <v>11</v>
          </cell>
          <cell r="J1980">
            <v>21</v>
          </cell>
          <cell r="K1980">
            <v>12</v>
          </cell>
          <cell r="P1980">
            <v>0.57291666666666663</v>
          </cell>
          <cell r="R1980">
            <v>0.57291666666666663</v>
          </cell>
          <cell r="S1980" t="str">
            <v>sob 12:20</v>
          </cell>
          <cell r="X1980">
            <v>283</v>
          </cell>
          <cell r="Y1980" t="str">
            <v>podwójna chłopców M</v>
          </cell>
          <cell r="Z1980" t="str">
            <v>A4673</v>
          </cell>
          <cell r="AA1980" t="str">
            <v>J4677</v>
          </cell>
          <cell r="AB1980" t="str">
            <v>M5027</v>
          </cell>
          <cell r="AC1980" t="str">
            <v>M4588</v>
          </cell>
          <cell r="AD1980" t="str">
            <v>A4673</v>
          </cell>
          <cell r="AE1980" t="str">
            <v>J4677</v>
          </cell>
          <cell r="AF1980" t="str">
            <v>21:11,21:12</v>
          </cell>
          <cell r="AG1980" t="str">
            <v>11:21,12:21</v>
          </cell>
          <cell r="AH1980" t="str">
            <v/>
          </cell>
          <cell r="AI1980">
            <v>21</v>
          </cell>
          <cell r="AJ1980">
            <v>11</v>
          </cell>
          <cell r="AK1980">
            <v>21</v>
          </cell>
          <cell r="AL1980">
            <v>12</v>
          </cell>
          <cell r="AM1980">
            <v>0</v>
          </cell>
          <cell r="AN1980">
            <v>0</v>
          </cell>
        </row>
        <row r="1981">
          <cell r="A1981" t="str">
            <v/>
          </cell>
          <cell r="B1981" t="str">
            <v>Szymon ADAMCZUK (UKS Kiko Zamość)</v>
          </cell>
          <cell r="H1981" t="str">
            <v>A4673</v>
          </cell>
          <cell r="K1981" t="str">
            <v>M5027</v>
          </cell>
          <cell r="N1981" t="str">
            <v>Kamil MACIOŁEK (MKS Strzelce Opolskie)</v>
          </cell>
        </row>
        <row r="1982">
          <cell r="A1982" t="str">
            <v/>
          </cell>
          <cell r="B1982" t="str">
            <v>Adam JAGODA (UKS Kiko Zamość)</v>
          </cell>
          <cell r="H1982" t="str">
            <v>J4677</v>
          </cell>
          <cell r="K1982" t="str">
            <v>M4588</v>
          </cell>
          <cell r="N1982" t="str">
            <v>Jakub MINARTOWICZ (LKS Technik Głubczyce)</v>
          </cell>
        </row>
        <row r="1984">
          <cell r="B1984" t="str">
            <v>zwycięzca(cy): 21:11,21:12</v>
          </cell>
          <cell r="K1984" t="str">
            <v/>
          </cell>
        </row>
        <row r="1985">
          <cell r="B1985">
            <v>2</v>
          </cell>
          <cell r="C1985" t="str">
            <v>dzień turnieju.</v>
          </cell>
          <cell r="I1985" t="str">
            <v>Nr meczu</v>
          </cell>
          <cell r="N1985" t="str">
            <v>Godz.</v>
          </cell>
          <cell r="R1985" t="str">
            <v>S. prow.</v>
          </cell>
          <cell r="AF1985" t="str">
            <v>wygrany</v>
          </cell>
          <cell r="AG1985" t="str">
            <v>przegrany</v>
          </cell>
        </row>
        <row r="1986">
          <cell r="B1986" t="str">
            <v>Boisko</v>
          </cell>
          <cell r="C1986" t="str">
            <v>Gra</v>
          </cell>
          <cell r="I1986">
            <v>284</v>
          </cell>
          <cell r="N1986" t="str">
            <v>rozp.</v>
          </cell>
          <cell r="P1986" t="str">
            <v>zak.</v>
          </cell>
          <cell r="R1986" t="str">
            <v>S. serw.</v>
          </cell>
        </row>
        <row r="1987">
          <cell r="A1987">
            <v>284</v>
          </cell>
          <cell r="B1987">
            <v>6</v>
          </cell>
          <cell r="C1987" t="str">
            <v>podwójna chłopców M</v>
          </cell>
          <cell r="H1987">
            <v>21</v>
          </cell>
          <cell r="I1987">
            <v>14</v>
          </cell>
          <cell r="J1987">
            <v>21</v>
          </cell>
          <cell r="K1987">
            <v>18</v>
          </cell>
          <cell r="P1987">
            <v>0.57638888888888895</v>
          </cell>
          <cell r="R1987">
            <v>0.57638888888888895</v>
          </cell>
          <cell r="S1987" t="str">
            <v>sob 12:20</v>
          </cell>
          <cell r="X1987">
            <v>284</v>
          </cell>
          <cell r="Y1987" t="str">
            <v>podwójna chłopców M</v>
          </cell>
          <cell r="Z1987" t="str">
            <v>B4431</v>
          </cell>
          <cell r="AA1987" t="str">
            <v>K4432</v>
          </cell>
          <cell r="AB1987" t="str">
            <v>E4320</v>
          </cell>
          <cell r="AC1987" t="str">
            <v>W4657</v>
          </cell>
          <cell r="AD1987" t="str">
            <v>B4431</v>
          </cell>
          <cell r="AE1987" t="str">
            <v>K4432</v>
          </cell>
          <cell r="AF1987" t="str">
            <v>21:14,21:18</v>
          </cell>
          <cell r="AG1987" t="str">
            <v>14:21,18:21</v>
          </cell>
          <cell r="AH1987" t="str">
            <v/>
          </cell>
          <cell r="AI1987">
            <v>21</v>
          </cell>
          <cell r="AJ1987">
            <v>14</v>
          </cell>
          <cell r="AK1987">
            <v>21</v>
          </cell>
          <cell r="AL1987">
            <v>18</v>
          </cell>
          <cell r="AM1987">
            <v>0</v>
          </cell>
          <cell r="AN1987">
            <v>0</v>
          </cell>
        </row>
        <row r="1988">
          <cell r="A1988" t="str">
            <v/>
          </cell>
          <cell r="B1988" t="str">
            <v>Michał BIENIA (UKS Aktywna Piątka Przemyśl)</v>
          </cell>
          <cell r="H1988" t="str">
            <v>B4431</v>
          </cell>
          <cell r="K1988" t="str">
            <v>E4320</v>
          </cell>
          <cell r="N1988" t="str">
            <v>Franciszek EBERT (KS Hubertus Zalesie Górne)</v>
          </cell>
        </row>
        <row r="1989">
          <cell r="A1989" t="str">
            <v/>
          </cell>
          <cell r="B1989" t="str">
            <v>Daniel KNAP (UKS Aktywna Piątka Przemyśl)</v>
          </cell>
          <cell r="H1989" t="str">
            <v>K4432</v>
          </cell>
          <cell r="K1989" t="str">
            <v>W4657</v>
          </cell>
          <cell r="N1989" t="str">
            <v>Aleksander WYŻYKOWSKI (KS Hubertus Zalesie Górne)</v>
          </cell>
        </row>
        <row r="1991">
          <cell r="B1991" t="str">
            <v>zwycięzca(cy): 21:14,21:18</v>
          </cell>
          <cell r="K1991" t="str">
            <v/>
          </cell>
        </row>
        <row r="1992">
          <cell r="B1992">
            <v>2</v>
          </cell>
          <cell r="C1992" t="str">
            <v>dzień turnieju.</v>
          </cell>
          <cell r="I1992" t="str">
            <v>Nr meczu</v>
          </cell>
          <cell r="N1992" t="str">
            <v>Godz.</v>
          </cell>
          <cell r="R1992" t="str">
            <v>S. prow.</v>
          </cell>
          <cell r="AF1992" t="str">
            <v>wygrany</v>
          </cell>
          <cell r="AG1992" t="str">
            <v>przegrany</v>
          </cell>
        </row>
        <row r="1993">
          <cell r="B1993" t="str">
            <v>Boisko</v>
          </cell>
          <cell r="C1993" t="str">
            <v>Gra</v>
          </cell>
          <cell r="I1993">
            <v>285</v>
          </cell>
          <cell r="N1993" t="str">
            <v>rozp.</v>
          </cell>
          <cell r="P1993" t="str">
            <v>zak.</v>
          </cell>
          <cell r="R1993" t="str">
            <v>S. serw.</v>
          </cell>
        </row>
        <row r="1994">
          <cell r="A1994">
            <v>285</v>
          </cell>
          <cell r="B1994">
            <v>3</v>
          </cell>
          <cell r="C1994" t="str">
            <v>podwójna chłopców M</v>
          </cell>
          <cell r="H1994">
            <v>21</v>
          </cell>
          <cell r="I1994">
            <v>0</v>
          </cell>
          <cell r="J1994">
            <v>21</v>
          </cell>
          <cell r="K1994">
            <v>0</v>
          </cell>
          <cell r="P1994">
            <v>0.375</v>
          </cell>
          <cell r="R1994">
            <v>0.375</v>
          </cell>
          <cell r="S1994" t="str">
            <v>sob 13:00</v>
          </cell>
          <cell r="X1994">
            <v>285</v>
          </cell>
          <cell r="Y1994" t="str">
            <v>podwójna chłopców M</v>
          </cell>
          <cell r="Z1994" t="str">
            <v>P4121</v>
          </cell>
          <cell r="AA1994" t="str">
            <v>P4530</v>
          </cell>
          <cell r="AB1994" t="str">
            <v>M4817</v>
          </cell>
          <cell r="AC1994" t="str">
            <v>P4726</v>
          </cell>
          <cell r="AD1994" t="str">
            <v>P4121</v>
          </cell>
          <cell r="AE1994" t="str">
            <v>P4530</v>
          </cell>
          <cell r="AF1994" t="str">
            <v>21:0,21:0</v>
          </cell>
          <cell r="AG1994" t="str">
            <v>0:21,0:21</v>
          </cell>
          <cell r="AH1994" t="str">
            <v/>
          </cell>
          <cell r="AI1994">
            <v>21</v>
          </cell>
          <cell r="AJ1994">
            <v>0</v>
          </cell>
          <cell r="AK1994">
            <v>21</v>
          </cell>
          <cell r="AL1994">
            <v>0</v>
          </cell>
          <cell r="AM1994">
            <v>0</v>
          </cell>
          <cell r="AN1994">
            <v>0</v>
          </cell>
        </row>
        <row r="1995">
          <cell r="A1995" t="str">
            <v/>
          </cell>
          <cell r="B1995" t="str">
            <v>Konrad PŁOCH (UKS Start Widełka)</v>
          </cell>
          <cell r="H1995" t="str">
            <v>P4121</v>
          </cell>
          <cell r="K1995" t="str">
            <v>M4817</v>
          </cell>
          <cell r="N1995" t="str">
            <v>Arkadiusz MIECZKOWSKI (UKS Hubal Białystok)</v>
          </cell>
        </row>
        <row r="1996">
          <cell r="A1996" t="str">
            <v/>
          </cell>
          <cell r="B1996" t="str">
            <v>Krzysztof PŁOCH (UKS Start Widełka)</v>
          </cell>
          <cell r="H1996" t="str">
            <v>P4530</v>
          </cell>
          <cell r="K1996" t="str">
            <v>P4726</v>
          </cell>
          <cell r="N1996" t="str">
            <v>Paweł POLAKOWSKI (UKS Hubal Białystok)</v>
          </cell>
        </row>
        <row r="1998">
          <cell r="B1998" t="str">
            <v>zwycięzca(cy): 21:0,21:0</v>
          </cell>
          <cell r="K1998" t="str">
            <v/>
          </cell>
        </row>
        <row r="1999">
          <cell r="B1999">
            <v>2</v>
          </cell>
          <cell r="C1999" t="str">
            <v>dzień turnieju.</v>
          </cell>
          <cell r="I1999" t="str">
            <v>Nr meczu</v>
          </cell>
          <cell r="N1999" t="str">
            <v>Godz.</v>
          </cell>
          <cell r="R1999" t="str">
            <v>S. prow.</v>
          </cell>
          <cell r="AF1999" t="str">
            <v>wygrany</v>
          </cell>
          <cell r="AG1999" t="str">
            <v>przegrany</v>
          </cell>
        </row>
        <row r="2000">
          <cell r="B2000" t="str">
            <v>Boisko</v>
          </cell>
          <cell r="C2000" t="str">
            <v>Gra</v>
          </cell>
          <cell r="I2000">
            <v>286</v>
          </cell>
          <cell r="N2000" t="str">
            <v>rozp.</v>
          </cell>
          <cell r="P2000" t="str">
            <v>zak.</v>
          </cell>
          <cell r="R2000" t="str">
            <v>S. serw.</v>
          </cell>
        </row>
        <row r="2001">
          <cell r="A2001">
            <v>286</v>
          </cell>
          <cell r="B2001">
            <v>1</v>
          </cell>
          <cell r="C2001" t="str">
            <v>podwójna chłopców M</v>
          </cell>
          <cell r="H2001">
            <v>11</v>
          </cell>
          <cell r="I2001">
            <v>21</v>
          </cell>
          <cell r="J2001">
            <v>22</v>
          </cell>
          <cell r="K2001">
            <v>20</v>
          </cell>
          <cell r="L2001">
            <v>21</v>
          </cell>
          <cell r="M2001">
            <v>10</v>
          </cell>
          <cell r="P2001">
            <v>0.58333333333333337</v>
          </cell>
          <cell r="R2001">
            <v>0.58333333333333337</v>
          </cell>
          <cell r="S2001" t="str">
            <v>sob 13:00</v>
          </cell>
          <cell r="X2001">
            <v>286</v>
          </cell>
          <cell r="Y2001" t="str">
            <v>podwójna chłopców M</v>
          </cell>
          <cell r="Z2001" t="str">
            <v>K4283</v>
          </cell>
          <cell r="AA2001" t="str">
            <v>S4287</v>
          </cell>
          <cell r="AB2001" t="str">
            <v>L4473</v>
          </cell>
          <cell r="AC2001" t="str">
            <v>M3747</v>
          </cell>
          <cell r="AD2001" t="str">
            <v>K4283</v>
          </cell>
          <cell r="AE2001" t="str">
            <v>S4287</v>
          </cell>
          <cell r="AF2001" t="str">
            <v>11:21,22:20,21:10</v>
          </cell>
          <cell r="AG2001" t="str">
            <v>21:11,20:22,10:21</v>
          </cell>
          <cell r="AH2001" t="str">
            <v/>
          </cell>
          <cell r="AI2001">
            <v>11</v>
          </cell>
          <cell r="AJ2001">
            <v>21</v>
          </cell>
          <cell r="AK2001">
            <v>22</v>
          </cell>
          <cell r="AL2001">
            <v>20</v>
          </cell>
          <cell r="AM2001">
            <v>21</v>
          </cell>
          <cell r="AN2001">
            <v>10</v>
          </cell>
        </row>
        <row r="2002">
          <cell r="A2002" t="str">
            <v/>
          </cell>
          <cell r="B2002" t="str">
            <v>Filip KRUKOWSKI (SKB Suwałki)</v>
          </cell>
          <cell r="H2002" t="str">
            <v>K4283</v>
          </cell>
          <cell r="K2002" t="str">
            <v>L4473</v>
          </cell>
          <cell r="N2002" t="str">
            <v>Jan LEWANDOWSKI (BKS Kolejarz Częstochowa)</v>
          </cell>
        </row>
        <row r="2003">
          <cell r="A2003" t="str">
            <v/>
          </cell>
          <cell r="B2003" t="str">
            <v>Michał SOBOLEWSKI (SKB Suwałki)</v>
          </cell>
          <cell r="H2003" t="str">
            <v>S4287</v>
          </cell>
          <cell r="K2003" t="str">
            <v>M3747</v>
          </cell>
          <cell r="N2003" t="str">
            <v>Michał MATYSIAK (KS Hubertus Zalesie Górne)</v>
          </cell>
        </row>
        <row r="2005">
          <cell r="B2005" t="str">
            <v>zwycięzca(cy): 11:21,22:20,21:10</v>
          </cell>
          <cell r="K2005" t="str">
            <v/>
          </cell>
        </row>
        <row r="2006">
          <cell r="B2006">
            <v>2</v>
          </cell>
          <cell r="C2006" t="str">
            <v>dzień turnieju.</v>
          </cell>
          <cell r="I2006" t="str">
            <v>Nr meczu</v>
          </cell>
          <cell r="N2006" t="str">
            <v>Godz.</v>
          </cell>
          <cell r="R2006" t="str">
            <v>S. prow.</v>
          </cell>
          <cell r="AF2006" t="str">
            <v>wygrany</v>
          </cell>
          <cell r="AG2006" t="str">
            <v>przegrany</v>
          </cell>
        </row>
        <row r="2007">
          <cell r="B2007" t="str">
            <v>Boisko</v>
          </cell>
          <cell r="C2007" t="str">
            <v>Gra</v>
          </cell>
          <cell r="I2007">
            <v>287</v>
          </cell>
          <cell r="N2007" t="str">
            <v>rozp.</v>
          </cell>
          <cell r="P2007" t="str">
            <v>zak.</v>
          </cell>
          <cell r="R2007" t="str">
            <v>S. serw.</v>
          </cell>
        </row>
        <row r="2008">
          <cell r="A2008">
            <v>287</v>
          </cell>
          <cell r="B2008">
            <v>2</v>
          </cell>
          <cell r="C2008" t="str">
            <v>podwójna chłopców M</v>
          </cell>
          <cell r="H2008">
            <v>21</v>
          </cell>
          <cell r="I2008">
            <v>15</v>
          </cell>
          <cell r="J2008">
            <v>21</v>
          </cell>
          <cell r="K2008">
            <v>5</v>
          </cell>
          <cell r="P2008">
            <v>0.57291666666666663</v>
          </cell>
          <cell r="R2008">
            <v>0.57291666666666663</v>
          </cell>
          <cell r="S2008" t="str">
            <v>sob 13:00</v>
          </cell>
          <cell r="X2008">
            <v>287</v>
          </cell>
          <cell r="Y2008" t="str">
            <v>podwójna chłopców M</v>
          </cell>
          <cell r="Z2008" t="str">
            <v>F4551</v>
          </cell>
          <cell r="AA2008" t="str">
            <v>K4556</v>
          </cell>
          <cell r="AB2008" t="str">
            <v>J4722</v>
          </cell>
          <cell r="AC2008" t="str">
            <v>T4723</v>
          </cell>
          <cell r="AD2008" t="str">
            <v>F4551</v>
          </cell>
          <cell r="AE2008" t="str">
            <v>K4556</v>
          </cell>
          <cell r="AF2008" t="str">
            <v>21:15,21:5</v>
          </cell>
          <cell r="AG2008" t="str">
            <v>15:21,5:21</v>
          </cell>
          <cell r="AH2008" t="str">
            <v/>
          </cell>
          <cell r="AI2008">
            <v>21</v>
          </cell>
          <cell r="AJ2008">
            <v>15</v>
          </cell>
          <cell r="AK2008">
            <v>21</v>
          </cell>
          <cell r="AL2008">
            <v>5</v>
          </cell>
          <cell r="AM2008">
            <v>0</v>
          </cell>
          <cell r="AN2008">
            <v>0</v>
          </cell>
        </row>
        <row r="2009">
          <cell r="A2009" t="str">
            <v/>
          </cell>
          <cell r="B2009" t="str">
            <v>Grzegorz FRAŚ (MKS Spartakus Niepołomice)</v>
          </cell>
          <cell r="H2009" t="str">
            <v>F4551</v>
          </cell>
          <cell r="K2009" t="str">
            <v>J4722</v>
          </cell>
          <cell r="N2009" t="str">
            <v>Mikołaj JÓŹWIAK (KS Hubertus Zalesie Górne)</v>
          </cell>
        </row>
        <row r="2010">
          <cell r="A2010" t="str">
            <v/>
          </cell>
          <cell r="B2010" t="str">
            <v>Piotr KUKUŁA (UKS Orliki Ropica Polska)</v>
          </cell>
          <cell r="H2010" t="str">
            <v>K4556</v>
          </cell>
          <cell r="K2010" t="str">
            <v>T4723</v>
          </cell>
          <cell r="N2010" t="str">
            <v>Dominik TELAKOWIEC (KS Hubertus Zalesie Górne)</v>
          </cell>
        </row>
        <row r="2012">
          <cell r="B2012" t="str">
            <v>zwycięzca(cy): 21:15,21:5</v>
          </cell>
          <cell r="K2012" t="str">
            <v/>
          </cell>
        </row>
        <row r="2013">
          <cell r="B2013">
            <v>2</v>
          </cell>
          <cell r="C2013" t="str">
            <v>dzień turnieju.</v>
          </cell>
          <cell r="I2013" t="str">
            <v>Nr meczu</v>
          </cell>
          <cell r="N2013" t="str">
            <v>Godz.</v>
          </cell>
          <cell r="R2013" t="str">
            <v>S. prow.</v>
          </cell>
          <cell r="AF2013" t="str">
            <v>wygrany</v>
          </cell>
          <cell r="AG2013" t="str">
            <v>przegrany</v>
          </cell>
        </row>
        <row r="2014">
          <cell r="B2014" t="str">
            <v>Boisko</v>
          </cell>
          <cell r="C2014" t="str">
            <v>Gra</v>
          </cell>
          <cell r="I2014">
            <v>288</v>
          </cell>
          <cell r="N2014" t="str">
            <v>rozp.</v>
          </cell>
          <cell r="P2014" t="str">
            <v>zak.</v>
          </cell>
          <cell r="R2014" t="str">
            <v>S. serw.</v>
          </cell>
        </row>
        <row r="2015">
          <cell r="A2015">
            <v>288</v>
          </cell>
          <cell r="B2015">
            <v>3</v>
          </cell>
          <cell r="C2015" t="str">
            <v>podwójna chłopców M</v>
          </cell>
          <cell r="H2015">
            <v>21</v>
          </cell>
          <cell r="I2015">
            <v>18</v>
          </cell>
          <cell r="J2015">
            <v>21</v>
          </cell>
          <cell r="K2015">
            <v>15</v>
          </cell>
          <cell r="P2015">
            <v>0.58333333333333337</v>
          </cell>
          <cell r="R2015">
            <v>0.58333333333333337</v>
          </cell>
          <cell r="S2015" t="str">
            <v>sob 13:00</v>
          </cell>
          <cell r="X2015">
            <v>288</v>
          </cell>
          <cell r="Y2015" t="str">
            <v>podwójna chłopców M</v>
          </cell>
          <cell r="Z2015" t="str">
            <v>C3670</v>
          </cell>
          <cell r="AA2015" t="str">
            <v>S3748</v>
          </cell>
          <cell r="AB2015" t="str">
            <v>M4170</v>
          </cell>
          <cell r="AC2015" t="str">
            <v>W4753</v>
          </cell>
          <cell r="AD2015" t="str">
            <v>C3670</v>
          </cell>
          <cell r="AE2015" t="str">
            <v>S3748</v>
          </cell>
          <cell r="AF2015" t="str">
            <v>21:18,21:15</v>
          </cell>
          <cell r="AG2015" t="str">
            <v>18:21,15:21</v>
          </cell>
          <cell r="AH2015" t="str">
            <v/>
          </cell>
          <cell r="AI2015">
            <v>21</v>
          </cell>
          <cell r="AJ2015">
            <v>18</v>
          </cell>
          <cell r="AK2015">
            <v>21</v>
          </cell>
          <cell r="AL2015">
            <v>15</v>
          </cell>
          <cell r="AM2015">
            <v>0</v>
          </cell>
          <cell r="AN2015">
            <v>0</v>
          </cell>
        </row>
        <row r="2016">
          <cell r="A2016" t="str">
            <v/>
          </cell>
          <cell r="B2016" t="str">
            <v>Robert CYBULSKI (MKB Lednik Miastko)</v>
          </cell>
          <cell r="H2016" t="str">
            <v>C3670</v>
          </cell>
          <cell r="K2016" t="str">
            <v>M4170</v>
          </cell>
          <cell r="N2016" t="str">
            <v>Kamil MICHAŁEK (UKS Orbitek Straszęcin)</v>
          </cell>
        </row>
        <row r="2017">
          <cell r="A2017" t="str">
            <v/>
          </cell>
          <cell r="B2017" t="str">
            <v>Adam SZOLC (KS Hubertus Zalesie Górne)</v>
          </cell>
          <cell r="H2017" t="str">
            <v>S3748</v>
          </cell>
          <cell r="K2017" t="str">
            <v>W4753</v>
          </cell>
          <cell r="N2017" t="str">
            <v>Natan VOGT (MMKS Kędzierzyn-Koźle)</v>
          </cell>
        </row>
        <row r="2019">
          <cell r="B2019" t="str">
            <v>zwycięzca(cy): 21:18,21:15</v>
          </cell>
          <cell r="K2019" t="str">
            <v/>
          </cell>
        </row>
        <row r="2020">
          <cell r="B2020">
            <v>2</v>
          </cell>
          <cell r="C2020" t="str">
            <v>dzień turnieju.</v>
          </cell>
          <cell r="I2020" t="str">
            <v>Nr meczu</v>
          </cell>
          <cell r="N2020" t="str">
            <v>Godz.</v>
          </cell>
          <cell r="R2020" t="str">
            <v>S. prow.</v>
          </cell>
          <cell r="AF2020" t="str">
            <v>wygrany</v>
          </cell>
          <cell r="AG2020" t="str">
            <v>przegrany</v>
          </cell>
        </row>
        <row r="2021">
          <cell r="B2021" t="str">
            <v>Boisko</v>
          </cell>
          <cell r="C2021" t="str">
            <v>Gra</v>
          </cell>
          <cell r="I2021">
            <v>289</v>
          </cell>
          <cell r="N2021" t="str">
            <v>rozp.</v>
          </cell>
          <cell r="P2021" t="str">
            <v>zak.</v>
          </cell>
          <cell r="R2021" t="str">
            <v>S. serw.</v>
          </cell>
        </row>
        <row r="2022">
          <cell r="A2022">
            <v>289</v>
          </cell>
          <cell r="B2022">
            <v>5</v>
          </cell>
          <cell r="C2022" t="str">
            <v>podwójna chłopców M</v>
          </cell>
          <cell r="H2022">
            <v>21</v>
          </cell>
          <cell r="I2022">
            <v>7</v>
          </cell>
          <cell r="J2022">
            <v>21</v>
          </cell>
          <cell r="K2022">
            <v>2</v>
          </cell>
          <cell r="P2022">
            <v>0.58333333333333337</v>
          </cell>
          <cell r="R2022">
            <v>0.58333333333333337</v>
          </cell>
          <cell r="S2022" t="str">
            <v>sob 13:00</v>
          </cell>
          <cell r="X2022">
            <v>289</v>
          </cell>
          <cell r="Y2022" t="str">
            <v>podwójna chłopców M</v>
          </cell>
          <cell r="Z2022" t="str">
            <v>G4577</v>
          </cell>
          <cell r="AA2022" t="str">
            <v>K4563</v>
          </cell>
          <cell r="AB2022" t="str">
            <v>K5132</v>
          </cell>
          <cell r="AC2022" t="str">
            <v>S5947</v>
          </cell>
          <cell r="AD2022" t="str">
            <v>G4577</v>
          </cell>
          <cell r="AE2022" t="str">
            <v>K4563</v>
          </cell>
          <cell r="AF2022" t="str">
            <v>21:7,21:2</v>
          </cell>
          <cell r="AG2022" t="str">
            <v>7:21,2:21</v>
          </cell>
          <cell r="AH2022" t="str">
            <v/>
          </cell>
          <cell r="AI2022">
            <v>21</v>
          </cell>
          <cell r="AJ2022">
            <v>7</v>
          </cell>
          <cell r="AK2022">
            <v>21</v>
          </cell>
          <cell r="AL2022">
            <v>2</v>
          </cell>
          <cell r="AM2022">
            <v>0</v>
          </cell>
          <cell r="AN2022">
            <v>0</v>
          </cell>
        </row>
        <row r="2023">
          <cell r="A2023" t="str">
            <v/>
          </cell>
          <cell r="B2023" t="str">
            <v>Jakub GIREŃ (MKS Strzelce Opolskie)</v>
          </cell>
          <cell r="H2023" t="str">
            <v>G4577</v>
          </cell>
          <cell r="K2023" t="str">
            <v>K5132</v>
          </cell>
          <cell r="N2023" t="str">
            <v>Piotr KRAJEWSKI (UKSB Milenium Warszawa)</v>
          </cell>
        </row>
        <row r="2024">
          <cell r="A2024" t="str">
            <v/>
          </cell>
          <cell r="B2024" t="str">
            <v>Kordian KOBYLNIK (LKS Technik Głubczyce)</v>
          </cell>
          <cell r="H2024" t="str">
            <v>K4563</v>
          </cell>
          <cell r="K2024" t="str">
            <v>S5947</v>
          </cell>
          <cell r="N2024" t="str">
            <v>Mateusz SADOWSKI (UKSB Milenium Warszawa)</v>
          </cell>
        </row>
        <row r="2026">
          <cell r="B2026" t="str">
            <v>zwycięzca(cy): 21:7,21:2</v>
          </cell>
          <cell r="K2026" t="str">
            <v/>
          </cell>
        </row>
        <row r="2027">
          <cell r="B2027">
            <v>2</v>
          </cell>
          <cell r="C2027" t="str">
            <v>dzień turnieju.</v>
          </cell>
          <cell r="I2027" t="str">
            <v>Nr meczu</v>
          </cell>
          <cell r="N2027" t="str">
            <v>Godz.</v>
          </cell>
          <cell r="R2027" t="str">
            <v>S. prow.</v>
          </cell>
          <cell r="AF2027" t="str">
            <v>wygrany</v>
          </cell>
          <cell r="AG2027" t="str">
            <v>przegrany</v>
          </cell>
        </row>
        <row r="2028">
          <cell r="B2028" t="str">
            <v>Boisko</v>
          </cell>
          <cell r="C2028" t="str">
            <v>Gra</v>
          </cell>
          <cell r="I2028">
            <v>290</v>
          </cell>
          <cell r="N2028" t="str">
            <v>rozp.</v>
          </cell>
          <cell r="P2028" t="str">
            <v>zak.</v>
          </cell>
          <cell r="R2028" t="str">
            <v>S. serw.</v>
          </cell>
        </row>
        <row r="2029">
          <cell r="A2029">
            <v>290</v>
          </cell>
          <cell r="B2029">
            <v>4</v>
          </cell>
          <cell r="C2029" t="str">
            <v>podwójna chłopców M</v>
          </cell>
          <cell r="H2029">
            <v>21</v>
          </cell>
          <cell r="I2029">
            <v>16</v>
          </cell>
          <cell r="J2029">
            <v>21</v>
          </cell>
          <cell r="K2029">
            <v>10</v>
          </cell>
          <cell r="P2029">
            <v>0.59027777777777779</v>
          </cell>
          <cell r="R2029">
            <v>0.59027777777777779</v>
          </cell>
          <cell r="S2029" t="str">
            <v>sob 13:00</v>
          </cell>
          <cell r="X2029">
            <v>290</v>
          </cell>
          <cell r="Y2029" t="str">
            <v>podwójna chłopców M</v>
          </cell>
          <cell r="Z2029" t="str">
            <v>G4559</v>
          </cell>
          <cell r="AA2029" t="str">
            <v>G4560</v>
          </cell>
          <cell r="AB2029" t="str">
            <v>S5092</v>
          </cell>
          <cell r="AC2029" t="str">
            <v>T3692</v>
          </cell>
          <cell r="AD2029" t="str">
            <v>G4559</v>
          </cell>
          <cell r="AE2029" t="str">
            <v>G4560</v>
          </cell>
          <cell r="AF2029" t="str">
            <v>21:16,21:10</v>
          </cell>
          <cell r="AG2029" t="str">
            <v>16:21,10:21</v>
          </cell>
          <cell r="AH2029" t="str">
            <v/>
          </cell>
          <cell r="AI2029">
            <v>21</v>
          </cell>
          <cell r="AJ2029">
            <v>16</v>
          </cell>
          <cell r="AK2029">
            <v>21</v>
          </cell>
          <cell r="AL2029">
            <v>10</v>
          </cell>
          <cell r="AM2029">
            <v>0</v>
          </cell>
          <cell r="AN2029">
            <v>0</v>
          </cell>
        </row>
        <row r="2030">
          <cell r="A2030" t="str">
            <v/>
          </cell>
          <cell r="B2030" t="str">
            <v>Maciej GOMOŁA (KS Masovia Płock)</v>
          </cell>
          <cell r="H2030" t="str">
            <v>G4559</v>
          </cell>
          <cell r="K2030" t="str">
            <v>S5092</v>
          </cell>
          <cell r="N2030" t="str">
            <v>Andrzej SAWICKI (UKS Hubal Białystok)</v>
          </cell>
        </row>
        <row r="2031">
          <cell r="A2031" t="str">
            <v/>
          </cell>
          <cell r="B2031" t="str">
            <v>Michał GOMOŁA (KS Masovia Płock)</v>
          </cell>
          <cell r="H2031" t="str">
            <v>G4560</v>
          </cell>
          <cell r="K2031" t="str">
            <v>T3692</v>
          </cell>
          <cell r="N2031" t="str">
            <v>Kacper TROCHIM (UKS Hubal Białystok)</v>
          </cell>
        </row>
        <row r="2033">
          <cell r="B2033" t="str">
            <v>zwycięzca(cy): 21:16,21:10</v>
          </cell>
          <cell r="K2033" t="str">
            <v/>
          </cell>
        </row>
        <row r="2034">
          <cell r="B2034">
            <v>2</v>
          </cell>
          <cell r="C2034" t="str">
            <v>dzień turnieju.</v>
          </cell>
          <cell r="I2034" t="str">
            <v>Nr meczu</v>
          </cell>
          <cell r="N2034" t="str">
            <v>Godz.</v>
          </cell>
          <cell r="R2034" t="str">
            <v>S. prow.</v>
          </cell>
          <cell r="AF2034" t="str">
            <v>wygrany</v>
          </cell>
          <cell r="AG2034" t="str">
            <v>przegrany</v>
          </cell>
        </row>
        <row r="2035">
          <cell r="B2035" t="str">
            <v>Boisko</v>
          </cell>
          <cell r="C2035" t="str">
            <v>Gra</v>
          </cell>
          <cell r="I2035">
            <v>291</v>
          </cell>
          <cell r="N2035" t="str">
            <v>rozp.</v>
          </cell>
          <cell r="P2035" t="str">
            <v>zak.</v>
          </cell>
          <cell r="R2035" t="str">
            <v>S. serw.</v>
          </cell>
        </row>
        <row r="2036">
          <cell r="A2036">
            <v>291</v>
          </cell>
          <cell r="B2036">
            <v>2</v>
          </cell>
          <cell r="C2036" t="str">
            <v>pojedyncza dziewcząt Ż</v>
          </cell>
          <cell r="H2036">
            <v>23</v>
          </cell>
          <cell r="I2036">
            <v>21</v>
          </cell>
          <cell r="J2036">
            <v>21</v>
          </cell>
          <cell r="K2036">
            <v>8</v>
          </cell>
          <cell r="P2036">
            <v>0.59027777777777779</v>
          </cell>
          <cell r="R2036">
            <v>0.59027777777777779</v>
          </cell>
          <cell r="S2036" t="str">
            <v>sob 13:20</v>
          </cell>
          <cell r="X2036">
            <v>291</v>
          </cell>
          <cell r="Y2036" t="str">
            <v>pojedyncza dziewcząt Ż</v>
          </cell>
          <cell r="Z2036" t="str">
            <v>N5113</v>
          </cell>
          <cell r="AA2036" t="str">
            <v/>
          </cell>
          <cell r="AB2036" t="str">
            <v>W5473</v>
          </cell>
          <cell r="AC2036" t="str">
            <v/>
          </cell>
          <cell r="AD2036" t="str">
            <v>N5113</v>
          </cell>
          <cell r="AE2036" t="str">
            <v/>
          </cell>
          <cell r="AF2036" t="str">
            <v>23:21,21:8</v>
          </cell>
          <cell r="AG2036" t="str">
            <v>21:23,8:21</v>
          </cell>
          <cell r="AH2036" t="str">
            <v/>
          </cell>
          <cell r="AI2036">
            <v>23</v>
          </cell>
          <cell r="AJ2036">
            <v>21</v>
          </cell>
          <cell r="AK2036">
            <v>21</v>
          </cell>
          <cell r="AL2036">
            <v>8</v>
          </cell>
          <cell r="AM2036">
            <v>0</v>
          </cell>
          <cell r="AN2036">
            <v>0</v>
          </cell>
        </row>
        <row r="2037">
          <cell r="A2037" t="str">
            <v/>
          </cell>
          <cell r="B2037" t="str">
            <v>Weronika NIKLAS (ULKS U-2 Lotka Bytów)</v>
          </cell>
          <cell r="H2037" t="str">
            <v>N5113</v>
          </cell>
          <cell r="K2037" t="str">
            <v>W5473</v>
          </cell>
          <cell r="N2037" t="str">
            <v>Paulina WUDARSKA (UKS Iskra Sarbice)</v>
          </cell>
        </row>
        <row r="2038">
          <cell r="A2038" t="str">
            <v/>
          </cell>
          <cell r="B2038" t="str">
            <v/>
          </cell>
          <cell r="H2038" t="str">
            <v/>
          </cell>
          <cell r="K2038" t="str">
            <v/>
          </cell>
          <cell r="N2038" t="str">
            <v/>
          </cell>
        </row>
        <row r="2040">
          <cell r="B2040" t="str">
            <v>zwycięzca(cy): 23:21,21:8</v>
          </cell>
          <cell r="K2040" t="str">
            <v/>
          </cell>
        </row>
        <row r="2041">
          <cell r="B2041">
            <v>2</v>
          </cell>
          <cell r="C2041" t="str">
            <v>dzień turnieju.</v>
          </cell>
          <cell r="I2041" t="str">
            <v>Nr meczu</v>
          </cell>
          <cell r="N2041" t="str">
            <v>Godz.</v>
          </cell>
          <cell r="R2041" t="str">
            <v>S. prow.</v>
          </cell>
          <cell r="AF2041" t="str">
            <v>wygrany</v>
          </cell>
          <cell r="AG2041" t="str">
            <v>przegrany</v>
          </cell>
        </row>
        <row r="2042">
          <cell r="B2042" t="str">
            <v>Boisko</v>
          </cell>
          <cell r="C2042" t="str">
            <v>Gra</v>
          </cell>
          <cell r="I2042">
            <v>292</v>
          </cell>
          <cell r="N2042" t="str">
            <v>rozp.</v>
          </cell>
          <cell r="P2042" t="str">
            <v>zak.</v>
          </cell>
          <cell r="R2042" t="str">
            <v>S. serw.</v>
          </cell>
        </row>
        <row r="2043">
          <cell r="A2043">
            <v>292</v>
          </cell>
          <cell r="B2043">
            <v>1</v>
          </cell>
          <cell r="C2043" t="str">
            <v>pojedyncza dziewcząt Ż</v>
          </cell>
          <cell r="H2043">
            <v>21</v>
          </cell>
          <cell r="I2043">
            <v>0</v>
          </cell>
          <cell r="J2043">
            <v>21</v>
          </cell>
          <cell r="K2043">
            <v>0</v>
          </cell>
          <cell r="P2043">
            <v>0.41666666666666669</v>
          </cell>
          <cell r="R2043">
            <v>0.41666666666666669</v>
          </cell>
          <cell r="S2043" t="str">
            <v>sob 13:20</v>
          </cell>
          <cell r="X2043">
            <v>292</v>
          </cell>
          <cell r="Y2043" t="str">
            <v>pojedyncza dziewcząt Ż</v>
          </cell>
          <cell r="Z2043" t="str">
            <v>X64</v>
          </cell>
          <cell r="AA2043" t="str">
            <v/>
          </cell>
          <cell r="AB2043" t="str">
            <v>C5991</v>
          </cell>
          <cell r="AC2043" t="str">
            <v/>
          </cell>
          <cell r="AD2043" t="str">
            <v>X64</v>
          </cell>
          <cell r="AE2043" t="str">
            <v/>
          </cell>
          <cell r="AF2043" t="str">
            <v>21:0,21:0</v>
          </cell>
          <cell r="AG2043" t="str">
            <v>0:21,0:21</v>
          </cell>
          <cell r="AH2043" t="str">
            <v/>
          </cell>
          <cell r="AI2043">
            <v>21</v>
          </cell>
          <cell r="AJ2043">
            <v>0</v>
          </cell>
          <cell r="AK2043">
            <v>21</v>
          </cell>
          <cell r="AL2043">
            <v>0</v>
          </cell>
          <cell r="AM2043">
            <v>0</v>
          </cell>
          <cell r="AN2043">
            <v>0</v>
          </cell>
        </row>
        <row r="2044">
          <cell r="A2044" t="str">
            <v/>
          </cell>
          <cell r="B2044" t="str">
            <v>Ulyana VOLSKAYA (Brześć 2 Białoruś)</v>
          </cell>
          <cell r="H2044" t="str">
            <v>X64</v>
          </cell>
          <cell r="K2044" t="str">
            <v>C5991</v>
          </cell>
          <cell r="N2044" t="str">
            <v>Gabriela CZARNECKA (KSR Wolant Łódź)</v>
          </cell>
        </row>
        <row r="2045">
          <cell r="A2045" t="str">
            <v/>
          </cell>
          <cell r="B2045" t="str">
            <v/>
          </cell>
          <cell r="H2045" t="str">
            <v/>
          </cell>
          <cell r="K2045" t="str">
            <v/>
          </cell>
          <cell r="N2045" t="str">
            <v/>
          </cell>
        </row>
        <row r="2047">
          <cell r="B2047" t="str">
            <v>zwycięzca(cy): 21:0,21:0</v>
          </cell>
          <cell r="K2047" t="str">
            <v/>
          </cell>
        </row>
        <row r="2048">
          <cell r="B2048">
            <v>2</v>
          </cell>
          <cell r="C2048" t="str">
            <v>dzień turnieju.</v>
          </cell>
          <cell r="I2048" t="str">
            <v>Nr meczu</v>
          </cell>
          <cell r="N2048" t="str">
            <v>Godz.</v>
          </cell>
          <cell r="R2048" t="str">
            <v>S. prow.</v>
          </cell>
          <cell r="AF2048" t="str">
            <v>wygrany</v>
          </cell>
          <cell r="AG2048" t="str">
            <v>przegrany</v>
          </cell>
        </row>
        <row r="2049">
          <cell r="B2049" t="str">
            <v>Boisko</v>
          </cell>
          <cell r="C2049" t="str">
            <v>Gra</v>
          </cell>
          <cell r="I2049">
            <v>293</v>
          </cell>
          <cell r="N2049" t="str">
            <v>rozp.</v>
          </cell>
          <cell r="P2049" t="str">
            <v>zak.</v>
          </cell>
          <cell r="R2049" t="str">
            <v>S. serw.</v>
          </cell>
        </row>
        <row r="2050">
          <cell r="A2050">
            <v>293</v>
          </cell>
          <cell r="B2050">
            <v>6</v>
          </cell>
          <cell r="C2050" t="str">
            <v>pojedyncza dziewcząt Ż</v>
          </cell>
          <cell r="H2050">
            <v>14</v>
          </cell>
          <cell r="I2050">
            <v>21</v>
          </cell>
          <cell r="J2050">
            <v>8</v>
          </cell>
          <cell r="K2050">
            <v>21</v>
          </cell>
          <cell r="P2050">
            <v>0.59027777777777779</v>
          </cell>
          <cell r="R2050">
            <v>0.59027777777777779</v>
          </cell>
          <cell r="S2050" t="str">
            <v>sob 13:20</v>
          </cell>
          <cell r="X2050">
            <v>293</v>
          </cell>
          <cell r="Y2050" t="str">
            <v>pojedyncza dziewcząt Ż</v>
          </cell>
          <cell r="Z2050" t="str">
            <v>X45</v>
          </cell>
          <cell r="AA2050" t="str">
            <v/>
          </cell>
          <cell r="AB2050" t="str">
            <v>Ł5765</v>
          </cell>
          <cell r="AC2050" t="str">
            <v/>
          </cell>
          <cell r="AD2050" t="str">
            <v>Ł5765</v>
          </cell>
          <cell r="AE2050" t="str">
            <v/>
          </cell>
          <cell r="AF2050" t="str">
            <v>21:14,21:8</v>
          </cell>
          <cell r="AG2050" t="str">
            <v>14:21,8:21</v>
          </cell>
          <cell r="AH2050" t="str">
            <v/>
          </cell>
          <cell r="AI2050">
            <v>14</v>
          </cell>
          <cell r="AJ2050">
            <v>21</v>
          </cell>
          <cell r="AK2050">
            <v>8</v>
          </cell>
          <cell r="AL2050">
            <v>21</v>
          </cell>
          <cell r="AM2050">
            <v>0</v>
          </cell>
          <cell r="AN2050">
            <v>0</v>
          </cell>
        </row>
        <row r="2051">
          <cell r="A2051" t="str">
            <v/>
          </cell>
          <cell r="B2051" t="str">
            <v>Marietta KAZIMIERCZAK (UKS Korona Pabianice)</v>
          </cell>
          <cell r="H2051" t="str">
            <v>X45</v>
          </cell>
          <cell r="K2051" t="str">
            <v>Ł5765</v>
          </cell>
          <cell r="N2051" t="str">
            <v>Martyna ŁYŻWA (UKS Lotka Łódź)</v>
          </cell>
        </row>
        <row r="2052">
          <cell r="A2052" t="str">
            <v/>
          </cell>
          <cell r="B2052" t="str">
            <v/>
          </cell>
          <cell r="H2052" t="str">
            <v/>
          </cell>
          <cell r="K2052" t="str">
            <v/>
          </cell>
          <cell r="N2052" t="str">
            <v/>
          </cell>
        </row>
        <row r="2054">
          <cell r="B2054" t="str">
            <v/>
          </cell>
          <cell r="K2054" t="str">
            <v>zwycięzca(cy): 21:14,21:8</v>
          </cell>
        </row>
        <row r="2055">
          <cell r="B2055">
            <v>2</v>
          </cell>
          <cell r="C2055" t="str">
            <v>dzień turnieju.</v>
          </cell>
          <cell r="I2055" t="str">
            <v>Nr meczu</v>
          </cell>
          <cell r="N2055" t="str">
            <v>Godz.</v>
          </cell>
          <cell r="R2055" t="str">
            <v>S. prow.</v>
          </cell>
          <cell r="AF2055" t="str">
            <v>wygrany</v>
          </cell>
          <cell r="AG2055" t="str">
            <v>przegrany</v>
          </cell>
        </row>
        <row r="2056">
          <cell r="B2056" t="str">
            <v>Boisko</v>
          </cell>
          <cell r="C2056" t="str">
            <v>Gra</v>
          </cell>
          <cell r="I2056">
            <v>294</v>
          </cell>
          <cell r="N2056" t="str">
            <v>rozp.</v>
          </cell>
          <cell r="P2056" t="str">
            <v>zak.</v>
          </cell>
          <cell r="R2056" t="str">
            <v>S. serw.</v>
          </cell>
        </row>
        <row r="2057">
          <cell r="A2057">
            <v>294</v>
          </cell>
          <cell r="B2057">
            <v>5</v>
          </cell>
          <cell r="C2057" t="str">
            <v>pojedyncza dziewcząt Ż</v>
          </cell>
          <cell r="H2057">
            <v>21</v>
          </cell>
          <cell r="I2057">
            <v>4</v>
          </cell>
          <cell r="J2057">
            <v>21</v>
          </cell>
          <cell r="K2057">
            <v>9</v>
          </cell>
          <cell r="P2057">
            <v>0.59722222222222221</v>
          </cell>
          <cell r="R2057">
            <v>0.59722222222222221</v>
          </cell>
          <cell r="S2057" t="str">
            <v>sob 13:20</v>
          </cell>
          <cell r="X2057">
            <v>294</v>
          </cell>
          <cell r="Y2057" t="str">
            <v>pojedyncza dziewcząt Ż</v>
          </cell>
          <cell r="Z2057" t="str">
            <v>S5623</v>
          </cell>
          <cell r="AA2057" t="str">
            <v/>
          </cell>
          <cell r="AB2057" t="str">
            <v>X46</v>
          </cell>
          <cell r="AC2057" t="str">
            <v/>
          </cell>
          <cell r="AD2057" t="str">
            <v>S5623</v>
          </cell>
          <cell r="AE2057" t="str">
            <v/>
          </cell>
          <cell r="AF2057" t="str">
            <v>21:4,21:9</v>
          </cell>
          <cell r="AG2057" t="str">
            <v>4:21,9:21</v>
          </cell>
          <cell r="AH2057" t="str">
            <v/>
          </cell>
          <cell r="AI2057">
            <v>21</v>
          </cell>
          <cell r="AJ2057">
            <v>4</v>
          </cell>
          <cell r="AK2057">
            <v>21</v>
          </cell>
          <cell r="AL2057">
            <v>9</v>
          </cell>
          <cell r="AM2057">
            <v>0</v>
          </cell>
          <cell r="AN2057">
            <v>0</v>
          </cell>
        </row>
        <row r="2058">
          <cell r="A2058" t="str">
            <v/>
          </cell>
          <cell r="B2058" t="str">
            <v>Weronika SZEMPLIŃSKA (UKS Badminton Stare Babice)</v>
          </cell>
          <cell r="H2058" t="str">
            <v>S5623</v>
          </cell>
          <cell r="K2058" t="str">
            <v>X46</v>
          </cell>
          <cell r="N2058" t="str">
            <v>Julia  GRENDA (UKS Korona Pabianice)</v>
          </cell>
        </row>
        <row r="2059">
          <cell r="A2059" t="str">
            <v/>
          </cell>
          <cell r="B2059" t="str">
            <v/>
          </cell>
          <cell r="H2059" t="str">
            <v/>
          </cell>
          <cell r="K2059" t="str">
            <v/>
          </cell>
          <cell r="N2059" t="str">
            <v/>
          </cell>
        </row>
        <row r="2061">
          <cell r="B2061" t="str">
            <v>zwycięzca(cy): 21:4,21:9</v>
          </cell>
          <cell r="K2061" t="str">
            <v/>
          </cell>
        </row>
        <row r="2062">
          <cell r="B2062">
            <v>2</v>
          </cell>
          <cell r="C2062" t="str">
            <v>dzień turnieju.</v>
          </cell>
          <cell r="I2062" t="str">
            <v>Nr meczu</v>
          </cell>
          <cell r="N2062" t="str">
            <v>Godz.</v>
          </cell>
          <cell r="R2062" t="str">
            <v>S. prow.</v>
          </cell>
          <cell r="AF2062" t="str">
            <v>wygrany</v>
          </cell>
          <cell r="AG2062" t="str">
            <v>przegrany</v>
          </cell>
        </row>
        <row r="2063">
          <cell r="B2063" t="str">
            <v>Boisko</v>
          </cell>
          <cell r="C2063" t="str">
            <v>Gra</v>
          </cell>
          <cell r="I2063">
            <v>295</v>
          </cell>
          <cell r="N2063" t="str">
            <v>rozp.</v>
          </cell>
          <cell r="P2063" t="str">
            <v>zak.</v>
          </cell>
          <cell r="R2063" t="str">
            <v>S. serw.</v>
          </cell>
        </row>
        <row r="2064">
          <cell r="A2064">
            <v>295</v>
          </cell>
          <cell r="B2064">
            <v>3</v>
          </cell>
          <cell r="C2064" t="str">
            <v>pojedyncza dziewcząt Ż</v>
          </cell>
          <cell r="H2064">
            <v>21</v>
          </cell>
          <cell r="I2064">
            <v>13</v>
          </cell>
          <cell r="J2064">
            <v>11</v>
          </cell>
          <cell r="K2064">
            <v>21</v>
          </cell>
          <cell r="L2064">
            <v>10</v>
          </cell>
          <cell r="M2064">
            <v>21</v>
          </cell>
          <cell r="P2064">
            <v>0.60416666666666663</v>
          </cell>
          <cell r="R2064">
            <v>0.60416666666666663</v>
          </cell>
          <cell r="S2064" t="str">
            <v>sob 13:20</v>
          </cell>
          <cell r="X2064">
            <v>295</v>
          </cell>
          <cell r="Y2064" t="str">
            <v>pojedyncza dziewcząt Ż</v>
          </cell>
          <cell r="Z2064" t="str">
            <v>D5992</v>
          </cell>
          <cell r="AA2064" t="str">
            <v/>
          </cell>
          <cell r="AB2064" t="str">
            <v>K5975</v>
          </cell>
          <cell r="AC2064" t="str">
            <v/>
          </cell>
          <cell r="AD2064" t="str">
            <v>K5975</v>
          </cell>
          <cell r="AE2064" t="str">
            <v/>
          </cell>
          <cell r="AF2064" t="str">
            <v>13:21,21:11,21:10</v>
          </cell>
          <cell r="AG2064" t="str">
            <v>21:13,11:21,10:21</v>
          </cell>
          <cell r="AH2064" t="str">
            <v/>
          </cell>
          <cell r="AI2064">
            <v>21</v>
          </cell>
          <cell r="AJ2064">
            <v>13</v>
          </cell>
          <cell r="AK2064">
            <v>11</v>
          </cell>
          <cell r="AL2064">
            <v>21</v>
          </cell>
          <cell r="AM2064">
            <v>10</v>
          </cell>
          <cell r="AN2064">
            <v>21</v>
          </cell>
        </row>
        <row r="2065">
          <cell r="A2065" t="str">
            <v/>
          </cell>
          <cell r="B2065" t="str">
            <v>Marta DOLNIAK (KSR Wolant Łódź)</v>
          </cell>
          <cell r="H2065" t="str">
            <v>D5992</v>
          </cell>
          <cell r="K2065" t="str">
            <v>K5975</v>
          </cell>
          <cell r="N2065" t="str">
            <v>Izabella KAMOLA (UKS Badminton Stare Babice)</v>
          </cell>
        </row>
        <row r="2066">
          <cell r="A2066" t="str">
            <v/>
          </cell>
          <cell r="B2066" t="str">
            <v/>
          </cell>
          <cell r="H2066" t="str">
            <v/>
          </cell>
          <cell r="K2066" t="str">
            <v/>
          </cell>
          <cell r="N2066" t="str">
            <v/>
          </cell>
        </row>
        <row r="2068">
          <cell r="B2068" t="str">
            <v/>
          </cell>
          <cell r="K2068" t="str">
            <v>zwycięzca(cy): 13:21,21:11,21:10</v>
          </cell>
        </row>
        <row r="2069">
          <cell r="B2069">
            <v>2</v>
          </cell>
          <cell r="C2069" t="str">
            <v>dzień turnieju.</v>
          </cell>
          <cell r="I2069" t="str">
            <v>Nr meczu</v>
          </cell>
          <cell r="N2069" t="str">
            <v>Godz.</v>
          </cell>
          <cell r="R2069" t="str">
            <v>S. prow.</v>
          </cell>
          <cell r="AF2069" t="str">
            <v>wygrany</v>
          </cell>
          <cell r="AG2069" t="str">
            <v>przegrany</v>
          </cell>
        </row>
        <row r="2070">
          <cell r="B2070" t="str">
            <v>Boisko</v>
          </cell>
          <cell r="C2070" t="str">
            <v>Gra</v>
          </cell>
          <cell r="I2070">
            <v>296</v>
          </cell>
          <cell r="N2070" t="str">
            <v>rozp.</v>
          </cell>
          <cell r="P2070" t="str">
            <v>zak.</v>
          </cell>
          <cell r="R2070" t="str">
            <v>S. serw.</v>
          </cell>
        </row>
        <row r="2071">
          <cell r="A2071">
            <v>296</v>
          </cell>
          <cell r="B2071">
            <v>1</v>
          </cell>
          <cell r="C2071" t="str">
            <v>pojedyncza dziewcząt Ż</v>
          </cell>
          <cell r="H2071">
            <v>21</v>
          </cell>
          <cell r="I2071">
            <v>7</v>
          </cell>
          <cell r="J2071">
            <v>21</v>
          </cell>
          <cell r="K2071">
            <v>6</v>
          </cell>
          <cell r="P2071">
            <v>0.59722222222222221</v>
          </cell>
          <cell r="R2071">
            <v>0.59722222222222221</v>
          </cell>
          <cell r="S2071" t="str">
            <v>sob 13:20</v>
          </cell>
          <cell r="X2071">
            <v>296</v>
          </cell>
          <cell r="Y2071" t="str">
            <v>pojedyncza dziewcząt Ż</v>
          </cell>
          <cell r="Z2071" t="str">
            <v>R5626</v>
          </cell>
          <cell r="AA2071" t="str">
            <v/>
          </cell>
          <cell r="AB2071" t="str">
            <v>X27</v>
          </cell>
          <cell r="AC2071" t="str">
            <v/>
          </cell>
          <cell r="AD2071" t="str">
            <v>R5626</v>
          </cell>
          <cell r="AE2071" t="str">
            <v/>
          </cell>
          <cell r="AF2071" t="str">
            <v>21:7,21:6</v>
          </cell>
          <cell r="AG2071" t="str">
            <v>7:21,6:21</v>
          </cell>
          <cell r="AH2071" t="str">
            <v/>
          </cell>
          <cell r="AI2071">
            <v>21</v>
          </cell>
          <cell r="AJ2071">
            <v>7</v>
          </cell>
          <cell r="AK2071">
            <v>21</v>
          </cell>
          <cell r="AL2071">
            <v>6</v>
          </cell>
          <cell r="AM2071">
            <v>0</v>
          </cell>
          <cell r="AN2071">
            <v>0</v>
          </cell>
        </row>
        <row r="2072">
          <cell r="A2072" t="str">
            <v/>
          </cell>
          <cell r="B2072" t="str">
            <v>Anna RADTKE (ULKS U-2 Lotka Bytów)</v>
          </cell>
          <cell r="H2072" t="str">
            <v>R5626</v>
          </cell>
          <cell r="K2072" t="str">
            <v>X27</v>
          </cell>
          <cell r="N2072" t="str">
            <v>Viktoria PONOMARENKO (Vinnica Ukraina)</v>
          </cell>
        </row>
        <row r="2073">
          <cell r="A2073" t="str">
            <v/>
          </cell>
          <cell r="B2073" t="str">
            <v/>
          </cell>
          <cell r="H2073" t="str">
            <v/>
          </cell>
          <cell r="K2073" t="str">
            <v/>
          </cell>
          <cell r="N2073" t="str">
            <v/>
          </cell>
        </row>
        <row r="2075">
          <cell r="B2075" t="str">
            <v>zwycięzca(cy): 21:7,21:6</v>
          </cell>
          <cell r="K2075" t="str">
            <v/>
          </cell>
        </row>
        <row r="2076">
          <cell r="B2076">
            <v>2</v>
          </cell>
          <cell r="C2076" t="str">
            <v>dzień turnieju.</v>
          </cell>
          <cell r="I2076" t="str">
            <v>Nr meczu</v>
          </cell>
          <cell r="N2076" t="str">
            <v>Godz.</v>
          </cell>
          <cell r="R2076" t="str">
            <v>S. prow.</v>
          </cell>
          <cell r="AF2076" t="str">
            <v>wygrany</v>
          </cell>
          <cell r="AG2076" t="str">
            <v>przegrany</v>
          </cell>
        </row>
        <row r="2077">
          <cell r="B2077" t="str">
            <v>Boisko</v>
          </cell>
          <cell r="C2077" t="str">
            <v>Gra</v>
          </cell>
          <cell r="I2077">
            <v>297</v>
          </cell>
          <cell r="N2077" t="str">
            <v>rozp.</v>
          </cell>
          <cell r="P2077" t="str">
            <v>zak.</v>
          </cell>
          <cell r="R2077" t="str">
            <v>S. serw.</v>
          </cell>
        </row>
        <row r="2078">
          <cell r="A2078">
            <v>297</v>
          </cell>
          <cell r="B2078">
            <v>4</v>
          </cell>
          <cell r="C2078" t="str">
            <v>pojedyncza dziewcząt Ż</v>
          </cell>
          <cell r="H2078">
            <v>21</v>
          </cell>
          <cell r="I2078">
            <v>9</v>
          </cell>
          <cell r="J2078">
            <v>21</v>
          </cell>
          <cell r="K2078">
            <v>10</v>
          </cell>
          <cell r="P2078">
            <v>0.60069444444444442</v>
          </cell>
          <cell r="R2078">
            <v>0.60069444444444442</v>
          </cell>
          <cell r="S2078" t="str">
            <v>sob 13:20</v>
          </cell>
          <cell r="X2078">
            <v>297</v>
          </cell>
          <cell r="Y2078" t="str">
            <v>pojedyncza dziewcząt Ż</v>
          </cell>
          <cell r="Z2078" t="str">
            <v>M5269</v>
          </cell>
          <cell r="AA2078" t="str">
            <v/>
          </cell>
          <cell r="AB2078" t="str">
            <v>X60</v>
          </cell>
          <cell r="AC2078" t="str">
            <v/>
          </cell>
          <cell r="AD2078" t="str">
            <v>M5269</v>
          </cell>
          <cell r="AE2078" t="str">
            <v/>
          </cell>
          <cell r="AF2078" t="str">
            <v>21:9,21:10</v>
          </cell>
          <cell r="AG2078" t="str">
            <v>9:21,10:21</v>
          </cell>
          <cell r="AH2078" t="str">
            <v/>
          </cell>
          <cell r="AI2078">
            <v>21</v>
          </cell>
          <cell r="AJ2078">
            <v>9</v>
          </cell>
          <cell r="AK2078">
            <v>21</v>
          </cell>
          <cell r="AL2078">
            <v>10</v>
          </cell>
          <cell r="AM2078">
            <v>0</v>
          </cell>
          <cell r="AN2078">
            <v>0</v>
          </cell>
        </row>
        <row r="2079">
          <cell r="A2079" t="str">
            <v/>
          </cell>
          <cell r="B2079" t="str">
            <v>Julia MIŚKO (UKS Badminton Stare Babice)</v>
          </cell>
          <cell r="H2079" t="str">
            <v>M5269</v>
          </cell>
          <cell r="K2079" t="str">
            <v>X60</v>
          </cell>
          <cell r="N2079" t="str">
            <v>Julia  RACHOWSKA (SKSR Wolant Łódź)</v>
          </cell>
        </row>
        <row r="2080">
          <cell r="A2080" t="str">
            <v/>
          </cell>
          <cell r="B2080" t="str">
            <v/>
          </cell>
          <cell r="H2080" t="str">
            <v/>
          </cell>
          <cell r="K2080" t="str">
            <v/>
          </cell>
          <cell r="N2080" t="str">
            <v/>
          </cell>
        </row>
        <row r="2082">
          <cell r="B2082" t="str">
            <v>zwycięzca(cy): 21:9,21:10</v>
          </cell>
          <cell r="K2082" t="str">
            <v/>
          </cell>
        </row>
        <row r="2083">
          <cell r="B2083">
            <v>2</v>
          </cell>
          <cell r="C2083" t="str">
            <v>dzień turnieju.</v>
          </cell>
          <cell r="I2083" t="str">
            <v>Nr meczu</v>
          </cell>
          <cell r="N2083" t="str">
            <v>Godz.</v>
          </cell>
          <cell r="R2083" t="str">
            <v>S. prow.</v>
          </cell>
          <cell r="AF2083" t="str">
            <v>wygrany</v>
          </cell>
          <cell r="AG2083" t="str">
            <v>przegrany</v>
          </cell>
        </row>
        <row r="2084">
          <cell r="B2084" t="str">
            <v>Boisko</v>
          </cell>
          <cell r="C2084" t="str">
            <v>Gra</v>
          </cell>
          <cell r="I2084">
            <v>298</v>
          </cell>
          <cell r="N2084" t="str">
            <v>rozp.</v>
          </cell>
          <cell r="P2084" t="str">
            <v>zak.</v>
          </cell>
          <cell r="R2084" t="str">
            <v>S. serw.</v>
          </cell>
        </row>
        <row r="2085">
          <cell r="A2085">
            <v>298</v>
          </cell>
          <cell r="B2085">
            <v>6</v>
          </cell>
          <cell r="C2085" t="str">
            <v>pojedyncza dziewcząt Ż</v>
          </cell>
          <cell r="H2085">
            <v>12</v>
          </cell>
          <cell r="I2085">
            <v>21</v>
          </cell>
          <cell r="J2085">
            <v>10</v>
          </cell>
          <cell r="K2085">
            <v>21</v>
          </cell>
          <cell r="P2085">
            <v>0.60416666666666663</v>
          </cell>
          <cell r="R2085">
            <v>0.60416666666666663</v>
          </cell>
          <cell r="S2085" t="str">
            <v>sob 13:50</v>
          </cell>
          <cell r="X2085">
            <v>298</v>
          </cell>
          <cell r="Y2085" t="str">
            <v>pojedyncza dziewcząt Ż</v>
          </cell>
          <cell r="Z2085" t="str">
            <v>X52</v>
          </cell>
          <cell r="AA2085" t="str">
            <v/>
          </cell>
          <cell r="AB2085" t="str">
            <v>W5766</v>
          </cell>
          <cell r="AC2085" t="str">
            <v/>
          </cell>
          <cell r="AD2085" t="str">
            <v>W5766</v>
          </cell>
          <cell r="AE2085" t="str">
            <v/>
          </cell>
          <cell r="AF2085" t="str">
            <v>21:12,21:10</v>
          </cell>
          <cell r="AG2085" t="str">
            <v>12:21,10:21</v>
          </cell>
          <cell r="AH2085" t="str">
            <v/>
          </cell>
          <cell r="AI2085">
            <v>12</v>
          </cell>
          <cell r="AJ2085">
            <v>21</v>
          </cell>
          <cell r="AK2085">
            <v>10</v>
          </cell>
          <cell r="AL2085">
            <v>21</v>
          </cell>
          <cell r="AM2085">
            <v>0</v>
          </cell>
          <cell r="AN2085">
            <v>0</v>
          </cell>
        </row>
        <row r="2086">
          <cell r="A2086" t="str">
            <v/>
          </cell>
          <cell r="B2086" t="str">
            <v>Nikola  NOWIŃSKA (UKS Korona Pabianice)</v>
          </cell>
          <cell r="H2086" t="str">
            <v>X52</v>
          </cell>
          <cell r="K2086" t="str">
            <v>W5766</v>
          </cell>
          <cell r="N2086" t="str">
            <v>Paulina WZOREK (UKS Lotka Łódź)</v>
          </cell>
        </row>
        <row r="2087">
          <cell r="A2087" t="str">
            <v/>
          </cell>
          <cell r="B2087" t="str">
            <v/>
          </cell>
          <cell r="H2087" t="str">
            <v/>
          </cell>
          <cell r="K2087" t="str">
            <v/>
          </cell>
          <cell r="N2087" t="str">
            <v/>
          </cell>
        </row>
        <row r="2089">
          <cell r="B2089" t="str">
            <v/>
          </cell>
          <cell r="K2089" t="str">
            <v>zwycięzca(cy): 21:12,21:10</v>
          </cell>
        </row>
        <row r="2090">
          <cell r="B2090">
            <v>2</v>
          </cell>
          <cell r="C2090" t="str">
            <v>dzień turnieju.</v>
          </cell>
          <cell r="I2090" t="str">
            <v>Nr meczu</v>
          </cell>
          <cell r="N2090" t="str">
            <v>Godz.</v>
          </cell>
          <cell r="R2090" t="str">
            <v>S. prow.</v>
          </cell>
          <cell r="AF2090" t="str">
            <v>wygrany</v>
          </cell>
          <cell r="AG2090" t="str">
            <v>przegrany</v>
          </cell>
        </row>
        <row r="2091">
          <cell r="B2091" t="str">
            <v>Boisko</v>
          </cell>
          <cell r="C2091" t="str">
            <v>Gra</v>
          </cell>
          <cell r="I2091">
            <v>299</v>
          </cell>
          <cell r="N2091" t="str">
            <v>rozp.</v>
          </cell>
          <cell r="P2091" t="str">
            <v>zak.</v>
          </cell>
          <cell r="R2091" t="str">
            <v>S. serw.</v>
          </cell>
        </row>
        <row r="2092">
          <cell r="A2092">
            <v>299</v>
          </cell>
          <cell r="B2092">
            <v>2</v>
          </cell>
          <cell r="C2092" t="str">
            <v>pojedyncza chłopców Ż</v>
          </cell>
          <cell r="H2092">
            <v>21</v>
          </cell>
          <cell r="I2092">
            <v>13</v>
          </cell>
          <cell r="J2092">
            <v>21</v>
          </cell>
          <cell r="K2092">
            <v>6</v>
          </cell>
          <cell r="P2092">
            <v>0.60763888888888895</v>
          </cell>
          <cell r="R2092">
            <v>0.60763888888888895</v>
          </cell>
          <cell r="S2092" t="str">
            <v>sob 13:50</v>
          </cell>
          <cell r="X2092">
            <v>299</v>
          </cell>
          <cell r="Y2092" t="str">
            <v>pojedyncza chłopców Ż</v>
          </cell>
          <cell r="Z2092" t="str">
            <v>X54</v>
          </cell>
          <cell r="AA2092" t="str">
            <v/>
          </cell>
          <cell r="AB2092" t="str">
            <v>B5816</v>
          </cell>
          <cell r="AC2092" t="str">
            <v/>
          </cell>
          <cell r="AD2092" t="str">
            <v>X54</v>
          </cell>
          <cell r="AE2092" t="str">
            <v/>
          </cell>
          <cell r="AF2092" t="str">
            <v>21:13,21:6</v>
          </cell>
          <cell r="AG2092" t="str">
            <v>13:21,6:21</v>
          </cell>
          <cell r="AH2092" t="str">
            <v/>
          </cell>
          <cell r="AI2092">
            <v>21</v>
          </cell>
          <cell r="AJ2092">
            <v>13</v>
          </cell>
          <cell r="AK2092">
            <v>21</v>
          </cell>
          <cell r="AL2092">
            <v>6</v>
          </cell>
          <cell r="AM2092">
            <v>0</v>
          </cell>
          <cell r="AN2092">
            <v>0</v>
          </cell>
        </row>
        <row r="2093">
          <cell r="A2093" t="str">
            <v/>
          </cell>
          <cell r="B2093" t="str">
            <v>Adrian KRAWCZYK (UKS Korona Pabianice)</v>
          </cell>
          <cell r="H2093" t="str">
            <v>X54</v>
          </cell>
          <cell r="K2093" t="str">
            <v>B5816</v>
          </cell>
          <cell r="N2093" t="str">
            <v>Tomasz BUZA (UKSB Milenium Warszawa)</v>
          </cell>
        </row>
        <row r="2094">
          <cell r="A2094" t="str">
            <v/>
          </cell>
          <cell r="B2094" t="str">
            <v/>
          </cell>
          <cell r="H2094" t="str">
            <v/>
          </cell>
          <cell r="K2094" t="str">
            <v/>
          </cell>
          <cell r="N2094" t="str">
            <v/>
          </cell>
        </row>
        <row r="2096">
          <cell r="B2096" t="str">
            <v>zwycięzca(cy): 21:13,21:6</v>
          </cell>
          <cell r="K2096" t="str">
            <v/>
          </cell>
        </row>
        <row r="2097">
          <cell r="B2097">
            <v>2</v>
          </cell>
          <cell r="C2097" t="str">
            <v>dzień turnieju.</v>
          </cell>
          <cell r="I2097" t="str">
            <v>Nr meczu</v>
          </cell>
          <cell r="N2097" t="str">
            <v>Godz.</v>
          </cell>
          <cell r="R2097" t="str">
            <v>S. prow.</v>
          </cell>
          <cell r="AF2097" t="str">
            <v>wygrany</v>
          </cell>
          <cell r="AG2097" t="str">
            <v>przegrany</v>
          </cell>
        </row>
        <row r="2098">
          <cell r="B2098" t="str">
            <v>Boisko</v>
          </cell>
          <cell r="C2098" t="str">
            <v>Gra</v>
          </cell>
          <cell r="I2098">
            <v>300</v>
          </cell>
          <cell r="N2098" t="str">
            <v>rozp.</v>
          </cell>
          <cell r="P2098" t="str">
            <v>zak.</v>
          </cell>
          <cell r="R2098" t="str">
            <v>S. serw.</v>
          </cell>
        </row>
        <row r="2099">
          <cell r="A2099">
            <v>300</v>
          </cell>
          <cell r="B2099">
            <v>5</v>
          </cell>
          <cell r="C2099" t="str">
            <v>pojedyncza chłopców Ż</v>
          </cell>
          <cell r="H2099">
            <v>21</v>
          </cell>
          <cell r="I2099">
            <v>11</v>
          </cell>
          <cell r="J2099">
            <v>15</v>
          </cell>
          <cell r="K2099">
            <v>21</v>
          </cell>
          <cell r="L2099">
            <v>21</v>
          </cell>
          <cell r="M2099">
            <v>13</v>
          </cell>
          <cell r="P2099">
            <v>0.61458333333333337</v>
          </cell>
          <cell r="R2099">
            <v>0.61458333333333337</v>
          </cell>
          <cell r="S2099" t="str">
            <v>sob 13:50</v>
          </cell>
          <cell r="X2099">
            <v>300</v>
          </cell>
          <cell r="Y2099" t="str">
            <v>pojedyncza chłopców Ż</v>
          </cell>
          <cell r="Z2099" t="str">
            <v>J5015</v>
          </cell>
          <cell r="AA2099" t="str">
            <v/>
          </cell>
          <cell r="AB2099" t="str">
            <v>S5976</v>
          </cell>
          <cell r="AC2099" t="str">
            <v/>
          </cell>
          <cell r="AD2099" t="str">
            <v>J5015</v>
          </cell>
          <cell r="AE2099" t="str">
            <v/>
          </cell>
          <cell r="AF2099" t="str">
            <v>21:11,15:21,21:13</v>
          </cell>
          <cell r="AG2099" t="str">
            <v>11:21,21:15,13:21</v>
          </cell>
          <cell r="AH2099" t="str">
            <v/>
          </cell>
          <cell r="AI2099">
            <v>21</v>
          </cell>
          <cell r="AJ2099">
            <v>11</v>
          </cell>
          <cell r="AK2099">
            <v>15</v>
          </cell>
          <cell r="AL2099">
            <v>21</v>
          </cell>
          <cell r="AM2099">
            <v>21</v>
          </cell>
          <cell r="AN2099">
            <v>13</v>
          </cell>
        </row>
        <row r="2100">
          <cell r="A2100" t="str">
            <v/>
          </cell>
          <cell r="B2100" t="str">
            <v>Jakub JAGODZIŃSKI (UKSB Milenium Warszawa)</v>
          </cell>
          <cell r="H2100" t="str">
            <v>J5015</v>
          </cell>
          <cell r="K2100" t="str">
            <v>S5976</v>
          </cell>
          <cell r="N2100" t="str">
            <v>Andrzej SZCZEPANEK (UKS Badminton Stare Babice)</v>
          </cell>
        </row>
        <row r="2101">
          <cell r="A2101" t="str">
            <v/>
          </cell>
          <cell r="B2101" t="str">
            <v/>
          </cell>
          <cell r="H2101" t="str">
            <v/>
          </cell>
          <cell r="K2101" t="str">
            <v/>
          </cell>
          <cell r="N2101" t="str">
            <v/>
          </cell>
        </row>
        <row r="2103">
          <cell r="B2103" t="str">
            <v>zwycięzca(cy): 21:11,15:21,21:13</v>
          </cell>
          <cell r="K2103" t="str">
            <v/>
          </cell>
        </row>
        <row r="2104">
          <cell r="B2104">
            <v>2</v>
          </cell>
          <cell r="C2104" t="str">
            <v>dzień turnieju.</v>
          </cell>
          <cell r="I2104" t="str">
            <v>Nr meczu</v>
          </cell>
          <cell r="N2104" t="str">
            <v>Godz.</v>
          </cell>
          <cell r="R2104" t="str">
            <v>S. prow.</v>
          </cell>
          <cell r="AF2104" t="str">
            <v>wygrany</v>
          </cell>
          <cell r="AG2104" t="str">
            <v>przegrany</v>
          </cell>
        </row>
        <row r="2105">
          <cell r="B2105" t="str">
            <v>Boisko</v>
          </cell>
          <cell r="C2105" t="str">
            <v>Gra</v>
          </cell>
          <cell r="I2105">
            <v>301</v>
          </cell>
          <cell r="N2105" t="str">
            <v>rozp.</v>
          </cell>
          <cell r="P2105" t="str">
            <v>zak.</v>
          </cell>
          <cell r="R2105" t="str">
            <v>S. serw.</v>
          </cell>
        </row>
        <row r="2106">
          <cell r="A2106">
            <v>301</v>
          </cell>
          <cell r="B2106">
            <v>1</v>
          </cell>
          <cell r="C2106" t="str">
            <v>pojedyncza chłopców Ż</v>
          </cell>
          <cell r="H2106">
            <v>21</v>
          </cell>
          <cell r="I2106">
            <v>18</v>
          </cell>
          <cell r="J2106">
            <v>21</v>
          </cell>
          <cell r="K2106">
            <v>14</v>
          </cell>
          <cell r="P2106">
            <v>0.61111111111111105</v>
          </cell>
          <cell r="R2106">
            <v>0.61111111111111105</v>
          </cell>
          <cell r="S2106" t="str">
            <v>sob 13:50</v>
          </cell>
          <cell r="X2106">
            <v>301</v>
          </cell>
          <cell r="Y2106" t="str">
            <v>pojedyncza chłopców Ż</v>
          </cell>
          <cell r="Z2106" t="str">
            <v>X61</v>
          </cell>
          <cell r="AA2106" t="str">
            <v/>
          </cell>
          <cell r="AB2106" t="str">
            <v>K5833</v>
          </cell>
          <cell r="AC2106" t="str">
            <v/>
          </cell>
          <cell r="AD2106" t="str">
            <v>X61</v>
          </cell>
          <cell r="AE2106" t="str">
            <v/>
          </cell>
          <cell r="AF2106" t="str">
            <v>21:18,21:14</v>
          </cell>
          <cell r="AG2106" t="str">
            <v>18:21,14:21</v>
          </cell>
          <cell r="AH2106" t="str">
            <v/>
          </cell>
          <cell r="AI2106">
            <v>21</v>
          </cell>
          <cell r="AJ2106">
            <v>18</v>
          </cell>
          <cell r="AK2106">
            <v>21</v>
          </cell>
          <cell r="AL2106">
            <v>14</v>
          </cell>
          <cell r="AM2106">
            <v>0</v>
          </cell>
          <cell r="AN2106">
            <v>0</v>
          </cell>
        </row>
        <row r="2107">
          <cell r="A2107" t="str">
            <v/>
          </cell>
          <cell r="B2107" t="str">
            <v>Oleg KONEV (Vinnica Ukraina)</v>
          </cell>
          <cell r="H2107" t="str">
            <v>X61</v>
          </cell>
          <cell r="K2107" t="str">
            <v>K5833</v>
          </cell>
          <cell r="N2107" t="str">
            <v>Natan KUBAS (UKS Hubal Białystok)</v>
          </cell>
        </row>
        <row r="2108">
          <cell r="A2108" t="str">
            <v/>
          </cell>
          <cell r="B2108" t="str">
            <v/>
          </cell>
          <cell r="H2108" t="str">
            <v/>
          </cell>
          <cell r="K2108" t="str">
            <v/>
          </cell>
          <cell r="N2108" t="str">
            <v/>
          </cell>
        </row>
        <row r="2110">
          <cell r="B2110" t="str">
            <v>zwycięzca(cy): 21:18,21:14</v>
          </cell>
          <cell r="K2110" t="str">
            <v/>
          </cell>
        </row>
        <row r="2111">
          <cell r="B2111">
            <v>2</v>
          </cell>
          <cell r="C2111" t="str">
            <v>dzień turnieju.</v>
          </cell>
          <cell r="I2111" t="str">
            <v>Nr meczu</v>
          </cell>
          <cell r="N2111" t="str">
            <v>Godz.</v>
          </cell>
          <cell r="R2111" t="str">
            <v>S. prow.</v>
          </cell>
          <cell r="AF2111" t="str">
            <v>wygrany</v>
          </cell>
          <cell r="AG2111" t="str">
            <v>przegrany</v>
          </cell>
        </row>
        <row r="2112">
          <cell r="B2112" t="str">
            <v>Boisko</v>
          </cell>
          <cell r="C2112" t="str">
            <v>Gra</v>
          </cell>
          <cell r="I2112">
            <v>302</v>
          </cell>
          <cell r="N2112" t="str">
            <v>rozp.</v>
          </cell>
          <cell r="P2112" t="str">
            <v>zak.</v>
          </cell>
          <cell r="R2112" t="str">
            <v>S. serw.</v>
          </cell>
        </row>
        <row r="2113">
          <cell r="A2113">
            <v>302</v>
          </cell>
          <cell r="B2113">
            <v>4</v>
          </cell>
          <cell r="C2113" t="str">
            <v>pojedyncza chłopców Ż</v>
          </cell>
          <cell r="H2113">
            <v>21</v>
          </cell>
          <cell r="I2113">
            <v>6</v>
          </cell>
          <cell r="J2113">
            <v>21</v>
          </cell>
          <cell r="K2113">
            <v>4</v>
          </cell>
          <cell r="P2113">
            <v>0.61805555555555558</v>
          </cell>
          <cell r="R2113">
            <v>0.61805555555555558</v>
          </cell>
          <cell r="S2113" t="str">
            <v>sob 13:50</v>
          </cell>
          <cell r="X2113">
            <v>302</v>
          </cell>
          <cell r="Y2113" t="str">
            <v>pojedyncza chłopców Ż</v>
          </cell>
          <cell r="Z2113" t="str">
            <v>M5942</v>
          </cell>
          <cell r="AA2113" t="str">
            <v/>
          </cell>
          <cell r="AB2113" t="str">
            <v>X53</v>
          </cell>
          <cell r="AC2113" t="str">
            <v/>
          </cell>
          <cell r="AD2113" t="str">
            <v>M5942</v>
          </cell>
          <cell r="AE2113" t="str">
            <v/>
          </cell>
          <cell r="AF2113" t="str">
            <v>21:6,21:4</v>
          </cell>
          <cell r="AG2113" t="str">
            <v>6:21,4:21</v>
          </cell>
          <cell r="AH2113" t="str">
            <v/>
          </cell>
          <cell r="AI2113">
            <v>21</v>
          </cell>
          <cell r="AJ2113">
            <v>6</v>
          </cell>
          <cell r="AK2113">
            <v>21</v>
          </cell>
          <cell r="AL2113">
            <v>4</v>
          </cell>
          <cell r="AM2113">
            <v>0</v>
          </cell>
          <cell r="AN2113">
            <v>0</v>
          </cell>
        </row>
        <row r="2114">
          <cell r="A2114" t="str">
            <v/>
          </cell>
          <cell r="B2114" t="str">
            <v>Jakub MELANIUK (UKSB Milenium Warszawa)</v>
          </cell>
          <cell r="H2114" t="str">
            <v>M5942</v>
          </cell>
          <cell r="K2114" t="str">
            <v>X53</v>
          </cell>
          <cell r="N2114" t="str">
            <v>Kacper KRAWCZYK (UKS Korona Pabianice)</v>
          </cell>
        </row>
        <row r="2115">
          <cell r="A2115" t="str">
            <v/>
          </cell>
          <cell r="B2115" t="str">
            <v/>
          </cell>
          <cell r="H2115" t="str">
            <v/>
          </cell>
          <cell r="K2115" t="str">
            <v/>
          </cell>
          <cell r="N2115" t="str">
            <v/>
          </cell>
        </row>
        <row r="2117">
          <cell r="B2117" t="str">
            <v>zwycięzca(cy): 21:6,21:4</v>
          </cell>
          <cell r="K2117" t="str">
            <v/>
          </cell>
        </row>
        <row r="2118">
          <cell r="B2118">
            <v>2</v>
          </cell>
          <cell r="C2118" t="str">
            <v>dzień turnieju.</v>
          </cell>
          <cell r="I2118" t="str">
            <v>Nr meczu</v>
          </cell>
          <cell r="N2118" t="str">
            <v>Godz.</v>
          </cell>
          <cell r="R2118" t="str">
            <v>S. prow.</v>
          </cell>
          <cell r="AF2118" t="str">
            <v>wygrany</v>
          </cell>
          <cell r="AG2118" t="str">
            <v>przegrany</v>
          </cell>
        </row>
        <row r="2119">
          <cell r="B2119" t="str">
            <v>Boisko</v>
          </cell>
          <cell r="C2119" t="str">
            <v>Gra</v>
          </cell>
          <cell r="I2119">
            <v>303</v>
          </cell>
          <cell r="N2119" t="str">
            <v>rozp.</v>
          </cell>
          <cell r="P2119" t="str">
            <v>zak.</v>
          </cell>
          <cell r="R2119" t="str">
            <v>S. serw.</v>
          </cell>
        </row>
        <row r="2120">
          <cell r="A2120">
            <v>303</v>
          </cell>
          <cell r="B2120">
            <v>6</v>
          </cell>
          <cell r="C2120" t="str">
            <v>pojedyncza dziewcząt MM</v>
          </cell>
          <cell r="H2120">
            <v>21</v>
          </cell>
          <cell r="I2120">
            <v>15</v>
          </cell>
          <cell r="J2120">
            <v>14</v>
          </cell>
          <cell r="K2120">
            <v>21</v>
          </cell>
          <cell r="L2120">
            <v>13</v>
          </cell>
          <cell r="M2120">
            <v>21</v>
          </cell>
          <cell r="P2120">
            <v>0.63194444444444442</v>
          </cell>
          <cell r="R2120">
            <v>0.63194444444444442</v>
          </cell>
          <cell r="S2120" t="str">
            <v>sob 13:50</v>
          </cell>
          <cell r="X2120">
            <v>303</v>
          </cell>
          <cell r="Y2120" t="str">
            <v>pojedyncza dziewcząt MM</v>
          </cell>
          <cell r="Z2120" t="str">
            <v>K5208</v>
          </cell>
          <cell r="AA2120" t="str">
            <v/>
          </cell>
          <cell r="AB2120" t="str">
            <v>P4759</v>
          </cell>
          <cell r="AC2120" t="str">
            <v/>
          </cell>
          <cell r="AD2120" t="str">
            <v>P4759</v>
          </cell>
          <cell r="AE2120" t="str">
            <v/>
          </cell>
          <cell r="AF2120" t="str">
            <v>15:21,21:14,21:13</v>
          </cell>
          <cell r="AG2120" t="str">
            <v>21:15,14:21,13:21</v>
          </cell>
          <cell r="AH2120" t="str">
            <v/>
          </cell>
          <cell r="AI2120">
            <v>21</v>
          </cell>
          <cell r="AJ2120">
            <v>15</v>
          </cell>
          <cell r="AK2120">
            <v>14</v>
          </cell>
          <cell r="AL2120">
            <v>21</v>
          </cell>
          <cell r="AM2120">
            <v>13</v>
          </cell>
          <cell r="AN2120">
            <v>21</v>
          </cell>
        </row>
        <row r="2121">
          <cell r="A2121" t="str">
            <v/>
          </cell>
          <cell r="B2121" t="str">
            <v>Dominika KWAŚNIK (UKS Feniks Kędzierzyn-Koźle)</v>
          </cell>
          <cell r="H2121" t="str">
            <v>K5208</v>
          </cell>
          <cell r="K2121" t="str">
            <v>P4759</v>
          </cell>
          <cell r="N2121" t="str">
            <v>Martyna PIETRZAK (MLKS Solec Kuj.)</v>
          </cell>
        </row>
        <row r="2122">
          <cell r="A2122" t="str">
            <v/>
          </cell>
          <cell r="B2122" t="str">
            <v/>
          </cell>
          <cell r="H2122" t="str">
            <v/>
          </cell>
          <cell r="K2122" t="str">
            <v/>
          </cell>
          <cell r="N2122" t="str">
            <v/>
          </cell>
        </row>
        <row r="2124">
          <cell r="B2124" t="str">
            <v/>
          </cell>
          <cell r="K2124" t="str">
            <v>zwycięzca(cy): 15:21,21:14,21:13</v>
          </cell>
        </row>
        <row r="2125">
          <cell r="B2125">
            <v>2</v>
          </cell>
          <cell r="C2125" t="str">
            <v>dzień turnieju.</v>
          </cell>
          <cell r="I2125" t="str">
            <v>Nr meczu</v>
          </cell>
          <cell r="N2125" t="str">
            <v>Godz.</v>
          </cell>
          <cell r="R2125" t="str">
            <v>S. prow.</v>
          </cell>
          <cell r="AF2125" t="str">
            <v>wygrany</v>
          </cell>
          <cell r="AG2125" t="str">
            <v>przegrany</v>
          </cell>
        </row>
        <row r="2126">
          <cell r="B2126" t="str">
            <v>Boisko</v>
          </cell>
          <cell r="C2126" t="str">
            <v>Gra</v>
          </cell>
          <cell r="I2126">
            <v>304</v>
          </cell>
          <cell r="N2126" t="str">
            <v>rozp.</v>
          </cell>
          <cell r="P2126" t="str">
            <v>zak.</v>
          </cell>
          <cell r="R2126" t="str">
            <v>S. serw.</v>
          </cell>
        </row>
        <row r="2127">
          <cell r="A2127">
            <v>304</v>
          </cell>
          <cell r="B2127">
            <v>3</v>
          </cell>
          <cell r="C2127" t="str">
            <v>pojedyncza dziewcząt MM</v>
          </cell>
          <cell r="H2127">
            <v>21</v>
          </cell>
          <cell r="I2127">
            <v>14</v>
          </cell>
          <cell r="J2127">
            <v>15</v>
          </cell>
          <cell r="K2127">
            <v>21</v>
          </cell>
          <cell r="L2127">
            <v>16</v>
          </cell>
          <cell r="M2127">
            <v>21</v>
          </cell>
          <cell r="P2127">
            <v>0.62847222222222221</v>
          </cell>
          <cell r="R2127">
            <v>0.62847222222222221</v>
          </cell>
          <cell r="S2127" t="str">
            <v>sob 13:50</v>
          </cell>
          <cell r="X2127">
            <v>304</v>
          </cell>
          <cell r="Y2127" t="str">
            <v>pojedyncza dziewcząt MM</v>
          </cell>
          <cell r="Z2127" t="str">
            <v>D5062</v>
          </cell>
          <cell r="AA2127" t="str">
            <v/>
          </cell>
          <cell r="AB2127" t="str">
            <v>L5359</v>
          </cell>
          <cell r="AC2127" t="str">
            <v/>
          </cell>
          <cell r="AD2127" t="str">
            <v>L5359</v>
          </cell>
          <cell r="AE2127" t="str">
            <v/>
          </cell>
          <cell r="AF2127" t="str">
            <v>14:21,21:15,21:16</v>
          </cell>
          <cell r="AG2127" t="str">
            <v>21:14,15:21,16:21</v>
          </cell>
          <cell r="AH2127" t="str">
            <v/>
          </cell>
          <cell r="AI2127">
            <v>21</v>
          </cell>
          <cell r="AJ2127">
            <v>14</v>
          </cell>
          <cell r="AK2127">
            <v>15</v>
          </cell>
          <cell r="AL2127">
            <v>21</v>
          </cell>
          <cell r="AM2127">
            <v>16</v>
          </cell>
          <cell r="AN2127">
            <v>21</v>
          </cell>
        </row>
        <row r="2128">
          <cell r="A2128" t="str">
            <v/>
          </cell>
          <cell r="B2128" t="str">
            <v>Emilia DRĄGOWSKA (UKS Hubal Białystok)</v>
          </cell>
          <cell r="H2128" t="str">
            <v>D5062</v>
          </cell>
          <cell r="K2128" t="str">
            <v>L5359</v>
          </cell>
          <cell r="N2128" t="str">
            <v>Aleksandra LASKOWSKA (UKS Kiko Zamość)</v>
          </cell>
        </row>
        <row r="2129">
          <cell r="A2129" t="str">
            <v/>
          </cell>
          <cell r="B2129" t="str">
            <v/>
          </cell>
          <cell r="H2129" t="str">
            <v/>
          </cell>
          <cell r="K2129" t="str">
            <v/>
          </cell>
          <cell r="N2129" t="str">
            <v/>
          </cell>
        </row>
        <row r="2131">
          <cell r="B2131" t="str">
            <v/>
          </cell>
          <cell r="K2131" t="str">
            <v>zwycięzca(cy): 14:21,21:15,21:16</v>
          </cell>
        </row>
        <row r="2132">
          <cell r="B2132">
            <v>2</v>
          </cell>
          <cell r="C2132" t="str">
            <v>dzień turnieju.</v>
          </cell>
          <cell r="I2132" t="str">
            <v>Nr meczu</v>
          </cell>
          <cell r="N2132" t="str">
            <v>Godz.</v>
          </cell>
          <cell r="R2132" t="str">
            <v>S. prow.</v>
          </cell>
          <cell r="AF2132" t="str">
            <v>wygrany</v>
          </cell>
          <cell r="AG2132" t="str">
            <v>przegrany</v>
          </cell>
        </row>
        <row r="2133">
          <cell r="B2133" t="str">
            <v>Boisko</v>
          </cell>
          <cell r="C2133" t="str">
            <v>Gra</v>
          </cell>
          <cell r="I2133">
            <v>305</v>
          </cell>
          <cell r="N2133" t="str">
            <v>rozp.</v>
          </cell>
          <cell r="P2133" t="str">
            <v>zak.</v>
          </cell>
          <cell r="R2133" t="str">
            <v>S. serw.</v>
          </cell>
        </row>
        <row r="2134">
          <cell r="A2134">
            <v>305</v>
          </cell>
          <cell r="B2134">
            <v>1</v>
          </cell>
          <cell r="C2134" t="str">
            <v>pojedyncza dziewcząt MM</v>
          </cell>
          <cell r="H2134">
            <v>5</v>
          </cell>
          <cell r="I2134">
            <v>21</v>
          </cell>
          <cell r="J2134">
            <v>5</v>
          </cell>
          <cell r="K2134">
            <v>21</v>
          </cell>
          <cell r="P2134">
            <v>0.375</v>
          </cell>
          <cell r="R2134">
            <v>0.375</v>
          </cell>
          <cell r="S2134" t="str">
            <v>sob 14:20</v>
          </cell>
          <cell r="X2134">
            <v>305</v>
          </cell>
          <cell r="Y2134" t="str">
            <v>pojedyncza dziewcząt MM</v>
          </cell>
          <cell r="Z2134" t="str">
            <v>X29</v>
          </cell>
          <cell r="AA2134" t="str">
            <v/>
          </cell>
          <cell r="AB2134" t="str">
            <v>X17</v>
          </cell>
          <cell r="AC2134" t="str">
            <v/>
          </cell>
          <cell r="AD2134" t="str">
            <v>X17</v>
          </cell>
          <cell r="AE2134" t="str">
            <v/>
          </cell>
          <cell r="AF2134" t="str">
            <v>21:5,21:5</v>
          </cell>
          <cell r="AG2134" t="str">
            <v>5:21,5:21</v>
          </cell>
          <cell r="AH2134" t="str">
            <v/>
          </cell>
          <cell r="AI2134">
            <v>5</v>
          </cell>
          <cell r="AJ2134">
            <v>21</v>
          </cell>
          <cell r="AK2134">
            <v>5</v>
          </cell>
          <cell r="AL2134">
            <v>21</v>
          </cell>
          <cell r="AM2134">
            <v>0</v>
          </cell>
          <cell r="AN2134">
            <v>0</v>
          </cell>
        </row>
        <row r="2135">
          <cell r="A2135" t="str">
            <v/>
          </cell>
          <cell r="B2135" t="str">
            <v>Anastasiya KHOMICH (Białoruś)</v>
          </cell>
          <cell r="H2135" t="str">
            <v>X29</v>
          </cell>
          <cell r="K2135" t="str">
            <v>X17</v>
          </cell>
          <cell r="N2135" t="str">
            <v>Anna BANDARENKA (Mińsk Białoruś)</v>
          </cell>
        </row>
        <row r="2136">
          <cell r="A2136" t="str">
            <v/>
          </cell>
          <cell r="B2136" t="str">
            <v/>
          </cell>
          <cell r="H2136" t="str">
            <v/>
          </cell>
          <cell r="K2136" t="str">
            <v/>
          </cell>
          <cell r="N2136" t="str">
            <v/>
          </cell>
        </row>
        <row r="2138">
          <cell r="B2138" t="str">
            <v/>
          </cell>
          <cell r="K2138" t="str">
            <v>zwycięzca(cy): 21:5,21:5</v>
          </cell>
        </row>
        <row r="2139">
          <cell r="B2139">
            <v>2</v>
          </cell>
          <cell r="C2139" t="str">
            <v>dzień turnieju.</v>
          </cell>
          <cell r="I2139" t="str">
            <v>Nr meczu</v>
          </cell>
          <cell r="N2139" t="str">
            <v>Godz.</v>
          </cell>
          <cell r="R2139" t="str">
            <v>S. prow.</v>
          </cell>
          <cell r="AF2139" t="str">
            <v>wygrany</v>
          </cell>
          <cell r="AG2139" t="str">
            <v>przegrany</v>
          </cell>
        </row>
        <row r="2140">
          <cell r="B2140" t="str">
            <v>Boisko</v>
          </cell>
          <cell r="C2140" t="str">
            <v>Gra</v>
          </cell>
          <cell r="I2140">
            <v>306</v>
          </cell>
          <cell r="N2140" t="str">
            <v>rozp.</v>
          </cell>
          <cell r="P2140" t="str">
            <v>zak.</v>
          </cell>
          <cell r="R2140" t="str">
            <v>S. serw.</v>
          </cell>
        </row>
        <row r="2141">
          <cell r="A2141">
            <v>306</v>
          </cell>
          <cell r="B2141">
            <v>2</v>
          </cell>
          <cell r="C2141" t="str">
            <v>pojedyncza dziewcząt MM</v>
          </cell>
          <cell r="H2141">
            <v>21</v>
          </cell>
          <cell r="I2141">
            <v>19</v>
          </cell>
          <cell r="J2141">
            <v>21</v>
          </cell>
          <cell r="K2141">
            <v>14</v>
          </cell>
          <cell r="P2141">
            <v>0.625</v>
          </cell>
          <cell r="R2141">
            <v>0.625</v>
          </cell>
          <cell r="S2141" t="str">
            <v>sob 14:20</v>
          </cell>
          <cell r="X2141">
            <v>306</v>
          </cell>
          <cell r="Y2141" t="str">
            <v>pojedyncza dziewcząt MM</v>
          </cell>
          <cell r="Z2141" t="str">
            <v>X63</v>
          </cell>
          <cell r="AA2141" t="str">
            <v/>
          </cell>
          <cell r="AB2141" t="str">
            <v>S4730</v>
          </cell>
          <cell r="AC2141" t="str">
            <v/>
          </cell>
          <cell r="AD2141" t="str">
            <v>X63</v>
          </cell>
          <cell r="AE2141" t="str">
            <v/>
          </cell>
          <cell r="AF2141" t="str">
            <v>21:19,21:14</v>
          </cell>
          <cell r="AG2141" t="str">
            <v>19:21,14:21</v>
          </cell>
          <cell r="AH2141" t="str">
            <v/>
          </cell>
          <cell r="AI2141">
            <v>21</v>
          </cell>
          <cell r="AJ2141">
            <v>19</v>
          </cell>
          <cell r="AK2141">
            <v>21</v>
          </cell>
          <cell r="AL2141">
            <v>14</v>
          </cell>
          <cell r="AM2141">
            <v>0</v>
          </cell>
          <cell r="AN2141">
            <v>0</v>
          </cell>
        </row>
        <row r="2142">
          <cell r="A2142" t="str">
            <v/>
          </cell>
          <cell r="B2142" t="str">
            <v>Anna  KRAMCHANINA (Brześć 2 Białoruś)</v>
          </cell>
          <cell r="H2142" t="str">
            <v>X63</v>
          </cell>
          <cell r="K2142" t="str">
            <v>S4730</v>
          </cell>
          <cell r="N2142" t="str">
            <v>Karolina SZUBERT (KS Match Point Ślęza)</v>
          </cell>
        </row>
        <row r="2143">
          <cell r="A2143" t="str">
            <v/>
          </cell>
          <cell r="B2143" t="str">
            <v/>
          </cell>
          <cell r="H2143" t="str">
            <v/>
          </cell>
          <cell r="K2143" t="str">
            <v/>
          </cell>
          <cell r="N2143" t="str">
            <v/>
          </cell>
        </row>
        <row r="2145">
          <cell r="B2145" t="str">
            <v>zwycięzca(cy): 21:19,21:14</v>
          </cell>
          <cell r="K2145" t="str">
            <v/>
          </cell>
        </row>
        <row r="2146">
          <cell r="B2146">
            <v>2</v>
          </cell>
          <cell r="C2146" t="str">
            <v>dzień turnieju.</v>
          </cell>
          <cell r="I2146" t="str">
            <v>Nr meczu</v>
          </cell>
          <cell r="N2146" t="str">
            <v>Godz.</v>
          </cell>
          <cell r="R2146" t="str">
            <v>S. prow.</v>
          </cell>
          <cell r="AF2146" t="str">
            <v>wygrany</v>
          </cell>
          <cell r="AG2146" t="str">
            <v>przegrany</v>
          </cell>
        </row>
        <row r="2147">
          <cell r="B2147" t="str">
            <v>Boisko</v>
          </cell>
          <cell r="C2147" t="str">
            <v>Gra</v>
          </cell>
          <cell r="I2147">
            <v>307</v>
          </cell>
          <cell r="N2147" t="str">
            <v>rozp.</v>
          </cell>
          <cell r="P2147" t="str">
            <v>zak.</v>
          </cell>
          <cell r="R2147" t="str">
            <v>S. serw.</v>
          </cell>
        </row>
        <row r="2148">
          <cell r="A2148">
            <v>307</v>
          </cell>
          <cell r="B2148">
            <v>1</v>
          </cell>
          <cell r="C2148" t="str">
            <v>pojedyncza dziewcząt MM</v>
          </cell>
          <cell r="H2148">
            <v>21</v>
          </cell>
          <cell r="I2148">
            <v>19</v>
          </cell>
          <cell r="J2148">
            <v>21</v>
          </cell>
          <cell r="K2148">
            <v>13</v>
          </cell>
          <cell r="P2148">
            <v>0.625</v>
          </cell>
          <cell r="R2148">
            <v>0.625</v>
          </cell>
          <cell r="S2148" t="str">
            <v>sob 14:20</v>
          </cell>
          <cell r="X2148">
            <v>307</v>
          </cell>
          <cell r="Y2148" t="str">
            <v>pojedyncza dziewcząt MM</v>
          </cell>
          <cell r="Z2148" t="str">
            <v>B4319</v>
          </cell>
          <cell r="AA2148" t="str">
            <v/>
          </cell>
          <cell r="AB2148" t="str">
            <v>J5024</v>
          </cell>
          <cell r="AC2148" t="str">
            <v/>
          </cell>
          <cell r="AD2148" t="str">
            <v>B4319</v>
          </cell>
          <cell r="AE2148" t="str">
            <v/>
          </cell>
          <cell r="AF2148" t="str">
            <v>21:19,21:13</v>
          </cell>
          <cell r="AG2148" t="str">
            <v>19:21,13:21</v>
          </cell>
          <cell r="AH2148" t="str">
            <v/>
          </cell>
          <cell r="AI2148">
            <v>21</v>
          </cell>
          <cell r="AJ2148">
            <v>19</v>
          </cell>
          <cell r="AK2148">
            <v>21</v>
          </cell>
          <cell r="AL2148">
            <v>13</v>
          </cell>
          <cell r="AM2148">
            <v>0</v>
          </cell>
          <cell r="AN2148">
            <v>0</v>
          </cell>
        </row>
        <row r="2149">
          <cell r="A2149" t="str">
            <v/>
          </cell>
          <cell r="B2149" t="str">
            <v>Laura BUJAK (ULKS U-2 Lotka Bytów)</v>
          </cell>
          <cell r="H2149" t="str">
            <v>B4319</v>
          </cell>
          <cell r="K2149" t="str">
            <v>J5024</v>
          </cell>
          <cell r="N2149" t="str">
            <v>Zuzanna JANKOWSKA (MKS Strzelce Opolskie)</v>
          </cell>
        </row>
        <row r="2150">
          <cell r="A2150" t="str">
            <v/>
          </cell>
          <cell r="B2150" t="str">
            <v/>
          </cell>
          <cell r="H2150" t="str">
            <v/>
          </cell>
          <cell r="K2150" t="str">
            <v/>
          </cell>
          <cell r="N2150" t="str">
            <v/>
          </cell>
        </row>
        <row r="2152">
          <cell r="B2152" t="str">
            <v>zwycięzca(cy): 21:19,21:13</v>
          </cell>
          <cell r="K2152" t="str">
            <v/>
          </cell>
        </row>
        <row r="2153">
          <cell r="B2153">
            <v>2</v>
          </cell>
          <cell r="C2153" t="str">
            <v>dzień turnieju.</v>
          </cell>
          <cell r="I2153" t="str">
            <v>Nr meczu</v>
          </cell>
          <cell r="N2153" t="str">
            <v>Godz.</v>
          </cell>
          <cell r="R2153" t="str">
            <v>S. prow.</v>
          </cell>
          <cell r="AF2153" t="str">
            <v>wygrany</v>
          </cell>
          <cell r="AG2153" t="str">
            <v>przegrany</v>
          </cell>
        </row>
        <row r="2154">
          <cell r="B2154" t="str">
            <v>Boisko</v>
          </cell>
          <cell r="C2154" t="str">
            <v>Gra</v>
          </cell>
          <cell r="I2154">
            <v>308</v>
          </cell>
          <cell r="N2154" t="str">
            <v>rozp.</v>
          </cell>
          <cell r="P2154" t="str">
            <v>zak.</v>
          </cell>
          <cell r="R2154" t="str">
            <v>S. serw.</v>
          </cell>
        </row>
        <row r="2155">
          <cell r="A2155">
            <v>308</v>
          </cell>
          <cell r="B2155">
            <v>4</v>
          </cell>
          <cell r="C2155" t="str">
            <v>pojedyncza dziewcząt MM</v>
          </cell>
          <cell r="H2155">
            <v>9</v>
          </cell>
          <cell r="I2155">
            <v>21</v>
          </cell>
          <cell r="J2155">
            <v>10</v>
          </cell>
          <cell r="K2155">
            <v>21</v>
          </cell>
          <cell r="P2155">
            <v>0.62847222222222221</v>
          </cell>
          <cell r="R2155">
            <v>0.62847222222222221</v>
          </cell>
          <cell r="S2155" t="str">
            <v>sob 14:20</v>
          </cell>
          <cell r="X2155">
            <v>308</v>
          </cell>
          <cell r="Y2155" t="str">
            <v>pojedyncza dziewcząt MM</v>
          </cell>
          <cell r="Z2155" t="str">
            <v>R5603</v>
          </cell>
          <cell r="AA2155" t="str">
            <v/>
          </cell>
          <cell r="AB2155" t="str">
            <v>X16</v>
          </cell>
          <cell r="AC2155" t="str">
            <v/>
          </cell>
          <cell r="AD2155" t="str">
            <v>X16</v>
          </cell>
          <cell r="AE2155" t="str">
            <v/>
          </cell>
          <cell r="AF2155" t="str">
            <v>21:9,21:10</v>
          </cell>
          <cell r="AG2155" t="str">
            <v>9:21,10:21</v>
          </cell>
          <cell r="AH2155" t="str">
            <v/>
          </cell>
          <cell r="AI2155">
            <v>9</v>
          </cell>
          <cell r="AJ2155">
            <v>21</v>
          </cell>
          <cell r="AK2155">
            <v>10</v>
          </cell>
          <cell r="AL2155">
            <v>21</v>
          </cell>
          <cell r="AM2155">
            <v>0</v>
          </cell>
          <cell r="AN2155">
            <v>0</v>
          </cell>
        </row>
        <row r="2156">
          <cell r="A2156" t="str">
            <v/>
          </cell>
          <cell r="B2156" t="str">
            <v>Aleksandra RADZISZEWSKA (UKS Hubal Białystok)</v>
          </cell>
          <cell r="H2156" t="str">
            <v>R5603</v>
          </cell>
          <cell r="K2156" t="str">
            <v>X16</v>
          </cell>
          <cell r="N2156" t="str">
            <v>Yelizaveta KAMINSKAYA (Mińsk Białoruś)</v>
          </cell>
        </row>
        <row r="2157">
          <cell r="A2157" t="str">
            <v/>
          </cell>
          <cell r="B2157" t="str">
            <v/>
          </cell>
          <cell r="H2157" t="str">
            <v/>
          </cell>
          <cell r="K2157" t="str">
            <v/>
          </cell>
          <cell r="N2157" t="str">
            <v/>
          </cell>
        </row>
        <row r="2159">
          <cell r="B2159" t="str">
            <v/>
          </cell>
          <cell r="K2159" t="str">
            <v>zwycięzca(cy): 21:9,21:10</v>
          </cell>
        </row>
        <row r="2160">
          <cell r="B2160">
            <v>2</v>
          </cell>
          <cell r="C2160" t="str">
            <v>dzień turnieju.</v>
          </cell>
          <cell r="I2160" t="str">
            <v>Nr meczu</v>
          </cell>
          <cell r="N2160" t="str">
            <v>Godz.</v>
          </cell>
          <cell r="R2160" t="str">
            <v>S. prow.</v>
          </cell>
          <cell r="AF2160" t="str">
            <v>wygrany</v>
          </cell>
          <cell r="AG2160" t="str">
            <v>przegrany</v>
          </cell>
        </row>
        <row r="2161">
          <cell r="B2161" t="str">
            <v>Boisko</v>
          </cell>
          <cell r="C2161" t="str">
            <v>Gra</v>
          </cell>
          <cell r="I2161">
            <v>309</v>
          </cell>
          <cell r="N2161" t="str">
            <v>rozp.</v>
          </cell>
          <cell r="P2161" t="str">
            <v>zak.</v>
          </cell>
          <cell r="R2161" t="str">
            <v>S. serw.</v>
          </cell>
        </row>
        <row r="2162">
          <cell r="A2162">
            <v>309</v>
          </cell>
          <cell r="B2162">
            <v>1</v>
          </cell>
          <cell r="C2162" t="str">
            <v>pojedyncza chłopców MM</v>
          </cell>
          <cell r="H2162">
            <v>21</v>
          </cell>
          <cell r="I2162">
            <v>5</v>
          </cell>
          <cell r="J2162">
            <v>21</v>
          </cell>
          <cell r="K2162">
            <v>6</v>
          </cell>
          <cell r="P2162">
            <v>0.63541666666666663</v>
          </cell>
          <cell r="R2162">
            <v>0.63541666666666663</v>
          </cell>
          <cell r="S2162" t="str">
            <v>sob 14:20</v>
          </cell>
          <cell r="X2162">
            <v>309</v>
          </cell>
          <cell r="Y2162" t="str">
            <v>pojedyncza chłopców MM</v>
          </cell>
          <cell r="Z2162" t="str">
            <v>M4565</v>
          </cell>
          <cell r="AA2162" t="str">
            <v/>
          </cell>
          <cell r="AB2162" t="str">
            <v>G5058</v>
          </cell>
          <cell r="AC2162" t="str">
            <v/>
          </cell>
          <cell r="AD2162" t="str">
            <v>M4565</v>
          </cell>
          <cell r="AE2162" t="str">
            <v/>
          </cell>
          <cell r="AF2162" t="str">
            <v>21:5,21:6</v>
          </cell>
          <cell r="AG2162" t="str">
            <v>5:21,6:21</v>
          </cell>
          <cell r="AH2162" t="str">
            <v/>
          </cell>
          <cell r="AI2162">
            <v>21</v>
          </cell>
          <cell r="AJ2162">
            <v>5</v>
          </cell>
          <cell r="AK2162">
            <v>21</v>
          </cell>
          <cell r="AL2162">
            <v>6</v>
          </cell>
          <cell r="AM2162">
            <v>0</v>
          </cell>
          <cell r="AN2162">
            <v>0</v>
          </cell>
        </row>
        <row r="2163">
          <cell r="A2163" t="str">
            <v/>
          </cell>
          <cell r="B2163" t="str">
            <v>Maciej MATUSZ (LKS Technik Głubczyce)</v>
          </cell>
          <cell r="H2163" t="str">
            <v>M4565</v>
          </cell>
          <cell r="K2163" t="str">
            <v>G5058</v>
          </cell>
          <cell r="N2163" t="str">
            <v>Wiktor GRZYB (UKS Orbitek Straszęcin)</v>
          </cell>
        </row>
        <row r="2164">
          <cell r="A2164" t="str">
            <v/>
          </cell>
          <cell r="B2164" t="str">
            <v/>
          </cell>
          <cell r="H2164" t="str">
            <v/>
          </cell>
          <cell r="K2164" t="str">
            <v/>
          </cell>
          <cell r="N2164" t="str">
            <v/>
          </cell>
        </row>
        <row r="2166">
          <cell r="B2166" t="str">
            <v>zwycięzca(cy): 21:5,21:6</v>
          </cell>
          <cell r="K2166" t="str">
            <v/>
          </cell>
        </row>
        <row r="2167">
          <cell r="B2167">
            <v>2</v>
          </cell>
          <cell r="C2167" t="str">
            <v>dzień turnieju.</v>
          </cell>
          <cell r="I2167" t="str">
            <v>Nr meczu</v>
          </cell>
          <cell r="N2167" t="str">
            <v>Godz.</v>
          </cell>
          <cell r="R2167" t="str">
            <v>S. prow.</v>
          </cell>
          <cell r="AF2167" t="str">
            <v>wygrany</v>
          </cell>
          <cell r="AG2167" t="str">
            <v>przegrany</v>
          </cell>
        </row>
        <row r="2168">
          <cell r="B2168" t="str">
            <v>Boisko</v>
          </cell>
          <cell r="C2168" t="str">
            <v>Gra</v>
          </cell>
          <cell r="I2168">
            <v>310</v>
          </cell>
          <cell r="N2168" t="str">
            <v>rozp.</v>
          </cell>
          <cell r="P2168" t="str">
            <v>zak.</v>
          </cell>
          <cell r="R2168" t="str">
            <v>S. serw.</v>
          </cell>
        </row>
        <row r="2169">
          <cell r="A2169">
            <v>310</v>
          </cell>
          <cell r="B2169">
            <v>5</v>
          </cell>
          <cell r="C2169" t="str">
            <v>pojedyncza chłopców MM</v>
          </cell>
          <cell r="H2169">
            <v>21</v>
          </cell>
          <cell r="I2169">
            <v>9</v>
          </cell>
          <cell r="J2169">
            <v>21</v>
          </cell>
          <cell r="K2169">
            <v>14</v>
          </cell>
          <cell r="P2169">
            <v>0.63194444444444442</v>
          </cell>
          <cell r="R2169">
            <v>0.63194444444444442</v>
          </cell>
          <cell r="S2169" t="str">
            <v>sob 14:20</v>
          </cell>
          <cell r="X2169">
            <v>310</v>
          </cell>
          <cell r="Y2169" t="str">
            <v>pojedyncza chłopców MM</v>
          </cell>
          <cell r="Z2169" t="str">
            <v>C4406</v>
          </cell>
          <cell r="AA2169" t="str">
            <v/>
          </cell>
          <cell r="AB2169" t="str">
            <v>R4145</v>
          </cell>
          <cell r="AC2169" t="str">
            <v/>
          </cell>
          <cell r="AD2169" t="str">
            <v>C4406</v>
          </cell>
          <cell r="AE2169" t="str">
            <v/>
          </cell>
          <cell r="AF2169" t="str">
            <v>21:9,21:14</v>
          </cell>
          <cell r="AG2169" t="str">
            <v>9:21,14:21</v>
          </cell>
          <cell r="AH2169" t="str">
            <v/>
          </cell>
          <cell r="AI2169">
            <v>21</v>
          </cell>
          <cell r="AJ2169">
            <v>9</v>
          </cell>
          <cell r="AK2169">
            <v>21</v>
          </cell>
          <cell r="AL2169">
            <v>14</v>
          </cell>
          <cell r="AM2169">
            <v>0</v>
          </cell>
          <cell r="AN2169">
            <v>0</v>
          </cell>
        </row>
        <row r="2170">
          <cell r="A2170" t="str">
            <v/>
          </cell>
          <cell r="B2170" t="str">
            <v>Łukasz CIMOSZ (KS Chojnik Jelenia Góra)</v>
          </cell>
          <cell r="H2170" t="str">
            <v>C4406</v>
          </cell>
          <cell r="K2170" t="str">
            <v>R4145</v>
          </cell>
          <cell r="N2170" t="str">
            <v>Michał RECKI (UKS Lotka Lubiewo)</v>
          </cell>
        </row>
        <row r="2171">
          <cell r="A2171" t="str">
            <v/>
          </cell>
          <cell r="B2171" t="str">
            <v/>
          </cell>
          <cell r="H2171" t="str">
            <v/>
          </cell>
          <cell r="K2171" t="str">
            <v/>
          </cell>
          <cell r="N2171" t="str">
            <v/>
          </cell>
        </row>
        <row r="2173">
          <cell r="B2173" t="str">
            <v>zwycięzca(cy): 21:9,21:14</v>
          </cell>
          <cell r="K2173" t="str">
            <v/>
          </cell>
        </row>
        <row r="2174">
          <cell r="B2174">
            <v>2</v>
          </cell>
          <cell r="C2174" t="str">
            <v>dzień turnieju.</v>
          </cell>
          <cell r="I2174" t="str">
            <v>Nr meczu</v>
          </cell>
          <cell r="N2174" t="str">
            <v>Godz.</v>
          </cell>
          <cell r="R2174" t="str">
            <v>S. prow.</v>
          </cell>
          <cell r="AF2174" t="str">
            <v>wygrany</v>
          </cell>
          <cell r="AG2174" t="str">
            <v>przegrany</v>
          </cell>
        </row>
        <row r="2175">
          <cell r="B2175" t="str">
            <v>Boisko</v>
          </cell>
          <cell r="C2175" t="str">
            <v>Gra</v>
          </cell>
          <cell r="I2175">
            <v>311</v>
          </cell>
          <cell r="N2175" t="str">
            <v>rozp.</v>
          </cell>
          <cell r="P2175" t="str">
            <v>zak.</v>
          </cell>
          <cell r="R2175" t="str">
            <v>S. serw.</v>
          </cell>
        </row>
        <row r="2176">
          <cell r="A2176">
            <v>311</v>
          </cell>
          <cell r="B2176">
            <v>2</v>
          </cell>
          <cell r="C2176" t="str">
            <v>pojedyncza chłopców MM</v>
          </cell>
          <cell r="H2176">
            <v>21</v>
          </cell>
          <cell r="I2176">
            <v>8</v>
          </cell>
          <cell r="J2176">
            <v>21</v>
          </cell>
          <cell r="K2176">
            <v>17</v>
          </cell>
          <cell r="P2176">
            <v>0.64583333333333337</v>
          </cell>
          <cell r="R2176">
            <v>0.64583333333333337</v>
          </cell>
          <cell r="S2176" t="str">
            <v>sob 14:20</v>
          </cell>
          <cell r="X2176">
            <v>311</v>
          </cell>
          <cell r="Y2176" t="str">
            <v>pojedyncza chłopców MM</v>
          </cell>
          <cell r="Z2176" t="str">
            <v>P5025</v>
          </cell>
          <cell r="AA2176" t="str">
            <v/>
          </cell>
          <cell r="AB2176" t="str">
            <v>B5059</v>
          </cell>
          <cell r="AC2176" t="str">
            <v/>
          </cell>
          <cell r="AD2176" t="str">
            <v>P5025</v>
          </cell>
          <cell r="AE2176" t="str">
            <v/>
          </cell>
          <cell r="AF2176" t="str">
            <v>21:8,21:17</v>
          </cell>
          <cell r="AG2176" t="str">
            <v>8:21,17:21</v>
          </cell>
          <cell r="AH2176" t="str">
            <v/>
          </cell>
          <cell r="AI2176">
            <v>21</v>
          </cell>
          <cell r="AJ2176">
            <v>8</v>
          </cell>
          <cell r="AK2176">
            <v>21</v>
          </cell>
          <cell r="AL2176">
            <v>17</v>
          </cell>
          <cell r="AM2176">
            <v>0</v>
          </cell>
          <cell r="AN2176">
            <v>0</v>
          </cell>
        </row>
        <row r="2177">
          <cell r="A2177" t="str">
            <v/>
          </cell>
          <cell r="B2177" t="str">
            <v>Jakub PLASZCZYK (MKS Strzelce Opolskie)</v>
          </cell>
          <cell r="H2177" t="str">
            <v>P5025</v>
          </cell>
          <cell r="K2177" t="str">
            <v>B5059</v>
          </cell>
          <cell r="N2177" t="str">
            <v>Adam BIBIK (KSR Wolant Łódź)</v>
          </cell>
        </row>
        <row r="2178">
          <cell r="A2178" t="str">
            <v/>
          </cell>
          <cell r="B2178" t="str">
            <v/>
          </cell>
          <cell r="H2178" t="str">
            <v/>
          </cell>
          <cell r="K2178" t="str">
            <v/>
          </cell>
          <cell r="N2178" t="str">
            <v/>
          </cell>
        </row>
        <row r="2180">
          <cell r="B2180" t="str">
            <v>zwycięzca(cy): 21:8,21:17</v>
          </cell>
          <cell r="K2180" t="str">
            <v/>
          </cell>
        </row>
        <row r="2181">
          <cell r="B2181">
            <v>2</v>
          </cell>
          <cell r="C2181" t="str">
            <v>dzień turnieju.</v>
          </cell>
          <cell r="I2181" t="str">
            <v>Nr meczu</v>
          </cell>
          <cell r="N2181" t="str">
            <v>Godz.</v>
          </cell>
          <cell r="R2181" t="str">
            <v>S. prow.</v>
          </cell>
          <cell r="AF2181" t="str">
            <v>wygrany</v>
          </cell>
          <cell r="AG2181" t="str">
            <v>przegrany</v>
          </cell>
        </row>
        <row r="2182">
          <cell r="B2182" t="str">
            <v>Boisko</v>
          </cell>
          <cell r="C2182" t="str">
            <v>Gra</v>
          </cell>
          <cell r="I2182">
            <v>312</v>
          </cell>
          <cell r="N2182" t="str">
            <v>rozp.</v>
          </cell>
          <cell r="P2182" t="str">
            <v>zak.</v>
          </cell>
          <cell r="R2182" t="str">
            <v>S. serw.</v>
          </cell>
        </row>
        <row r="2183">
          <cell r="A2183">
            <v>312</v>
          </cell>
          <cell r="B2183">
            <v>3</v>
          </cell>
          <cell r="C2183" t="str">
            <v>pojedyncza chłopców MM</v>
          </cell>
          <cell r="H2183">
            <v>21</v>
          </cell>
          <cell r="I2183">
            <v>13</v>
          </cell>
          <cell r="J2183">
            <v>21</v>
          </cell>
          <cell r="K2183">
            <v>16</v>
          </cell>
          <cell r="P2183">
            <v>0.64583333333333337</v>
          </cell>
          <cell r="R2183">
            <v>0.64583333333333337</v>
          </cell>
          <cell r="S2183" t="str">
            <v>sob 14:40</v>
          </cell>
          <cell r="X2183">
            <v>312</v>
          </cell>
          <cell r="Y2183" t="str">
            <v>pojedyncza chłopców MM</v>
          </cell>
          <cell r="Z2183" t="str">
            <v>Ż4858</v>
          </cell>
          <cell r="AA2183" t="str">
            <v/>
          </cell>
          <cell r="AB2183" t="str">
            <v>H5129</v>
          </cell>
          <cell r="AC2183" t="str">
            <v/>
          </cell>
          <cell r="AD2183" t="str">
            <v>Ż4858</v>
          </cell>
          <cell r="AE2183" t="str">
            <v/>
          </cell>
          <cell r="AF2183" t="str">
            <v>21:13,21:16</v>
          </cell>
          <cell r="AG2183" t="str">
            <v>13:21,16:21</v>
          </cell>
          <cell r="AH2183" t="str">
            <v/>
          </cell>
          <cell r="AI2183">
            <v>21</v>
          </cell>
          <cell r="AJ2183">
            <v>13</v>
          </cell>
          <cell r="AK2183">
            <v>21</v>
          </cell>
          <cell r="AL2183">
            <v>16</v>
          </cell>
          <cell r="AM2183">
            <v>0</v>
          </cell>
          <cell r="AN2183">
            <v>0</v>
          </cell>
        </row>
        <row r="2184">
          <cell r="A2184" t="str">
            <v/>
          </cell>
          <cell r="B2184" t="str">
            <v>Dawid ŻMÓJDZIN (UKS Hubal Białystok)</v>
          </cell>
          <cell r="H2184" t="str">
            <v>Ż4858</v>
          </cell>
          <cell r="K2184" t="str">
            <v>H5129</v>
          </cell>
          <cell r="N2184" t="str">
            <v>Natan HEMER (UKS Korona Pabianice)</v>
          </cell>
        </row>
        <row r="2185">
          <cell r="A2185" t="str">
            <v/>
          </cell>
          <cell r="B2185" t="str">
            <v/>
          </cell>
          <cell r="H2185" t="str">
            <v/>
          </cell>
          <cell r="K2185" t="str">
            <v/>
          </cell>
          <cell r="N2185" t="str">
            <v/>
          </cell>
        </row>
        <row r="2187">
          <cell r="B2187" t="str">
            <v>zwycięzca(cy): 21:13,21:16</v>
          </cell>
          <cell r="K2187" t="str">
            <v/>
          </cell>
        </row>
        <row r="2188">
          <cell r="B2188">
            <v>2</v>
          </cell>
          <cell r="C2188" t="str">
            <v>dzień turnieju.</v>
          </cell>
          <cell r="I2188" t="str">
            <v>Nr meczu</v>
          </cell>
          <cell r="N2188" t="str">
            <v>Godz.</v>
          </cell>
          <cell r="R2188" t="str">
            <v>S. prow.</v>
          </cell>
          <cell r="AF2188" t="str">
            <v>wygrany</v>
          </cell>
          <cell r="AG2188" t="str">
            <v>przegrany</v>
          </cell>
        </row>
        <row r="2189">
          <cell r="B2189" t="str">
            <v>Boisko</v>
          </cell>
          <cell r="C2189" t="str">
            <v>Gra</v>
          </cell>
          <cell r="I2189">
            <v>313</v>
          </cell>
          <cell r="N2189" t="str">
            <v>rozp.</v>
          </cell>
          <cell r="P2189" t="str">
            <v>zak.</v>
          </cell>
          <cell r="R2189" t="str">
            <v>S. serw.</v>
          </cell>
        </row>
        <row r="2190">
          <cell r="A2190">
            <v>313</v>
          </cell>
          <cell r="B2190">
            <v>4</v>
          </cell>
          <cell r="C2190" t="str">
            <v>pojedyncza chłopców MM</v>
          </cell>
          <cell r="H2190">
            <v>21</v>
          </cell>
          <cell r="I2190">
            <v>11</v>
          </cell>
          <cell r="J2190">
            <v>21</v>
          </cell>
          <cell r="K2190">
            <v>7</v>
          </cell>
          <cell r="P2190">
            <v>0.64583333333333337</v>
          </cell>
          <cell r="R2190">
            <v>0.64583333333333337</v>
          </cell>
          <cell r="S2190" t="str">
            <v>sob 14:40</v>
          </cell>
          <cell r="X2190">
            <v>313</v>
          </cell>
          <cell r="Y2190" t="str">
            <v>pojedyncza chłopców MM</v>
          </cell>
          <cell r="Z2190" t="str">
            <v>G4725</v>
          </cell>
          <cell r="AA2190" t="str">
            <v/>
          </cell>
          <cell r="AB2190" t="str">
            <v>X08</v>
          </cell>
          <cell r="AC2190" t="str">
            <v/>
          </cell>
          <cell r="AD2190" t="str">
            <v>G4725</v>
          </cell>
          <cell r="AE2190" t="str">
            <v/>
          </cell>
          <cell r="AF2190" t="str">
            <v>21:11,21:7</v>
          </cell>
          <cell r="AG2190" t="str">
            <v>11:21,7:21</v>
          </cell>
          <cell r="AH2190" t="str">
            <v/>
          </cell>
          <cell r="AI2190">
            <v>21</v>
          </cell>
          <cell r="AJ2190">
            <v>11</v>
          </cell>
          <cell r="AK2190">
            <v>21</v>
          </cell>
          <cell r="AL2190">
            <v>7</v>
          </cell>
          <cell r="AM2190">
            <v>0</v>
          </cell>
          <cell r="AN2190">
            <v>0</v>
          </cell>
        </row>
        <row r="2191">
          <cell r="A2191" t="str">
            <v/>
          </cell>
          <cell r="B2191" t="str">
            <v>Bartosz GAŁĄZKA (LKS Technik Głubczyce)</v>
          </cell>
          <cell r="H2191" t="str">
            <v>G4725</v>
          </cell>
          <cell r="K2191" t="str">
            <v>X08</v>
          </cell>
          <cell r="N2191" t="str">
            <v>Ilia LARUSIN (Brześć Białoruś)</v>
          </cell>
        </row>
        <row r="2192">
          <cell r="A2192" t="str">
            <v/>
          </cell>
          <cell r="B2192" t="str">
            <v/>
          </cell>
          <cell r="H2192" t="str">
            <v/>
          </cell>
          <cell r="K2192" t="str">
            <v/>
          </cell>
          <cell r="N2192" t="str">
            <v/>
          </cell>
        </row>
        <row r="2194">
          <cell r="B2194" t="str">
            <v>zwycięzca(cy): 21:11,21:7</v>
          </cell>
          <cell r="K2194" t="str">
            <v/>
          </cell>
        </row>
        <row r="2195">
          <cell r="B2195">
            <v>2</v>
          </cell>
          <cell r="C2195" t="str">
            <v>dzień turnieju.</v>
          </cell>
          <cell r="I2195" t="str">
            <v>Nr meczu</v>
          </cell>
          <cell r="N2195" t="str">
            <v>Godz.</v>
          </cell>
          <cell r="R2195" t="str">
            <v>S. prow.</v>
          </cell>
          <cell r="AF2195" t="str">
            <v>wygrany</v>
          </cell>
          <cell r="AG2195" t="str">
            <v>przegrany</v>
          </cell>
        </row>
        <row r="2196">
          <cell r="B2196" t="str">
            <v>Boisko</v>
          </cell>
          <cell r="C2196" t="str">
            <v>Gra</v>
          </cell>
          <cell r="I2196">
            <v>314</v>
          </cell>
          <cell r="N2196" t="str">
            <v>rozp.</v>
          </cell>
          <cell r="P2196" t="str">
            <v>zak.</v>
          </cell>
          <cell r="R2196" t="str">
            <v>S. serw.</v>
          </cell>
        </row>
        <row r="2197">
          <cell r="A2197">
            <v>314</v>
          </cell>
          <cell r="B2197">
            <v>6</v>
          </cell>
          <cell r="C2197" t="str">
            <v>pojedyncza chłopców MM</v>
          </cell>
          <cell r="H2197">
            <v>17</v>
          </cell>
          <cell r="I2197">
            <v>21</v>
          </cell>
          <cell r="J2197">
            <v>15</v>
          </cell>
          <cell r="K2197">
            <v>21</v>
          </cell>
          <cell r="P2197">
            <v>0.64930555555555558</v>
          </cell>
          <cell r="R2197">
            <v>0.64930555555555558</v>
          </cell>
          <cell r="S2197" t="str">
            <v>sob 14:40</v>
          </cell>
          <cell r="X2197">
            <v>314</v>
          </cell>
          <cell r="Y2197" t="str">
            <v>pojedyncza chłopców MM</v>
          </cell>
          <cell r="Z2197" t="str">
            <v>P5350</v>
          </cell>
          <cell r="AA2197" t="str">
            <v/>
          </cell>
          <cell r="AB2197" t="str">
            <v>Z4312</v>
          </cell>
          <cell r="AC2197" t="str">
            <v/>
          </cell>
          <cell r="AD2197" t="str">
            <v>Z4312</v>
          </cell>
          <cell r="AE2197" t="str">
            <v/>
          </cell>
          <cell r="AF2197" t="str">
            <v>21:17,21:15</v>
          </cell>
          <cell r="AG2197" t="str">
            <v>17:21,15:21</v>
          </cell>
          <cell r="AH2197" t="str">
            <v/>
          </cell>
          <cell r="AI2197">
            <v>17</v>
          </cell>
          <cell r="AJ2197">
            <v>21</v>
          </cell>
          <cell r="AK2197">
            <v>15</v>
          </cell>
          <cell r="AL2197">
            <v>21</v>
          </cell>
          <cell r="AM2197">
            <v>0</v>
          </cell>
          <cell r="AN2197">
            <v>0</v>
          </cell>
        </row>
        <row r="2198">
          <cell r="A2198" t="str">
            <v/>
          </cell>
          <cell r="B2198" t="str">
            <v>Miłosz PIOTROWSKI (UKS Kiko Zamość)</v>
          </cell>
          <cell r="H2198" t="str">
            <v>P5350</v>
          </cell>
          <cell r="K2198" t="str">
            <v>Z4312</v>
          </cell>
          <cell r="N2198" t="str">
            <v>Łukasz ZWIERZCHOWSKI (UKSB Milenium Warszawa)</v>
          </cell>
        </row>
        <row r="2199">
          <cell r="A2199" t="str">
            <v/>
          </cell>
          <cell r="B2199" t="str">
            <v/>
          </cell>
          <cell r="H2199" t="str">
            <v/>
          </cell>
          <cell r="K2199" t="str">
            <v/>
          </cell>
          <cell r="N2199" t="str">
            <v/>
          </cell>
        </row>
        <row r="2201">
          <cell r="B2201" t="str">
            <v/>
          </cell>
          <cell r="K2201" t="str">
            <v>zwycięzca(cy): 21:17,21:15</v>
          </cell>
        </row>
        <row r="2202">
          <cell r="B2202">
            <v>2</v>
          </cell>
          <cell r="C2202" t="str">
            <v>dzień turnieju.</v>
          </cell>
          <cell r="I2202" t="str">
            <v>Nr meczu</v>
          </cell>
          <cell r="N2202" t="str">
            <v>Godz.</v>
          </cell>
          <cell r="R2202" t="str">
            <v>S. prow.</v>
          </cell>
          <cell r="AF2202" t="str">
            <v>wygrany</v>
          </cell>
          <cell r="AG2202" t="str">
            <v>przegrany</v>
          </cell>
        </row>
        <row r="2203">
          <cell r="B2203" t="str">
            <v>Boisko</v>
          </cell>
          <cell r="C2203" t="str">
            <v>Gra</v>
          </cell>
          <cell r="I2203">
            <v>315</v>
          </cell>
          <cell r="N2203" t="str">
            <v>rozp.</v>
          </cell>
          <cell r="P2203" t="str">
            <v>zak.</v>
          </cell>
          <cell r="R2203" t="str">
            <v>S. serw.</v>
          </cell>
        </row>
        <row r="2204">
          <cell r="A2204">
            <v>315</v>
          </cell>
          <cell r="B2204">
            <v>5</v>
          </cell>
          <cell r="C2204" t="str">
            <v>pojedyncza chłopców MM</v>
          </cell>
          <cell r="H2204">
            <v>9</v>
          </cell>
          <cell r="I2204">
            <v>21</v>
          </cell>
          <cell r="J2204">
            <v>8</v>
          </cell>
          <cell r="K2204">
            <v>21</v>
          </cell>
          <cell r="P2204">
            <v>0.64583333333333337</v>
          </cell>
          <cell r="R2204">
            <v>0.64583333333333337</v>
          </cell>
          <cell r="S2204" t="str">
            <v>sob 14:40</v>
          </cell>
          <cell r="X2204">
            <v>315</v>
          </cell>
          <cell r="Y2204" t="str">
            <v>pojedyncza chłopców MM</v>
          </cell>
          <cell r="Z2204" t="str">
            <v>P5601</v>
          </cell>
          <cell r="AA2204" t="str">
            <v/>
          </cell>
          <cell r="AB2204" t="str">
            <v>Ś5585</v>
          </cell>
          <cell r="AC2204" t="str">
            <v/>
          </cell>
          <cell r="AD2204" t="str">
            <v>Ś5585</v>
          </cell>
          <cell r="AE2204" t="str">
            <v/>
          </cell>
          <cell r="AF2204" t="str">
            <v>21:9,21:8</v>
          </cell>
          <cell r="AG2204" t="str">
            <v>9:21,8:21</v>
          </cell>
          <cell r="AH2204" t="str">
            <v/>
          </cell>
          <cell r="AI2204">
            <v>9</v>
          </cell>
          <cell r="AJ2204">
            <v>21</v>
          </cell>
          <cell r="AK2204">
            <v>8</v>
          </cell>
          <cell r="AL2204">
            <v>21</v>
          </cell>
          <cell r="AM2204">
            <v>0</v>
          </cell>
          <cell r="AN2204">
            <v>0</v>
          </cell>
        </row>
        <row r="2205">
          <cell r="A2205" t="str">
            <v/>
          </cell>
          <cell r="B2205" t="str">
            <v>Hubert PUCIŁOWSKI (UKS Hubal Białystok)</v>
          </cell>
          <cell r="H2205" t="str">
            <v>P5601</v>
          </cell>
          <cell r="K2205" t="str">
            <v>Ś5585</v>
          </cell>
          <cell r="N2205" t="str">
            <v>Szymon ŚLEPECKI (LKS Technik Głubczyce)</v>
          </cell>
        </row>
        <row r="2206">
          <cell r="A2206" t="str">
            <v/>
          </cell>
          <cell r="B2206" t="str">
            <v/>
          </cell>
          <cell r="H2206" t="str">
            <v/>
          </cell>
          <cell r="K2206" t="str">
            <v/>
          </cell>
          <cell r="N2206" t="str">
            <v/>
          </cell>
        </row>
        <row r="2208">
          <cell r="B2208" t="str">
            <v/>
          </cell>
          <cell r="K2208" t="str">
            <v>zwycięzca(cy): 21:9,21:8</v>
          </cell>
        </row>
        <row r="2209">
          <cell r="B2209">
            <v>2</v>
          </cell>
          <cell r="C2209" t="str">
            <v>dzień turnieju.</v>
          </cell>
          <cell r="I2209" t="str">
            <v>Nr meczu</v>
          </cell>
          <cell r="N2209" t="str">
            <v>Godz.</v>
          </cell>
          <cell r="R2209" t="str">
            <v>S. prow.</v>
          </cell>
          <cell r="AF2209" t="str">
            <v>wygrany</v>
          </cell>
          <cell r="AG2209" t="str">
            <v>przegrany</v>
          </cell>
        </row>
        <row r="2210">
          <cell r="B2210" t="str">
            <v>Boisko</v>
          </cell>
          <cell r="C2210" t="str">
            <v>Gra</v>
          </cell>
          <cell r="I2210">
            <v>316</v>
          </cell>
          <cell r="N2210" t="str">
            <v>rozp.</v>
          </cell>
          <cell r="P2210" t="str">
            <v>zak.</v>
          </cell>
          <cell r="R2210" t="str">
            <v>S. serw.</v>
          </cell>
        </row>
        <row r="2211">
          <cell r="A2211">
            <v>316</v>
          </cell>
          <cell r="B2211">
            <v>1</v>
          </cell>
          <cell r="C2211" t="str">
            <v>pojedyncza chłopców MM</v>
          </cell>
          <cell r="H2211">
            <v>11</v>
          </cell>
          <cell r="I2211">
            <v>21</v>
          </cell>
          <cell r="J2211">
            <v>8</v>
          </cell>
          <cell r="K2211">
            <v>21</v>
          </cell>
          <cell r="P2211">
            <v>0.64583333333333337</v>
          </cell>
          <cell r="R2211">
            <v>0.64583333333333337</v>
          </cell>
          <cell r="S2211" t="str">
            <v>sob 14:40</v>
          </cell>
          <cell r="X2211">
            <v>316</v>
          </cell>
          <cell r="Y2211" t="str">
            <v>pojedyncza chłopców MM</v>
          </cell>
          <cell r="Z2211" t="str">
            <v>F4888</v>
          </cell>
          <cell r="AA2211" t="str">
            <v/>
          </cell>
          <cell r="AB2211" t="str">
            <v>M4612</v>
          </cell>
          <cell r="AC2211" t="str">
            <v/>
          </cell>
          <cell r="AD2211" t="str">
            <v>M4612</v>
          </cell>
          <cell r="AE2211" t="str">
            <v/>
          </cell>
          <cell r="AF2211" t="str">
            <v>21:11,21:8</v>
          </cell>
          <cell r="AG2211" t="str">
            <v>11:21,8:21</v>
          </cell>
          <cell r="AH2211" t="str">
            <v/>
          </cell>
          <cell r="AI2211">
            <v>11</v>
          </cell>
          <cell r="AJ2211">
            <v>21</v>
          </cell>
          <cell r="AK2211">
            <v>8</v>
          </cell>
          <cell r="AL2211">
            <v>21</v>
          </cell>
          <cell r="AM2211">
            <v>0</v>
          </cell>
          <cell r="AN2211">
            <v>0</v>
          </cell>
        </row>
        <row r="2212">
          <cell r="A2212" t="str">
            <v/>
          </cell>
          <cell r="B2212" t="str">
            <v>Jarosław FIJAŁKOWSKI (UKSB Milenium Warszawa)</v>
          </cell>
          <cell r="H2212" t="str">
            <v>F4888</v>
          </cell>
          <cell r="K2212" t="str">
            <v>M4612</v>
          </cell>
          <cell r="N2212" t="str">
            <v>Patryk MICHAŁEK (UKS Orbitek Straszęcin)</v>
          </cell>
        </row>
        <row r="2213">
          <cell r="A2213" t="str">
            <v/>
          </cell>
          <cell r="B2213" t="str">
            <v/>
          </cell>
          <cell r="H2213" t="str">
            <v/>
          </cell>
          <cell r="K2213" t="str">
            <v/>
          </cell>
          <cell r="N2213" t="str">
            <v/>
          </cell>
        </row>
        <row r="2215">
          <cell r="B2215" t="str">
            <v/>
          </cell>
          <cell r="K2215" t="str">
            <v>zwycięzca(cy): 21:11,21:8</v>
          </cell>
        </row>
        <row r="2216">
          <cell r="B2216">
            <v>2</v>
          </cell>
          <cell r="C2216" t="str">
            <v>dzień turnieju.</v>
          </cell>
          <cell r="I2216" t="str">
            <v>Nr meczu</v>
          </cell>
          <cell r="N2216" t="str">
            <v>Godz.</v>
          </cell>
          <cell r="R2216" t="str">
            <v>S. prow.</v>
          </cell>
          <cell r="AF2216" t="str">
            <v>wygrany</v>
          </cell>
          <cell r="AG2216" t="str">
            <v>przegrany</v>
          </cell>
        </row>
        <row r="2217">
          <cell r="B2217" t="str">
            <v>Boisko</v>
          </cell>
          <cell r="C2217" t="str">
            <v>Gra</v>
          </cell>
          <cell r="I2217">
            <v>317</v>
          </cell>
          <cell r="N2217" t="str">
            <v>rozp.</v>
          </cell>
          <cell r="P2217" t="str">
            <v>zak.</v>
          </cell>
          <cell r="R2217" t="str">
            <v>S. serw.</v>
          </cell>
        </row>
        <row r="2218">
          <cell r="A2218">
            <v>317</v>
          </cell>
          <cell r="B2218">
            <v>4</v>
          </cell>
          <cell r="C2218" t="str">
            <v>pojedyncza dziewcząt M</v>
          </cell>
          <cell r="H2218">
            <v>21</v>
          </cell>
          <cell r="I2218">
            <v>7</v>
          </cell>
          <cell r="J2218">
            <v>21</v>
          </cell>
          <cell r="K2218">
            <v>5</v>
          </cell>
          <cell r="P2218">
            <v>0.66319444444444442</v>
          </cell>
          <cell r="R2218">
            <v>0.66319444444444442</v>
          </cell>
          <cell r="S2218" t="str">
            <v>sob 15:00</v>
          </cell>
          <cell r="X2218">
            <v>317</v>
          </cell>
          <cell r="Y2218" t="str">
            <v>pojedyncza dziewcząt M</v>
          </cell>
          <cell r="Z2218" t="str">
            <v>D3427</v>
          </cell>
          <cell r="AA2218" t="str">
            <v/>
          </cell>
          <cell r="AB2218" t="str">
            <v>P4758</v>
          </cell>
          <cell r="AC2218" t="str">
            <v/>
          </cell>
          <cell r="AD2218" t="str">
            <v>D3427</v>
          </cell>
          <cell r="AE2218" t="str">
            <v/>
          </cell>
          <cell r="AF2218" t="str">
            <v>21:7,21:5</v>
          </cell>
          <cell r="AG2218" t="str">
            <v>7:21,5:21</v>
          </cell>
          <cell r="AH2218" t="str">
            <v/>
          </cell>
          <cell r="AI2218">
            <v>21</v>
          </cell>
          <cell r="AJ2218">
            <v>7</v>
          </cell>
          <cell r="AK2218">
            <v>21</v>
          </cell>
          <cell r="AL2218">
            <v>5</v>
          </cell>
          <cell r="AM2218">
            <v>0</v>
          </cell>
          <cell r="AN2218">
            <v>0</v>
          </cell>
        </row>
        <row r="2219">
          <cell r="A2219" t="str">
            <v/>
          </cell>
          <cell r="B2219" t="str">
            <v>Wiktoria DĄBCZYŃSKA (MKS Orlicz Suchedniów)</v>
          </cell>
          <cell r="H2219" t="str">
            <v>D3427</v>
          </cell>
          <cell r="K2219" t="str">
            <v>P4758</v>
          </cell>
          <cell r="N2219" t="str">
            <v>Natalia PIETRZAK (MLKS Solec Kuj.)</v>
          </cell>
        </row>
        <row r="2220">
          <cell r="A2220" t="str">
            <v/>
          </cell>
          <cell r="B2220" t="str">
            <v/>
          </cell>
          <cell r="H2220" t="str">
            <v/>
          </cell>
          <cell r="K2220" t="str">
            <v/>
          </cell>
          <cell r="N2220" t="str">
            <v/>
          </cell>
        </row>
        <row r="2222">
          <cell r="B2222" t="str">
            <v>zwycięzca(cy): 21:7,21:5</v>
          </cell>
          <cell r="K2222" t="str">
            <v/>
          </cell>
        </row>
        <row r="2223">
          <cell r="B2223">
            <v>2</v>
          </cell>
          <cell r="C2223" t="str">
            <v>dzień turnieju.</v>
          </cell>
          <cell r="I2223" t="str">
            <v>Nr meczu</v>
          </cell>
          <cell r="N2223" t="str">
            <v>Godz.</v>
          </cell>
          <cell r="R2223" t="str">
            <v>S. prow.</v>
          </cell>
          <cell r="AF2223" t="str">
            <v>wygrany</v>
          </cell>
          <cell r="AG2223" t="str">
            <v>przegrany</v>
          </cell>
        </row>
        <row r="2224">
          <cell r="B2224" t="str">
            <v>Boisko</v>
          </cell>
          <cell r="C2224" t="str">
            <v>Gra</v>
          </cell>
          <cell r="I2224">
            <v>318</v>
          </cell>
          <cell r="N2224" t="str">
            <v>rozp.</v>
          </cell>
          <cell r="P2224" t="str">
            <v>zak.</v>
          </cell>
          <cell r="R2224" t="str">
            <v>S. serw.</v>
          </cell>
        </row>
        <row r="2225">
          <cell r="A2225">
            <v>318</v>
          </cell>
          <cell r="B2225">
            <v>5</v>
          </cell>
          <cell r="C2225" t="str">
            <v>pojedyncza dziewcząt M</v>
          </cell>
          <cell r="H2225">
            <v>8</v>
          </cell>
          <cell r="I2225">
            <v>21</v>
          </cell>
          <cell r="J2225">
            <v>10</v>
          </cell>
          <cell r="K2225">
            <v>21</v>
          </cell>
          <cell r="P2225">
            <v>0.67013888888888884</v>
          </cell>
          <cell r="R2225">
            <v>0.67013888888888884</v>
          </cell>
          <cell r="S2225" t="str">
            <v>sob 15:00</v>
          </cell>
          <cell r="X2225">
            <v>318</v>
          </cell>
          <cell r="Y2225" t="str">
            <v>pojedyncza dziewcząt M</v>
          </cell>
          <cell r="Z2225" t="str">
            <v>K5387</v>
          </cell>
          <cell r="AA2225" t="str">
            <v/>
          </cell>
          <cell r="AB2225" t="str">
            <v>S4547</v>
          </cell>
          <cell r="AC2225" t="str">
            <v/>
          </cell>
          <cell r="AD2225" t="str">
            <v>S4547</v>
          </cell>
          <cell r="AE2225" t="str">
            <v/>
          </cell>
          <cell r="AF2225" t="str">
            <v>21:8,21:10</v>
          </cell>
          <cell r="AG2225" t="str">
            <v>8:21,10:21</v>
          </cell>
          <cell r="AH2225" t="str">
            <v/>
          </cell>
          <cell r="AI2225">
            <v>8</v>
          </cell>
          <cell r="AJ2225">
            <v>21</v>
          </cell>
          <cell r="AK2225">
            <v>10</v>
          </cell>
          <cell r="AL2225">
            <v>21</v>
          </cell>
          <cell r="AM2225">
            <v>0</v>
          </cell>
          <cell r="AN2225">
            <v>0</v>
          </cell>
        </row>
        <row r="2226">
          <cell r="A2226" t="str">
            <v/>
          </cell>
          <cell r="B2226" t="str">
            <v>Klaudia KUSIAK (UKS Orliki Ropica Polska)</v>
          </cell>
          <cell r="H2226" t="str">
            <v>K5387</v>
          </cell>
          <cell r="K2226" t="str">
            <v>S4547</v>
          </cell>
          <cell r="N2226" t="str">
            <v>Aleksandra SZWEDA (MKB Lednik Miastko)</v>
          </cell>
        </row>
        <row r="2227">
          <cell r="A2227" t="str">
            <v/>
          </cell>
          <cell r="B2227" t="str">
            <v/>
          </cell>
          <cell r="H2227" t="str">
            <v/>
          </cell>
          <cell r="K2227" t="str">
            <v/>
          </cell>
          <cell r="N2227" t="str">
            <v/>
          </cell>
        </row>
        <row r="2229">
          <cell r="B2229" t="str">
            <v/>
          </cell>
          <cell r="K2229" t="str">
            <v>zwycięzca(cy): 21:8,21:10</v>
          </cell>
        </row>
        <row r="2230">
          <cell r="B2230">
            <v>2</v>
          </cell>
          <cell r="C2230" t="str">
            <v>dzień turnieju.</v>
          </cell>
          <cell r="I2230" t="str">
            <v>Nr meczu</v>
          </cell>
          <cell r="N2230" t="str">
            <v>Godz.</v>
          </cell>
          <cell r="R2230" t="str">
            <v>S. prow.</v>
          </cell>
          <cell r="AF2230" t="str">
            <v>wygrany</v>
          </cell>
          <cell r="AG2230" t="str">
            <v>przegrany</v>
          </cell>
        </row>
        <row r="2231">
          <cell r="B2231" t="str">
            <v>Boisko</v>
          </cell>
          <cell r="C2231" t="str">
            <v>Gra</v>
          </cell>
          <cell r="I2231">
            <v>319</v>
          </cell>
          <cell r="N2231" t="str">
            <v>rozp.</v>
          </cell>
          <cell r="P2231" t="str">
            <v>zak.</v>
          </cell>
          <cell r="R2231" t="str">
            <v>S. serw.</v>
          </cell>
        </row>
        <row r="2232">
          <cell r="A2232">
            <v>319</v>
          </cell>
          <cell r="B2232">
            <v>3</v>
          </cell>
          <cell r="C2232" t="str">
            <v>pojedyncza dziewcząt M</v>
          </cell>
          <cell r="H2232">
            <v>21</v>
          </cell>
          <cell r="I2232">
            <v>12</v>
          </cell>
          <cell r="J2232">
            <v>22</v>
          </cell>
          <cell r="K2232">
            <v>20</v>
          </cell>
          <cell r="P2232">
            <v>0.66666666666666663</v>
          </cell>
          <cell r="R2232">
            <v>0.66666666666666663</v>
          </cell>
          <cell r="S2232" t="str">
            <v>sob 15:00</v>
          </cell>
          <cell r="X2232">
            <v>319</v>
          </cell>
          <cell r="Y2232" t="str">
            <v>pojedyncza dziewcząt M</v>
          </cell>
          <cell r="Z2232" t="str">
            <v>P4786</v>
          </cell>
          <cell r="AA2232" t="str">
            <v/>
          </cell>
          <cell r="AB2232" t="str">
            <v>P4197</v>
          </cell>
          <cell r="AC2232" t="str">
            <v/>
          </cell>
          <cell r="AD2232" t="str">
            <v>P4786</v>
          </cell>
          <cell r="AE2232" t="str">
            <v/>
          </cell>
          <cell r="AF2232" t="str">
            <v>21:12,22:20</v>
          </cell>
          <cell r="AG2232" t="str">
            <v>12:21,20:22</v>
          </cell>
          <cell r="AH2232" t="str">
            <v/>
          </cell>
          <cell r="AI2232">
            <v>21</v>
          </cell>
          <cell r="AJ2232">
            <v>12</v>
          </cell>
          <cell r="AK2232">
            <v>22</v>
          </cell>
          <cell r="AL2232">
            <v>20</v>
          </cell>
          <cell r="AM2232">
            <v>0</v>
          </cell>
          <cell r="AN2232">
            <v>0</v>
          </cell>
        </row>
        <row r="2233">
          <cell r="A2233" t="str">
            <v/>
          </cell>
          <cell r="B2233" t="str">
            <v>Aleksandra PTAK (STB Energia Lubliniec)</v>
          </cell>
          <cell r="H2233" t="str">
            <v>P4786</v>
          </cell>
          <cell r="K2233" t="str">
            <v>P4197</v>
          </cell>
          <cell r="N2233" t="str">
            <v>Zuzanna PARYSZ (UKS Unia Bieruń)</v>
          </cell>
        </row>
        <row r="2234">
          <cell r="A2234" t="str">
            <v/>
          </cell>
          <cell r="B2234" t="str">
            <v/>
          </cell>
          <cell r="H2234" t="str">
            <v/>
          </cell>
          <cell r="K2234" t="str">
            <v/>
          </cell>
          <cell r="N2234" t="str">
            <v/>
          </cell>
        </row>
        <row r="2236">
          <cell r="B2236" t="str">
            <v>zwycięzca(cy): 21:12,22:20</v>
          </cell>
          <cell r="K2236" t="str">
            <v/>
          </cell>
        </row>
        <row r="2237">
          <cell r="B2237">
            <v>2</v>
          </cell>
          <cell r="C2237" t="str">
            <v>dzień turnieju.</v>
          </cell>
          <cell r="I2237" t="str">
            <v>Nr meczu</v>
          </cell>
          <cell r="N2237" t="str">
            <v>Godz.</v>
          </cell>
          <cell r="R2237" t="str">
            <v>S. prow.</v>
          </cell>
          <cell r="AF2237" t="str">
            <v>wygrany</v>
          </cell>
          <cell r="AG2237" t="str">
            <v>przegrany</v>
          </cell>
        </row>
        <row r="2238">
          <cell r="B2238" t="str">
            <v>Boisko</v>
          </cell>
          <cell r="C2238" t="str">
            <v>Gra</v>
          </cell>
          <cell r="I2238">
            <v>320</v>
          </cell>
          <cell r="N2238" t="str">
            <v>rozp.</v>
          </cell>
          <cell r="P2238" t="str">
            <v>zak.</v>
          </cell>
          <cell r="R2238" t="str">
            <v>S. serw.</v>
          </cell>
        </row>
        <row r="2239">
          <cell r="A2239">
            <v>320</v>
          </cell>
          <cell r="B2239">
            <v>5</v>
          </cell>
          <cell r="C2239" t="str">
            <v>pojedyncza dziewcząt M</v>
          </cell>
          <cell r="H2239">
            <v>21</v>
          </cell>
          <cell r="I2239">
            <v>17</v>
          </cell>
          <cell r="J2239">
            <v>15</v>
          </cell>
          <cell r="K2239">
            <v>21</v>
          </cell>
          <cell r="L2239">
            <v>17</v>
          </cell>
          <cell r="M2239">
            <v>21</v>
          </cell>
          <cell r="P2239">
            <v>0.68680555555555556</v>
          </cell>
          <cell r="R2239">
            <v>0.68680555555555556</v>
          </cell>
          <cell r="S2239" t="str">
            <v>sob 15:00</v>
          </cell>
          <cell r="X2239">
            <v>320</v>
          </cell>
          <cell r="Y2239" t="str">
            <v>pojedyncza dziewcząt M</v>
          </cell>
          <cell r="Z2239" t="str">
            <v>X06</v>
          </cell>
          <cell r="AA2239" t="str">
            <v/>
          </cell>
          <cell r="AB2239" t="str">
            <v>J4598</v>
          </cell>
          <cell r="AC2239" t="str">
            <v/>
          </cell>
          <cell r="AD2239" t="str">
            <v>J4598</v>
          </cell>
          <cell r="AE2239" t="str">
            <v/>
          </cell>
          <cell r="AF2239" t="str">
            <v>17:21,21:15,21:17</v>
          </cell>
          <cell r="AG2239" t="str">
            <v>21:17,15:21,17:21</v>
          </cell>
          <cell r="AH2239" t="str">
            <v/>
          </cell>
          <cell r="AI2239">
            <v>21</v>
          </cell>
          <cell r="AJ2239">
            <v>17</v>
          </cell>
          <cell r="AK2239">
            <v>15</v>
          </cell>
          <cell r="AL2239">
            <v>21</v>
          </cell>
          <cell r="AM2239">
            <v>17</v>
          </cell>
          <cell r="AN2239">
            <v>21</v>
          </cell>
        </row>
        <row r="2240">
          <cell r="A2240" t="str">
            <v/>
          </cell>
          <cell r="B2240" t="str">
            <v>Uliana ZACHROVA (Brześć Białoruś)</v>
          </cell>
          <cell r="H2240" t="str">
            <v>X06</v>
          </cell>
          <cell r="K2240" t="str">
            <v>J4598</v>
          </cell>
          <cell r="N2240" t="str">
            <v>Karolina JODZIO (SKB Suwałki)</v>
          </cell>
        </row>
        <row r="2241">
          <cell r="A2241" t="str">
            <v/>
          </cell>
          <cell r="B2241" t="str">
            <v/>
          </cell>
          <cell r="H2241" t="str">
            <v/>
          </cell>
          <cell r="K2241" t="str">
            <v/>
          </cell>
          <cell r="N2241" t="str">
            <v/>
          </cell>
        </row>
        <row r="2243">
          <cell r="B2243" t="str">
            <v/>
          </cell>
          <cell r="K2243" t="str">
            <v>zwycięzca(cy): 17:21,21:15,21:17</v>
          </cell>
        </row>
        <row r="2244">
          <cell r="B2244">
            <v>2</v>
          </cell>
          <cell r="C2244" t="str">
            <v>dzień turnieju.</v>
          </cell>
          <cell r="I2244" t="str">
            <v>Nr meczu</v>
          </cell>
          <cell r="N2244" t="str">
            <v>Godz.</v>
          </cell>
          <cell r="R2244" t="str">
            <v>S. prow.</v>
          </cell>
          <cell r="AF2244" t="str">
            <v>wygrany</v>
          </cell>
          <cell r="AG2244" t="str">
            <v>przegrany</v>
          </cell>
        </row>
        <row r="2245">
          <cell r="B2245" t="str">
            <v>Boisko</v>
          </cell>
          <cell r="C2245" t="str">
            <v>Gra</v>
          </cell>
          <cell r="I2245">
            <v>321</v>
          </cell>
          <cell r="N2245" t="str">
            <v>rozp.</v>
          </cell>
          <cell r="P2245" t="str">
            <v>zak.</v>
          </cell>
          <cell r="R2245" t="str">
            <v>S. serw.</v>
          </cell>
        </row>
        <row r="2246">
          <cell r="A2246">
            <v>321</v>
          </cell>
          <cell r="B2246">
            <v>6</v>
          </cell>
          <cell r="C2246" t="str">
            <v>pojedyncza dziewcząt M</v>
          </cell>
          <cell r="H2246">
            <v>21</v>
          </cell>
          <cell r="I2246">
            <v>13</v>
          </cell>
          <cell r="J2246">
            <v>21</v>
          </cell>
          <cell r="K2246">
            <v>19</v>
          </cell>
          <cell r="P2246">
            <v>0.67013888888888884</v>
          </cell>
          <cell r="R2246">
            <v>0.67013888888888884</v>
          </cell>
          <cell r="S2246" t="str">
            <v>sob 15:00</v>
          </cell>
          <cell r="X2246">
            <v>321</v>
          </cell>
          <cell r="Y2246" t="str">
            <v>pojedyncza dziewcząt M</v>
          </cell>
          <cell r="Z2246" t="str">
            <v>M4748</v>
          </cell>
          <cell r="AA2246" t="str">
            <v/>
          </cell>
          <cell r="AB2246" t="str">
            <v>X24</v>
          </cell>
          <cell r="AC2246" t="str">
            <v/>
          </cell>
          <cell r="AD2246" t="str">
            <v>M4748</v>
          </cell>
          <cell r="AE2246" t="str">
            <v/>
          </cell>
          <cell r="AF2246" t="str">
            <v>21:13,21:19</v>
          </cell>
          <cell r="AG2246" t="str">
            <v>13:21,19:21</v>
          </cell>
          <cell r="AH2246" t="str">
            <v/>
          </cell>
          <cell r="AI2246">
            <v>21</v>
          </cell>
          <cell r="AJ2246">
            <v>13</v>
          </cell>
          <cell r="AK2246">
            <v>21</v>
          </cell>
          <cell r="AL2246">
            <v>19</v>
          </cell>
          <cell r="AM2246">
            <v>0</v>
          </cell>
          <cell r="AN2246">
            <v>0</v>
          </cell>
        </row>
        <row r="2247">
          <cell r="A2247" t="str">
            <v/>
          </cell>
          <cell r="B2247" t="str">
            <v>Olga MIKSZA (KS Wesoła Warszawa)</v>
          </cell>
          <cell r="H2247" t="str">
            <v>M4748</v>
          </cell>
          <cell r="K2247" t="str">
            <v>X24</v>
          </cell>
          <cell r="N2247" t="str">
            <v>Anna  POLISCHUK (Lwów Ukraina)</v>
          </cell>
        </row>
        <row r="2248">
          <cell r="A2248" t="str">
            <v/>
          </cell>
          <cell r="B2248" t="str">
            <v/>
          </cell>
          <cell r="H2248" t="str">
            <v/>
          </cell>
          <cell r="K2248" t="str">
            <v/>
          </cell>
          <cell r="N2248" t="str">
            <v/>
          </cell>
        </row>
        <row r="2250">
          <cell r="B2250" t="str">
            <v>zwycięzca(cy): 21:13,21:19</v>
          </cell>
          <cell r="K2250" t="str">
            <v/>
          </cell>
        </row>
        <row r="2251">
          <cell r="B2251">
            <v>2</v>
          </cell>
          <cell r="C2251" t="str">
            <v>dzień turnieju.</v>
          </cell>
          <cell r="I2251" t="str">
            <v>Nr meczu</v>
          </cell>
          <cell r="N2251" t="str">
            <v>Godz.</v>
          </cell>
          <cell r="R2251" t="str">
            <v>S. prow.</v>
          </cell>
          <cell r="AF2251" t="str">
            <v>wygrany</v>
          </cell>
          <cell r="AG2251" t="str">
            <v>przegrany</v>
          </cell>
        </row>
        <row r="2252">
          <cell r="B2252" t="str">
            <v>Boisko</v>
          </cell>
          <cell r="C2252" t="str">
            <v>Gra</v>
          </cell>
          <cell r="I2252">
            <v>322</v>
          </cell>
          <cell r="N2252" t="str">
            <v>rozp.</v>
          </cell>
          <cell r="P2252" t="str">
            <v>zak.</v>
          </cell>
          <cell r="R2252" t="str">
            <v>S. serw.</v>
          </cell>
        </row>
        <row r="2253">
          <cell r="A2253">
            <v>322</v>
          </cell>
          <cell r="B2253">
            <v>1</v>
          </cell>
          <cell r="C2253" t="str">
            <v>pojedyncza dziewcząt M</v>
          </cell>
          <cell r="H2253">
            <v>21</v>
          </cell>
          <cell r="I2253">
            <v>12</v>
          </cell>
          <cell r="J2253">
            <v>22</v>
          </cell>
          <cell r="K2253">
            <v>20</v>
          </cell>
          <cell r="P2253">
            <v>0.67013888888888884</v>
          </cell>
          <cell r="R2253">
            <v>0.67013888888888884</v>
          </cell>
          <cell r="S2253" t="str">
            <v>sob 15:00</v>
          </cell>
          <cell r="X2253">
            <v>322</v>
          </cell>
          <cell r="Y2253" t="str">
            <v>pojedyncza dziewcząt M</v>
          </cell>
          <cell r="Z2253" t="str">
            <v>S4370</v>
          </cell>
          <cell r="AA2253" t="str">
            <v/>
          </cell>
          <cell r="AB2253" t="str">
            <v>X14</v>
          </cell>
          <cell r="AC2253" t="str">
            <v/>
          </cell>
          <cell r="AD2253" t="str">
            <v>S4370</v>
          </cell>
          <cell r="AE2253" t="str">
            <v/>
          </cell>
          <cell r="AF2253" t="str">
            <v>21:12,22:20</v>
          </cell>
          <cell r="AG2253" t="str">
            <v>12:21,20:22</v>
          </cell>
          <cell r="AH2253" t="str">
            <v/>
          </cell>
          <cell r="AI2253">
            <v>21</v>
          </cell>
          <cell r="AJ2253">
            <v>12</v>
          </cell>
          <cell r="AK2253">
            <v>22</v>
          </cell>
          <cell r="AL2253">
            <v>20</v>
          </cell>
          <cell r="AM2253">
            <v>0</v>
          </cell>
          <cell r="AN2253">
            <v>0</v>
          </cell>
        </row>
        <row r="2254">
          <cell r="A2254" t="str">
            <v/>
          </cell>
          <cell r="B2254" t="str">
            <v>Hanna SZYMAŃSKA (STB Energia Lubliniec)</v>
          </cell>
          <cell r="H2254" t="str">
            <v>S4370</v>
          </cell>
          <cell r="K2254" t="str">
            <v>X14</v>
          </cell>
          <cell r="N2254" t="str">
            <v>Yana  ZDROK (Mińsk Białoruś)</v>
          </cell>
        </row>
        <row r="2255">
          <cell r="A2255" t="str">
            <v/>
          </cell>
          <cell r="B2255" t="str">
            <v/>
          </cell>
          <cell r="H2255" t="str">
            <v/>
          </cell>
          <cell r="K2255" t="str">
            <v/>
          </cell>
          <cell r="N2255" t="str">
            <v/>
          </cell>
        </row>
        <row r="2257">
          <cell r="B2257" t="str">
            <v>zwycięzca(cy): 21:12,22:20</v>
          </cell>
          <cell r="K2257" t="str">
            <v/>
          </cell>
        </row>
        <row r="2258">
          <cell r="B2258">
            <v>2</v>
          </cell>
          <cell r="C2258" t="str">
            <v>dzień turnieju.</v>
          </cell>
          <cell r="I2258" t="str">
            <v>Nr meczu</v>
          </cell>
          <cell r="N2258" t="str">
            <v>Godz.</v>
          </cell>
          <cell r="R2258" t="str">
            <v>S. prow.</v>
          </cell>
          <cell r="AF2258" t="str">
            <v>wygrany</v>
          </cell>
          <cell r="AG2258" t="str">
            <v>przegrany</v>
          </cell>
        </row>
        <row r="2259">
          <cell r="B2259" t="str">
            <v>Boisko</v>
          </cell>
          <cell r="C2259" t="str">
            <v>Gra</v>
          </cell>
          <cell r="I2259">
            <v>323</v>
          </cell>
          <cell r="N2259" t="str">
            <v>rozp.</v>
          </cell>
          <cell r="P2259" t="str">
            <v>zak.</v>
          </cell>
          <cell r="R2259" t="str">
            <v>S. serw.</v>
          </cell>
        </row>
        <row r="2260">
          <cell r="A2260">
            <v>323</v>
          </cell>
          <cell r="B2260">
            <v>3</v>
          </cell>
          <cell r="C2260" t="str">
            <v>pojedyncza dziewcząt M</v>
          </cell>
          <cell r="H2260">
            <v>22</v>
          </cell>
          <cell r="I2260">
            <v>20</v>
          </cell>
          <cell r="J2260">
            <v>21</v>
          </cell>
          <cell r="K2260">
            <v>7</v>
          </cell>
          <cell r="P2260">
            <v>0.67013888888888884</v>
          </cell>
          <cell r="R2260">
            <v>0.67013888888888884</v>
          </cell>
          <cell r="S2260" t="str">
            <v>sob 15:20</v>
          </cell>
          <cell r="X2260">
            <v>323</v>
          </cell>
          <cell r="Y2260" t="str">
            <v>pojedyncza dziewcząt M</v>
          </cell>
          <cell r="Z2260" t="str">
            <v>M3746</v>
          </cell>
          <cell r="AA2260" t="str">
            <v/>
          </cell>
          <cell r="AB2260" t="str">
            <v>D4724</v>
          </cell>
          <cell r="AC2260" t="str">
            <v/>
          </cell>
          <cell r="AD2260" t="str">
            <v>M3746</v>
          </cell>
          <cell r="AE2260" t="str">
            <v/>
          </cell>
          <cell r="AF2260" t="str">
            <v>22:20,21:7</v>
          </cell>
          <cell r="AG2260" t="str">
            <v>20:22,7:21</v>
          </cell>
          <cell r="AH2260" t="str">
            <v/>
          </cell>
          <cell r="AI2260">
            <v>22</v>
          </cell>
          <cell r="AJ2260">
            <v>20</v>
          </cell>
          <cell r="AK2260">
            <v>21</v>
          </cell>
          <cell r="AL2260">
            <v>7</v>
          </cell>
          <cell r="AM2260">
            <v>0</v>
          </cell>
          <cell r="AN2260">
            <v>0</v>
          </cell>
        </row>
        <row r="2261">
          <cell r="A2261" t="str">
            <v/>
          </cell>
          <cell r="B2261" t="str">
            <v>Dorota MATYSIAK (KS Hubertus Zalesie Górne)</v>
          </cell>
          <cell r="H2261" t="str">
            <v>M3746</v>
          </cell>
          <cell r="K2261" t="str">
            <v>D4724</v>
          </cell>
          <cell r="N2261" t="str">
            <v>Wiktoria DZIKI (LKS Technik Głubczyce)</v>
          </cell>
        </row>
        <row r="2262">
          <cell r="A2262" t="str">
            <v/>
          </cell>
          <cell r="B2262" t="str">
            <v/>
          </cell>
          <cell r="H2262" t="str">
            <v/>
          </cell>
          <cell r="K2262" t="str">
            <v/>
          </cell>
          <cell r="N2262" t="str">
            <v/>
          </cell>
        </row>
        <row r="2264">
          <cell r="B2264" t="str">
            <v>zwycięzca(cy): 22:20,21:7</v>
          </cell>
          <cell r="K2264" t="str">
            <v/>
          </cell>
        </row>
        <row r="2265">
          <cell r="B2265">
            <v>2</v>
          </cell>
          <cell r="C2265" t="str">
            <v>dzień turnieju.</v>
          </cell>
          <cell r="I2265" t="str">
            <v>Nr meczu</v>
          </cell>
          <cell r="N2265" t="str">
            <v>Godz.</v>
          </cell>
          <cell r="R2265" t="str">
            <v>S. prow.</v>
          </cell>
          <cell r="AF2265" t="str">
            <v>wygrany</v>
          </cell>
          <cell r="AG2265" t="str">
            <v>przegrany</v>
          </cell>
        </row>
        <row r="2266">
          <cell r="B2266" t="str">
            <v>Boisko</v>
          </cell>
          <cell r="C2266" t="str">
            <v>Gra</v>
          </cell>
          <cell r="I2266">
            <v>324</v>
          </cell>
          <cell r="N2266" t="str">
            <v>rozp.</v>
          </cell>
          <cell r="P2266" t="str">
            <v>zak.</v>
          </cell>
          <cell r="R2266" t="str">
            <v>S. serw.</v>
          </cell>
        </row>
        <row r="2267">
          <cell r="A2267">
            <v>324</v>
          </cell>
          <cell r="B2267">
            <v>3</v>
          </cell>
          <cell r="C2267" t="str">
            <v>pojedyncza dziewcząt M</v>
          </cell>
          <cell r="H2267">
            <v>12</v>
          </cell>
          <cell r="I2267">
            <v>21</v>
          </cell>
          <cell r="J2267">
            <v>7</v>
          </cell>
          <cell r="K2267">
            <v>21</v>
          </cell>
          <cell r="P2267">
            <v>0.67013888888888884</v>
          </cell>
          <cell r="R2267">
            <v>0.67013888888888884</v>
          </cell>
          <cell r="S2267" t="str">
            <v>sob 15:20</v>
          </cell>
          <cell r="X2267">
            <v>324</v>
          </cell>
          <cell r="Y2267" t="str">
            <v>pojedyncza dziewcząt M</v>
          </cell>
          <cell r="Z2267" t="str">
            <v>X01</v>
          </cell>
          <cell r="AA2267" t="str">
            <v/>
          </cell>
          <cell r="AB2267" t="str">
            <v>G4680</v>
          </cell>
          <cell r="AC2267" t="str">
            <v/>
          </cell>
          <cell r="AD2267" t="str">
            <v>G4680</v>
          </cell>
          <cell r="AE2267" t="str">
            <v/>
          </cell>
          <cell r="AF2267" t="str">
            <v>21:12,21:7</v>
          </cell>
          <cell r="AG2267" t="str">
            <v>12:21,7:21</v>
          </cell>
          <cell r="AH2267" t="str">
            <v/>
          </cell>
          <cell r="AI2267">
            <v>12</v>
          </cell>
          <cell r="AJ2267">
            <v>21</v>
          </cell>
          <cell r="AK2267">
            <v>7</v>
          </cell>
          <cell r="AL2267">
            <v>21</v>
          </cell>
          <cell r="AM2267">
            <v>0</v>
          </cell>
          <cell r="AN2267">
            <v>0</v>
          </cell>
        </row>
        <row r="2268">
          <cell r="A2268" t="str">
            <v/>
          </cell>
          <cell r="B2268" t="str">
            <v>Sofija ORLOVAITE (Litwa)</v>
          </cell>
          <cell r="H2268" t="str">
            <v>X01</v>
          </cell>
          <cell r="K2268" t="str">
            <v>G4680</v>
          </cell>
          <cell r="N2268" t="str">
            <v>Aneta GADOMSKA (UTS Akro-Bad Warszawa)</v>
          </cell>
        </row>
        <row r="2269">
          <cell r="A2269" t="str">
            <v/>
          </cell>
          <cell r="B2269" t="str">
            <v/>
          </cell>
          <cell r="H2269" t="str">
            <v/>
          </cell>
          <cell r="K2269" t="str">
            <v/>
          </cell>
          <cell r="N2269" t="str">
            <v/>
          </cell>
        </row>
        <row r="2271">
          <cell r="B2271" t="str">
            <v/>
          </cell>
          <cell r="K2271" t="str">
            <v>zwycięzca(cy): 21:12,21:7</v>
          </cell>
        </row>
        <row r="2272">
          <cell r="B2272">
            <v>2</v>
          </cell>
          <cell r="C2272" t="str">
            <v>dzień turnieju.</v>
          </cell>
          <cell r="I2272" t="str">
            <v>Nr meczu</v>
          </cell>
          <cell r="N2272" t="str">
            <v>Godz.</v>
          </cell>
          <cell r="R2272" t="str">
            <v>S. prow.</v>
          </cell>
          <cell r="AF2272" t="str">
            <v>wygrany</v>
          </cell>
          <cell r="AG2272" t="str">
            <v>przegrany</v>
          </cell>
        </row>
        <row r="2273">
          <cell r="B2273" t="str">
            <v>Boisko</v>
          </cell>
          <cell r="C2273" t="str">
            <v>Gra</v>
          </cell>
          <cell r="I2273">
            <v>325</v>
          </cell>
          <cell r="N2273" t="str">
            <v>rozp.</v>
          </cell>
          <cell r="P2273" t="str">
            <v>zak.</v>
          </cell>
          <cell r="R2273" t="str">
            <v>S. serw.</v>
          </cell>
        </row>
        <row r="2274">
          <cell r="A2274">
            <v>325</v>
          </cell>
          <cell r="B2274">
            <v>3</v>
          </cell>
          <cell r="C2274" t="str">
            <v>pojedyncza dziewcząt M</v>
          </cell>
          <cell r="H2274">
            <v>21</v>
          </cell>
          <cell r="I2274">
            <v>15</v>
          </cell>
          <cell r="J2274">
            <v>21</v>
          </cell>
          <cell r="K2274">
            <v>14</v>
          </cell>
          <cell r="P2274">
            <v>0.67361111111111116</v>
          </cell>
          <cell r="R2274">
            <v>0.67361111111111116</v>
          </cell>
          <cell r="S2274" t="str">
            <v>sob 15:20</v>
          </cell>
          <cell r="X2274">
            <v>325</v>
          </cell>
          <cell r="Y2274" t="str">
            <v>pojedyncza dziewcząt M</v>
          </cell>
          <cell r="Z2274" t="str">
            <v>X13</v>
          </cell>
          <cell r="AA2274" t="str">
            <v/>
          </cell>
          <cell r="AB2274" t="str">
            <v>B4564</v>
          </cell>
          <cell r="AC2274" t="str">
            <v/>
          </cell>
          <cell r="AD2274" t="str">
            <v>X13</v>
          </cell>
          <cell r="AE2274" t="str">
            <v/>
          </cell>
          <cell r="AF2274" t="str">
            <v>21:15,21:14</v>
          </cell>
          <cell r="AG2274" t="str">
            <v>15:21,14:21</v>
          </cell>
          <cell r="AH2274" t="str">
            <v/>
          </cell>
          <cell r="AI2274">
            <v>21</v>
          </cell>
          <cell r="AJ2274">
            <v>15</v>
          </cell>
          <cell r="AK2274">
            <v>21</v>
          </cell>
          <cell r="AL2274">
            <v>14</v>
          </cell>
          <cell r="AM2274">
            <v>0</v>
          </cell>
          <cell r="AN2274">
            <v>0</v>
          </cell>
        </row>
        <row r="2275">
          <cell r="A2275" t="str">
            <v/>
          </cell>
          <cell r="B2275" t="str">
            <v>Ylija BITSOUKOVA (Mińsk Białoruś)</v>
          </cell>
          <cell r="H2275" t="str">
            <v>X13</v>
          </cell>
          <cell r="K2275" t="str">
            <v>B4564</v>
          </cell>
          <cell r="N2275" t="str">
            <v>Laura BERESTECKA (LKS Technik Głubczyce)</v>
          </cell>
        </row>
        <row r="2276">
          <cell r="A2276" t="str">
            <v/>
          </cell>
          <cell r="B2276" t="str">
            <v/>
          </cell>
          <cell r="H2276" t="str">
            <v/>
          </cell>
          <cell r="K2276" t="str">
            <v/>
          </cell>
          <cell r="N2276" t="str">
            <v/>
          </cell>
        </row>
        <row r="2278">
          <cell r="B2278" t="str">
            <v>zwycięzca(cy): 21:15,21:14</v>
          </cell>
          <cell r="K2278" t="str">
            <v/>
          </cell>
        </row>
        <row r="2279">
          <cell r="B2279">
            <v>2</v>
          </cell>
          <cell r="C2279" t="str">
            <v>dzień turnieju.</v>
          </cell>
          <cell r="I2279" t="str">
            <v>Nr meczu</v>
          </cell>
          <cell r="N2279" t="str">
            <v>Godz.</v>
          </cell>
          <cell r="R2279" t="str">
            <v>S. prow.</v>
          </cell>
          <cell r="AF2279" t="str">
            <v>wygrany</v>
          </cell>
          <cell r="AG2279" t="str">
            <v>przegrany</v>
          </cell>
        </row>
        <row r="2280">
          <cell r="B2280" t="str">
            <v>Boisko</v>
          </cell>
          <cell r="C2280" t="str">
            <v>Gra</v>
          </cell>
          <cell r="I2280">
            <v>326</v>
          </cell>
          <cell r="N2280" t="str">
            <v>rozp.</v>
          </cell>
          <cell r="P2280" t="str">
            <v>zak.</v>
          </cell>
          <cell r="R2280" t="str">
            <v>S. serw.</v>
          </cell>
        </row>
        <row r="2281">
          <cell r="A2281">
            <v>326</v>
          </cell>
          <cell r="B2281">
            <v>6</v>
          </cell>
          <cell r="C2281" t="str">
            <v>pojedyncza dziewcząt M</v>
          </cell>
          <cell r="H2281">
            <v>18</v>
          </cell>
          <cell r="I2281">
            <v>21</v>
          </cell>
          <cell r="J2281">
            <v>20</v>
          </cell>
          <cell r="K2281">
            <v>22</v>
          </cell>
          <cell r="P2281">
            <v>0.68402777777777779</v>
          </cell>
          <cell r="R2281">
            <v>0.68402777777777779</v>
          </cell>
          <cell r="S2281" t="str">
            <v>sob 15:20</v>
          </cell>
          <cell r="X2281">
            <v>326</v>
          </cell>
          <cell r="Y2281" t="str">
            <v>pojedyncza dziewcząt M</v>
          </cell>
          <cell r="Z2281" t="str">
            <v>S4125</v>
          </cell>
          <cell r="AA2281" t="str">
            <v/>
          </cell>
          <cell r="AB2281" t="str">
            <v>Z4822</v>
          </cell>
          <cell r="AC2281" t="str">
            <v/>
          </cell>
          <cell r="AD2281" t="str">
            <v>Z4822</v>
          </cell>
          <cell r="AE2281" t="str">
            <v/>
          </cell>
          <cell r="AF2281" t="str">
            <v>21:18,22:20</v>
          </cell>
          <cell r="AG2281" t="str">
            <v>18:21,20:22</v>
          </cell>
          <cell r="AH2281" t="str">
            <v/>
          </cell>
          <cell r="AI2281">
            <v>18</v>
          </cell>
          <cell r="AJ2281">
            <v>21</v>
          </cell>
          <cell r="AK2281">
            <v>20</v>
          </cell>
          <cell r="AL2281">
            <v>22</v>
          </cell>
          <cell r="AM2281">
            <v>0</v>
          </cell>
          <cell r="AN2281">
            <v>0</v>
          </cell>
        </row>
        <row r="2282">
          <cell r="A2282" t="str">
            <v/>
          </cell>
          <cell r="B2282" t="str">
            <v>Natalia SIDOR (ŚKBad Harcownik Warszawa)</v>
          </cell>
          <cell r="H2282" t="str">
            <v>S4125</v>
          </cell>
          <cell r="K2282" t="str">
            <v>Z4822</v>
          </cell>
          <cell r="N2282" t="str">
            <v>Julia ZIEMIŃSKA (UKS Kiko Zamość)</v>
          </cell>
        </row>
        <row r="2283">
          <cell r="A2283" t="str">
            <v/>
          </cell>
          <cell r="B2283" t="str">
            <v/>
          </cell>
          <cell r="H2283" t="str">
            <v/>
          </cell>
          <cell r="K2283" t="str">
            <v/>
          </cell>
          <cell r="N2283" t="str">
            <v/>
          </cell>
        </row>
        <row r="2285">
          <cell r="B2285" t="str">
            <v/>
          </cell>
          <cell r="K2285" t="str">
            <v>zwycięzca(cy): 21:18,22:20</v>
          </cell>
        </row>
        <row r="2286">
          <cell r="B2286">
            <v>2</v>
          </cell>
          <cell r="C2286" t="str">
            <v>dzień turnieju.</v>
          </cell>
          <cell r="I2286" t="str">
            <v>Nr meczu</v>
          </cell>
          <cell r="N2286" t="str">
            <v>Godz.</v>
          </cell>
          <cell r="R2286" t="str">
            <v>S. prow.</v>
          </cell>
          <cell r="AF2286" t="str">
            <v>wygrany</v>
          </cell>
          <cell r="AG2286" t="str">
            <v>przegrany</v>
          </cell>
        </row>
        <row r="2287">
          <cell r="B2287" t="str">
            <v>Boisko</v>
          </cell>
          <cell r="C2287" t="str">
            <v>Gra</v>
          </cell>
          <cell r="I2287">
            <v>327</v>
          </cell>
          <cell r="N2287" t="str">
            <v>rozp.</v>
          </cell>
          <cell r="P2287" t="str">
            <v>zak.</v>
          </cell>
          <cell r="R2287" t="str">
            <v>S. serw.</v>
          </cell>
        </row>
        <row r="2288">
          <cell r="A2288">
            <v>327</v>
          </cell>
          <cell r="B2288">
            <v>2</v>
          </cell>
          <cell r="C2288" t="str">
            <v>pojedyncza dziewcząt M</v>
          </cell>
          <cell r="H2288">
            <v>21</v>
          </cell>
          <cell r="I2288">
            <v>13</v>
          </cell>
          <cell r="J2288">
            <v>21</v>
          </cell>
          <cell r="K2288">
            <v>13</v>
          </cell>
          <cell r="P2288">
            <v>0.68402777777777779</v>
          </cell>
          <cell r="R2288">
            <v>0.68402777777777779</v>
          </cell>
          <cell r="S2288" t="str">
            <v>sob 15:20</v>
          </cell>
          <cell r="X2288">
            <v>327</v>
          </cell>
          <cell r="Y2288" t="str">
            <v>pojedyncza dziewcząt M</v>
          </cell>
          <cell r="Z2288" t="str">
            <v>P4286</v>
          </cell>
          <cell r="AA2288" t="str">
            <v/>
          </cell>
          <cell r="AB2288" t="str">
            <v>K5033</v>
          </cell>
          <cell r="AC2288" t="str">
            <v/>
          </cell>
          <cell r="AD2288" t="str">
            <v>P4286</v>
          </cell>
          <cell r="AE2288" t="str">
            <v/>
          </cell>
          <cell r="AF2288" t="str">
            <v>21:13,21:13</v>
          </cell>
          <cell r="AG2288" t="str">
            <v>13:21,13:21</v>
          </cell>
          <cell r="AH2288" t="str">
            <v/>
          </cell>
          <cell r="AI2288">
            <v>21</v>
          </cell>
          <cell r="AJ2288">
            <v>13</v>
          </cell>
          <cell r="AK2288">
            <v>21</v>
          </cell>
          <cell r="AL2288">
            <v>13</v>
          </cell>
          <cell r="AM2288">
            <v>0</v>
          </cell>
          <cell r="AN2288">
            <v>0</v>
          </cell>
        </row>
        <row r="2289">
          <cell r="A2289" t="str">
            <v/>
          </cell>
          <cell r="B2289" t="str">
            <v>Ewelina PODZIEWSKA (SKB Suwałki)</v>
          </cell>
          <cell r="H2289" t="str">
            <v>P4286</v>
          </cell>
          <cell r="K2289" t="str">
            <v>K5033</v>
          </cell>
          <cell r="N2289" t="str">
            <v>Magdalena KULSKA (UKS Unia Bieruń)</v>
          </cell>
        </row>
        <row r="2290">
          <cell r="A2290" t="str">
            <v/>
          </cell>
          <cell r="B2290" t="str">
            <v/>
          </cell>
          <cell r="H2290" t="str">
            <v/>
          </cell>
          <cell r="K2290" t="str">
            <v/>
          </cell>
          <cell r="N2290" t="str">
            <v/>
          </cell>
        </row>
        <row r="2292">
          <cell r="B2292" t="str">
            <v>zwycięzca(cy): 21:13,21:13</v>
          </cell>
          <cell r="K2292" t="str">
            <v/>
          </cell>
        </row>
        <row r="2293">
          <cell r="B2293">
            <v>2</v>
          </cell>
          <cell r="C2293" t="str">
            <v>dzień turnieju.</v>
          </cell>
          <cell r="I2293" t="str">
            <v>Nr meczu</v>
          </cell>
          <cell r="N2293" t="str">
            <v>Godz.</v>
          </cell>
          <cell r="R2293" t="str">
            <v>S. prow.</v>
          </cell>
          <cell r="AF2293" t="str">
            <v>wygrany</v>
          </cell>
          <cell r="AG2293" t="str">
            <v>przegrany</v>
          </cell>
        </row>
        <row r="2294">
          <cell r="B2294" t="str">
            <v>Boisko</v>
          </cell>
          <cell r="C2294" t="str">
            <v>Gra</v>
          </cell>
          <cell r="I2294">
            <v>328</v>
          </cell>
          <cell r="N2294" t="str">
            <v>rozp.</v>
          </cell>
          <cell r="P2294" t="str">
            <v>zak.</v>
          </cell>
          <cell r="R2294" t="str">
            <v>S. serw.</v>
          </cell>
        </row>
        <row r="2295">
          <cell r="A2295">
            <v>328</v>
          </cell>
          <cell r="B2295">
            <v>2</v>
          </cell>
          <cell r="C2295" t="str">
            <v>pojedyncza dziewcząt M</v>
          </cell>
          <cell r="H2295">
            <v>4</v>
          </cell>
          <cell r="I2295">
            <v>21</v>
          </cell>
          <cell r="J2295">
            <v>14</v>
          </cell>
          <cell r="K2295">
            <v>21</v>
          </cell>
          <cell r="P2295">
            <v>0.68680555555555556</v>
          </cell>
          <cell r="R2295">
            <v>0.68680555555555556</v>
          </cell>
          <cell r="S2295" t="str">
            <v>sob 15:20</v>
          </cell>
          <cell r="X2295">
            <v>328</v>
          </cell>
          <cell r="Y2295" t="str">
            <v>pojedyncza dziewcząt M</v>
          </cell>
          <cell r="Z2295" t="str">
            <v>W4550</v>
          </cell>
          <cell r="AA2295" t="str">
            <v/>
          </cell>
          <cell r="AB2295" t="str">
            <v>G4208</v>
          </cell>
          <cell r="AC2295" t="str">
            <v/>
          </cell>
          <cell r="AD2295" t="str">
            <v>G4208</v>
          </cell>
          <cell r="AE2295" t="str">
            <v/>
          </cell>
          <cell r="AF2295" t="str">
            <v>21:4,21:14</v>
          </cell>
          <cell r="AG2295" t="str">
            <v>4:21,14:21</v>
          </cell>
          <cell r="AH2295" t="str">
            <v/>
          </cell>
          <cell r="AI2295">
            <v>4</v>
          </cell>
          <cell r="AJ2295">
            <v>21</v>
          </cell>
          <cell r="AK2295">
            <v>14</v>
          </cell>
          <cell r="AL2295">
            <v>21</v>
          </cell>
          <cell r="AM2295">
            <v>0</v>
          </cell>
          <cell r="AN2295">
            <v>0</v>
          </cell>
        </row>
        <row r="2296">
          <cell r="A2296" t="str">
            <v/>
          </cell>
          <cell r="B2296" t="str">
            <v>Magdalena WOLSKA (MKB Lednik Miastko)</v>
          </cell>
          <cell r="H2296" t="str">
            <v>W4550</v>
          </cell>
          <cell r="K2296" t="str">
            <v>G4208</v>
          </cell>
          <cell r="N2296" t="str">
            <v>Aleksandra GOSZCZYŃSKA (UKSB Milenium Warszawa)</v>
          </cell>
        </row>
        <row r="2297">
          <cell r="A2297" t="str">
            <v/>
          </cell>
          <cell r="B2297" t="str">
            <v/>
          </cell>
          <cell r="H2297" t="str">
            <v/>
          </cell>
          <cell r="K2297" t="str">
            <v/>
          </cell>
          <cell r="N2297" t="str">
            <v/>
          </cell>
        </row>
        <row r="2299">
          <cell r="B2299" t="str">
            <v/>
          </cell>
          <cell r="K2299" t="str">
            <v>zwycięzca(cy): 21:4,21:14</v>
          </cell>
        </row>
        <row r="2300">
          <cell r="B2300">
            <v>2</v>
          </cell>
          <cell r="C2300" t="str">
            <v>dzień turnieju.</v>
          </cell>
          <cell r="I2300" t="str">
            <v>Nr meczu</v>
          </cell>
          <cell r="N2300" t="str">
            <v>Godz.</v>
          </cell>
          <cell r="R2300" t="str">
            <v>S. prow.</v>
          </cell>
          <cell r="AF2300" t="str">
            <v>wygrany</v>
          </cell>
          <cell r="AG2300" t="str">
            <v>przegrany</v>
          </cell>
        </row>
        <row r="2301">
          <cell r="B2301" t="str">
            <v>Boisko</v>
          </cell>
          <cell r="C2301" t="str">
            <v>Gra</v>
          </cell>
          <cell r="I2301">
            <v>329</v>
          </cell>
          <cell r="N2301" t="str">
            <v>rozp.</v>
          </cell>
          <cell r="P2301" t="str">
            <v>zak.</v>
          </cell>
          <cell r="R2301" t="str">
            <v>S. serw.</v>
          </cell>
        </row>
        <row r="2302">
          <cell r="A2302">
            <v>329</v>
          </cell>
          <cell r="B2302">
            <v>4</v>
          </cell>
          <cell r="C2302" t="str">
            <v>pojedyncza dziewcząt M</v>
          </cell>
          <cell r="H2302">
            <v>21</v>
          </cell>
          <cell r="I2302">
            <v>6</v>
          </cell>
          <cell r="J2302">
            <v>21</v>
          </cell>
          <cell r="K2302">
            <v>18</v>
          </cell>
          <cell r="P2302">
            <v>0.6875</v>
          </cell>
          <cell r="R2302">
            <v>0.6875</v>
          </cell>
          <cell r="S2302" t="str">
            <v>sob 15:20</v>
          </cell>
          <cell r="X2302">
            <v>329</v>
          </cell>
          <cell r="Y2302" t="str">
            <v>pojedyncza dziewcząt M</v>
          </cell>
          <cell r="Z2302" t="str">
            <v>S4609</v>
          </cell>
          <cell r="AA2302" t="str">
            <v/>
          </cell>
          <cell r="AB2302" t="str">
            <v>X22</v>
          </cell>
          <cell r="AC2302" t="str">
            <v/>
          </cell>
          <cell r="AD2302" t="str">
            <v>S4609</v>
          </cell>
          <cell r="AE2302" t="str">
            <v/>
          </cell>
          <cell r="AF2302" t="str">
            <v>21:6,21:18</v>
          </cell>
          <cell r="AG2302" t="str">
            <v>6:21,18:21</v>
          </cell>
          <cell r="AH2302" t="str">
            <v/>
          </cell>
          <cell r="AI2302">
            <v>21</v>
          </cell>
          <cell r="AJ2302">
            <v>6</v>
          </cell>
          <cell r="AK2302">
            <v>21</v>
          </cell>
          <cell r="AL2302">
            <v>18</v>
          </cell>
          <cell r="AM2302">
            <v>0</v>
          </cell>
          <cell r="AN2302">
            <v>0</v>
          </cell>
        </row>
        <row r="2303">
          <cell r="A2303" t="str">
            <v/>
          </cell>
          <cell r="B2303" t="str">
            <v>Jolanta SZYMAŃSKA (SKB Suwałki)</v>
          </cell>
          <cell r="H2303" t="str">
            <v>S4609</v>
          </cell>
          <cell r="K2303" t="str">
            <v>X22</v>
          </cell>
          <cell r="N2303" t="str">
            <v>Elyzaveta NIKOLAEVA (Vinnica Ukraina)</v>
          </cell>
        </row>
        <row r="2304">
          <cell r="A2304" t="str">
            <v/>
          </cell>
          <cell r="B2304" t="str">
            <v/>
          </cell>
          <cell r="H2304" t="str">
            <v/>
          </cell>
          <cell r="K2304" t="str">
            <v/>
          </cell>
          <cell r="N2304" t="str">
            <v/>
          </cell>
        </row>
        <row r="2306">
          <cell r="B2306" t="str">
            <v>zwycięzca(cy): 21:6,21:18</v>
          </cell>
          <cell r="K2306" t="str">
            <v/>
          </cell>
        </row>
        <row r="2307">
          <cell r="B2307">
            <v>2</v>
          </cell>
          <cell r="C2307" t="str">
            <v>dzień turnieju.</v>
          </cell>
          <cell r="I2307" t="str">
            <v>Nr meczu</v>
          </cell>
          <cell r="N2307" t="str">
            <v>Godz.</v>
          </cell>
          <cell r="R2307" t="str">
            <v>S. prow.</v>
          </cell>
          <cell r="AF2307" t="str">
            <v>wygrany</v>
          </cell>
          <cell r="AG2307" t="str">
            <v>przegrany</v>
          </cell>
        </row>
        <row r="2308">
          <cell r="B2308" t="str">
            <v>Boisko</v>
          </cell>
          <cell r="C2308" t="str">
            <v>Gra</v>
          </cell>
          <cell r="I2308">
            <v>330</v>
          </cell>
          <cell r="N2308" t="str">
            <v>rozp.</v>
          </cell>
          <cell r="P2308" t="str">
            <v>zak.</v>
          </cell>
          <cell r="R2308" t="str">
            <v>S. serw.</v>
          </cell>
        </row>
        <row r="2309">
          <cell r="A2309">
            <v>330</v>
          </cell>
          <cell r="B2309">
            <v>3</v>
          </cell>
          <cell r="C2309" t="str">
            <v>pojedyncza dziewcząt M</v>
          </cell>
          <cell r="H2309">
            <v>21</v>
          </cell>
          <cell r="I2309">
            <v>13</v>
          </cell>
          <cell r="J2309">
            <v>21</v>
          </cell>
          <cell r="K2309">
            <v>8</v>
          </cell>
          <cell r="P2309">
            <v>0.6875</v>
          </cell>
          <cell r="R2309">
            <v>0.6875</v>
          </cell>
          <cell r="S2309" t="str">
            <v>sob 15:20</v>
          </cell>
          <cell r="X2309">
            <v>330</v>
          </cell>
          <cell r="Y2309" t="str">
            <v>pojedyncza dziewcząt M</v>
          </cell>
          <cell r="Z2309" t="str">
            <v>X12</v>
          </cell>
          <cell r="AA2309" t="str">
            <v/>
          </cell>
          <cell r="AB2309" t="str">
            <v>K4136</v>
          </cell>
          <cell r="AC2309" t="str">
            <v/>
          </cell>
          <cell r="AD2309" t="str">
            <v>X12</v>
          </cell>
          <cell r="AE2309" t="str">
            <v/>
          </cell>
          <cell r="AF2309" t="str">
            <v>21:13,21:8</v>
          </cell>
          <cell r="AG2309" t="str">
            <v>13:21,8:21</v>
          </cell>
          <cell r="AH2309" t="str">
            <v/>
          </cell>
          <cell r="AI2309">
            <v>21</v>
          </cell>
          <cell r="AJ2309">
            <v>13</v>
          </cell>
          <cell r="AK2309">
            <v>21</v>
          </cell>
          <cell r="AL2309">
            <v>8</v>
          </cell>
          <cell r="AM2309">
            <v>0</v>
          </cell>
          <cell r="AN2309">
            <v>0</v>
          </cell>
        </row>
        <row r="2310">
          <cell r="A2310" t="str">
            <v/>
          </cell>
          <cell r="B2310" t="str">
            <v>Katsiaryna ZABLOTSKAYA (Mińsk Białoruś)</v>
          </cell>
          <cell r="H2310" t="str">
            <v>X12</v>
          </cell>
          <cell r="K2310" t="str">
            <v>K4136</v>
          </cell>
          <cell r="N2310" t="str">
            <v>Weronika KOŚCIÓŁEK (LKS Technik Głubczyce)</v>
          </cell>
        </row>
        <row r="2311">
          <cell r="A2311" t="str">
            <v/>
          </cell>
          <cell r="B2311" t="str">
            <v/>
          </cell>
          <cell r="H2311" t="str">
            <v/>
          </cell>
          <cell r="K2311" t="str">
            <v/>
          </cell>
          <cell r="N2311" t="str">
            <v/>
          </cell>
        </row>
        <row r="2313">
          <cell r="B2313" t="str">
            <v>zwycięzca(cy): 21:13,21:8</v>
          </cell>
          <cell r="K2313" t="str">
            <v/>
          </cell>
        </row>
        <row r="2314">
          <cell r="B2314">
            <v>2</v>
          </cell>
          <cell r="C2314" t="str">
            <v>dzień turnieju.</v>
          </cell>
          <cell r="I2314" t="str">
            <v>Nr meczu</v>
          </cell>
          <cell r="N2314" t="str">
            <v>Godz.</v>
          </cell>
          <cell r="R2314" t="str">
            <v>S. prow.</v>
          </cell>
          <cell r="AF2314" t="str">
            <v>wygrany</v>
          </cell>
          <cell r="AG2314" t="str">
            <v>przegrany</v>
          </cell>
        </row>
        <row r="2315">
          <cell r="B2315" t="str">
            <v>Boisko</v>
          </cell>
          <cell r="C2315" t="str">
            <v>Gra</v>
          </cell>
          <cell r="I2315">
            <v>331</v>
          </cell>
          <cell r="N2315" t="str">
            <v>rozp.</v>
          </cell>
          <cell r="P2315" t="str">
            <v>zak.</v>
          </cell>
          <cell r="R2315" t="str">
            <v>S. serw.</v>
          </cell>
        </row>
        <row r="2316">
          <cell r="A2316">
            <v>331</v>
          </cell>
          <cell r="B2316">
            <v>5</v>
          </cell>
          <cell r="C2316" t="str">
            <v>pojedyncza dziewcząt M</v>
          </cell>
          <cell r="H2316">
            <v>19</v>
          </cell>
          <cell r="I2316">
            <v>21</v>
          </cell>
          <cell r="J2316">
            <v>22</v>
          </cell>
          <cell r="K2316">
            <v>24</v>
          </cell>
          <cell r="P2316">
            <v>0.70486111111111116</v>
          </cell>
          <cell r="R2316">
            <v>0.70486111111111116</v>
          </cell>
          <cell r="S2316" t="str">
            <v>sob 15:50</v>
          </cell>
          <cell r="X2316">
            <v>331</v>
          </cell>
          <cell r="Y2316" t="str">
            <v>pojedyncza dziewcząt M</v>
          </cell>
          <cell r="Z2316" t="str">
            <v>D4545</v>
          </cell>
          <cell r="AA2316" t="str">
            <v/>
          </cell>
          <cell r="AB2316" t="str">
            <v>F4339</v>
          </cell>
          <cell r="AC2316" t="str">
            <v/>
          </cell>
          <cell r="AD2316" t="str">
            <v>F4339</v>
          </cell>
          <cell r="AE2316" t="str">
            <v/>
          </cell>
          <cell r="AF2316" t="str">
            <v>21:19,24:22</v>
          </cell>
          <cell r="AG2316" t="str">
            <v>19:21,22:24</v>
          </cell>
          <cell r="AH2316" t="str">
            <v/>
          </cell>
          <cell r="AI2316">
            <v>19</v>
          </cell>
          <cell r="AJ2316">
            <v>21</v>
          </cell>
          <cell r="AK2316">
            <v>22</v>
          </cell>
          <cell r="AL2316">
            <v>24</v>
          </cell>
          <cell r="AM2316">
            <v>0</v>
          </cell>
          <cell r="AN2316">
            <v>0</v>
          </cell>
        </row>
        <row r="2317">
          <cell r="A2317" t="str">
            <v/>
          </cell>
          <cell r="B2317" t="str">
            <v>Joanna DORAWA (MKB Lednik Miastko)</v>
          </cell>
          <cell r="H2317" t="str">
            <v>D4545</v>
          </cell>
          <cell r="K2317" t="str">
            <v>F4339</v>
          </cell>
          <cell r="N2317" t="str">
            <v>Martyna FILIPIAK (MLKS Solec Kuj.)</v>
          </cell>
        </row>
        <row r="2318">
          <cell r="A2318" t="str">
            <v/>
          </cell>
          <cell r="B2318" t="str">
            <v/>
          </cell>
          <cell r="H2318" t="str">
            <v/>
          </cell>
          <cell r="K2318" t="str">
            <v/>
          </cell>
          <cell r="N2318" t="str">
            <v/>
          </cell>
        </row>
        <row r="2320">
          <cell r="B2320" t="str">
            <v/>
          </cell>
          <cell r="K2320" t="str">
            <v>zwycięzca(cy): 21:19,24:22</v>
          </cell>
        </row>
        <row r="2321">
          <cell r="B2321">
            <v>2</v>
          </cell>
          <cell r="C2321" t="str">
            <v>dzień turnieju.</v>
          </cell>
          <cell r="I2321" t="str">
            <v>Nr meczu</v>
          </cell>
          <cell r="N2321" t="str">
            <v>Godz.</v>
          </cell>
          <cell r="R2321" t="str">
            <v>S. prow.</v>
          </cell>
          <cell r="AF2321" t="str">
            <v>wygrany</v>
          </cell>
          <cell r="AG2321" t="str">
            <v>przegrany</v>
          </cell>
        </row>
        <row r="2322">
          <cell r="B2322" t="str">
            <v>Boisko</v>
          </cell>
          <cell r="C2322" t="str">
            <v>Gra</v>
          </cell>
          <cell r="I2322">
            <v>332</v>
          </cell>
          <cell r="N2322" t="str">
            <v>rozp.</v>
          </cell>
          <cell r="P2322" t="str">
            <v>zak.</v>
          </cell>
          <cell r="R2322" t="str">
            <v>S. serw.</v>
          </cell>
        </row>
        <row r="2323">
          <cell r="A2323">
            <v>332</v>
          </cell>
          <cell r="B2323">
            <v>2</v>
          </cell>
          <cell r="C2323" t="str">
            <v>pojedyncza dziewcząt M</v>
          </cell>
          <cell r="H2323">
            <v>5</v>
          </cell>
          <cell r="I2323">
            <v>21</v>
          </cell>
          <cell r="J2323">
            <v>1</v>
          </cell>
          <cell r="K2323">
            <v>21</v>
          </cell>
          <cell r="P2323">
            <v>0.69444444444444453</v>
          </cell>
          <cell r="R2323">
            <v>0.69444444444444453</v>
          </cell>
          <cell r="S2323" t="str">
            <v>sob 15:50</v>
          </cell>
          <cell r="X2323">
            <v>332</v>
          </cell>
          <cell r="Y2323" t="str">
            <v>pojedyncza dziewcząt M</v>
          </cell>
          <cell r="Z2323" t="str">
            <v>K4023</v>
          </cell>
          <cell r="AA2323" t="str">
            <v/>
          </cell>
          <cell r="AB2323" t="str">
            <v>A4292</v>
          </cell>
          <cell r="AC2323" t="str">
            <v/>
          </cell>
          <cell r="AD2323" t="str">
            <v>A4292</v>
          </cell>
          <cell r="AE2323" t="str">
            <v/>
          </cell>
          <cell r="AF2323" t="str">
            <v>21:5,21:1</v>
          </cell>
          <cell r="AG2323" t="str">
            <v>5:21,1:21</v>
          </cell>
          <cell r="AH2323" t="str">
            <v/>
          </cell>
          <cell r="AI2323">
            <v>5</v>
          </cell>
          <cell r="AJ2323">
            <v>21</v>
          </cell>
          <cell r="AK2323">
            <v>1</v>
          </cell>
          <cell r="AL2323">
            <v>21</v>
          </cell>
          <cell r="AM2323">
            <v>0</v>
          </cell>
          <cell r="AN2323">
            <v>0</v>
          </cell>
        </row>
        <row r="2324">
          <cell r="A2324" t="str">
            <v/>
          </cell>
          <cell r="B2324" t="str">
            <v>Agnieszka KOPER (KKS Warmia Olsztyn)</v>
          </cell>
          <cell r="H2324" t="str">
            <v>K4023</v>
          </cell>
          <cell r="K2324" t="str">
            <v>A4292</v>
          </cell>
          <cell r="N2324" t="str">
            <v>Wiktoria ADAMEK (UKS Ząbkowice Dąbrowa Górn.)</v>
          </cell>
        </row>
        <row r="2325">
          <cell r="A2325" t="str">
            <v/>
          </cell>
          <cell r="B2325" t="str">
            <v/>
          </cell>
          <cell r="H2325" t="str">
            <v/>
          </cell>
          <cell r="K2325" t="str">
            <v/>
          </cell>
          <cell r="N2325" t="str">
            <v/>
          </cell>
        </row>
        <row r="2327">
          <cell r="B2327" t="str">
            <v/>
          </cell>
          <cell r="K2327" t="str">
            <v>zwycięzca(cy): 21:5,21:1</v>
          </cell>
        </row>
        <row r="2328">
          <cell r="B2328">
            <v>2</v>
          </cell>
          <cell r="C2328" t="str">
            <v>dzień turnieju.</v>
          </cell>
          <cell r="I2328" t="str">
            <v>Nr meczu</v>
          </cell>
          <cell r="N2328" t="str">
            <v>Godz.</v>
          </cell>
          <cell r="R2328" t="str">
            <v>S. prow.</v>
          </cell>
          <cell r="AF2328" t="str">
            <v>wygrany</v>
          </cell>
          <cell r="AG2328" t="str">
            <v>przegrany</v>
          </cell>
        </row>
        <row r="2329">
          <cell r="B2329" t="str">
            <v>Boisko</v>
          </cell>
          <cell r="C2329" t="str">
            <v>Gra</v>
          </cell>
          <cell r="I2329">
            <v>333</v>
          </cell>
          <cell r="N2329" t="str">
            <v>rozp.</v>
          </cell>
          <cell r="P2329" t="str">
            <v>zak.</v>
          </cell>
          <cell r="R2329" t="str">
            <v>S. serw.</v>
          </cell>
        </row>
        <row r="2330">
          <cell r="A2330">
            <v>333</v>
          </cell>
          <cell r="B2330">
            <v>6</v>
          </cell>
          <cell r="C2330" t="str">
            <v>pojedyncza chłopców M</v>
          </cell>
          <cell r="H2330">
            <v>21</v>
          </cell>
          <cell r="I2330">
            <v>7</v>
          </cell>
          <cell r="J2330">
            <v>21</v>
          </cell>
          <cell r="K2330">
            <v>7</v>
          </cell>
          <cell r="P2330">
            <v>0.69791666666666663</v>
          </cell>
          <cell r="R2330">
            <v>0.69791666666666663</v>
          </cell>
          <cell r="S2330" t="str">
            <v>sob 15:50</v>
          </cell>
          <cell r="X2330">
            <v>333</v>
          </cell>
          <cell r="Y2330" t="str">
            <v>pojedyncza chłopców M</v>
          </cell>
          <cell r="Z2330" t="str">
            <v>A4673</v>
          </cell>
          <cell r="AA2330" t="str">
            <v/>
          </cell>
          <cell r="AB2330" t="str">
            <v>K5874</v>
          </cell>
          <cell r="AC2330" t="str">
            <v/>
          </cell>
          <cell r="AD2330" t="str">
            <v>A4673</v>
          </cell>
          <cell r="AE2330" t="str">
            <v/>
          </cell>
          <cell r="AF2330" t="str">
            <v>21:7,21:7</v>
          </cell>
          <cell r="AG2330" t="str">
            <v>7:21,7:21</v>
          </cell>
          <cell r="AH2330" t="str">
            <v/>
          </cell>
          <cell r="AI2330">
            <v>21</v>
          </cell>
          <cell r="AJ2330">
            <v>7</v>
          </cell>
          <cell r="AK2330">
            <v>21</v>
          </cell>
          <cell r="AL2330">
            <v>7</v>
          </cell>
          <cell r="AM2330">
            <v>0</v>
          </cell>
          <cell r="AN2330">
            <v>0</v>
          </cell>
        </row>
        <row r="2331">
          <cell r="A2331" t="str">
            <v/>
          </cell>
          <cell r="B2331" t="str">
            <v>Szymon ADAMCZUK (UKS Kiko Zamość)</v>
          </cell>
          <cell r="H2331" t="str">
            <v>A4673</v>
          </cell>
          <cell r="K2331" t="str">
            <v>K5874</v>
          </cell>
          <cell r="N2331" t="str">
            <v>Maciej KURAN (----)</v>
          </cell>
        </row>
        <row r="2332">
          <cell r="A2332" t="str">
            <v/>
          </cell>
          <cell r="B2332" t="str">
            <v/>
          </cell>
          <cell r="H2332" t="str">
            <v/>
          </cell>
          <cell r="K2332" t="str">
            <v/>
          </cell>
          <cell r="N2332" t="str">
            <v/>
          </cell>
        </row>
        <row r="2334">
          <cell r="B2334" t="str">
            <v>zwycięzca(cy): 21:7,21:7</v>
          </cell>
          <cell r="K2334" t="str">
            <v/>
          </cell>
        </row>
        <row r="2335">
          <cell r="B2335">
            <v>2</v>
          </cell>
          <cell r="C2335" t="str">
            <v>dzień turnieju.</v>
          </cell>
          <cell r="I2335" t="str">
            <v>Nr meczu</v>
          </cell>
          <cell r="N2335" t="str">
            <v>Godz.</v>
          </cell>
          <cell r="R2335" t="str">
            <v>S. prow.</v>
          </cell>
          <cell r="AF2335" t="str">
            <v>wygrany</v>
          </cell>
          <cell r="AG2335" t="str">
            <v>przegrany</v>
          </cell>
        </row>
        <row r="2336">
          <cell r="B2336" t="str">
            <v>Boisko</v>
          </cell>
          <cell r="C2336" t="str">
            <v>Gra</v>
          </cell>
          <cell r="I2336">
            <v>334</v>
          </cell>
          <cell r="N2336" t="str">
            <v>rozp.</v>
          </cell>
          <cell r="P2336" t="str">
            <v>zak.</v>
          </cell>
          <cell r="R2336" t="str">
            <v>S. serw.</v>
          </cell>
        </row>
        <row r="2337">
          <cell r="A2337">
            <v>334</v>
          </cell>
          <cell r="B2337">
            <v>1</v>
          </cell>
          <cell r="C2337" t="str">
            <v>pojedyncza chłopców M</v>
          </cell>
          <cell r="H2337">
            <v>17</v>
          </cell>
          <cell r="I2337">
            <v>21</v>
          </cell>
          <cell r="J2337">
            <v>10</v>
          </cell>
          <cell r="K2337">
            <v>21</v>
          </cell>
          <cell r="P2337">
            <v>0.70138888888888884</v>
          </cell>
          <cell r="R2337">
            <v>0.70138888888888884</v>
          </cell>
          <cell r="S2337" t="str">
            <v>sob 15:50</v>
          </cell>
          <cell r="X2337">
            <v>334</v>
          </cell>
          <cell r="Y2337" t="str">
            <v>pojedyncza chłopców M</v>
          </cell>
          <cell r="Z2337" t="str">
            <v>L4473</v>
          </cell>
          <cell r="AA2337" t="str">
            <v/>
          </cell>
          <cell r="AB2337" t="str">
            <v>W4701</v>
          </cell>
          <cell r="AC2337" t="str">
            <v/>
          </cell>
          <cell r="AD2337" t="str">
            <v>W4701</v>
          </cell>
          <cell r="AE2337" t="str">
            <v/>
          </cell>
          <cell r="AF2337" t="str">
            <v>21:17,21:10</v>
          </cell>
          <cell r="AG2337" t="str">
            <v>17:21,10:21</v>
          </cell>
          <cell r="AH2337" t="str">
            <v/>
          </cell>
          <cell r="AI2337">
            <v>17</v>
          </cell>
          <cell r="AJ2337">
            <v>21</v>
          </cell>
          <cell r="AK2337">
            <v>10</v>
          </cell>
          <cell r="AL2337">
            <v>21</v>
          </cell>
          <cell r="AM2337">
            <v>0</v>
          </cell>
          <cell r="AN2337">
            <v>0</v>
          </cell>
        </row>
        <row r="2338">
          <cell r="A2338" t="str">
            <v/>
          </cell>
          <cell r="B2338" t="str">
            <v>Jan LEWANDOWSKI (BKS Kolejarz Częstochowa)</v>
          </cell>
          <cell r="H2338" t="str">
            <v>L4473</v>
          </cell>
          <cell r="K2338" t="str">
            <v>W4701</v>
          </cell>
          <cell r="N2338" t="str">
            <v>Radosław WRÓBEL (KB Vol-Trick Kępno)</v>
          </cell>
        </row>
        <row r="2339">
          <cell r="A2339" t="str">
            <v/>
          </cell>
          <cell r="B2339" t="str">
            <v/>
          </cell>
          <cell r="H2339" t="str">
            <v/>
          </cell>
          <cell r="K2339" t="str">
            <v/>
          </cell>
          <cell r="N2339" t="str">
            <v/>
          </cell>
        </row>
        <row r="2341">
          <cell r="B2341" t="str">
            <v/>
          </cell>
          <cell r="K2341" t="str">
            <v>zwycięzca(cy): 21:17,21:10</v>
          </cell>
        </row>
        <row r="2342">
          <cell r="B2342">
            <v>2</v>
          </cell>
          <cell r="C2342" t="str">
            <v>dzień turnieju.</v>
          </cell>
          <cell r="I2342" t="str">
            <v>Nr meczu</v>
          </cell>
          <cell r="N2342" t="str">
            <v>Godz.</v>
          </cell>
          <cell r="R2342" t="str">
            <v>S. prow.</v>
          </cell>
          <cell r="AF2342" t="str">
            <v>wygrany</v>
          </cell>
          <cell r="AG2342" t="str">
            <v>przegrany</v>
          </cell>
        </row>
        <row r="2343">
          <cell r="B2343" t="str">
            <v>Boisko</v>
          </cell>
          <cell r="C2343" t="str">
            <v>Gra</v>
          </cell>
          <cell r="I2343">
            <v>335</v>
          </cell>
          <cell r="N2343" t="str">
            <v>rozp.</v>
          </cell>
          <cell r="P2343" t="str">
            <v>zak.</v>
          </cell>
          <cell r="R2343" t="str">
            <v>S. serw.</v>
          </cell>
        </row>
        <row r="2344">
          <cell r="A2344">
            <v>335</v>
          </cell>
          <cell r="B2344">
            <v>4</v>
          </cell>
          <cell r="C2344" t="str">
            <v>pojedyncza chłopców M</v>
          </cell>
          <cell r="H2344">
            <v>16</v>
          </cell>
          <cell r="I2344">
            <v>21</v>
          </cell>
          <cell r="J2344">
            <v>21</v>
          </cell>
          <cell r="K2344">
            <v>16</v>
          </cell>
          <cell r="L2344">
            <v>10</v>
          </cell>
          <cell r="M2344">
            <v>21</v>
          </cell>
          <cell r="P2344">
            <v>0.70833333333333337</v>
          </cell>
          <cell r="R2344">
            <v>0.70833333333333337</v>
          </cell>
          <cell r="S2344" t="str">
            <v>sob 15:50</v>
          </cell>
          <cell r="X2344">
            <v>335</v>
          </cell>
          <cell r="Y2344" t="str">
            <v>pojedyncza chłopców M</v>
          </cell>
          <cell r="Z2344" t="str">
            <v>Ś5003</v>
          </cell>
          <cell r="AA2344" t="str">
            <v/>
          </cell>
          <cell r="AB2344" t="str">
            <v>K4283</v>
          </cell>
          <cell r="AC2344" t="str">
            <v/>
          </cell>
          <cell r="AD2344" t="str">
            <v>K4283</v>
          </cell>
          <cell r="AE2344" t="str">
            <v/>
          </cell>
          <cell r="AF2344" t="str">
            <v>21:16,16:21,21:10</v>
          </cell>
          <cell r="AG2344" t="str">
            <v>16:21,21:16,10:21</v>
          </cell>
          <cell r="AH2344" t="str">
            <v/>
          </cell>
          <cell r="AI2344">
            <v>16</v>
          </cell>
          <cell r="AJ2344">
            <v>21</v>
          </cell>
          <cell r="AK2344">
            <v>21</v>
          </cell>
          <cell r="AL2344">
            <v>16</v>
          </cell>
          <cell r="AM2344">
            <v>10</v>
          </cell>
          <cell r="AN2344">
            <v>21</v>
          </cell>
        </row>
        <row r="2345">
          <cell r="A2345" t="str">
            <v/>
          </cell>
          <cell r="B2345" t="str">
            <v>Norbert ŚWIERK (UKS Aktywna Piątka Przemyśl)</v>
          </cell>
          <cell r="H2345" t="str">
            <v>Ś5003</v>
          </cell>
          <cell r="K2345" t="str">
            <v>K4283</v>
          </cell>
          <cell r="N2345" t="str">
            <v>Filip KRUKOWSKI (SKB Suwałki)</v>
          </cell>
        </row>
        <row r="2346">
          <cell r="A2346" t="str">
            <v/>
          </cell>
          <cell r="B2346" t="str">
            <v/>
          </cell>
          <cell r="H2346" t="str">
            <v/>
          </cell>
          <cell r="K2346" t="str">
            <v/>
          </cell>
          <cell r="N2346" t="str">
            <v/>
          </cell>
        </row>
        <row r="2348">
          <cell r="B2348" t="str">
            <v/>
          </cell>
          <cell r="K2348" t="str">
            <v>zwycięzca(cy): 21:16,16:21,21:10</v>
          </cell>
        </row>
        <row r="2349">
          <cell r="B2349">
            <v>2</v>
          </cell>
          <cell r="C2349" t="str">
            <v>dzień turnieju.</v>
          </cell>
          <cell r="I2349" t="str">
            <v>Nr meczu</v>
          </cell>
          <cell r="N2349" t="str">
            <v>Godz.</v>
          </cell>
          <cell r="R2349" t="str">
            <v>S. prow.</v>
          </cell>
          <cell r="AF2349" t="str">
            <v>wygrany</v>
          </cell>
          <cell r="AG2349" t="str">
            <v>przegrany</v>
          </cell>
        </row>
        <row r="2350">
          <cell r="B2350" t="str">
            <v>Boisko</v>
          </cell>
          <cell r="C2350" t="str">
            <v>Gra</v>
          </cell>
          <cell r="I2350">
            <v>336</v>
          </cell>
          <cell r="N2350" t="str">
            <v>rozp.</v>
          </cell>
          <cell r="P2350" t="str">
            <v>zak.</v>
          </cell>
          <cell r="R2350" t="str">
            <v>S. serw.</v>
          </cell>
        </row>
        <row r="2351">
          <cell r="A2351">
            <v>336</v>
          </cell>
          <cell r="B2351">
            <v>3</v>
          </cell>
          <cell r="C2351" t="str">
            <v>pojedyncza chłopców M</v>
          </cell>
          <cell r="H2351">
            <v>21</v>
          </cell>
          <cell r="I2351">
            <v>16</v>
          </cell>
          <cell r="J2351">
            <v>21</v>
          </cell>
          <cell r="K2351">
            <v>7</v>
          </cell>
          <cell r="P2351">
            <v>0.70138888888888884</v>
          </cell>
          <cell r="R2351">
            <v>0.70138888888888884</v>
          </cell>
          <cell r="S2351" t="str">
            <v>sob 15:50</v>
          </cell>
          <cell r="X2351">
            <v>336</v>
          </cell>
          <cell r="Y2351" t="str">
            <v>pojedyncza chłopców M</v>
          </cell>
          <cell r="Z2351" t="str">
            <v>W4657</v>
          </cell>
          <cell r="AA2351" t="str">
            <v/>
          </cell>
          <cell r="AB2351" t="str">
            <v>P4530</v>
          </cell>
          <cell r="AC2351" t="str">
            <v/>
          </cell>
          <cell r="AD2351" t="str">
            <v>W4657</v>
          </cell>
          <cell r="AE2351" t="str">
            <v/>
          </cell>
          <cell r="AF2351" t="str">
            <v>21:16,21:7</v>
          </cell>
          <cell r="AG2351" t="str">
            <v>16:21,7:21</v>
          </cell>
          <cell r="AH2351" t="str">
            <v/>
          </cell>
          <cell r="AI2351">
            <v>21</v>
          </cell>
          <cell r="AJ2351">
            <v>16</v>
          </cell>
          <cell r="AK2351">
            <v>21</v>
          </cell>
          <cell r="AL2351">
            <v>7</v>
          </cell>
          <cell r="AM2351">
            <v>0</v>
          </cell>
          <cell r="AN2351">
            <v>0</v>
          </cell>
        </row>
        <row r="2352">
          <cell r="A2352" t="str">
            <v/>
          </cell>
          <cell r="B2352" t="str">
            <v>Aleksander WYŻYKOWSKI (KS Hubertus Zalesie Górne)</v>
          </cell>
          <cell r="H2352" t="str">
            <v>W4657</v>
          </cell>
          <cell r="K2352" t="str">
            <v>P4530</v>
          </cell>
          <cell r="N2352" t="str">
            <v>Krzysztof PŁOCH (UKS Start Widełka)</v>
          </cell>
        </row>
        <row r="2353">
          <cell r="A2353" t="str">
            <v/>
          </cell>
          <cell r="B2353" t="str">
            <v/>
          </cell>
          <cell r="H2353" t="str">
            <v/>
          </cell>
          <cell r="K2353" t="str">
            <v/>
          </cell>
          <cell r="N2353" t="str">
            <v/>
          </cell>
        </row>
        <row r="2355">
          <cell r="B2355" t="str">
            <v>zwycięzca(cy): 21:16,21:7</v>
          </cell>
          <cell r="K2355" t="str">
            <v/>
          </cell>
        </row>
        <row r="2356">
          <cell r="B2356">
            <v>2</v>
          </cell>
          <cell r="C2356" t="str">
            <v>dzień turnieju.</v>
          </cell>
          <cell r="I2356" t="str">
            <v>Nr meczu</v>
          </cell>
          <cell r="N2356" t="str">
            <v>Godz.</v>
          </cell>
          <cell r="R2356" t="str">
            <v>S. prow.</v>
          </cell>
          <cell r="AF2356" t="str">
            <v>wygrany</v>
          </cell>
          <cell r="AG2356" t="str">
            <v>przegrany</v>
          </cell>
        </row>
        <row r="2357">
          <cell r="B2357" t="str">
            <v>Boisko</v>
          </cell>
          <cell r="C2357" t="str">
            <v>Gra</v>
          </cell>
          <cell r="I2357">
            <v>337</v>
          </cell>
          <cell r="N2357" t="str">
            <v>rozp.</v>
          </cell>
          <cell r="P2357" t="str">
            <v>zak.</v>
          </cell>
          <cell r="R2357" t="str">
            <v>S. serw.</v>
          </cell>
        </row>
        <row r="2358">
          <cell r="A2358">
            <v>337</v>
          </cell>
          <cell r="B2358">
            <v>2</v>
          </cell>
          <cell r="C2358" t="str">
            <v>pojedyncza chłopców M</v>
          </cell>
          <cell r="H2358">
            <v>21</v>
          </cell>
          <cell r="I2358">
            <v>9</v>
          </cell>
          <cell r="J2358">
            <v>21</v>
          </cell>
          <cell r="K2358">
            <v>16</v>
          </cell>
          <cell r="P2358">
            <v>0.70833333333333337</v>
          </cell>
          <cell r="R2358">
            <v>0.70833333333333337</v>
          </cell>
          <cell r="S2358" t="str">
            <v>sob 16:10</v>
          </cell>
          <cell r="X2358">
            <v>337</v>
          </cell>
          <cell r="Y2358" t="str">
            <v>pojedyncza chłopców M</v>
          </cell>
          <cell r="Z2358" t="str">
            <v>S3748</v>
          </cell>
          <cell r="AA2358" t="str">
            <v/>
          </cell>
          <cell r="AB2358" t="str">
            <v>F4551</v>
          </cell>
          <cell r="AC2358" t="str">
            <v/>
          </cell>
          <cell r="AD2358" t="str">
            <v>S3748</v>
          </cell>
          <cell r="AE2358" t="str">
            <v/>
          </cell>
          <cell r="AF2358" t="str">
            <v>21:9,21:16</v>
          </cell>
          <cell r="AG2358" t="str">
            <v>9:21,16:21</v>
          </cell>
          <cell r="AH2358" t="str">
            <v/>
          </cell>
          <cell r="AI2358">
            <v>21</v>
          </cell>
          <cell r="AJ2358">
            <v>9</v>
          </cell>
          <cell r="AK2358">
            <v>21</v>
          </cell>
          <cell r="AL2358">
            <v>16</v>
          </cell>
          <cell r="AM2358">
            <v>0</v>
          </cell>
          <cell r="AN2358">
            <v>0</v>
          </cell>
        </row>
        <row r="2359">
          <cell r="A2359" t="str">
            <v/>
          </cell>
          <cell r="B2359" t="str">
            <v>Adam SZOLC (KS Hubertus Zalesie Górne)</v>
          </cell>
          <cell r="H2359" t="str">
            <v>S3748</v>
          </cell>
          <cell r="K2359" t="str">
            <v>F4551</v>
          </cell>
          <cell r="N2359" t="str">
            <v>Grzegorz FRAŚ (MKS Spartakus Niepołomice)</v>
          </cell>
        </row>
        <row r="2360">
          <cell r="A2360" t="str">
            <v/>
          </cell>
          <cell r="B2360" t="str">
            <v/>
          </cell>
          <cell r="H2360" t="str">
            <v/>
          </cell>
          <cell r="K2360" t="str">
            <v/>
          </cell>
          <cell r="N2360" t="str">
            <v/>
          </cell>
        </row>
        <row r="2362">
          <cell r="B2362" t="str">
            <v>zwycięzca(cy): 21:9,21:16</v>
          </cell>
          <cell r="K2362" t="str">
            <v/>
          </cell>
        </row>
        <row r="2363">
          <cell r="B2363">
            <v>2</v>
          </cell>
          <cell r="C2363" t="str">
            <v>dzień turnieju.</v>
          </cell>
          <cell r="I2363" t="str">
            <v>Nr meczu</v>
          </cell>
          <cell r="N2363" t="str">
            <v>Godz.</v>
          </cell>
          <cell r="R2363" t="str">
            <v>S. prow.</v>
          </cell>
          <cell r="AF2363" t="str">
            <v>wygrany</v>
          </cell>
          <cell r="AG2363" t="str">
            <v>przegrany</v>
          </cell>
        </row>
        <row r="2364">
          <cell r="B2364" t="str">
            <v>Boisko</v>
          </cell>
          <cell r="C2364" t="str">
            <v>Gra</v>
          </cell>
          <cell r="I2364">
            <v>338</v>
          </cell>
          <cell r="N2364" t="str">
            <v>rozp.</v>
          </cell>
          <cell r="P2364" t="str">
            <v>zak.</v>
          </cell>
          <cell r="R2364" t="str">
            <v>S. serw.</v>
          </cell>
        </row>
        <row r="2365">
          <cell r="A2365">
            <v>338</v>
          </cell>
          <cell r="B2365">
            <v>6</v>
          </cell>
          <cell r="C2365" t="str">
            <v>pojedyncza chłopców M</v>
          </cell>
          <cell r="H2365">
            <v>25</v>
          </cell>
          <cell r="I2365">
            <v>23</v>
          </cell>
          <cell r="J2365">
            <v>21</v>
          </cell>
          <cell r="K2365">
            <v>10</v>
          </cell>
          <cell r="P2365">
            <v>0.72222222222222221</v>
          </cell>
          <cell r="R2365">
            <v>0.72222222222222221</v>
          </cell>
          <cell r="S2365" t="str">
            <v>sob 16:10</v>
          </cell>
          <cell r="X2365">
            <v>338</v>
          </cell>
          <cell r="Y2365" t="str">
            <v>pojedyncza chłopców M</v>
          </cell>
          <cell r="Z2365" t="str">
            <v>S4265</v>
          </cell>
          <cell r="AA2365" t="str">
            <v/>
          </cell>
          <cell r="AB2365" t="str">
            <v>X15</v>
          </cell>
          <cell r="AC2365" t="str">
            <v/>
          </cell>
          <cell r="AD2365" t="str">
            <v>S4265</v>
          </cell>
          <cell r="AE2365" t="str">
            <v/>
          </cell>
          <cell r="AF2365" t="str">
            <v>25:23,21:10</v>
          </cell>
          <cell r="AG2365" t="str">
            <v>23:25,10:21</v>
          </cell>
          <cell r="AH2365" t="str">
            <v/>
          </cell>
          <cell r="AI2365">
            <v>25</v>
          </cell>
          <cell r="AJ2365">
            <v>23</v>
          </cell>
          <cell r="AK2365">
            <v>21</v>
          </cell>
          <cell r="AL2365">
            <v>10</v>
          </cell>
          <cell r="AM2365">
            <v>0</v>
          </cell>
          <cell r="AN2365">
            <v>0</v>
          </cell>
        </row>
        <row r="2366">
          <cell r="A2366" t="str">
            <v/>
          </cell>
          <cell r="B2366" t="str">
            <v>Łukasz STĘPNIEWSKI (MKB Lednik Miastko)</v>
          </cell>
          <cell r="H2366" t="str">
            <v>S4265</v>
          </cell>
          <cell r="K2366" t="str">
            <v>X15</v>
          </cell>
          <cell r="N2366" t="str">
            <v>Ilya SHCHARBENKA (Mińsk Białoruś)</v>
          </cell>
        </row>
        <row r="2367">
          <cell r="A2367" t="str">
            <v/>
          </cell>
          <cell r="B2367" t="str">
            <v/>
          </cell>
          <cell r="H2367" t="str">
            <v/>
          </cell>
          <cell r="K2367" t="str">
            <v/>
          </cell>
          <cell r="N2367" t="str">
            <v/>
          </cell>
        </row>
        <row r="2369">
          <cell r="B2369" t="str">
            <v>zwycięzca(cy): 25:23,21:10</v>
          </cell>
          <cell r="K2369" t="str">
            <v/>
          </cell>
        </row>
        <row r="2370">
          <cell r="B2370">
            <v>2</v>
          </cell>
          <cell r="C2370" t="str">
            <v>dzień turnieju.</v>
          </cell>
          <cell r="I2370" t="str">
            <v>Nr meczu</v>
          </cell>
          <cell r="N2370" t="str">
            <v>Godz.</v>
          </cell>
          <cell r="R2370" t="str">
            <v>S. prow.</v>
          </cell>
          <cell r="AF2370" t="str">
            <v>wygrany</v>
          </cell>
          <cell r="AG2370" t="str">
            <v>przegrany</v>
          </cell>
        </row>
        <row r="2371">
          <cell r="B2371" t="str">
            <v>Boisko</v>
          </cell>
          <cell r="C2371" t="str">
            <v>Gra</v>
          </cell>
          <cell r="I2371">
            <v>339</v>
          </cell>
          <cell r="N2371" t="str">
            <v>rozp.</v>
          </cell>
          <cell r="P2371" t="str">
            <v>zak.</v>
          </cell>
          <cell r="R2371" t="str">
            <v>S. serw.</v>
          </cell>
        </row>
        <row r="2372">
          <cell r="A2372">
            <v>339</v>
          </cell>
          <cell r="B2372">
            <v>1</v>
          </cell>
          <cell r="C2372" t="str">
            <v>pojedyncza chłopców M</v>
          </cell>
          <cell r="H2372">
            <v>10</v>
          </cell>
          <cell r="I2372">
            <v>21</v>
          </cell>
          <cell r="J2372">
            <v>21</v>
          </cell>
          <cell r="K2372">
            <v>16</v>
          </cell>
          <cell r="L2372">
            <v>21</v>
          </cell>
          <cell r="M2372">
            <v>19</v>
          </cell>
          <cell r="P2372">
            <v>0.72569444444444453</v>
          </cell>
          <cell r="R2372">
            <v>0.72569444444444453</v>
          </cell>
          <cell r="S2372" t="str">
            <v>sob 16:10</v>
          </cell>
          <cell r="X2372">
            <v>339</v>
          </cell>
          <cell r="Y2372" t="str">
            <v>pojedyncza chłopców M</v>
          </cell>
          <cell r="Z2372" t="str">
            <v>G4560</v>
          </cell>
          <cell r="AA2372" t="str">
            <v/>
          </cell>
          <cell r="AB2372" t="str">
            <v>L4716</v>
          </cell>
          <cell r="AC2372" t="str">
            <v/>
          </cell>
          <cell r="AD2372" t="str">
            <v>G4560</v>
          </cell>
          <cell r="AE2372" t="str">
            <v/>
          </cell>
          <cell r="AF2372" t="str">
            <v>10:21,21:16,21:19</v>
          </cell>
          <cell r="AG2372" t="str">
            <v>21:10,16:21,19:21</v>
          </cell>
          <cell r="AH2372" t="str">
            <v/>
          </cell>
          <cell r="AI2372">
            <v>10</v>
          </cell>
          <cell r="AJ2372">
            <v>21</v>
          </cell>
          <cell r="AK2372">
            <v>21</v>
          </cell>
          <cell r="AL2372">
            <v>16</v>
          </cell>
          <cell r="AM2372">
            <v>21</v>
          </cell>
          <cell r="AN2372">
            <v>19</v>
          </cell>
        </row>
        <row r="2373">
          <cell r="A2373" t="str">
            <v/>
          </cell>
          <cell r="B2373" t="str">
            <v>Michał GOMOŁA (KS Masovia Płock)</v>
          </cell>
          <cell r="H2373" t="str">
            <v>G4560</v>
          </cell>
          <cell r="K2373" t="str">
            <v>L4716</v>
          </cell>
        </row>
        <row r="2374">
          <cell r="A2374" t="str">
            <v/>
          </cell>
          <cell r="B2374" t="str">
            <v/>
          </cell>
          <cell r="H2374" t="str">
            <v/>
          </cell>
          <cell r="K2374" t="str">
            <v/>
          </cell>
          <cell r="N2374" t="str">
            <v/>
          </cell>
        </row>
        <row r="2376">
          <cell r="B2376" t="str">
            <v>zwycięzca(cy): 10:21,21:16,21:19</v>
          </cell>
          <cell r="K2376" t="str">
            <v/>
          </cell>
        </row>
        <row r="2377">
          <cell r="B2377">
            <v>2</v>
          </cell>
          <cell r="C2377" t="str">
            <v>dzień turnieju.</v>
          </cell>
          <cell r="I2377" t="str">
            <v>Nr meczu</v>
          </cell>
          <cell r="N2377" t="str">
            <v>Godz.</v>
          </cell>
          <cell r="R2377" t="str">
            <v>S. prow.</v>
          </cell>
          <cell r="AF2377" t="str">
            <v>wygrany</v>
          </cell>
          <cell r="AG2377" t="str">
            <v>przegrany</v>
          </cell>
        </row>
        <row r="2378">
          <cell r="B2378" t="str">
            <v>Boisko</v>
          </cell>
          <cell r="C2378" t="str">
            <v>Gra</v>
          </cell>
          <cell r="I2378">
            <v>340</v>
          </cell>
          <cell r="N2378" t="str">
            <v>rozp.</v>
          </cell>
          <cell r="P2378" t="str">
            <v>zak.</v>
          </cell>
          <cell r="R2378" t="str">
            <v>S. serw.</v>
          </cell>
        </row>
        <row r="2379">
          <cell r="A2379">
            <v>340</v>
          </cell>
          <cell r="B2379">
            <v>3</v>
          </cell>
          <cell r="C2379" t="str">
            <v>pojedyncza chłopców M</v>
          </cell>
          <cell r="H2379">
            <v>21</v>
          </cell>
          <cell r="I2379">
            <v>11</v>
          </cell>
          <cell r="J2379">
            <v>21</v>
          </cell>
          <cell r="K2379">
            <v>3</v>
          </cell>
          <cell r="P2379">
            <v>0.71527777777777779</v>
          </cell>
          <cell r="R2379">
            <v>0.71527777777777779</v>
          </cell>
          <cell r="S2379" t="str">
            <v>sob 16:10</v>
          </cell>
          <cell r="X2379">
            <v>340</v>
          </cell>
          <cell r="Y2379" t="str">
            <v>pojedyncza chłopców M</v>
          </cell>
          <cell r="Z2379" t="str">
            <v>G4577</v>
          </cell>
          <cell r="AA2379" t="str">
            <v/>
          </cell>
          <cell r="AB2379" t="str">
            <v>J4722</v>
          </cell>
          <cell r="AC2379" t="str">
            <v/>
          </cell>
          <cell r="AD2379" t="str">
            <v>G4577</v>
          </cell>
          <cell r="AE2379" t="str">
            <v/>
          </cell>
          <cell r="AF2379" t="str">
            <v>21:11,21:3</v>
          </cell>
          <cell r="AG2379" t="str">
            <v>11:21,3:21</v>
          </cell>
          <cell r="AH2379" t="str">
            <v/>
          </cell>
          <cell r="AI2379">
            <v>21</v>
          </cell>
          <cell r="AJ2379">
            <v>11</v>
          </cell>
          <cell r="AK2379">
            <v>21</v>
          </cell>
          <cell r="AL2379">
            <v>3</v>
          </cell>
          <cell r="AM2379">
            <v>0</v>
          </cell>
          <cell r="AN2379">
            <v>0</v>
          </cell>
        </row>
        <row r="2380">
          <cell r="A2380" t="str">
            <v/>
          </cell>
          <cell r="B2380" t="str">
            <v>Jakub GIREŃ (MKS Strzelce Opolskie)</v>
          </cell>
          <cell r="H2380" t="str">
            <v>G4577</v>
          </cell>
          <cell r="K2380" t="str">
            <v>J4722</v>
          </cell>
          <cell r="N2380" t="str">
            <v>Mikołaj JÓŹWIAK (KS Hubertus Zalesie Górne)</v>
          </cell>
        </row>
        <row r="2381">
          <cell r="A2381" t="str">
            <v/>
          </cell>
          <cell r="B2381" t="str">
            <v/>
          </cell>
          <cell r="H2381" t="str">
            <v/>
          </cell>
          <cell r="K2381" t="str">
            <v/>
          </cell>
          <cell r="N2381" t="str">
            <v/>
          </cell>
        </row>
        <row r="2383">
          <cell r="B2383" t="str">
            <v>zwycięzca(cy): 21:11,21:3</v>
          </cell>
          <cell r="K2383" t="str">
            <v/>
          </cell>
        </row>
        <row r="2384">
          <cell r="B2384">
            <v>2</v>
          </cell>
          <cell r="C2384" t="str">
            <v>dzień turnieju.</v>
          </cell>
          <cell r="I2384" t="str">
            <v>Nr meczu</v>
          </cell>
          <cell r="N2384" t="str">
            <v>Godz.</v>
          </cell>
          <cell r="R2384" t="str">
            <v>S. prow.</v>
          </cell>
          <cell r="AF2384" t="str">
            <v>wygrany</v>
          </cell>
          <cell r="AG2384" t="str">
            <v>przegrany</v>
          </cell>
        </row>
        <row r="2385">
          <cell r="B2385" t="str">
            <v>Boisko</v>
          </cell>
          <cell r="C2385" t="str">
            <v>Gra</v>
          </cell>
          <cell r="I2385">
            <v>341</v>
          </cell>
          <cell r="N2385" t="str">
            <v>rozp.</v>
          </cell>
          <cell r="P2385" t="str">
            <v>zak.</v>
          </cell>
          <cell r="R2385" t="str">
            <v>S. serw.</v>
          </cell>
        </row>
        <row r="2386">
          <cell r="A2386">
            <v>341</v>
          </cell>
          <cell r="B2386">
            <v>5</v>
          </cell>
          <cell r="C2386" t="str">
            <v>pojedyncza chłopców M</v>
          </cell>
          <cell r="H2386">
            <v>21</v>
          </cell>
          <cell r="I2386">
            <v>12</v>
          </cell>
          <cell r="J2386">
            <v>21</v>
          </cell>
          <cell r="K2386">
            <v>19</v>
          </cell>
          <cell r="P2386">
            <v>0.70833333333333337</v>
          </cell>
          <cell r="R2386">
            <v>0.70833333333333337</v>
          </cell>
          <cell r="S2386" t="str">
            <v>sob 16:10</v>
          </cell>
          <cell r="X2386">
            <v>341</v>
          </cell>
          <cell r="Y2386" t="str">
            <v>pojedyncza chłopców M</v>
          </cell>
          <cell r="Z2386" t="str">
            <v>K4579</v>
          </cell>
          <cell r="AA2386" t="str">
            <v/>
          </cell>
          <cell r="AB2386" t="str">
            <v>T3691</v>
          </cell>
          <cell r="AC2386" t="str">
            <v/>
          </cell>
          <cell r="AD2386" t="str">
            <v>K4579</v>
          </cell>
          <cell r="AE2386" t="str">
            <v/>
          </cell>
          <cell r="AF2386" t="str">
            <v>21:12,21:19</v>
          </cell>
          <cell r="AG2386" t="str">
            <v>12:21,19:21</v>
          </cell>
          <cell r="AH2386" t="str">
            <v/>
          </cell>
          <cell r="AI2386">
            <v>21</v>
          </cell>
          <cell r="AJ2386">
            <v>12</v>
          </cell>
          <cell r="AK2386">
            <v>21</v>
          </cell>
          <cell r="AL2386">
            <v>19</v>
          </cell>
          <cell r="AM2386">
            <v>0</v>
          </cell>
          <cell r="AN2386">
            <v>0</v>
          </cell>
        </row>
        <row r="2387">
          <cell r="A2387" t="str">
            <v/>
          </cell>
          <cell r="B2387" t="str">
            <v>Miłosz KAIM (KS Masovia Płock)</v>
          </cell>
          <cell r="H2387" t="str">
            <v>K4579</v>
          </cell>
          <cell r="K2387" t="str">
            <v>T3691</v>
          </cell>
          <cell r="N2387" t="str">
            <v>Jakub TEMBIKOWSKI (UKS Badminton Stare Babice)</v>
          </cell>
        </row>
        <row r="2388">
          <cell r="A2388" t="str">
            <v/>
          </cell>
          <cell r="B2388" t="str">
            <v/>
          </cell>
          <cell r="H2388" t="str">
            <v/>
          </cell>
          <cell r="K2388" t="str">
            <v/>
          </cell>
          <cell r="N2388" t="str">
            <v/>
          </cell>
        </row>
        <row r="2390">
          <cell r="B2390" t="str">
            <v>zwycięzca(cy): 21:12,21:19</v>
          </cell>
          <cell r="K2390" t="str">
            <v/>
          </cell>
        </row>
        <row r="2391">
          <cell r="B2391">
            <v>2</v>
          </cell>
          <cell r="C2391" t="str">
            <v>dzień turnieju.</v>
          </cell>
          <cell r="I2391" t="str">
            <v>Nr meczu</v>
          </cell>
          <cell r="N2391" t="str">
            <v>Godz.</v>
          </cell>
          <cell r="R2391" t="str">
            <v>S. prow.</v>
          </cell>
          <cell r="AF2391" t="str">
            <v>wygrany</v>
          </cell>
          <cell r="AG2391" t="str">
            <v>przegrany</v>
          </cell>
        </row>
        <row r="2392">
          <cell r="B2392" t="str">
            <v>Boisko</v>
          </cell>
          <cell r="C2392" t="str">
            <v>Gra</v>
          </cell>
          <cell r="I2392">
            <v>342</v>
          </cell>
          <cell r="N2392" t="str">
            <v>rozp.</v>
          </cell>
          <cell r="P2392" t="str">
            <v>zak.</v>
          </cell>
          <cell r="R2392" t="str">
            <v>S. serw.</v>
          </cell>
        </row>
        <row r="2393">
          <cell r="A2393">
            <v>342</v>
          </cell>
          <cell r="B2393">
            <v>2</v>
          </cell>
          <cell r="C2393" t="str">
            <v>pojedyncza chłopców M</v>
          </cell>
          <cell r="H2393">
            <v>21</v>
          </cell>
          <cell r="I2393">
            <v>14</v>
          </cell>
          <cell r="J2393">
            <v>16</v>
          </cell>
          <cell r="K2393">
            <v>21</v>
          </cell>
          <cell r="L2393">
            <v>18</v>
          </cell>
          <cell r="M2393">
            <v>21</v>
          </cell>
          <cell r="P2393">
            <v>0.73611111111111116</v>
          </cell>
          <cell r="R2393">
            <v>0.73611111111111116</v>
          </cell>
          <cell r="S2393" t="str">
            <v>sob 16:10</v>
          </cell>
          <cell r="X2393">
            <v>342</v>
          </cell>
          <cell r="Y2393" t="str">
            <v>pojedyncza chłopców M</v>
          </cell>
          <cell r="Z2393" t="str">
            <v>S5092</v>
          </cell>
          <cell r="AA2393" t="str">
            <v/>
          </cell>
          <cell r="AB2393" t="str">
            <v>J4677</v>
          </cell>
          <cell r="AC2393" t="str">
            <v/>
          </cell>
          <cell r="AD2393" t="str">
            <v>J4677</v>
          </cell>
          <cell r="AE2393" t="str">
            <v/>
          </cell>
          <cell r="AF2393" t="str">
            <v>14:21,21:16,21:18</v>
          </cell>
          <cell r="AG2393" t="str">
            <v>21:14,16:21,18:21</v>
          </cell>
          <cell r="AH2393" t="str">
            <v/>
          </cell>
          <cell r="AI2393">
            <v>21</v>
          </cell>
          <cell r="AJ2393">
            <v>14</v>
          </cell>
          <cell r="AK2393">
            <v>16</v>
          </cell>
          <cell r="AL2393">
            <v>21</v>
          </cell>
          <cell r="AM2393">
            <v>18</v>
          </cell>
          <cell r="AN2393">
            <v>21</v>
          </cell>
        </row>
        <row r="2394">
          <cell r="A2394" t="str">
            <v/>
          </cell>
          <cell r="B2394" t="str">
            <v>Andrzej SAWICKI (UKS Hubal Białystok)</v>
          </cell>
          <cell r="H2394" t="str">
            <v>S5092</v>
          </cell>
          <cell r="K2394" t="str">
            <v>J4677</v>
          </cell>
          <cell r="N2394" t="str">
            <v>Adam JAGODA (UKS Kiko Zamość)</v>
          </cell>
        </row>
        <row r="2395">
          <cell r="A2395" t="str">
            <v/>
          </cell>
          <cell r="B2395" t="str">
            <v/>
          </cell>
          <cell r="H2395" t="str">
            <v/>
          </cell>
          <cell r="K2395" t="str">
            <v/>
          </cell>
          <cell r="N2395" t="str">
            <v/>
          </cell>
        </row>
        <row r="2397">
          <cell r="B2397" t="str">
            <v/>
          </cell>
          <cell r="K2397" t="str">
            <v>zwycięzca(cy): 14:21,21:16,21:18</v>
          </cell>
        </row>
        <row r="2398">
          <cell r="B2398">
            <v>2</v>
          </cell>
          <cell r="C2398" t="str">
            <v>dzień turnieju.</v>
          </cell>
          <cell r="I2398" t="str">
            <v>Nr meczu</v>
          </cell>
          <cell r="N2398" t="str">
            <v>Godz.</v>
          </cell>
          <cell r="R2398" t="str">
            <v>S. prow.</v>
          </cell>
          <cell r="AF2398" t="str">
            <v>wygrany</v>
          </cell>
          <cell r="AG2398" t="str">
            <v>przegrany</v>
          </cell>
        </row>
        <row r="2399">
          <cell r="B2399" t="str">
            <v>Boisko</v>
          </cell>
          <cell r="C2399" t="str">
            <v>Gra</v>
          </cell>
          <cell r="I2399">
            <v>343</v>
          </cell>
          <cell r="N2399" t="str">
            <v>rozp.</v>
          </cell>
          <cell r="P2399" t="str">
            <v>zak.</v>
          </cell>
          <cell r="R2399" t="str">
            <v>S. serw.</v>
          </cell>
        </row>
        <row r="2400">
          <cell r="A2400">
            <v>343</v>
          </cell>
          <cell r="B2400">
            <v>4</v>
          </cell>
          <cell r="C2400" t="str">
            <v>pojedyncza chłopców M</v>
          </cell>
          <cell r="H2400">
            <v>21</v>
          </cell>
          <cell r="I2400">
            <v>4</v>
          </cell>
          <cell r="J2400">
            <v>21</v>
          </cell>
          <cell r="K2400">
            <v>11</v>
          </cell>
          <cell r="P2400">
            <v>0.72222222222222221</v>
          </cell>
          <cell r="R2400">
            <v>0.72222222222222221</v>
          </cell>
          <cell r="S2400" t="str">
            <v>sob 16:30</v>
          </cell>
          <cell r="X2400">
            <v>343</v>
          </cell>
          <cell r="Y2400" t="str">
            <v>pojedyncza chłopców M</v>
          </cell>
          <cell r="Z2400" t="str">
            <v>S4287</v>
          </cell>
          <cell r="AA2400" t="str">
            <v/>
          </cell>
          <cell r="AB2400" t="str">
            <v>E4320</v>
          </cell>
          <cell r="AC2400" t="str">
            <v/>
          </cell>
          <cell r="AD2400" t="str">
            <v>S4287</v>
          </cell>
          <cell r="AE2400" t="str">
            <v/>
          </cell>
          <cell r="AF2400" t="str">
            <v>21:4,21:11</v>
          </cell>
          <cell r="AG2400" t="str">
            <v>4:21,11:21</v>
          </cell>
          <cell r="AH2400" t="str">
            <v/>
          </cell>
          <cell r="AI2400">
            <v>21</v>
          </cell>
          <cell r="AJ2400">
            <v>4</v>
          </cell>
          <cell r="AK2400">
            <v>21</v>
          </cell>
          <cell r="AL2400">
            <v>11</v>
          </cell>
          <cell r="AM2400">
            <v>0</v>
          </cell>
          <cell r="AN2400">
            <v>0</v>
          </cell>
        </row>
        <row r="2401">
          <cell r="A2401" t="str">
            <v/>
          </cell>
          <cell r="B2401" t="str">
            <v>Michał SOBOLEWSKI (SKB Suwałki)</v>
          </cell>
          <cell r="H2401" t="str">
            <v>S4287</v>
          </cell>
          <cell r="K2401" t="str">
            <v>E4320</v>
          </cell>
          <cell r="N2401" t="str">
            <v>Franciszek EBERT (KS Hubertus Zalesie Górne)</v>
          </cell>
        </row>
        <row r="2402">
          <cell r="A2402" t="str">
            <v/>
          </cell>
          <cell r="B2402" t="str">
            <v/>
          </cell>
          <cell r="H2402" t="str">
            <v/>
          </cell>
          <cell r="K2402" t="str">
            <v/>
          </cell>
          <cell r="N2402" t="str">
            <v/>
          </cell>
        </row>
        <row r="2404">
          <cell r="B2404" t="str">
            <v>zwycięzca(cy): 21:4,21:11</v>
          </cell>
          <cell r="K2404" t="str">
            <v/>
          </cell>
        </row>
        <row r="2405">
          <cell r="B2405">
            <v>2</v>
          </cell>
          <cell r="C2405" t="str">
            <v>dzień turnieju.</v>
          </cell>
          <cell r="I2405" t="str">
            <v>Nr meczu</v>
          </cell>
          <cell r="N2405" t="str">
            <v>Godz.</v>
          </cell>
          <cell r="R2405" t="str">
            <v>S. prow.</v>
          </cell>
          <cell r="AF2405" t="str">
            <v>wygrany</v>
          </cell>
          <cell r="AG2405" t="str">
            <v>przegrany</v>
          </cell>
        </row>
        <row r="2406">
          <cell r="B2406" t="str">
            <v>Boisko</v>
          </cell>
          <cell r="C2406" t="str">
            <v>Gra</v>
          </cell>
          <cell r="I2406">
            <v>344</v>
          </cell>
          <cell r="N2406" t="str">
            <v>rozp.</v>
          </cell>
          <cell r="P2406" t="str">
            <v>zak.</v>
          </cell>
          <cell r="R2406" t="str">
            <v>S. serw.</v>
          </cell>
        </row>
        <row r="2407">
          <cell r="A2407">
            <v>344</v>
          </cell>
          <cell r="B2407">
            <v>3</v>
          </cell>
          <cell r="C2407" t="str">
            <v>pojedyncza chłopców M</v>
          </cell>
          <cell r="H2407">
            <v>12</v>
          </cell>
          <cell r="I2407">
            <v>21</v>
          </cell>
          <cell r="J2407">
            <v>18</v>
          </cell>
          <cell r="K2407">
            <v>21</v>
          </cell>
          <cell r="P2407">
            <v>0.73263888888888884</v>
          </cell>
          <cell r="R2407">
            <v>0.73263888888888884</v>
          </cell>
          <cell r="S2407" t="str">
            <v>sob 16:30</v>
          </cell>
          <cell r="X2407">
            <v>344</v>
          </cell>
          <cell r="Y2407" t="str">
            <v>pojedyncza chłopców M</v>
          </cell>
          <cell r="Z2407" t="str">
            <v>K5132</v>
          </cell>
          <cell r="AA2407" t="str">
            <v/>
          </cell>
          <cell r="AB2407" t="str">
            <v>B4431</v>
          </cell>
          <cell r="AC2407" t="str">
            <v/>
          </cell>
          <cell r="AD2407" t="str">
            <v>B4431</v>
          </cell>
          <cell r="AE2407" t="str">
            <v/>
          </cell>
          <cell r="AF2407" t="str">
            <v>21:12,21:18</v>
          </cell>
          <cell r="AG2407" t="str">
            <v>12:21,18:21</v>
          </cell>
          <cell r="AH2407" t="str">
            <v/>
          </cell>
          <cell r="AI2407">
            <v>12</v>
          </cell>
          <cell r="AJ2407">
            <v>21</v>
          </cell>
          <cell r="AK2407">
            <v>18</v>
          </cell>
          <cell r="AL2407">
            <v>21</v>
          </cell>
          <cell r="AM2407">
            <v>0</v>
          </cell>
          <cell r="AN2407">
            <v>0</v>
          </cell>
        </row>
        <row r="2408">
          <cell r="A2408" t="str">
            <v/>
          </cell>
          <cell r="B2408" t="str">
            <v>Piotr KRAJEWSKI (UKSB Milenium Warszawa)</v>
          </cell>
          <cell r="H2408" t="str">
            <v>K5132</v>
          </cell>
          <cell r="K2408" t="str">
            <v>B4431</v>
          </cell>
          <cell r="N2408" t="str">
            <v>Michał BIENIA (UKS Aktywna Piątka Przemyśl)</v>
          </cell>
        </row>
        <row r="2409">
          <cell r="A2409" t="str">
            <v/>
          </cell>
          <cell r="B2409" t="str">
            <v/>
          </cell>
          <cell r="H2409" t="str">
            <v/>
          </cell>
          <cell r="K2409" t="str">
            <v/>
          </cell>
          <cell r="N2409" t="str">
            <v/>
          </cell>
        </row>
        <row r="2411">
          <cell r="B2411" t="str">
            <v/>
          </cell>
          <cell r="K2411" t="str">
            <v>zwycięzca(cy): 21:12,21:18</v>
          </cell>
        </row>
        <row r="2412">
          <cell r="B2412">
            <v>2</v>
          </cell>
          <cell r="C2412" t="str">
            <v>dzień turnieju.</v>
          </cell>
          <cell r="I2412" t="str">
            <v>Nr meczu</v>
          </cell>
          <cell r="N2412" t="str">
            <v>Godz.</v>
          </cell>
          <cell r="R2412" t="str">
            <v>S. prow.</v>
          </cell>
          <cell r="AF2412" t="str">
            <v>wygrany</v>
          </cell>
          <cell r="AG2412" t="str">
            <v>przegrany</v>
          </cell>
        </row>
        <row r="2413">
          <cell r="B2413" t="str">
            <v>Boisko</v>
          </cell>
          <cell r="C2413" t="str">
            <v>Gra</v>
          </cell>
          <cell r="I2413">
            <v>345</v>
          </cell>
          <cell r="N2413" t="str">
            <v>rozp.</v>
          </cell>
          <cell r="P2413" t="str">
            <v>zak.</v>
          </cell>
          <cell r="R2413" t="str">
            <v>S. serw.</v>
          </cell>
        </row>
        <row r="2414">
          <cell r="A2414">
            <v>345</v>
          </cell>
          <cell r="B2414">
            <v>5</v>
          </cell>
          <cell r="C2414" t="str">
            <v>pojedyncza chłopców M</v>
          </cell>
          <cell r="H2414">
            <v>11</v>
          </cell>
          <cell r="I2414">
            <v>21</v>
          </cell>
          <cell r="J2414">
            <v>18</v>
          </cell>
          <cell r="K2414">
            <v>21</v>
          </cell>
          <cell r="P2414">
            <v>0.73263888888888884</v>
          </cell>
          <cell r="R2414">
            <v>0.73263888888888884</v>
          </cell>
          <cell r="S2414" t="str">
            <v>sob 16:30</v>
          </cell>
          <cell r="X2414">
            <v>345</v>
          </cell>
          <cell r="Y2414" t="str">
            <v>pojedyncza chłopców M</v>
          </cell>
          <cell r="Z2414" t="str">
            <v>M4588</v>
          </cell>
          <cell r="AA2414" t="str">
            <v/>
          </cell>
          <cell r="AB2414" t="str">
            <v>K4613</v>
          </cell>
          <cell r="AC2414" t="str">
            <v/>
          </cell>
          <cell r="AD2414" t="str">
            <v>K4613</v>
          </cell>
          <cell r="AE2414" t="str">
            <v/>
          </cell>
          <cell r="AF2414" t="str">
            <v>21:11,21:18</v>
          </cell>
          <cell r="AG2414" t="str">
            <v>11:21,18:21</v>
          </cell>
          <cell r="AH2414" t="str">
            <v/>
          </cell>
          <cell r="AI2414">
            <v>11</v>
          </cell>
          <cell r="AJ2414">
            <v>21</v>
          </cell>
          <cell r="AK2414">
            <v>18</v>
          </cell>
          <cell r="AL2414">
            <v>21</v>
          </cell>
          <cell r="AM2414">
            <v>0</v>
          </cell>
          <cell r="AN2414">
            <v>0</v>
          </cell>
        </row>
        <row r="2415">
          <cell r="A2415" t="str">
            <v/>
          </cell>
          <cell r="B2415" t="str">
            <v>Jakub MINARTOWICZ (LKS Technik Głubczyce)</v>
          </cell>
          <cell r="H2415" t="str">
            <v>M4588</v>
          </cell>
          <cell r="K2415" t="str">
            <v>K4613</v>
          </cell>
          <cell r="N2415" t="str">
            <v>Jakub KUFEL (UKS Orbitek Straszęcin)</v>
          </cell>
        </row>
        <row r="2416">
          <cell r="A2416" t="str">
            <v/>
          </cell>
          <cell r="B2416" t="str">
            <v/>
          </cell>
          <cell r="H2416" t="str">
            <v/>
          </cell>
          <cell r="K2416" t="str">
            <v/>
          </cell>
          <cell r="N2416" t="str">
            <v/>
          </cell>
        </row>
        <row r="2418">
          <cell r="B2418" t="str">
            <v/>
          </cell>
          <cell r="K2418" t="str">
            <v>zwycięzca(cy): 21:11,21:18</v>
          </cell>
        </row>
        <row r="2419">
          <cell r="B2419">
            <v>2</v>
          </cell>
          <cell r="C2419" t="str">
            <v>dzień turnieju.</v>
          </cell>
          <cell r="I2419" t="str">
            <v>Nr meczu</v>
          </cell>
          <cell r="N2419" t="str">
            <v>Godz.</v>
          </cell>
          <cell r="R2419" t="str">
            <v>S. prow.</v>
          </cell>
          <cell r="AF2419" t="str">
            <v>wygrany</v>
          </cell>
          <cell r="AG2419" t="str">
            <v>przegrany</v>
          </cell>
        </row>
        <row r="2420">
          <cell r="B2420" t="str">
            <v>Boisko</v>
          </cell>
          <cell r="C2420" t="str">
            <v>Gra</v>
          </cell>
          <cell r="I2420">
            <v>346</v>
          </cell>
          <cell r="N2420" t="str">
            <v>rozp.</v>
          </cell>
          <cell r="P2420" t="str">
            <v>zak.</v>
          </cell>
          <cell r="R2420" t="str">
            <v>S. serw.</v>
          </cell>
        </row>
        <row r="2421">
          <cell r="A2421">
            <v>346</v>
          </cell>
          <cell r="B2421">
            <v>6</v>
          </cell>
          <cell r="C2421" t="str">
            <v>pojedyncza chłopców M</v>
          </cell>
          <cell r="H2421">
            <v>9</v>
          </cell>
          <cell r="I2421">
            <v>21</v>
          </cell>
          <cell r="J2421">
            <v>21</v>
          </cell>
          <cell r="K2421">
            <v>19</v>
          </cell>
          <cell r="L2421">
            <v>17</v>
          </cell>
          <cell r="M2421">
            <v>21</v>
          </cell>
          <cell r="P2421">
            <v>0.75</v>
          </cell>
          <cell r="R2421">
            <v>0.75</v>
          </cell>
          <cell r="S2421" t="str">
            <v>sob 16:30</v>
          </cell>
          <cell r="X2421">
            <v>346</v>
          </cell>
          <cell r="Y2421" t="str">
            <v>pojedyncza chłopców M</v>
          </cell>
          <cell r="Z2421" t="str">
            <v>M3747</v>
          </cell>
          <cell r="AA2421" t="str">
            <v/>
          </cell>
          <cell r="AB2421" t="str">
            <v>P4121</v>
          </cell>
          <cell r="AC2421" t="str">
            <v/>
          </cell>
          <cell r="AD2421" t="str">
            <v>P4121</v>
          </cell>
          <cell r="AE2421" t="str">
            <v/>
          </cell>
          <cell r="AF2421" t="str">
            <v>21:9,19:21,21:17</v>
          </cell>
          <cell r="AG2421" t="str">
            <v>9:21,21:19,17:21</v>
          </cell>
          <cell r="AH2421" t="str">
            <v/>
          </cell>
          <cell r="AI2421">
            <v>9</v>
          </cell>
          <cell r="AJ2421">
            <v>21</v>
          </cell>
          <cell r="AK2421">
            <v>21</v>
          </cell>
          <cell r="AL2421">
            <v>19</v>
          </cell>
          <cell r="AM2421">
            <v>17</v>
          </cell>
          <cell r="AN2421">
            <v>21</v>
          </cell>
        </row>
        <row r="2422">
          <cell r="A2422" t="str">
            <v/>
          </cell>
          <cell r="B2422" t="str">
            <v>Michał MATYSIAK (KS Hubertus Zalesie Górne)</v>
          </cell>
          <cell r="H2422" t="str">
            <v>M3747</v>
          </cell>
          <cell r="K2422" t="str">
            <v>P4121</v>
          </cell>
          <cell r="N2422" t="str">
            <v>Konrad PŁOCH (UKS Start Widełka)</v>
          </cell>
        </row>
        <row r="2423">
          <cell r="A2423" t="str">
            <v/>
          </cell>
          <cell r="B2423" t="str">
            <v/>
          </cell>
          <cell r="H2423" t="str">
            <v/>
          </cell>
          <cell r="K2423" t="str">
            <v/>
          </cell>
          <cell r="N2423" t="str">
            <v/>
          </cell>
        </row>
        <row r="2425">
          <cell r="B2425" t="str">
            <v/>
          </cell>
          <cell r="K2425" t="str">
            <v>zwycięzca(cy): 21:9,19:21,21:17</v>
          </cell>
        </row>
        <row r="2426">
          <cell r="B2426">
            <v>2</v>
          </cell>
          <cell r="C2426" t="str">
            <v>dzień turnieju.</v>
          </cell>
          <cell r="I2426" t="str">
            <v>Nr meczu</v>
          </cell>
          <cell r="N2426" t="str">
            <v>Godz.</v>
          </cell>
          <cell r="R2426" t="str">
            <v>S. prow.</v>
          </cell>
          <cell r="AF2426" t="str">
            <v>wygrany</v>
          </cell>
          <cell r="AG2426" t="str">
            <v>przegrany</v>
          </cell>
        </row>
        <row r="2427">
          <cell r="B2427" t="str">
            <v>Boisko</v>
          </cell>
          <cell r="C2427" t="str">
            <v>Gra</v>
          </cell>
          <cell r="I2427">
            <v>347</v>
          </cell>
          <cell r="N2427" t="str">
            <v>rozp.</v>
          </cell>
          <cell r="P2427" t="str">
            <v>zak.</v>
          </cell>
          <cell r="R2427" t="str">
            <v>S. serw.</v>
          </cell>
        </row>
        <row r="2428">
          <cell r="A2428">
            <v>347</v>
          </cell>
          <cell r="B2428">
            <v>4</v>
          </cell>
          <cell r="C2428" t="str">
            <v>pojedyncza chłopców M</v>
          </cell>
          <cell r="H2428">
            <v>21</v>
          </cell>
          <cell r="I2428">
            <v>10</v>
          </cell>
          <cell r="J2428">
            <v>21</v>
          </cell>
          <cell r="K2428">
            <v>18</v>
          </cell>
          <cell r="P2428">
            <v>0.73958333333333337</v>
          </cell>
          <cell r="R2428">
            <v>0.73958333333333337</v>
          </cell>
          <cell r="S2428" t="str">
            <v>sob 16:30</v>
          </cell>
          <cell r="X2428">
            <v>347</v>
          </cell>
          <cell r="Y2428" t="str">
            <v>pojedyncza chłopców M</v>
          </cell>
          <cell r="Z2428" t="str">
            <v>G4559</v>
          </cell>
          <cell r="AA2428" t="str">
            <v/>
          </cell>
          <cell r="AB2428" t="str">
            <v>X23</v>
          </cell>
          <cell r="AC2428" t="str">
            <v/>
          </cell>
          <cell r="AD2428" t="str">
            <v>G4559</v>
          </cell>
          <cell r="AE2428" t="str">
            <v/>
          </cell>
          <cell r="AF2428" t="str">
            <v>21:10,21:18</v>
          </cell>
          <cell r="AG2428" t="str">
            <v>10:21,18:21</v>
          </cell>
          <cell r="AH2428" t="str">
            <v/>
          </cell>
          <cell r="AI2428">
            <v>21</v>
          </cell>
          <cell r="AJ2428">
            <v>10</v>
          </cell>
          <cell r="AK2428">
            <v>21</v>
          </cell>
          <cell r="AL2428">
            <v>18</v>
          </cell>
          <cell r="AM2428">
            <v>0</v>
          </cell>
          <cell r="AN2428">
            <v>0</v>
          </cell>
        </row>
        <row r="2429">
          <cell r="A2429" t="str">
            <v/>
          </cell>
          <cell r="B2429" t="str">
            <v>Maciej GOMOŁA (KS Masovia Płock)</v>
          </cell>
          <cell r="H2429" t="str">
            <v>G4559</v>
          </cell>
          <cell r="K2429" t="str">
            <v>X23</v>
          </cell>
          <cell r="N2429" t="str">
            <v>Bogdan BRYCHUK (Vinnica Ukraina)</v>
          </cell>
        </row>
        <row r="2430">
          <cell r="A2430" t="str">
            <v/>
          </cell>
          <cell r="B2430" t="str">
            <v/>
          </cell>
          <cell r="H2430" t="str">
            <v/>
          </cell>
          <cell r="K2430" t="str">
            <v/>
          </cell>
          <cell r="N2430" t="str">
            <v/>
          </cell>
        </row>
        <row r="2432">
          <cell r="B2432" t="str">
            <v>zwycięzca(cy): 21:10,21:18</v>
          </cell>
          <cell r="K2432" t="str">
            <v/>
          </cell>
        </row>
        <row r="2433">
          <cell r="B2433">
            <v>2</v>
          </cell>
          <cell r="C2433" t="str">
            <v>dzień turnieju.</v>
          </cell>
          <cell r="I2433" t="str">
            <v>Nr meczu</v>
          </cell>
          <cell r="N2433" t="str">
            <v>Godz.</v>
          </cell>
          <cell r="R2433" t="str">
            <v>S. prow.</v>
          </cell>
          <cell r="AF2433" t="str">
            <v>wygrany</v>
          </cell>
          <cell r="AG2433" t="str">
            <v>przegrany</v>
          </cell>
        </row>
        <row r="2434">
          <cell r="B2434" t="str">
            <v>Boisko</v>
          </cell>
          <cell r="C2434" t="str">
            <v>Gra</v>
          </cell>
          <cell r="I2434">
            <v>348</v>
          </cell>
          <cell r="N2434" t="str">
            <v>rozp.</v>
          </cell>
          <cell r="P2434" t="str">
            <v>zak.</v>
          </cell>
          <cell r="R2434" t="str">
            <v>S. serw.</v>
          </cell>
        </row>
        <row r="2435">
          <cell r="A2435">
            <v>348</v>
          </cell>
          <cell r="B2435">
            <v>1</v>
          </cell>
          <cell r="C2435" t="str">
            <v>pojedyncza chłopców M</v>
          </cell>
          <cell r="H2435">
            <v>5</v>
          </cell>
          <cell r="I2435">
            <v>21</v>
          </cell>
          <cell r="J2435">
            <v>11</v>
          </cell>
          <cell r="K2435">
            <v>21</v>
          </cell>
          <cell r="P2435">
            <v>0.73611111111111116</v>
          </cell>
          <cell r="R2435">
            <v>0.73611111111111116</v>
          </cell>
          <cell r="S2435" t="str">
            <v>sob 16:30</v>
          </cell>
          <cell r="X2435">
            <v>348</v>
          </cell>
          <cell r="Y2435" t="str">
            <v>pojedyncza chłopców M</v>
          </cell>
          <cell r="Z2435" t="str">
            <v>R4718</v>
          </cell>
          <cell r="AA2435" t="str">
            <v/>
          </cell>
          <cell r="AB2435" t="str">
            <v>C3670</v>
          </cell>
          <cell r="AC2435" t="str">
            <v/>
          </cell>
          <cell r="AD2435" t="str">
            <v>C3670</v>
          </cell>
          <cell r="AE2435" t="str">
            <v/>
          </cell>
          <cell r="AF2435" t="str">
            <v>21:5,21:11</v>
          </cell>
          <cell r="AG2435" t="str">
            <v>5:21,11:21</v>
          </cell>
          <cell r="AH2435" t="str">
            <v/>
          </cell>
          <cell r="AI2435">
            <v>5</v>
          </cell>
          <cell r="AJ2435">
            <v>21</v>
          </cell>
          <cell r="AK2435">
            <v>11</v>
          </cell>
          <cell r="AL2435">
            <v>21</v>
          </cell>
          <cell r="AM2435">
            <v>0</v>
          </cell>
          <cell r="AN2435">
            <v>0</v>
          </cell>
        </row>
        <row r="2436">
          <cell r="A2436" t="str">
            <v/>
          </cell>
          <cell r="B2436" t="str">
            <v>Patryk RÓG (MKS Stal Nowa Dęba)</v>
          </cell>
          <cell r="H2436" t="str">
            <v>R4718</v>
          </cell>
          <cell r="K2436" t="str">
            <v>C3670</v>
          </cell>
          <cell r="N2436" t="str">
            <v>Robert CYBULSKI (MKB Lednik Miastko)</v>
          </cell>
        </row>
        <row r="2437">
          <cell r="A2437" t="str">
            <v/>
          </cell>
          <cell r="B2437" t="str">
            <v/>
          </cell>
          <cell r="H2437" t="str">
            <v/>
          </cell>
          <cell r="K2437" t="str">
            <v/>
          </cell>
          <cell r="N2437" t="str">
            <v/>
          </cell>
        </row>
        <row r="2439">
          <cell r="B2439" t="str">
            <v/>
          </cell>
          <cell r="K2439" t="str">
            <v>zwycięzca(cy): 21:5,21:11</v>
          </cell>
        </row>
        <row r="2440">
          <cell r="B2440">
            <v>2</v>
          </cell>
          <cell r="C2440" t="str">
            <v>dzień turnieju.</v>
          </cell>
          <cell r="I2440" t="str">
            <v>Nr meczu</v>
          </cell>
          <cell r="N2440" t="str">
            <v>Godz.</v>
          </cell>
          <cell r="R2440" t="str">
            <v>S. prow.</v>
          </cell>
          <cell r="AF2440" t="str">
            <v>wygrany</v>
          </cell>
          <cell r="AG2440" t="str">
            <v>przegrany</v>
          </cell>
        </row>
        <row r="2441">
          <cell r="B2441" t="str">
            <v>Boisko</v>
          </cell>
          <cell r="C2441" t="str">
            <v>Gra</v>
          </cell>
          <cell r="I2441">
            <v>349</v>
          </cell>
          <cell r="N2441" t="str">
            <v>rozp.</v>
          </cell>
          <cell r="P2441" t="str">
            <v>zak.</v>
          </cell>
          <cell r="R2441" t="str">
            <v>S. serw.</v>
          </cell>
        </row>
        <row r="2442">
          <cell r="A2442">
            <v>349</v>
          </cell>
          <cell r="B2442">
            <v>1</v>
          </cell>
          <cell r="C2442" t="str">
            <v>pojedyncza dziewcząt Ż</v>
          </cell>
          <cell r="H2442">
            <v>0</v>
          </cell>
          <cell r="I2442">
            <v>21</v>
          </cell>
          <cell r="J2442">
            <v>0</v>
          </cell>
          <cell r="K2442">
            <v>21</v>
          </cell>
          <cell r="P2442">
            <v>0.4201388888888889</v>
          </cell>
          <cell r="R2442">
            <v>0.4201388888888889</v>
          </cell>
          <cell r="S2442" t="str">
            <v>sob 16:50</v>
          </cell>
          <cell r="X2442">
            <v>349</v>
          </cell>
          <cell r="Y2442" t="str">
            <v>pojedyncza dziewcząt Ż</v>
          </cell>
          <cell r="Z2442" t="str">
            <v>C5991</v>
          </cell>
          <cell r="AA2442" t="str">
            <v/>
          </cell>
          <cell r="AB2442" t="str">
            <v>W5473</v>
          </cell>
          <cell r="AC2442" t="str">
            <v/>
          </cell>
          <cell r="AD2442" t="str">
            <v>W5473</v>
          </cell>
          <cell r="AE2442" t="str">
            <v/>
          </cell>
          <cell r="AF2442" t="str">
            <v>21:0,21:0</v>
          </cell>
          <cell r="AG2442" t="str">
            <v>0:21,0:21</v>
          </cell>
          <cell r="AH2442" t="str">
            <v/>
          </cell>
          <cell r="AI2442">
            <v>0</v>
          </cell>
          <cell r="AJ2442">
            <v>21</v>
          </cell>
          <cell r="AK2442">
            <v>0</v>
          </cell>
          <cell r="AL2442">
            <v>21</v>
          </cell>
          <cell r="AM2442">
            <v>0</v>
          </cell>
          <cell r="AN2442">
            <v>0</v>
          </cell>
        </row>
        <row r="2443">
          <cell r="A2443" t="str">
            <v/>
          </cell>
          <cell r="B2443" t="str">
            <v>Gabriela CZARNECKA (KSR Wolant Łódź)</v>
          </cell>
          <cell r="H2443" t="str">
            <v>C5991</v>
          </cell>
          <cell r="K2443" t="str">
            <v>W5473</v>
          </cell>
          <cell r="N2443" t="str">
            <v>Paulina WUDARSKA (UKS Iskra Sarbice)</v>
          </cell>
        </row>
        <row r="2444">
          <cell r="A2444" t="str">
            <v/>
          </cell>
          <cell r="B2444" t="str">
            <v/>
          </cell>
          <cell r="H2444" t="str">
            <v/>
          </cell>
          <cell r="K2444" t="str">
            <v/>
          </cell>
          <cell r="N2444" t="str">
            <v/>
          </cell>
        </row>
        <row r="2446">
          <cell r="B2446" t="str">
            <v/>
          </cell>
          <cell r="K2446" t="str">
            <v>zwycięzca(cy): 21:0,21:0</v>
          </cell>
        </row>
        <row r="2447">
          <cell r="B2447">
            <v>2</v>
          </cell>
          <cell r="C2447" t="str">
            <v>dzień turnieju.</v>
          </cell>
          <cell r="I2447" t="str">
            <v>Nr meczu</v>
          </cell>
          <cell r="N2447" t="str">
            <v>Godz.</v>
          </cell>
          <cell r="R2447" t="str">
            <v>S. prow.</v>
          </cell>
          <cell r="AF2447" t="str">
            <v>wygrany</v>
          </cell>
          <cell r="AG2447" t="str">
            <v>przegrany</v>
          </cell>
        </row>
        <row r="2448">
          <cell r="B2448" t="str">
            <v>Boisko</v>
          </cell>
          <cell r="C2448" t="str">
            <v>Gra</v>
          </cell>
          <cell r="I2448">
            <v>350</v>
          </cell>
          <cell r="N2448" t="str">
            <v>rozp.</v>
          </cell>
          <cell r="P2448" t="str">
            <v>zak.</v>
          </cell>
          <cell r="R2448" t="str">
            <v>S. serw.</v>
          </cell>
        </row>
        <row r="2449">
          <cell r="A2449">
            <v>350</v>
          </cell>
          <cell r="B2449">
            <v>3</v>
          </cell>
          <cell r="C2449" t="str">
            <v>pojedyncza dziewcząt Ż</v>
          </cell>
          <cell r="H2449">
            <v>21</v>
          </cell>
          <cell r="I2449">
            <v>10</v>
          </cell>
          <cell r="J2449">
            <v>21</v>
          </cell>
          <cell r="K2449">
            <v>18</v>
          </cell>
          <cell r="P2449">
            <v>0.75</v>
          </cell>
          <cell r="R2449">
            <v>0.75</v>
          </cell>
          <cell r="S2449" t="str">
            <v>sob 16:50</v>
          </cell>
          <cell r="X2449">
            <v>350</v>
          </cell>
          <cell r="Y2449" t="str">
            <v>pojedyncza dziewcząt Ż</v>
          </cell>
          <cell r="Z2449" t="str">
            <v>N5113</v>
          </cell>
          <cell r="AA2449" t="str">
            <v/>
          </cell>
          <cell r="AB2449" t="str">
            <v>X64</v>
          </cell>
          <cell r="AC2449" t="str">
            <v/>
          </cell>
          <cell r="AD2449" t="str">
            <v>N5113</v>
          </cell>
          <cell r="AE2449" t="str">
            <v/>
          </cell>
          <cell r="AF2449" t="str">
            <v>21:10,21:18</v>
          </cell>
          <cell r="AG2449" t="str">
            <v>10:21,18:21</v>
          </cell>
          <cell r="AH2449" t="str">
            <v/>
          </cell>
          <cell r="AI2449">
            <v>21</v>
          </cell>
          <cell r="AJ2449">
            <v>10</v>
          </cell>
          <cell r="AK2449">
            <v>21</v>
          </cell>
          <cell r="AL2449">
            <v>18</v>
          </cell>
          <cell r="AM2449">
            <v>0</v>
          </cell>
          <cell r="AN2449">
            <v>0</v>
          </cell>
        </row>
        <row r="2450">
          <cell r="A2450" t="str">
            <v/>
          </cell>
          <cell r="B2450" t="str">
            <v>Weronika NIKLAS (ULKS U-2 Lotka Bytów)</v>
          </cell>
          <cell r="H2450" t="str">
            <v>N5113</v>
          </cell>
          <cell r="K2450" t="str">
            <v>X64</v>
          </cell>
          <cell r="N2450" t="str">
            <v>Ulyana VOLSKAYA (Brześć 2 Białoruś)</v>
          </cell>
        </row>
        <row r="2451">
          <cell r="A2451" t="str">
            <v/>
          </cell>
          <cell r="B2451" t="str">
            <v/>
          </cell>
          <cell r="H2451" t="str">
            <v/>
          </cell>
          <cell r="K2451" t="str">
            <v/>
          </cell>
          <cell r="N2451" t="str">
            <v/>
          </cell>
        </row>
        <row r="2453">
          <cell r="B2453" t="str">
            <v>zwycięzca(cy): 21:10,21:18</v>
          </cell>
          <cell r="K2453" t="str">
            <v/>
          </cell>
        </row>
        <row r="2454">
          <cell r="B2454">
            <v>2</v>
          </cell>
          <cell r="C2454" t="str">
            <v>dzień turnieju.</v>
          </cell>
          <cell r="I2454" t="str">
            <v>Nr meczu</v>
          </cell>
          <cell r="N2454" t="str">
            <v>Godz.</v>
          </cell>
          <cell r="R2454" t="str">
            <v>S. prow.</v>
          </cell>
          <cell r="AF2454" t="str">
            <v>wygrany</v>
          </cell>
          <cell r="AG2454" t="str">
            <v>przegrany</v>
          </cell>
        </row>
        <row r="2455">
          <cell r="B2455" t="str">
            <v>Boisko</v>
          </cell>
          <cell r="C2455" t="str">
            <v>Gra</v>
          </cell>
          <cell r="I2455">
            <v>351</v>
          </cell>
          <cell r="N2455" t="str">
            <v>rozp.</v>
          </cell>
          <cell r="P2455" t="str">
            <v>zak.</v>
          </cell>
          <cell r="R2455" t="str">
            <v>S. serw.</v>
          </cell>
        </row>
        <row r="2456">
          <cell r="A2456">
            <v>351</v>
          </cell>
          <cell r="B2456">
            <v>5</v>
          </cell>
          <cell r="C2456" t="str">
            <v>pojedyncza dziewcząt Ż</v>
          </cell>
          <cell r="H2456">
            <v>21</v>
          </cell>
          <cell r="I2456">
            <v>16</v>
          </cell>
          <cell r="J2456">
            <v>23</v>
          </cell>
          <cell r="K2456">
            <v>21</v>
          </cell>
          <cell r="P2456">
            <v>0.75</v>
          </cell>
          <cell r="R2456">
            <v>0.75</v>
          </cell>
          <cell r="S2456" t="str">
            <v>sob 16:50</v>
          </cell>
          <cell r="X2456">
            <v>351</v>
          </cell>
          <cell r="Y2456" t="str">
            <v>pojedyncza dziewcząt Ż</v>
          </cell>
          <cell r="Z2456" t="str">
            <v>X37</v>
          </cell>
          <cell r="AA2456" t="str">
            <v/>
          </cell>
          <cell r="AB2456" t="str">
            <v>X45</v>
          </cell>
          <cell r="AC2456" t="str">
            <v/>
          </cell>
          <cell r="AD2456" t="str">
            <v>X37</v>
          </cell>
          <cell r="AE2456" t="str">
            <v/>
          </cell>
          <cell r="AF2456" t="str">
            <v>21:16,23:21</v>
          </cell>
          <cell r="AG2456" t="str">
            <v>16:21,21:23</v>
          </cell>
          <cell r="AH2456" t="str">
            <v/>
          </cell>
          <cell r="AI2456">
            <v>21</v>
          </cell>
          <cell r="AJ2456">
            <v>16</v>
          </cell>
          <cell r="AK2456">
            <v>23</v>
          </cell>
          <cell r="AL2456">
            <v>21</v>
          </cell>
          <cell r="AM2456">
            <v>0</v>
          </cell>
          <cell r="AN2456">
            <v>0</v>
          </cell>
        </row>
        <row r="2457">
          <cell r="A2457" t="str">
            <v/>
          </cell>
          <cell r="B2457" t="str">
            <v>Anastasiya POPAR (Białoruś)</v>
          </cell>
          <cell r="H2457" t="str">
            <v>X37</v>
          </cell>
          <cell r="K2457" t="str">
            <v>X45</v>
          </cell>
          <cell r="N2457" t="str">
            <v>Marietta KAZIMIERCZAK (UKS Korona Pabianice)</v>
          </cell>
        </row>
        <row r="2458">
          <cell r="A2458" t="str">
            <v/>
          </cell>
          <cell r="B2458" t="str">
            <v/>
          </cell>
          <cell r="H2458" t="str">
            <v/>
          </cell>
          <cell r="K2458" t="str">
            <v/>
          </cell>
          <cell r="N2458" t="str">
            <v/>
          </cell>
        </row>
        <row r="2460">
          <cell r="B2460" t="str">
            <v>zwycięzca(cy): 21:16,23:21</v>
          </cell>
          <cell r="K2460" t="str">
            <v/>
          </cell>
        </row>
        <row r="2461">
          <cell r="B2461">
            <v>2</v>
          </cell>
          <cell r="C2461" t="str">
            <v>dzień turnieju.</v>
          </cell>
          <cell r="I2461" t="str">
            <v>Nr meczu</v>
          </cell>
          <cell r="N2461" t="str">
            <v>Godz.</v>
          </cell>
          <cell r="R2461" t="str">
            <v>S. prow.</v>
          </cell>
          <cell r="AF2461" t="str">
            <v>wygrany</v>
          </cell>
          <cell r="AG2461" t="str">
            <v>przegrany</v>
          </cell>
        </row>
        <row r="2462">
          <cell r="B2462" t="str">
            <v>Boisko</v>
          </cell>
          <cell r="C2462" t="str">
            <v>Gra</v>
          </cell>
          <cell r="I2462">
            <v>352</v>
          </cell>
          <cell r="N2462" t="str">
            <v>rozp.</v>
          </cell>
          <cell r="P2462" t="str">
            <v>zak.</v>
          </cell>
          <cell r="R2462" t="str">
            <v>S. serw.</v>
          </cell>
        </row>
        <row r="2463">
          <cell r="A2463">
            <v>352</v>
          </cell>
          <cell r="B2463">
            <v>1</v>
          </cell>
          <cell r="C2463" t="str">
            <v>pojedyncza dziewcząt Ż</v>
          </cell>
          <cell r="H2463">
            <v>13</v>
          </cell>
          <cell r="I2463">
            <v>21</v>
          </cell>
          <cell r="J2463">
            <v>18</v>
          </cell>
          <cell r="K2463">
            <v>21</v>
          </cell>
          <cell r="P2463">
            <v>0.75</v>
          </cell>
          <cell r="R2463">
            <v>0.75</v>
          </cell>
          <cell r="S2463" t="str">
            <v>sob 16:50</v>
          </cell>
          <cell r="X2463">
            <v>352</v>
          </cell>
          <cell r="Y2463" t="str">
            <v>pojedyncza dziewcząt Ż</v>
          </cell>
          <cell r="Z2463" t="str">
            <v>X34</v>
          </cell>
          <cell r="AA2463" t="str">
            <v/>
          </cell>
          <cell r="AB2463" t="str">
            <v>S5623</v>
          </cell>
          <cell r="AC2463" t="str">
            <v/>
          </cell>
          <cell r="AD2463" t="str">
            <v>S5623</v>
          </cell>
          <cell r="AE2463" t="str">
            <v/>
          </cell>
          <cell r="AF2463" t="str">
            <v>21:13,21:18</v>
          </cell>
          <cell r="AG2463" t="str">
            <v>13:21,18:21</v>
          </cell>
          <cell r="AH2463" t="str">
            <v/>
          </cell>
          <cell r="AI2463">
            <v>13</v>
          </cell>
          <cell r="AJ2463">
            <v>21</v>
          </cell>
          <cell r="AK2463">
            <v>18</v>
          </cell>
          <cell r="AL2463">
            <v>21</v>
          </cell>
          <cell r="AM2463">
            <v>0</v>
          </cell>
          <cell r="AN2463">
            <v>0</v>
          </cell>
        </row>
        <row r="2464">
          <cell r="A2464" t="str">
            <v/>
          </cell>
          <cell r="B2464" t="str">
            <v>Marina YANBAYEVA (Białoruś)</v>
          </cell>
          <cell r="H2464" t="str">
            <v>X34</v>
          </cell>
          <cell r="K2464" t="str">
            <v>S5623</v>
          </cell>
          <cell r="N2464" t="str">
            <v>Weronika SZEMPLIŃSKA (UKS Badminton Stare Babice)</v>
          </cell>
        </row>
        <row r="2465">
          <cell r="A2465" t="str">
            <v/>
          </cell>
          <cell r="B2465" t="str">
            <v/>
          </cell>
          <cell r="H2465" t="str">
            <v/>
          </cell>
          <cell r="K2465" t="str">
            <v/>
          </cell>
          <cell r="N2465" t="str">
            <v/>
          </cell>
        </row>
        <row r="2467">
          <cell r="B2467" t="str">
            <v/>
          </cell>
          <cell r="K2467" t="str">
            <v>zwycięzca(cy): 21:13,21:18</v>
          </cell>
        </row>
        <row r="2468">
          <cell r="B2468">
            <v>2</v>
          </cell>
          <cell r="C2468" t="str">
            <v>dzień turnieju.</v>
          </cell>
          <cell r="I2468" t="str">
            <v>Nr meczu</v>
          </cell>
          <cell r="N2468" t="str">
            <v>Godz.</v>
          </cell>
          <cell r="R2468" t="str">
            <v>S. prow.</v>
          </cell>
          <cell r="AF2468" t="str">
            <v>wygrany</v>
          </cell>
          <cell r="AG2468" t="str">
            <v>przegrany</v>
          </cell>
        </row>
        <row r="2469">
          <cell r="B2469" t="str">
            <v>Boisko</v>
          </cell>
          <cell r="C2469" t="str">
            <v>Gra</v>
          </cell>
          <cell r="I2469">
            <v>353</v>
          </cell>
          <cell r="N2469" t="str">
            <v>rozp.</v>
          </cell>
          <cell r="P2469" t="str">
            <v>zak.</v>
          </cell>
          <cell r="R2469" t="str">
            <v>S. serw.</v>
          </cell>
        </row>
        <row r="2470">
          <cell r="A2470">
            <v>353</v>
          </cell>
          <cell r="B2470">
            <v>2</v>
          </cell>
          <cell r="C2470" t="str">
            <v>pojedyncza dziewcząt Ż</v>
          </cell>
          <cell r="H2470">
            <v>21</v>
          </cell>
          <cell r="I2470">
            <v>2</v>
          </cell>
          <cell r="J2470">
            <v>21</v>
          </cell>
          <cell r="K2470">
            <v>6</v>
          </cell>
          <cell r="P2470">
            <v>0.74305555555555547</v>
          </cell>
          <cell r="R2470">
            <v>0.74305555555555547</v>
          </cell>
          <cell r="S2470" t="str">
            <v>sob 16:50</v>
          </cell>
          <cell r="X2470">
            <v>353</v>
          </cell>
          <cell r="Y2470" t="str">
            <v>pojedyncza dziewcząt Ż</v>
          </cell>
          <cell r="Z2470" t="str">
            <v>X18</v>
          </cell>
          <cell r="AA2470" t="str">
            <v/>
          </cell>
          <cell r="AB2470" t="str">
            <v>D5992</v>
          </cell>
          <cell r="AC2470" t="str">
            <v/>
          </cell>
          <cell r="AD2470" t="str">
            <v>X18</v>
          </cell>
          <cell r="AE2470" t="str">
            <v/>
          </cell>
          <cell r="AF2470" t="str">
            <v>21:2,21:6</v>
          </cell>
          <cell r="AG2470" t="str">
            <v>2:21,6:21</v>
          </cell>
          <cell r="AH2470" t="str">
            <v/>
          </cell>
          <cell r="AI2470">
            <v>21</v>
          </cell>
          <cell r="AJ2470">
            <v>2</v>
          </cell>
          <cell r="AK2470">
            <v>21</v>
          </cell>
          <cell r="AL2470">
            <v>6</v>
          </cell>
          <cell r="AM2470">
            <v>0</v>
          </cell>
          <cell r="AN2470">
            <v>0</v>
          </cell>
        </row>
        <row r="2471">
          <cell r="A2471" t="str">
            <v/>
          </cell>
          <cell r="B2471" t="str">
            <v>Veranika TARUSAVA (Mińsk Białoruś)</v>
          </cell>
          <cell r="H2471" t="str">
            <v>X18</v>
          </cell>
          <cell r="K2471" t="str">
            <v>D5992</v>
          </cell>
          <cell r="N2471" t="str">
            <v>Marta DOLNIAK (KSR Wolant Łódź)</v>
          </cell>
        </row>
        <row r="2472">
          <cell r="A2472" t="str">
            <v/>
          </cell>
          <cell r="B2472" t="str">
            <v/>
          </cell>
          <cell r="H2472" t="str">
            <v/>
          </cell>
          <cell r="K2472" t="str">
            <v/>
          </cell>
          <cell r="N2472" t="str">
            <v/>
          </cell>
        </row>
        <row r="2474">
          <cell r="B2474" t="str">
            <v>zwycięzca(cy): 21:2,21:6</v>
          </cell>
          <cell r="K2474" t="str">
            <v/>
          </cell>
        </row>
        <row r="2475">
          <cell r="B2475">
            <v>2</v>
          </cell>
          <cell r="C2475" t="str">
            <v>dzień turnieju.</v>
          </cell>
          <cell r="I2475" t="str">
            <v>Nr meczu</v>
          </cell>
          <cell r="N2475" t="str">
            <v>Godz.</v>
          </cell>
          <cell r="R2475" t="str">
            <v>S. prow.</v>
          </cell>
          <cell r="AF2475" t="str">
            <v>wygrany</v>
          </cell>
          <cell r="AG2475" t="str">
            <v>przegrany</v>
          </cell>
        </row>
        <row r="2476">
          <cell r="B2476" t="str">
            <v>Boisko</v>
          </cell>
          <cell r="C2476" t="str">
            <v>Gra</v>
          </cell>
          <cell r="I2476">
            <v>354</v>
          </cell>
          <cell r="N2476" t="str">
            <v>rozp.</v>
          </cell>
          <cell r="P2476" t="str">
            <v>zak.</v>
          </cell>
          <cell r="R2476" t="str">
            <v>S. serw.</v>
          </cell>
        </row>
        <row r="2477">
          <cell r="A2477">
            <v>354</v>
          </cell>
          <cell r="B2477">
            <v>4</v>
          </cell>
          <cell r="C2477" t="str">
            <v>pojedyncza dziewcząt Ż</v>
          </cell>
          <cell r="H2477">
            <v>13</v>
          </cell>
          <cell r="I2477">
            <v>21</v>
          </cell>
          <cell r="J2477">
            <v>11</v>
          </cell>
          <cell r="K2477">
            <v>21</v>
          </cell>
          <cell r="P2477">
            <v>0.75694444444444453</v>
          </cell>
          <cell r="R2477">
            <v>0.75694444444444453</v>
          </cell>
          <cell r="S2477" t="str">
            <v>sob 16:50</v>
          </cell>
          <cell r="X2477">
            <v>354</v>
          </cell>
          <cell r="Y2477" t="str">
            <v>pojedyncza dziewcząt Ż</v>
          </cell>
          <cell r="Z2477" t="str">
            <v>X35</v>
          </cell>
          <cell r="AA2477" t="str">
            <v/>
          </cell>
          <cell r="AB2477" t="str">
            <v>R5626</v>
          </cell>
          <cell r="AC2477" t="str">
            <v/>
          </cell>
          <cell r="AD2477" t="str">
            <v>R5626</v>
          </cell>
          <cell r="AE2477" t="str">
            <v/>
          </cell>
          <cell r="AF2477" t="str">
            <v>21:13,21:11</v>
          </cell>
          <cell r="AG2477" t="str">
            <v>13:21,11:21</v>
          </cell>
          <cell r="AH2477" t="str">
            <v/>
          </cell>
          <cell r="AI2477">
            <v>13</v>
          </cell>
          <cell r="AJ2477">
            <v>21</v>
          </cell>
          <cell r="AK2477">
            <v>11</v>
          </cell>
          <cell r="AL2477">
            <v>21</v>
          </cell>
          <cell r="AM2477">
            <v>0</v>
          </cell>
          <cell r="AN2477">
            <v>0</v>
          </cell>
        </row>
        <row r="2478">
          <cell r="A2478" t="str">
            <v/>
          </cell>
          <cell r="B2478" t="str">
            <v>Hanna ABRAMAVA (Białoruś)</v>
          </cell>
          <cell r="H2478" t="str">
            <v>X35</v>
          </cell>
          <cell r="K2478" t="str">
            <v>R5626</v>
          </cell>
          <cell r="N2478" t="str">
            <v>Anna RADTKE (ULKS U-2 Lotka Bytów)</v>
          </cell>
        </row>
        <row r="2479">
          <cell r="A2479" t="str">
            <v/>
          </cell>
          <cell r="B2479" t="str">
            <v/>
          </cell>
          <cell r="H2479" t="str">
            <v/>
          </cell>
          <cell r="K2479" t="str">
            <v/>
          </cell>
          <cell r="N2479" t="str">
            <v/>
          </cell>
        </row>
        <row r="2481">
          <cell r="B2481" t="str">
            <v/>
          </cell>
          <cell r="K2481" t="str">
            <v>zwycięzca(cy): 21:13,21:11</v>
          </cell>
        </row>
        <row r="2482">
          <cell r="B2482">
            <v>2</v>
          </cell>
          <cell r="C2482" t="str">
            <v>dzień turnieju.</v>
          </cell>
          <cell r="I2482" t="str">
            <v>Nr meczu</v>
          </cell>
          <cell r="N2482" t="str">
            <v>Godz.</v>
          </cell>
          <cell r="R2482" t="str">
            <v>S. prow.</v>
          </cell>
          <cell r="AF2482" t="str">
            <v>wygrany</v>
          </cell>
          <cell r="AG2482" t="str">
            <v>przegrany</v>
          </cell>
        </row>
        <row r="2483">
          <cell r="B2483" t="str">
            <v>Boisko</v>
          </cell>
          <cell r="C2483" t="str">
            <v>Gra</v>
          </cell>
          <cell r="I2483">
            <v>355</v>
          </cell>
          <cell r="N2483" t="str">
            <v>rozp.</v>
          </cell>
          <cell r="P2483" t="str">
            <v>zak.</v>
          </cell>
          <cell r="R2483" t="str">
            <v>S. serw.</v>
          </cell>
        </row>
        <row r="2484">
          <cell r="A2484">
            <v>355</v>
          </cell>
          <cell r="B2484">
            <v>2</v>
          </cell>
          <cell r="C2484" t="str">
            <v>pojedyncza dziewcząt Ż</v>
          </cell>
          <cell r="H2484">
            <v>21</v>
          </cell>
          <cell r="I2484">
            <v>19</v>
          </cell>
          <cell r="J2484">
            <v>14</v>
          </cell>
          <cell r="K2484">
            <v>21</v>
          </cell>
          <cell r="L2484">
            <v>13</v>
          </cell>
          <cell r="M2484">
            <v>21</v>
          </cell>
          <cell r="P2484">
            <v>0.77777777777777779</v>
          </cell>
          <cell r="R2484">
            <v>0.77777777777777779</v>
          </cell>
          <cell r="S2484" t="str">
            <v>sob 16:50</v>
          </cell>
          <cell r="X2484">
            <v>355</v>
          </cell>
          <cell r="Y2484" t="str">
            <v>pojedyncza dziewcząt Ż</v>
          </cell>
          <cell r="Z2484" t="str">
            <v>X36</v>
          </cell>
          <cell r="AA2484" t="str">
            <v/>
          </cell>
          <cell r="AB2484" t="str">
            <v>M5269</v>
          </cell>
          <cell r="AC2484" t="str">
            <v/>
          </cell>
          <cell r="AD2484" t="str">
            <v>M5269</v>
          </cell>
          <cell r="AE2484" t="str">
            <v/>
          </cell>
          <cell r="AF2484" t="str">
            <v>19:21,21:14,21:13</v>
          </cell>
          <cell r="AG2484" t="str">
            <v>21:19,14:21,13:21</v>
          </cell>
          <cell r="AH2484" t="str">
            <v/>
          </cell>
          <cell r="AI2484">
            <v>21</v>
          </cell>
          <cell r="AJ2484">
            <v>19</v>
          </cell>
          <cell r="AK2484">
            <v>14</v>
          </cell>
          <cell r="AL2484">
            <v>21</v>
          </cell>
          <cell r="AM2484">
            <v>13</v>
          </cell>
          <cell r="AN2484">
            <v>21</v>
          </cell>
        </row>
        <row r="2485">
          <cell r="A2485" t="str">
            <v/>
          </cell>
          <cell r="B2485" t="str">
            <v>Aliaksndra PILIPTSEVICH (Białoruś)</v>
          </cell>
          <cell r="H2485" t="str">
            <v>X36</v>
          </cell>
          <cell r="K2485" t="str">
            <v>M5269</v>
          </cell>
          <cell r="N2485" t="str">
            <v>Julia MIŚKO (UKS Badminton Stare Babice)</v>
          </cell>
        </row>
        <row r="2486">
          <cell r="A2486" t="str">
            <v/>
          </cell>
          <cell r="B2486" t="str">
            <v/>
          </cell>
          <cell r="H2486" t="str">
            <v/>
          </cell>
          <cell r="K2486" t="str">
            <v/>
          </cell>
          <cell r="N2486" t="str">
            <v/>
          </cell>
        </row>
        <row r="2488">
          <cell r="B2488" t="str">
            <v/>
          </cell>
          <cell r="K2488" t="str">
            <v>zwycięzca(cy): 19:21,21:14,21:13</v>
          </cell>
        </row>
        <row r="2489">
          <cell r="B2489">
            <v>2</v>
          </cell>
          <cell r="C2489" t="str">
            <v>dzień turnieju.</v>
          </cell>
          <cell r="I2489" t="str">
            <v>Nr meczu</v>
          </cell>
          <cell r="N2489" t="str">
            <v>Godz.</v>
          </cell>
          <cell r="R2489" t="str">
            <v>S. prow.</v>
          </cell>
          <cell r="AF2489" t="str">
            <v>wygrany</v>
          </cell>
          <cell r="AG2489" t="str">
            <v>przegrany</v>
          </cell>
        </row>
        <row r="2490">
          <cell r="B2490" t="str">
            <v>Boisko</v>
          </cell>
          <cell r="C2490" t="str">
            <v>Gra</v>
          </cell>
          <cell r="I2490">
            <v>356</v>
          </cell>
          <cell r="N2490" t="str">
            <v>rozp.</v>
          </cell>
          <cell r="P2490" t="str">
            <v>zak.</v>
          </cell>
          <cell r="R2490" t="str">
            <v>S. serw.</v>
          </cell>
        </row>
        <row r="2491">
          <cell r="A2491">
            <v>356</v>
          </cell>
          <cell r="B2491">
            <v>3</v>
          </cell>
          <cell r="C2491" t="str">
            <v>pojedyncza dziewcząt Ż</v>
          </cell>
          <cell r="H2491">
            <v>21</v>
          </cell>
          <cell r="I2491">
            <v>8</v>
          </cell>
          <cell r="J2491">
            <v>21</v>
          </cell>
          <cell r="K2491">
            <v>4</v>
          </cell>
          <cell r="P2491">
            <v>0.75694444444444453</v>
          </cell>
          <cell r="R2491">
            <v>0.75694444444444453</v>
          </cell>
          <cell r="S2491" t="str">
            <v>sob 17:15</v>
          </cell>
          <cell r="X2491">
            <v>356</v>
          </cell>
          <cell r="Y2491" t="str">
            <v>pojedyncza dziewcząt Ż</v>
          </cell>
          <cell r="Z2491" t="str">
            <v>k5598</v>
          </cell>
          <cell r="AA2491" t="str">
            <v/>
          </cell>
          <cell r="AB2491" t="str">
            <v>X52</v>
          </cell>
          <cell r="AC2491" t="str">
            <v/>
          </cell>
          <cell r="AD2491" t="str">
            <v>k5598</v>
          </cell>
          <cell r="AE2491" t="str">
            <v/>
          </cell>
          <cell r="AF2491" t="str">
            <v>21:8,21:4</v>
          </cell>
          <cell r="AG2491" t="str">
            <v>8:21,4:21</v>
          </cell>
          <cell r="AH2491" t="str">
            <v/>
          </cell>
          <cell r="AI2491">
            <v>21</v>
          </cell>
          <cell r="AJ2491">
            <v>8</v>
          </cell>
          <cell r="AK2491">
            <v>21</v>
          </cell>
          <cell r="AL2491">
            <v>4</v>
          </cell>
          <cell r="AM2491">
            <v>0</v>
          </cell>
          <cell r="AN2491">
            <v>0</v>
          </cell>
        </row>
        <row r="2492">
          <cell r="A2492" t="str">
            <v/>
          </cell>
          <cell r="B2492" t="str">
            <v>Eliza KWIATKOWSKA (STB Energia Lubliniec)</v>
          </cell>
          <cell r="H2492" t="str">
            <v>k5598</v>
          </cell>
          <cell r="K2492" t="str">
            <v>X52</v>
          </cell>
          <cell r="N2492" t="str">
            <v>Nikola  NOWIŃSKA (UKS Korona Pabianice)</v>
          </cell>
        </row>
        <row r="2493">
          <cell r="A2493" t="str">
            <v/>
          </cell>
          <cell r="B2493" t="str">
            <v/>
          </cell>
          <cell r="H2493" t="str">
            <v/>
          </cell>
          <cell r="K2493" t="str">
            <v/>
          </cell>
          <cell r="N2493" t="str">
            <v/>
          </cell>
        </row>
        <row r="2495">
          <cell r="B2495" t="str">
            <v>zwycięzca(cy): 21:8,21:4</v>
          </cell>
          <cell r="K2495" t="str">
            <v/>
          </cell>
        </row>
        <row r="2496">
          <cell r="B2496">
            <v>2</v>
          </cell>
          <cell r="C2496" t="str">
            <v>dzień turnieju.</v>
          </cell>
          <cell r="I2496" t="str">
            <v>Nr meczu</v>
          </cell>
          <cell r="N2496" t="str">
            <v>Godz.</v>
          </cell>
          <cell r="R2496" t="str">
            <v>S. prow.</v>
          </cell>
          <cell r="AF2496" t="str">
            <v>wygrany</v>
          </cell>
          <cell r="AG2496" t="str">
            <v>przegrany</v>
          </cell>
        </row>
        <row r="2497">
          <cell r="B2497" t="str">
            <v>Boisko</v>
          </cell>
          <cell r="C2497" t="str">
            <v>Gra</v>
          </cell>
          <cell r="I2497">
            <v>357</v>
          </cell>
          <cell r="N2497" t="str">
            <v>rozp.</v>
          </cell>
          <cell r="P2497" t="str">
            <v>zak.</v>
          </cell>
          <cell r="R2497" t="str">
            <v>S. serw.</v>
          </cell>
        </row>
        <row r="2498">
          <cell r="A2498">
            <v>357</v>
          </cell>
          <cell r="B2498">
            <v>5</v>
          </cell>
          <cell r="C2498" t="str">
            <v>pojedyncza chłopców Ż</v>
          </cell>
          <cell r="H2498">
            <v>21</v>
          </cell>
          <cell r="I2498">
            <v>2</v>
          </cell>
          <cell r="J2498">
            <v>21</v>
          </cell>
          <cell r="K2498">
            <v>4</v>
          </cell>
          <cell r="P2498">
            <v>0.7583333333333333</v>
          </cell>
          <cell r="R2498">
            <v>0.7583333333333333</v>
          </cell>
          <cell r="S2498" t="str">
            <v>sob 17:15</v>
          </cell>
          <cell r="X2498">
            <v>357</v>
          </cell>
          <cell r="Y2498" t="str">
            <v>pojedyncza chłopców Ż</v>
          </cell>
          <cell r="Z2498" t="str">
            <v>Ś5585</v>
          </cell>
          <cell r="AA2498" t="str">
            <v/>
          </cell>
          <cell r="AB2498" t="str">
            <v>X54</v>
          </cell>
          <cell r="AC2498" t="str">
            <v/>
          </cell>
          <cell r="AD2498" t="str">
            <v>Ś5585</v>
          </cell>
          <cell r="AE2498" t="str">
            <v/>
          </cell>
          <cell r="AF2498" t="str">
            <v>21:2,21:4</v>
          </cell>
          <cell r="AG2498" t="str">
            <v>2:21,4:21</v>
          </cell>
          <cell r="AH2498" t="str">
            <v/>
          </cell>
          <cell r="AI2498">
            <v>21</v>
          </cell>
          <cell r="AJ2498">
            <v>2</v>
          </cell>
          <cell r="AK2498">
            <v>21</v>
          </cell>
          <cell r="AL2498">
            <v>4</v>
          </cell>
          <cell r="AM2498">
            <v>0</v>
          </cell>
          <cell r="AN2498">
            <v>0</v>
          </cell>
        </row>
        <row r="2499">
          <cell r="A2499" t="str">
            <v/>
          </cell>
          <cell r="B2499" t="str">
            <v>Szymon ŚLEPECKI (LKS Technik Głubczyce)</v>
          </cell>
          <cell r="H2499" t="str">
            <v>Ś5585</v>
          </cell>
          <cell r="K2499" t="str">
            <v>X54</v>
          </cell>
          <cell r="N2499" t="str">
            <v>Adrian KRAWCZYK (UKS Korona Pabianice)</v>
          </cell>
        </row>
        <row r="2500">
          <cell r="A2500" t="str">
            <v/>
          </cell>
          <cell r="B2500" t="str">
            <v/>
          </cell>
          <cell r="H2500" t="str">
            <v/>
          </cell>
          <cell r="K2500" t="str">
            <v/>
          </cell>
          <cell r="N2500" t="str">
            <v/>
          </cell>
        </row>
        <row r="2502">
          <cell r="B2502" t="str">
            <v>zwycięzca(cy): 21:2,21:4</v>
          </cell>
          <cell r="K2502" t="str">
            <v/>
          </cell>
        </row>
        <row r="2503">
          <cell r="B2503">
            <v>2</v>
          </cell>
          <cell r="C2503" t="str">
            <v>dzień turnieju.</v>
          </cell>
          <cell r="I2503" t="str">
            <v>Nr meczu</v>
          </cell>
          <cell r="N2503" t="str">
            <v>Godz.</v>
          </cell>
          <cell r="R2503" t="str">
            <v>S. prow.</v>
          </cell>
          <cell r="AF2503" t="str">
            <v>wygrany</v>
          </cell>
          <cell r="AG2503" t="str">
            <v>przegrany</v>
          </cell>
        </row>
        <row r="2504">
          <cell r="B2504" t="str">
            <v>Boisko</v>
          </cell>
          <cell r="C2504" t="str">
            <v>Gra</v>
          </cell>
          <cell r="I2504">
            <v>358</v>
          </cell>
          <cell r="N2504" t="str">
            <v>rozp.</v>
          </cell>
          <cell r="P2504" t="str">
            <v>zak.</v>
          </cell>
          <cell r="R2504" t="str">
            <v>S. serw.</v>
          </cell>
        </row>
        <row r="2505">
          <cell r="A2505">
            <v>358</v>
          </cell>
          <cell r="B2505">
            <v>6</v>
          </cell>
          <cell r="C2505" t="str">
            <v>pojedyncza chłopców Ż</v>
          </cell>
          <cell r="H2505">
            <v>20</v>
          </cell>
          <cell r="I2505">
            <v>22</v>
          </cell>
          <cell r="J2505">
            <v>21</v>
          </cell>
          <cell r="K2505">
            <v>17</v>
          </cell>
          <cell r="L2505">
            <v>13</v>
          </cell>
          <cell r="M2505">
            <v>21</v>
          </cell>
          <cell r="P2505">
            <v>0.77916666666666667</v>
          </cell>
          <cell r="R2505">
            <v>0.77916666666666667</v>
          </cell>
          <cell r="S2505" t="str">
            <v>sob 17:15</v>
          </cell>
          <cell r="X2505">
            <v>358</v>
          </cell>
          <cell r="Y2505" t="str">
            <v>pojedyncza chłopców Ż</v>
          </cell>
          <cell r="Z2505" t="str">
            <v>X44</v>
          </cell>
          <cell r="AA2505" t="str">
            <v/>
          </cell>
          <cell r="AB2505" t="str">
            <v>J5015</v>
          </cell>
          <cell r="AC2505" t="str">
            <v/>
          </cell>
          <cell r="AD2505" t="str">
            <v>J5015</v>
          </cell>
          <cell r="AE2505" t="str">
            <v/>
          </cell>
          <cell r="AF2505" t="str">
            <v>22:20,17:21,21:13</v>
          </cell>
          <cell r="AG2505" t="str">
            <v>20:22,21:17,13:21</v>
          </cell>
          <cell r="AH2505" t="str">
            <v/>
          </cell>
          <cell r="AI2505">
            <v>20</v>
          </cell>
          <cell r="AJ2505">
            <v>22</v>
          </cell>
          <cell r="AK2505">
            <v>21</v>
          </cell>
          <cell r="AL2505">
            <v>17</v>
          </cell>
          <cell r="AM2505">
            <v>13</v>
          </cell>
          <cell r="AN2505">
            <v>21</v>
          </cell>
        </row>
        <row r="2506">
          <cell r="A2506" t="str">
            <v/>
          </cell>
          <cell r="B2506" t="str">
            <v>Myroslav KLYUCHOVSKYY (Lwów Ukraina)</v>
          </cell>
          <cell r="H2506" t="str">
            <v>X44</v>
          </cell>
          <cell r="K2506" t="str">
            <v>J5015</v>
          </cell>
          <cell r="N2506" t="str">
            <v>Jakub JAGODZIŃSKI (UKSB Milenium Warszawa)</v>
          </cell>
        </row>
        <row r="2507">
          <cell r="A2507" t="str">
            <v/>
          </cell>
          <cell r="B2507" t="str">
            <v/>
          </cell>
          <cell r="H2507" t="str">
            <v/>
          </cell>
          <cell r="K2507" t="str">
            <v/>
          </cell>
          <cell r="N2507" t="str">
            <v/>
          </cell>
        </row>
        <row r="2509">
          <cell r="B2509" t="str">
            <v/>
          </cell>
          <cell r="K2509" t="str">
            <v>zwycięzca(cy): 22:20,17:21,21:13</v>
          </cell>
        </row>
        <row r="2510">
          <cell r="B2510">
            <v>2</v>
          </cell>
          <cell r="C2510" t="str">
            <v>dzień turnieju.</v>
          </cell>
          <cell r="I2510" t="str">
            <v>Nr meczu</v>
          </cell>
          <cell r="N2510" t="str">
            <v>Godz.</v>
          </cell>
          <cell r="R2510" t="str">
            <v>S. prow.</v>
          </cell>
          <cell r="AF2510" t="str">
            <v>wygrany</v>
          </cell>
          <cell r="AG2510" t="str">
            <v>przegrany</v>
          </cell>
        </row>
        <row r="2511">
          <cell r="B2511" t="str">
            <v>Boisko</v>
          </cell>
          <cell r="C2511" t="str">
            <v>Gra</v>
          </cell>
          <cell r="I2511">
            <v>359</v>
          </cell>
          <cell r="N2511" t="str">
            <v>rozp.</v>
          </cell>
          <cell r="P2511" t="str">
            <v>zak.</v>
          </cell>
          <cell r="R2511" t="str">
            <v>S. serw.</v>
          </cell>
        </row>
        <row r="2512">
          <cell r="A2512">
            <v>359</v>
          </cell>
          <cell r="B2512">
            <v>1</v>
          </cell>
          <cell r="C2512" t="str">
            <v>pojedyncza chłopców Ż</v>
          </cell>
          <cell r="H2512">
            <v>21</v>
          </cell>
          <cell r="I2512">
            <v>8</v>
          </cell>
          <cell r="J2512">
            <v>21</v>
          </cell>
          <cell r="K2512">
            <v>16</v>
          </cell>
          <cell r="P2512">
            <v>0.76388888888888884</v>
          </cell>
          <cell r="R2512">
            <v>0.76388888888888884</v>
          </cell>
          <cell r="S2512" t="str">
            <v>sob 17:15</v>
          </cell>
          <cell r="X2512">
            <v>359</v>
          </cell>
          <cell r="Y2512" t="str">
            <v>pojedyncza chłopców Ż</v>
          </cell>
          <cell r="Z2512" t="str">
            <v>N5960</v>
          </cell>
          <cell r="AA2512" t="str">
            <v/>
          </cell>
          <cell r="AB2512" t="str">
            <v>X61</v>
          </cell>
          <cell r="AC2512" t="str">
            <v/>
          </cell>
          <cell r="AD2512" t="str">
            <v>N5960</v>
          </cell>
          <cell r="AE2512" t="str">
            <v/>
          </cell>
          <cell r="AF2512" t="str">
            <v>21:8,21:16</v>
          </cell>
          <cell r="AG2512" t="str">
            <v>8:21,16:21</v>
          </cell>
          <cell r="AH2512" t="str">
            <v/>
          </cell>
          <cell r="AI2512">
            <v>21</v>
          </cell>
          <cell r="AJ2512">
            <v>8</v>
          </cell>
          <cell r="AK2512">
            <v>21</v>
          </cell>
          <cell r="AL2512">
            <v>16</v>
          </cell>
          <cell r="AM2512">
            <v>0</v>
          </cell>
          <cell r="AN2512">
            <v>0</v>
          </cell>
        </row>
        <row r="2513">
          <cell r="A2513" t="str">
            <v/>
          </cell>
          <cell r="B2513" t="str">
            <v>Andrzej NICZYPORUK (AZSUW Warszawa)</v>
          </cell>
          <cell r="H2513" t="str">
            <v>N5960</v>
          </cell>
          <cell r="K2513" t="str">
            <v>X61</v>
          </cell>
          <cell r="N2513" t="str">
            <v>Oleg KONEV (Vinnica Ukraina)</v>
          </cell>
        </row>
        <row r="2514">
          <cell r="A2514" t="str">
            <v/>
          </cell>
          <cell r="B2514" t="str">
            <v/>
          </cell>
          <cell r="H2514" t="str">
            <v/>
          </cell>
          <cell r="K2514" t="str">
            <v/>
          </cell>
          <cell r="N2514" t="str">
            <v/>
          </cell>
        </row>
        <row r="2516">
          <cell r="B2516" t="str">
            <v>zwycięzca(cy): 21:8,21:16</v>
          </cell>
          <cell r="K2516" t="str">
            <v/>
          </cell>
        </row>
        <row r="2517">
          <cell r="B2517">
            <v>2</v>
          </cell>
          <cell r="C2517" t="str">
            <v>dzień turnieju.</v>
          </cell>
          <cell r="I2517" t="str">
            <v>Nr meczu</v>
          </cell>
          <cell r="N2517" t="str">
            <v>Godz.</v>
          </cell>
          <cell r="R2517" t="str">
            <v>S. prow.</v>
          </cell>
          <cell r="AF2517" t="str">
            <v>wygrany</v>
          </cell>
          <cell r="AG2517" t="str">
            <v>przegrany</v>
          </cell>
        </row>
        <row r="2518">
          <cell r="B2518" t="str">
            <v>Boisko</v>
          </cell>
          <cell r="C2518" t="str">
            <v>Gra</v>
          </cell>
          <cell r="I2518">
            <v>360</v>
          </cell>
          <cell r="N2518" t="str">
            <v>rozp.</v>
          </cell>
          <cell r="P2518" t="str">
            <v>zak.</v>
          </cell>
          <cell r="R2518" t="str">
            <v>S. serw.</v>
          </cell>
        </row>
        <row r="2519">
          <cell r="A2519">
            <v>360</v>
          </cell>
          <cell r="B2519">
            <v>4</v>
          </cell>
          <cell r="C2519" t="str">
            <v>pojedyncza chłopców Ż</v>
          </cell>
          <cell r="H2519">
            <v>21</v>
          </cell>
          <cell r="I2519">
            <v>8</v>
          </cell>
          <cell r="J2519">
            <v>21</v>
          </cell>
          <cell r="K2519">
            <v>5</v>
          </cell>
          <cell r="P2519">
            <v>0.78472222222222221</v>
          </cell>
          <cell r="R2519">
            <v>0.78472222222222221</v>
          </cell>
          <cell r="S2519" t="str">
            <v>sob 17:15</v>
          </cell>
          <cell r="X2519">
            <v>360</v>
          </cell>
          <cell r="Y2519" t="str">
            <v>pojedyncza chłopców Ż</v>
          </cell>
          <cell r="Z2519" t="str">
            <v>M5584</v>
          </cell>
          <cell r="AA2519" t="str">
            <v/>
          </cell>
          <cell r="AB2519" t="str">
            <v>M5942</v>
          </cell>
          <cell r="AC2519" t="str">
            <v/>
          </cell>
          <cell r="AD2519" t="str">
            <v>M5584</v>
          </cell>
          <cell r="AE2519" t="str">
            <v/>
          </cell>
          <cell r="AF2519" t="str">
            <v>21:8,21:5</v>
          </cell>
          <cell r="AG2519" t="str">
            <v>8:21,5:21</v>
          </cell>
          <cell r="AH2519" t="str">
            <v/>
          </cell>
          <cell r="AI2519">
            <v>21</v>
          </cell>
          <cell r="AJ2519">
            <v>8</v>
          </cell>
          <cell r="AK2519">
            <v>21</v>
          </cell>
          <cell r="AL2519">
            <v>5</v>
          </cell>
          <cell r="AM2519">
            <v>0</v>
          </cell>
          <cell r="AN2519">
            <v>0</v>
          </cell>
        </row>
        <row r="2520">
          <cell r="A2520" t="str">
            <v/>
          </cell>
          <cell r="B2520" t="str">
            <v>Jakub MAZUR (LKS Technik Głubczyce)</v>
          </cell>
          <cell r="H2520" t="str">
            <v>M5584</v>
          </cell>
          <cell r="K2520" t="str">
            <v>M5942</v>
          </cell>
          <cell r="N2520" t="str">
            <v>Jakub MELANIUK (UKSB Milenium Warszawa)</v>
          </cell>
        </row>
        <row r="2521">
          <cell r="A2521" t="str">
            <v/>
          </cell>
          <cell r="B2521" t="str">
            <v/>
          </cell>
          <cell r="H2521" t="str">
            <v/>
          </cell>
          <cell r="K2521" t="str">
            <v/>
          </cell>
          <cell r="N2521" t="str">
            <v/>
          </cell>
        </row>
        <row r="2523">
          <cell r="B2523" t="str">
            <v>zwycięzca(cy): 21:8,21:5</v>
          </cell>
          <cell r="K2523" t="str">
            <v/>
          </cell>
        </row>
        <row r="2524">
          <cell r="B2524">
            <v>2</v>
          </cell>
          <cell r="C2524" t="str">
            <v>dzień turnieju.</v>
          </cell>
          <cell r="I2524" t="str">
            <v>Nr meczu</v>
          </cell>
          <cell r="N2524" t="str">
            <v>Godz.</v>
          </cell>
          <cell r="R2524" t="str">
            <v>S. prow.</v>
          </cell>
          <cell r="AF2524" t="str">
            <v>wygrany</v>
          </cell>
          <cell r="AG2524" t="str">
            <v>przegrany</v>
          </cell>
        </row>
        <row r="2525">
          <cell r="B2525" t="str">
            <v>Boisko</v>
          </cell>
          <cell r="C2525" t="str">
            <v>Gra</v>
          </cell>
          <cell r="I2525">
            <v>361</v>
          </cell>
          <cell r="N2525" t="str">
            <v>rozp.</v>
          </cell>
          <cell r="P2525" t="str">
            <v>zak.</v>
          </cell>
          <cell r="R2525" t="str">
            <v>S. serw.</v>
          </cell>
        </row>
        <row r="2526">
          <cell r="A2526">
            <v>361</v>
          </cell>
          <cell r="B2526">
            <v>5</v>
          </cell>
          <cell r="C2526" t="str">
            <v>pojedyncza dziewcząt MM</v>
          </cell>
          <cell r="H2526">
            <v>21</v>
          </cell>
          <cell r="I2526">
            <v>18</v>
          </cell>
          <cell r="J2526">
            <v>21</v>
          </cell>
          <cell r="K2526">
            <v>16</v>
          </cell>
          <cell r="P2526">
            <v>0.78472222222222221</v>
          </cell>
          <cell r="R2526">
            <v>0.78472222222222221</v>
          </cell>
          <cell r="S2526" t="str">
            <v>sob 17:15</v>
          </cell>
          <cell r="X2526">
            <v>361</v>
          </cell>
          <cell r="Y2526" t="str">
            <v>pojedyncza dziewcząt MM</v>
          </cell>
          <cell r="Z2526" t="str">
            <v>D4628</v>
          </cell>
          <cell r="AA2526" t="str">
            <v/>
          </cell>
          <cell r="AB2526" t="str">
            <v>P4759</v>
          </cell>
          <cell r="AC2526" t="str">
            <v/>
          </cell>
          <cell r="AD2526" t="str">
            <v>D4628</v>
          </cell>
          <cell r="AE2526" t="str">
            <v/>
          </cell>
          <cell r="AF2526" t="str">
            <v>21:18,21:16</v>
          </cell>
          <cell r="AG2526" t="str">
            <v>18:21,16:21</v>
          </cell>
          <cell r="AH2526" t="str">
            <v/>
          </cell>
          <cell r="AI2526">
            <v>21</v>
          </cell>
          <cell r="AJ2526">
            <v>18</v>
          </cell>
          <cell r="AK2526">
            <v>21</v>
          </cell>
          <cell r="AL2526">
            <v>16</v>
          </cell>
          <cell r="AM2526">
            <v>0</v>
          </cell>
          <cell r="AN2526">
            <v>0</v>
          </cell>
        </row>
        <row r="2527">
          <cell r="A2527" t="str">
            <v/>
          </cell>
          <cell r="B2527" t="str">
            <v>Anna DUDA (ULKS U-2 Lotka Bytów)</v>
          </cell>
          <cell r="H2527" t="str">
            <v>D4628</v>
          </cell>
          <cell r="K2527" t="str">
            <v>P4759</v>
          </cell>
          <cell r="N2527" t="str">
            <v>Martyna PIETRZAK (MLKS Solec Kuj.)</v>
          </cell>
        </row>
        <row r="2528">
          <cell r="A2528" t="str">
            <v/>
          </cell>
          <cell r="B2528" t="str">
            <v/>
          </cell>
          <cell r="H2528" t="str">
            <v/>
          </cell>
          <cell r="K2528" t="str">
            <v/>
          </cell>
          <cell r="N2528" t="str">
            <v/>
          </cell>
        </row>
        <row r="2530">
          <cell r="B2530" t="str">
            <v>zwycięzca(cy): 21:18,21:16</v>
          </cell>
          <cell r="K2530" t="str">
            <v/>
          </cell>
        </row>
        <row r="2531">
          <cell r="B2531">
            <v>2</v>
          </cell>
          <cell r="C2531" t="str">
            <v>dzień turnieju.</v>
          </cell>
          <cell r="I2531" t="str">
            <v>Nr meczu</v>
          </cell>
          <cell r="N2531" t="str">
            <v>Godz.</v>
          </cell>
          <cell r="R2531" t="str">
            <v>S. prow.</v>
          </cell>
          <cell r="AF2531" t="str">
            <v>wygrany</v>
          </cell>
          <cell r="AG2531" t="str">
            <v>przegrany</v>
          </cell>
        </row>
        <row r="2532">
          <cell r="B2532" t="str">
            <v>Boisko</v>
          </cell>
          <cell r="C2532" t="str">
            <v>Gra</v>
          </cell>
          <cell r="I2532">
            <v>362</v>
          </cell>
          <cell r="N2532" t="str">
            <v>rozp.</v>
          </cell>
          <cell r="P2532" t="str">
            <v>zak.</v>
          </cell>
          <cell r="R2532" t="str">
            <v>S. serw.</v>
          </cell>
        </row>
        <row r="2533">
          <cell r="A2533">
            <v>362</v>
          </cell>
          <cell r="B2533">
            <v>3</v>
          </cell>
          <cell r="C2533" t="str">
            <v>pojedyncza dziewcząt MM</v>
          </cell>
          <cell r="H2533">
            <v>9</v>
          </cell>
          <cell r="I2533">
            <v>21</v>
          </cell>
          <cell r="J2533">
            <v>8</v>
          </cell>
          <cell r="K2533">
            <v>21</v>
          </cell>
          <cell r="P2533">
            <v>0.78125</v>
          </cell>
          <cell r="R2533">
            <v>0.78125</v>
          </cell>
          <cell r="S2533" t="str">
            <v>sob 17:15</v>
          </cell>
          <cell r="X2533">
            <v>362</v>
          </cell>
          <cell r="Y2533" t="str">
            <v>pojedyncza dziewcząt MM</v>
          </cell>
          <cell r="Z2533" t="str">
            <v>L5359</v>
          </cell>
          <cell r="AA2533" t="str">
            <v/>
          </cell>
          <cell r="AB2533" t="str">
            <v>X17</v>
          </cell>
          <cell r="AC2533" t="str">
            <v/>
          </cell>
          <cell r="AD2533" t="str">
            <v>X17</v>
          </cell>
          <cell r="AE2533" t="str">
            <v/>
          </cell>
          <cell r="AF2533" t="str">
            <v>21:9,21:8</v>
          </cell>
          <cell r="AG2533" t="str">
            <v>9:21,8:21</v>
          </cell>
          <cell r="AH2533" t="str">
            <v/>
          </cell>
          <cell r="AI2533">
            <v>9</v>
          </cell>
          <cell r="AJ2533">
            <v>21</v>
          </cell>
          <cell r="AK2533">
            <v>8</v>
          </cell>
          <cell r="AL2533">
            <v>21</v>
          </cell>
          <cell r="AM2533">
            <v>0</v>
          </cell>
          <cell r="AN2533">
            <v>0</v>
          </cell>
        </row>
        <row r="2534">
          <cell r="A2534" t="str">
            <v/>
          </cell>
          <cell r="B2534" t="str">
            <v>Aleksandra LASKOWSKA (UKS Kiko Zamość)</v>
          </cell>
          <cell r="H2534" t="str">
            <v>L5359</v>
          </cell>
          <cell r="K2534" t="str">
            <v>X17</v>
          </cell>
          <cell r="N2534" t="str">
            <v>Anna BANDARENKA (Mińsk Białoruś)</v>
          </cell>
        </row>
        <row r="2535">
          <cell r="A2535" t="str">
            <v/>
          </cell>
          <cell r="B2535" t="str">
            <v/>
          </cell>
          <cell r="H2535" t="str">
            <v/>
          </cell>
          <cell r="K2535" t="str">
            <v/>
          </cell>
          <cell r="N2535" t="str">
            <v/>
          </cell>
        </row>
        <row r="2537">
          <cell r="B2537" t="str">
            <v/>
          </cell>
          <cell r="K2537" t="str">
            <v>zwycięzca(cy): 21:9,21:8</v>
          </cell>
        </row>
        <row r="2538">
          <cell r="B2538">
            <v>2</v>
          </cell>
          <cell r="C2538" t="str">
            <v>dzień turnieju.</v>
          </cell>
          <cell r="I2538" t="str">
            <v>Nr meczu</v>
          </cell>
          <cell r="N2538" t="str">
            <v>Godz.</v>
          </cell>
          <cell r="R2538" t="str">
            <v>S. prow.</v>
          </cell>
          <cell r="AF2538" t="str">
            <v>wygrany</v>
          </cell>
          <cell r="AG2538" t="str">
            <v>przegrany</v>
          </cell>
        </row>
        <row r="2539">
          <cell r="B2539" t="str">
            <v>Boisko</v>
          </cell>
          <cell r="C2539" t="str">
            <v>Gra</v>
          </cell>
          <cell r="I2539">
            <v>363</v>
          </cell>
          <cell r="N2539" t="str">
            <v>rozp.</v>
          </cell>
          <cell r="P2539" t="str">
            <v>zak.</v>
          </cell>
          <cell r="R2539" t="str">
            <v>S. serw.</v>
          </cell>
        </row>
        <row r="2540">
          <cell r="A2540">
            <v>363</v>
          </cell>
          <cell r="B2540">
            <v>1</v>
          </cell>
          <cell r="C2540" t="str">
            <v>pojedyncza dziewcząt MM</v>
          </cell>
          <cell r="H2540">
            <v>23</v>
          </cell>
          <cell r="I2540">
            <v>21</v>
          </cell>
          <cell r="J2540">
            <v>24</v>
          </cell>
          <cell r="K2540">
            <v>22</v>
          </cell>
          <cell r="P2540">
            <v>0.78819444444444453</v>
          </cell>
          <cell r="R2540">
            <v>0.78819444444444453</v>
          </cell>
          <cell r="S2540" t="str">
            <v>sob 17:30</v>
          </cell>
          <cell r="X2540">
            <v>363</v>
          </cell>
          <cell r="Y2540" t="str">
            <v>pojedyncza dziewcząt MM</v>
          </cell>
          <cell r="Z2540" t="str">
            <v>X63</v>
          </cell>
          <cell r="AA2540" t="str">
            <v/>
          </cell>
          <cell r="AB2540" t="str">
            <v>B4319</v>
          </cell>
          <cell r="AC2540" t="str">
            <v/>
          </cell>
          <cell r="AD2540" t="str">
            <v>X63</v>
          </cell>
          <cell r="AE2540" t="str">
            <v/>
          </cell>
          <cell r="AF2540" t="str">
            <v>23:21,24:22</v>
          </cell>
          <cell r="AG2540" t="str">
            <v>21:23,22:24</v>
          </cell>
          <cell r="AH2540" t="str">
            <v/>
          </cell>
          <cell r="AI2540">
            <v>23</v>
          </cell>
          <cell r="AJ2540">
            <v>21</v>
          </cell>
          <cell r="AK2540">
            <v>24</v>
          </cell>
          <cell r="AL2540">
            <v>22</v>
          </cell>
          <cell r="AM2540">
            <v>0</v>
          </cell>
          <cell r="AN2540">
            <v>0</v>
          </cell>
        </row>
        <row r="2541">
          <cell r="A2541" t="str">
            <v/>
          </cell>
          <cell r="B2541" t="str">
            <v>Anna  KRAMCHANINA (Brześć 2 Białoruś)</v>
          </cell>
          <cell r="H2541" t="str">
            <v>X63</v>
          </cell>
          <cell r="K2541" t="str">
            <v>B4319</v>
          </cell>
          <cell r="N2541" t="str">
            <v>Laura BUJAK (ULKS U-2 Lotka Bytów)</v>
          </cell>
        </row>
        <row r="2542">
          <cell r="A2542" t="str">
            <v/>
          </cell>
          <cell r="B2542" t="str">
            <v/>
          </cell>
          <cell r="H2542" t="str">
            <v/>
          </cell>
          <cell r="K2542" t="str">
            <v/>
          </cell>
          <cell r="N2542" t="str">
            <v/>
          </cell>
        </row>
        <row r="2544">
          <cell r="B2544" t="str">
            <v>zwycięzca(cy): 23:21,24:22</v>
          </cell>
          <cell r="K2544" t="str">
            <v/>
          </cell>
        </row>
        <row r="2545">
          <cell r="B2545">
            <v>2</v>
          </cell>
          <cell r="C2545" t="str">
            <v>dzień turnieju.</v>
          </cell>
          <cell r="I2545" t="str">
            <v>Nr meczu</v>
          </cell>
          <cell r="N2545" t="str">
            <v>Godz.</v>
          </cell>
          <cell r="R2545" t="str">
            <v>S. prow.</v>
          </cell>
          <cell r="AF2545" t="str">
            <v>wygrany</v>
          </cell>
          <cell r="AG2545" t="str">
            <v>przegrany</v>
          </cell>
        </row>
        <row r="2546">
          <cell r="B2546" t="str">
            <v>Boisko</v>
          </cell>
          <cell r="C2546" t="str">
            <v>Gra</v>
          </cell>
          <cell r="I2546">
            <v>364</v>
          </cell>
          <cell r="N2546" t="str">
            <v>rozp.</v>
          </cell>
          <cell r="P2546" t="str">
            <v>zak.</v>
          </cell>
          <cell r="R2546" t="str">
            <v>S. serw.</v>
          </cell>
        </row>
        <row r="2547">
          <cell r="A2547">
            <v>364</v>
          </cell>
          <cell r="B2547">
            <v>2</v>
          </cell>
          <cell r="C2547" t="str">
            <v>pojedyncza dziewcząt MM</v>
          </cell>
          <cell r="H2547">
            <v>21</v>
          </cell>
          <cell r="I2547">
            <v>11</v>
          </cell>
          <cell r="J2547">
            <v>21</v>
          </cell>
          <cell r="K2547">
            <v>13</v>
          </cell>
          <cell r="P2547">
            <v>0.78472222222222221</v>
          </cell>
          <cell r="R2547">
            <v>0.78472222222222221</v>
          </cell>
          <cell r="S2547" t="str">
            <v>sob 17:30</v>
          </cell>
          <cell r="X2547">
            <v>364</v>
          </cell>
          <cell r="Y2547" t="str">
            <v>pojedyncza dziewcząt MM</v>
          </cell>
          <cell r="Z2547" t="str">
            <v>X16</v>
          </cell>
          <cell r="AA2547" t="str">
            <v/>
          </cell>
          <cell r="AB2547" t="str">
            <v>K5262</v>
          </cell>
          <cell r="AC2547" t="str">
            <v/>
          </cell>
          <cell r="AD2547" t="str">
            <v>X16</v>
          </cell>
          <cell r="AE2547" t="str">
            <v/>
          </cell>
          <cell r="AF2547" t="str">
            <v>21:11,21:13</v>
          </cell>
          <cell r="AG2547" t="str">
            <v>11:21,13:21</v>
          </cell>
          <cell r="AH2547" t="str">
            <v/>
          </cell>
          <cell r="AI2547">
            <v>21</v>
          </cell>
          <cell r="AJ2547">
            <v>11</v>
          </cell>
          <cell r="AK2547">
            <v>21</v>
          </cell>
          <cell r="AL2547">
            <v>13</v>
          </cell>
          <cell r="AM2547">
            <v>0</v>
          </cell>
          <cell r="AN2547">
            <v>0</v>
          </cell>
        </row>
        <row r="2548">
          <cell r="A2548" t="str">
            <v/>
          </cell>
          <cell r="B2548" t="str">
            <v>Yelizaveta KAMINSKAYA (Mińsk Białoruś)</v>
          </cell>
          <cell r="H2548" t="str">
            <v>X16</v>
          </cell>
          <cell r="K2548" t="str">
            <v>K5262</v>
          </cell>
          <cell r="N2548" t="str">
            <v>Wiktoria KASPRZAK (UKS Kiko Zamość)</v>
          </cell>
        </row>
        <row r="2549">
          <cell r="A2549" t="str">
            <v/>
          </cell>
          <cell r="B2549" t="str">
            <v/>
          </cell>
          <cell r="H2549" t="str">
            <v/>
          </cell>
          <cell r="K2549" t="str">
            <v/>
          </cell>
          <cell r="N2549" t="str">
            <v/>
          </cell>
        </row>
        <row r="2551">
          <cell r="B2551" t="str">
            <v>zwycięzca(cy): 21:11,21:13</v>
          </cell>
          <cell r="K2551" t="str">
            <v/>
          </cell>
        </row>
        <row r="2552">
          <cell r="B2552">
            <v>2</v>
          </cell>
          <cell r="C2552" t="str">
            <v>dzień turnieju.</v>
          </cell>
          <cell r="I2552" t="str">
            <v>Nr meczu</v>
          </cell>
          <cell r="N2552" t="str">
            <v>Godz.</v>
          </cell>
          <cell r="R2552" t="str">
            <v>S. prow.</v>
          </cell>
          <cell r="AF2552" t="str">
            <v>wygrany</v>
          </cell>
          <cell r="AG2552" t="str">
            <v>przegrany</v>
          </cell>
        </row>
        <row r="2553">
          <cell r="B2553" t="str">
            <v>Boisko</v>
          </cell>
          <cell r="C2553" t="str">
            <v>Gra</v>
          </cell>
          <cell r="I2553">
            <v>365</v>
          </cell>
          <cell r="N2553" t="str">
            <v>rozp.</v>
          </cell>
          <cell r="P2553" t="str">
            <v>zak.</v>
          </cell>
          <cell r="R2553" t="str">
            <v>S. serw.</v>
          </cell>
        </row>
        <row r="2554">
          <cell r="A2554">
            <v>365</v>
          </cell>
          <cell r="B2554">
            <v>4</v>
          </cell>
          <cell r="C2554" t="str">
            <v>pojedyncza chłopców MM</v>
          </cell>
          <cell r="H2554">
            <v>21</v>
          </cell>
          <cell r="I2554">
            <v>12</v>
          </cell>
          <cell r="J2554">
            <v>21</v>
          </cell>
          <cell r="K2554">
            <v>5</v>
          </cell>
          <cell r="P2554">
            <v>0.78819444444444453</v>
          </cell>
          <cell r="R2554">
            <v>0.78819444444444453</v>
          </cell>
          <cell r="S2554" t="str">
            <v>sob 17:30</v>
          </cell>
          <cell r="X2554">
            <v>365</v>
          </cell>
          <cell r="Y2554" t="str">
            <v>pojedyncza chłopców MM</v>
          </cell>
          <cell r="Z2554" t="str">
            <v>M4565</v>
          </cell>
          <cell r="AA2554" t="str">
            <v/>
          </cell>
          <cell r="AB2554" t="str">
            <v>C4406</v>
          </cell>
          <cell r="AC2554" t="str">
            <v/>
          </cell>
          <cell r="AD2554" t="str">
            <v>M4565</v>
          </cell>
          <cell r="AE2554" t="str">
            <v/>
          </cell>
          <cell r="AF2554" t="str">
            <v>21:12,21:5</v>
          </cell>
          <cell r="AG2554" t="str">
            <v>12:21,5:21</v>
          </cell>
          <cell r="AH2554" t="str">
            <v/>
          </cell>
          <cell r="AI2554">
            <v>21</v>
          </cell>
          <cell r="AJ2554">
            <v>12</v>
          </cell>
          <cell r="AK2554">
            <v>21</v>
          </cell>
          <cell r="AL2554">
            <v>5</v>
          </cell>
          <cell r="AM2554">
            <v>0</v>
          </cell>
          <cell r="AN2554">
            <v>0</v>
          </cell>
        </row>
        <row r="2555">
          <cell r="A2555" t="str">
            <v/>
          </cell>
          <cell r="B2555" t="str">
            <v>Maciej MATUSZ (LKS Technik Głubczyce)</v>
          </cell>
          <cell r="H2555" t="str">
            <v>M4565</v>
          </cell>
          <cell r="K2555" t="str">
            <v>C4406</v>
          </cell>
          <cell r="N2555" t="str">
            <v>Łukasz CIMOSZ (KS Chojnik Jelenia Góra)</v>
          </cell>
        </row>
        <row r="2556">
          <cell r="A2556" t="str">
            <v/>
          </cell>
          <cell r="B2556" t="str">
            <v/>
          </cell>
          <cell r="H2556" t="str">
            <v/>
          </cell>
          <cell r="K2556" t="str">
            <v/>
          </cell>
          <cell r="N2556" t="str">
            <v/>
          </cell>
        </row>
        <row r="2558">
          <cell r="B2558" t="str">
            <v>zwycięzca(cy): 21:12,21:5</v>
          </cell>
          <cell r="K2558" t="str">
            <v/>
          </cell>
        </row>
        <row r="2559">
          <cell r="B2559">
            <v>2</v>
          </cell>
          <cell r="C2559" t="str">
            <v>dzień turnieju.</v>
          </cell>
          <cell r="I2559" t="str">
            <v>Nr meczu</v>
          </cell>
          <cell r="N2559" t="str">
            <v>Godz.</v>
          </cell>
          <cell r="R2559" t="str">
            <v>S. prow.</v>
          </cell>
          <cell r="AF2559" t="str">
            <v>wygrany</v>
          </cell>
          <cell r="AG2559" t="str">
            <v>przegrany</v>
          </cell>
        </row>
        <row r="2560">
          <cell r="B2560" t="str">
            <v>Boisko</v>
          </cell>
          <cell r="C2560" t="str">
            <v>Gra</v>
          </cell>
          <cell r="I2560">
            <v>366</v>
          </cell>
          <cell r="N2560" t="str">
            <v>rozp.</v>
          </cell>
          <cell r="P2560" t="str">
            <v>zak.</v>
          </cell>
          <cell r="R2560" t="str">
            <v>S. serw.</v>
          </cell>
        </row>
        <row r="2561">
          <cell r="A2561">
            <v>366</v>
          </cell>
          <cell r="B2561">
            <v>3</v>
          </cell>
          <cell r="C2561" t="str">
            <v>pojedyncza chłopców MM</v>
          </cell>
          <cell r="H2561">
            <v>21</v>
          </cell>
          <cell r="I2561">
            <v>6</v>
          </cell>
          <cell r="J2561">
            <v>21</v>
          </cell>
          <cell r="K2561">
            <v>4</v>
          </cell>
          <cell r="P2561">
            <v>0.78819444444444453</v>
          </cell>
          <cell r="R2561">
            <v>0.78819444444444453</v>
          </cell>
          <cell r="S2561" t="str">
            <v>sob 17:30</v>
          </cell>
          <cell r="X2561">
            <v>366</v>
          </cell>
          <cell r="Y2561" t="str">
            <v>pojedyncza chłopców MM</v>
          </cell>
          <cell r="Z2561" t="str">
            <v>P5025</v>
          </cell>
          <cell r="AA2561" t="str">
            <v/>
          </cell>
          <cell r="AB2561" t="str">
            <v>Ż4858</v>
          </cell>
          <cell r="AC2561" t="str">
            <v/>
          </cell>
          <cell r="AD2561" t="str">
            <v>P5025</v>
          </cell>
          <cell r="AE2561" t="str">
            <v/>
          </cell>
          <cell r="AF2561" t="str">
            <v>21:6,21:4</v>
          </cell>
          <cell r="AG2561" t="str">
            <v>6:21,4:21</v>
          </cell>
          <cell r="AH2561" t="str">
            <v/>
          </cell>
          <cell r="AI2561">
            <v>21</v>
          </cell>
          <cell r="AJ2561">
            <v>6</v>
          </cell>
          <cell r="AK2561">
            <v>21</v>
          </cell>
          <cell r="AL2561">
            <v>4</v>
          </cell>
          <cell r="AM2561">
            <v>0</v>
          </cell>
          <cell r="AN2561">
            <v>0</v>
          </cell>
        </row>
        <row r="2562">
          <cell r="A2562" t="str">
            <v/>
          </cell>
          <cell r="B2562" t="str">
            <v>Jakub PLASZCZYK (MKS Strzelce Opolskie)</v>
          </cell>
          <cell r="H2562" t="str">
            <v>P5025</v>
          </cell>
          <cell r="K2562" t="str">
            <v>Ż4858</v>
          </cell>
          <cell r="N2562" t="str">
            <v>Dawid ŻMÓJDZIN (UKS Hubal Białystok)</v>
          </cell>
        </row>
        <row r="2563">
          <cell r="A2563" t="str">
            <v/>
          </cell>
          <cell r="B2563" t="str">
            <v/>
          </cell>
          <cell r="H2563" t="str">
            <v/>
          </cell>
          <cell r="K2563" t="str">
            <v/>
          </cell>
          <cell r="N2563" t="str">
            <v/>
          </cell>
        </row>
        <row r="2565">
          <cell r="B2565" t="str">
            <v>zwycięzca(cy): 21:6,21:4</v>
          </cell>
          <cell r="K2565" t="str">
            <v/>
          </cell>
        </row>
        <row r="2566">
          <cell r="B2566">
            <v>2</v>
          </cell>
          <cell r="C2566" t="str">
            <v>dzień turnieju.</v>
          </cell>
          <cell r="I2566" t="str">
            <v>Nr meczu</v>
          </cell>
          <cell r="N2566" t="str">
            <v>Godz.</v>
          </cell>
          <cell r="R2566" t="str">
            <v>S. prow.</v>
          </cell>
          <cell r="AF2566" t="str">
            <v>wygrany</v>
          </cell>
          <cell r="AG2566" t="str">
            <v>przegrany</v>
          </cell>
        </row>
        <row r="2567">
          <cell r="B2567" t="str">
            <v>Boisko</v>
          </cell>
          <cell r="C2567" t="str">
            <v>Gra</v>
          </cell>
          <cell r="I2567">
            <v>367</v>
          </cell>
          <cell r="N2567" t="str">
            <v>rozp.</v>
          </cell>
          <cell r="P2567" t="str">
            <v>zak.</v>
          </cell>
          <cell r="R2567" t="str">
            <v>S. serw.</v>
          </cell>
        </row>
        <row r="2568">
          <cell r="A2568">
            <v>367</v>
          </cell>
          <cell r="B2568">
            <v>6</v>
          </cell>
          <cell r="C2568" t="str">
            <v>pojedyncza chłopców MM</v>
          </cell>
          <cell r="H2568">
            <v>21</v>
          </cell>
          <cell r="I2568">
            <v>9</v>
          </cell>
          <cell r="J2568">
            <v>21</v>
          </cell>
          <cell r="K2568">
            <v>9</v>
          </cell>
          <cell r="P2568">
            <v>0.79374999999999996</v>
          </cell>
          <cell r="R2568">
            <v>0.79374999999999996</v>
          </cell>
          <cell r="S2568" t="str">
            <v>sob 17:30</v>
          </cell>
          <cell r="X2568">
            <v>367</v>
          </cell>
          <cell r="Y2568" t="str">
            <v>pojedyncza chłopców MM</v>
          </cell>
          <cell r="Z2568" t="str">
            <v>G4725</v>
          </cell>
          <cell r="AA2568" t="str">
            <v/>
          </cell>
          <cell r="AB2568" t="str">
            <v>Z4312</v>
          </cell>
          <cell r="AC2568" t="str">
            <v/>
          </cell>
          <cell r="AD2568" t="str">
            <v>G4725</v>
          </cell>
          <cell r="AE2568" t="str">
            <v/>
          </cell>
          <cell r="AF2568" t="str">
            <v>21:9,21:9</v>
          </cell>
          <cell r="AG2568" t="str">
            <v>9:21,9:21</v>
          </cell>
          <cell r="AH2568" t="str">
            <v/>
          </cell>
          <cell r="AI2568">
            <v>21</v>
          </cell>
          <cell r="AJ2568">
            <v>9</v>
          </cell>
          <cell r="AK2568">
            <v>21</v>
          </cell>
          <cell r="AL2568">
            <v>9</v>
          </cell>
          <cell r="AM2568">
            <v>0</v>
          </cell>
          <cell r="AN2568">
            <v>0</v>
          </cell>
        </row>
        <row r="2569">
          <cell r="A2569" t="str">
            <v/>
          </cell>
          <cell r="B2569" t="str">
            <v>Bartosz GAŁĄZKA (LKS Technik Głubczyce)</v>
          </cell>
          <cell r="H2569" t="str">
            <v>G4725</v>
          </cell>
          <cell r="K2569" t="str">
            <v>Z4312</v>
          </cell>
          <cell r="N2569" t="str">
            <v>Łukasz ZWIERZCHOWSKI (UKSB Milenium Warszawa)</v>
          </cell>
        </row>
        <row r="2570">
          <cell r="A2570" t="str">
            <v/>
          </cell>
          <cell r="B2570" t="str">
            <v/>
          </cell>
          <cell r="H2570" t="str">
            <v/>
          </cell>
          <cell r="K2570" t="str">
            <v/>
          </cell>
          <cell r="N2570" t="str">
            <v/>
          </cell>
        </row>
        <row r="2572">
          <cell r="B2572" t="str">
            <v>zwycięzca(cy): 21:9,21:9</v>
          </cell>
          <cell r="K2572" t="str">
            <v/>
          </cell>
        </row>
        <row r="2573">
          <cell r="B2573">
            <v>2</v>
          </cell>
          <cell r="C2573" t="str">
            <v>dzień turnieju.</v>
          </cell>
          <cell r="I2573" t="str">
            <v>Nr meczu</v>
          </cell>
          <cell r="N2573" t="str">
            <v>Godz.</v>
          </cell>
          <cell r="R2573" t="str">
            <v>S. prow.</v>
          </cell>
          <cell r="AF2573" t="str">
            <v>wygrany</v>
          </cell>
          <cell r="AG2573" t="str">
            <v>przegrany</v>
          </cell>
        </row>
        <row r="2574">
          <cell r="B2574" t="str">
            <v>Boisko</v>
          </cell>
          <cell r="C2574" t="str">
            <v>Gra</v>
          </cell>
          <cell r="I2574">
            <v>368</v>
          </cell>
          <cell r="N2574" t="str">
            <v>rozp.</v>
          </cell>
          <cell r="P2574" t="str">
            <v>zak.</v>
          </cell>
          <cell r="R2574" t="str">
            <v>S. serw.</v>
          </cell>
        </row>
        <row r="2575">
          <cell r="A2575">
            <v>368</v>
          </cell>
          <cell r="B2575">
            <v>5</v>
          </cell>
          <cell r="C2575" t="str">
            <v>pojedyncza chłopców MM</v>
          </cell>
          <cell r="H2575">
            <v>21</v>
          </cell>
          <cell r="I2575">
            <v>15</v>
          </cell>
          <cell r="J2575">
            <v>15</v>
          </cell>
          <cell r="K2575">
            <v>21</v>
          </cell>
          <cell r="L2575">
            <v>19</v>
          </cell>
          <cell r="M2575">
            <v>21</v>
          </cell>
          <cell r="P2575">
            <v>0.81597222222222221</v>
          </cell>
          <cell r="R2575">
            <v>0.81597222222222221</v>
          </cell>
          <cell r="S2575" t="str">
            <v>sob 17:30</v>
          </cell>
          <cell r="X2575">
            <v>368</v>
          </cell>
          <cell r="Y2575" t="str">
            <v>pojedyncza chłopców MM</v>
          </cell>
          <cell r="Z2575" t="str">
            <v>Ś5585</v>
          </cell>
          <cell r="AA2575" t="str">
            <v/>
          </cell>
          <cell r="AB2575" t="str">
            <v>M4612</v>
          </cell>
          <cell r="AC2575" t="str">
            <v/>
          </cell>
          <cell r="AD2575" t="str">
            <v>M4612</v>
          </cell>
          <cell r="AE2575" t="str">
            <v/>
          </cell>
          <cell r="AF2575" t="str">
            <v>15:21,21:15,21:19</v>
          </cell>
          <cell r="AG2575" t="str">
            <v>21:15,15:21,19:21</v>
          </cell>
          <cell r="AH2575" t="str">
            <v/>
          </cell>
          <cell r="AI2575">
            <v>21</v>
          </cell>
          <cell r="AJ2575">
            <v>15</v>
          </cell>
          <cell r="AK2575">
            <v>15</v>
          </cell>
          <cell r="AL2575">
            <v>21</v>
          </cell>
          <cell r="AM2575">
            <v>19</v>
          </cell>
          <cell r="AN2575">
            <v>21</v>
          </cell>
        </row>
        <row r="2576">
          <cell r="A2576" t="str">
            <v/>
          </cell>
          <cell r="B2576" t="str">
            <v>Szymon ŚLEPECKI (LKS Technik Głubczyce)</v>
          </cell>
          <cell r="H2576" t="str">
            <v>Ś5585</v>
          </cell>
          <cell r="K2576" t="str">
            <v>M4612</v>
          </cell>
          <cell r="N2576" t="str">
            <v>Patryk MICHAŁEK (UKS Orbitek Straszęcin)</v>
          </cell>
        </row>
        <row r="2577">
          <cell r="A2577" t="str">
            <v/>
          </cell>
          <cell r="B2577" t="str">
            <v/>
          </cell>
          <cell r="H2577" t="str">
            <v/>
          </cell>
          <cell r="K2577" t="str">
            <v/>
          </cell>
          <cell r="N2577" t="str">
            <v/>
          </cell>
        </row>
        <row r="2579">
          <cell r="B2579" t="str">
            <v/>
          </cell>
          <cell r="K2579" t="str">
            <v>zwycięzca(cy): 15:21,21:15,21:19</v>
          </cell>
        </row>
        <row r="2580">
          <cell r="B2580">
            <v>2</v>
          </cell>
          <cell r="C2580" t="str">
            <v>dzień turnieju.</v>
          </cell>
          <cell r="I2580" t="str">
            <v>Nr meczu</v>
          </cell>
          <cell r="N2580" t="str">
            <v>Godz.</v>
          </cell>
          <cell r="R2580" t="str">
            <v>S. prow.</v>
          </cell>
          <cell r="AF2580" t="str">
            <v>wygrany</v>
          </cell>
          <cell r="AG2580" t="str">
            <v>przegrany</v>
          </cell>
        </row>
        <row r="2581">
          <cell r="B2581" t="str">
            <v>Boisko</v>
          </cell>
          <cell r="C2581" t="str">
            <v>Gra</v>
          </cell>
          <cell r="I2581">
            <v>369</v>
          </cell>
          <cell r="N2581" t="str">
            <v>rozp.</v>
          </cell>
          <cell r="P2581" t="str">
            <v>zak.</v>
          </cell>
          <cell r="R2581" t="str">
            <v>S. serw.</v>
          </cell>
        </row>
        <row r="2582">
          <cell r="A2582">
            <v>369</v>
          </cell>
          <cell r="B2582">
            <v>4</v>
          </cell>
          <cell r="C2582" t="str">
            <v>pojedyncza dziewcząt M</v>
          </cell>
          <cell r="H2582">
            <v>21</v>
          </cell>
          <cell r="I2582">
            <v>3</v>
          </cell>
          <cell r="J2582">
            <v>21</v>
          </cell>
          <cell r="K2582">
            <v>11</v>
          </cell>
          <cell r="P2582">
            <v>0.79513888888888884</v>
          </cell>
          <cell r="R2582">
            <v>0.79513888888888884</v>
          </cell>
          <cell r="S2582" t="str">
            <v>sob 17:50</v>
          </cell>
          <cell r="X2582">
            <v>369</v>
          </cell>
          <cell r="Y2582" t="str">
            <v>pojedyncza dziewcząt M</v>
          </cell>
          <cell r="Z2582" t="str">
            <v>D3427</v>
          </cell>
          <cell r="AA2582" t="str">
            <v/>
          </cell>
          <cell r="AB2582" t="str">
            <v>S4547</v>
          </cell>
          <cell r="AC2582" t="str">
            <v/>
          </cell>
          <cell r="AD2582" t="str">
            <v>D3427</v>
          </cell>
          <cell r="AE2582" t="str">
            <v/>
          </cell>
          <cell r="AF2582" t="str">
            <v>21:3,21:11</v>
          </cell>
          <cell r="AG2582" t="str">
            <v>3:21,11:21</v>
          </cell>
          <cell r="AH2582" t="str">
            <v/>
          </cell>
          <cell r="AI2582">
            <v>21</v>
          </cell>
          <cell r="AJ2582">
            <v>3</v>
          </cell>
          <cell r="AK2582">
            <v>21</v>
          </cell>
          <cell r="AL2582">
            <v>11</v>
          </cell>
          <cell r="AM2582">
            <v>0</v>
          </cell>
          <cell r="AN2582">
            <v>0</v>
          </cell>
        </row>
        <row r="2583">
          <cell r="A2583" t="str">
            <v/>
          </cell>
          <cell r="B2583" t="str">
            <v>Wiktoria DĄBCZYŃSKA (MKS Orlicz Suchedniów)</v>
          </cell>
          <cell r="H2583" t="str">
            <v>D3427</v>
          </cell>
          <cell r="K2583" t="str">
            <v>S4547</v>
          </cell>
          <cell r="N2583" t="str">
            <v>Aleksandra SZWEDA (MKB Lednik Miastko)</v>
          </cell>
        </row>
        <row r="2584">
          <cell r="A2584" t="str">
            <v/>
          </cell>
          <cell r="B2584" t="str">
            <v/>
          </cell>
          <cell r="H2584" t="str">
            <v/>
          </cell>
          <cell r="K2584" t="str">
            <v/>
          </cell>
          <cell r="N2584" t="str">
            <v/>
          </cell>
        </row>
        <row r="2586">
          <cell r="B2586" t="str">
            <v>zwycięzca(cy): 21:3,21:11</v>
          </cell>
          <cell r="K2586" t="str">
            <v/>
          </cell>
        </row>
        <row r="2587">
          <cell r="B2587">
            <v>2</v>
          </cell>
          <cell r="C2587" t="str">
            <v>dzień turnieju.</v>
          </cell>
          <cell r="I2587" t="str">
            <v>Nr meczu</v>
          </cell>
          <cell r="N2587" t="str">
            <v>Godz.</v>
          </cell>
          <cell r="R2587" t="str">
            <v>S. prow.</v>
          </cell>
          <cell r="AF2587" t="str">
            <v>wygrany</v>
          </cell>
          <cell r="AG2587" t="str">
            <v>przegrany</v>
          </cell>
        </row>
        <row r="2588">
          <cell r="B2588" t="str">
            <v>Boisko</v>
          </cell>
          <cell r="C2588" t="str">
            <v>Gra</v>
          </cell>
          <cell r="I2588">
            <v>370</v>
          </cell>
          <cell r="N2588" t="str">
            <v>rozp.</v>
          </cell>
          <cell r="P2588" t="str">
            <v>zak.</v>
          </cell>
          <cell r="R2588" t="str">
            <v>S. serw.</v>
          </cell>
        </row>
        <row r="2589">
          <cell r="A2589">
            <v>370</v>
          </cell>
          <cell r="B2589">
            <v>3</v>
          </cell>
          <cell r="C2589" t="str">
            <v>pojedyncza dziewcząt M</v>
          </cell>
          <cell r="H2589">
            <v>21</v>
          </cell>
          <cell r="I2589">
            <v>11</v>
          </cell>
          <cell r="J2589">
            <v>21</v>
          </cell>
          <cell r="K2589">
            <v>15</v>
          </cell>
          <cell r="P2589">
            <v>0.8027777777777777</v>
          </cell>
          <cell r="R2589">
            <v>0.8027777777777777</v>
          </cell>
          <cell r="S2589" t="str">
            <v>sob 17:50</v>
          </cell>
          <cell r="X2589">
            <v>370</v>
          </cell>
          <cell r="Y2589" t="str">
            <v>pojedyncza dziewcząt M</v>
          </cell>
          <cell r="Z2589" t="str">
            <v>P4786</v>
          </cell>
          <cell r="AA2589" t="str">
            <v/>
          </cell>
          <cell r="AB2589" t="str">
            <v>J4598</v>
          </cell>
          <cell r="AC2589" t="str">
            <v/>
          </cell>
          <cell r="AD2589" t="str">
            <v>P4786</v>
          </cell>
          <cell r="AE2589" t="str">
            <v/>
          </cell>
          <cell r="AF2589" t="str">
            <v>21:11,21:15</v>
          </cell>
          <cell r="AG2589" t="str">
            <v>11:21,15:21</v>
          </cell>
          <cell r="AH2589" t="str">
            <v/>
          </cell>
          <cell r="AI2589">
            <v>21</v>
          </cell>
          <cell r="AJ2589">
            <v>11</v>
          </cell>
          <cell r="AK2589">
            <v>21</v>
          </cell>
          <cell r="AL2589">
            <v>15</v>
          </cell>
          <cell r="AM2589">
            <v>0</v>
          </cell>
          <cell r="AN2589">
            <v>0</v>
          </cell>
        </row>
        <row r="2590">
          <cell r="A2590" t="str">
            <v/>
          </cell>
          <cell r="B2590" t="str">
            <v>Aleksandra PTAK (STB Energia Lubliniec)</v>
          </cell>
          <cell r="H2590" t="str">
            <v>P4786</v>
          </cell>
          <cell r="K2590" t="str">
            <v>J4598</v>
          </cell>
          <cell r="N2590" t="str">
            <v>Karolina JODZIO (SKB Suwałki)</v>
          </cell>
        </row>
        <row r="2591">
          <cell r="A2591" t="str">
            <v/>
          </cell>
          <cell r="B2591" t="str">
            <v/>
          </cell>
          <cell r="H2591" t="str">
            <v/>
          </cell>
          <cell r="K2591" t="str">
            <v/>
          </cell>
          <cell r="N2591" t="str">
            <v/>
          </cell>
        </row>
        <row r="2593">
          <cell r="B2593" t="str">
            <v>zwycięzca(cy): 21:11,21:15</v>
          </cell>
          <cell r="K2593" t="str">
            <v/>
          </cell>
        </row>
        <row r="2594">
          <cell r="B2594">
            <v>2</v>
          </cell>
          <cell r="C2594" t="str">
            <v>dzień turnieju.</v>
          </cell>
          <cell r="I2594" t="str">
            <v>Nr meczu</v>
          </cell>
          <cell r="N2594" t="str">
            <v>Godz.</v>
          </cell>
          <cell r="R2594" t="str">
            <v>S. prow.</v>
          </cell>
          <cell r="AF2594" t="str">
            <v>wygrany</v>
          </cell>
          <cell r="AG2594" t="str">
            <v>przegrany</v>
          </cell>
        </row>
        <row r="2595">
          <cell r="B2595" t="str">
            <v>Boisko</v>
          </cell>
          <cell r="C2595" t="str">
            <v>Gra</v>
          </cell>
          <cell r="I2595">
            <v>371</v>
          </cell>
          <cell r="N2595" t="str">
            <v>rozp.</v>
          </cell>
          <cell r="P2595" t="str">
            <v>zak.</v>
          </cell>
          <cell r="R2595" t="str">
            <v>S. serw.</v>
          </cell>
        </row>
        <row r="2596">
          <cell r="A2596">
            <v>371</v>
          </cell>
          <cell r="B2596">
            <v>2</v>
          </cell>
          <cell r="C2596" t="str">
            <v>pojedyncza dziewcząt M</v>
          </cell>
          <cell r="H2596">
            <v>11</v>
          </cell>
          <cell r="I2596">
            <v>21</v>
          </cell>
          <cell r="J2596">
            <v>16</v>
          </cell>
          <cell r="K2596">
            <v>21</v>
          </cell>
          <cell r="P2596">
            <v>0.80208333333333337</v>
          </cell>
          <cell r="R2596">
            <v>0.80208333333333337</v>
          </cell>
          <cell r="S2596" t="str">
            <v>sob 17:50</v>
          </cell>
          <cell r="X2596">
            <v>371</v>
          </cell>
          <cell r="Y2596" t="str">
            <v>pojedyncza dziewcząt M</v>
          </cell>
          <cell r="Z2596" t="str">
            <v>M4748</v>
          </cell>
          <cell r="AA2596" t="str">
            <v/>
          </cell>
          <cell r="AB2596" t="str">
            <v>S4370</v>
          </cell>
          <cell r="AC2596" t="str">
            <v/>
          </cell>
          <cell r="AD2596" t="str">
            <v>S4370</v>
          </cell>
          <cell r="AE2596" t="str">
            <v/>
          </cell>
          <cell r="AF2596" t="str">
            <v>21:11,21:16</v>
          </cell>
          <cell r="AG2596" t="str">
            <v>11:21,16:21</v>
          </cell>
          <cell r="AH2596" t="str">
            <v/>
          </cell>
          <cell r="AI2596">
            <v>11</v>
          </cell>
          <cell r="AJ2596">
            <v>21</v>
          </cell>
          <cell r="AK2596">
            <v>16</v>
          </cell>
          <cell r="AL2596">
            <v>21</v>
          </cell>
          <cell r="AM2596">
            <v>0</v>
          </cell>
          <cell r="AN2596">
            <v>0</v>
          </cell>
        </row>
        <row r="2597">
          <cell r="A2597" t="str">
            <v/>
          </cell>
          <cell r="B2597" t="str">
            <v>Olga MIKSZA (KS Wesoła Warszawa)</v>
          </cell>
          <cell r="H2597" t="str">
            <v>M4748</v>
          </cell>
          <cell r="K2597" t="str">
            <v>S4370</v>
          </cell>
          <cell r="N2597" t="str">
            <v>Hanna SZYMAŃSKA (STB Energia Lubliniec)</v>
          </cell>
        </row>
        <row r="2598">
          <cell r="A2598" t="str">
            <v/>
          </cell>
          <cell r="B2598" t="str">
            <v/>
          </cell>
          <cell r="H2598" t="str">
            <v/>
          </cell>
          <cell r="K2598" t="str">
            <v/>
          </cell>
          <cell r="N2598" t="str">
            <v/>
          </cell>
        </row>
        <row r="2600">
          <cell r="B2600" t="str">
            <v/>
          </cell>
          <cell r="K2600" t="str">
            <v>zwycięzca(cy): 21:11,21:16</v>
          </cell>
        </row>
        <row r="2601">
          <cell r="B2601">
            <v>2</v>
          </cell>
          <cell r="C2601" t="str">
            <v>dzień turnieju.</v>
          </cell>
          <cell r="I2601" t="str">
            <v>Nr meczu</v>
          </cell>
          <cell r="N2601" t="str">
            <v>Godz.</v>
          </cell>
          <cell r="R2601" t="str">
            <v>S. prow.</v>
          </cell>
          <cell r="AF2601" t="str">
            <v>wygrany</v>
          </cell>
          <cell r="AG2601" t="str">
            <v>przegrany</v>
          </cell>
        </row>
        <row r="2602">
          <cell r="B2602" t="str">
            <v>Boisko</v>
          </cell>
          <cell r="C2602" t="str">
            <v>Gra</v>
          </cell>
          <cell r="I2602">
            <v>372</v>
          </cell>
          <cell r="N2602" t="str">
            <v>rozp.</v>
          </cell>
          <cell r="P2602" t="str">
            <v>zak.</v>
          </cell>
          <cell r="R2602" t="str">
            <v>S. serw.</v>
          </cell>
        </row>
        <row r="2603">
          <cell r="A2603">
            <v>372</v>
          </cell>
          <cell r="B2603">
            <v>1</v>
          </cell>
          <cell r="C2603" t="str">
            <v>pojedyncza dziewcząt M</v>
          </cell>
          <cell r="H2603">
            <v>22</v>
          </cell>
          <cell r="I2603">
            <v>20</v>
          </cell>
          <cell r="J2603">
            <v>21</v>
          </cell>
          <cell r="K2603">
            <v>13</v>
          </cell>
          <cell r="P2603">
            <v>0.80555555555555547</v>
          </cell>
          <cell r="R2603">
            <v>0.80555555555555547</v>
          </cell>
          <cell r="S2603" t="str">
            <v>sob 17:50</v>
          </cell>
          <cell r="X2603">
            <v>372</v>
          </cell>
          <cell r="Y2603" t="str">
            <v>pojedyncza dziewcząt M</v>
          </cell>
          <cell r="Z2603" t="str">
            <v>M3746</v>
          </cell>
          <cell r="AA2603" t="str">
            <v/>
          </cell>
          <cell r="AB2603" t="str">
            <v>G4680</v>
          </cell>
          <cell r="AC2603" t="str">
            <v/>
          </cell>
          <cell r="AD2603" t="str">
            <v>M3746</v>
          </cell>
          <cell r="AE2603" t="str">
            <v/>
          </cell>
          <cell r="AF2603" t="str">
            <v>22:20,21:13</v>
          </cell>
          <cell r="AG2603" t="str">
            <v>20:22,13:21</v>
          </cell>
          <cell r="AH2603" t="str">
            <v/>
          </cell>
          <cell r="AI2603">
            <v>22</v>
          </cell>
          <cell r="AJ2603">
            <v>20</v>
          </cell>
          <cell r="AK2603">
            <v>21</v>
          </cell>
          <cell r="AL2603">
            <v>13</v>
          </cell>
          <cell r="AM2603">
            <v>0</v>
          </cell>
          <cell r="AN2603">
            <v>0</v>
          </cell>
        </row>
        <row r="2604">
          <cell r="A2604" t="str">
            <v/>
          </cell>
          <cell r="B2604" t="str">
            <v>Dorota MATYSIAK (KS Hubertus Zalesie Górne)</v>
          </cell>
          <cell r="H2604" t="str">
            <v>M3746</v>
          </cell>
          <cell r="K2604" t="str">
            <v>G4680</v>
          </cell>
          <cell r="N2604" t="str">
            <v>Aneta GADOMSKA (UTS Akro-Bad Warszawa)</v>
          </cell>
        </row>
        <row r="2605">
          <cell r="A2605" t="str">
            <v/>
          </cell>
          <cell r="B2605" t="str">
            <v/>
          </cell>
          <cell r="H2605" t="str">
            <v/>
          </cell>
          <cell r="K2605" t="str">
            <v/>
          </cell>
          <cell r="N2605" t="str">
            <v/>
          </cell>
        </row>
        <row r="2607">
          <cell r="B2607" t="str">
            <v>zwycięzca(cy): 22:20,21:13</v>
          </cell>
          <cell r="K2607" t="str">
            <v/>
          </cell>
        </row>
        <row r="2608">
          <cell r="B2608">
            <v>2</v>
          </cell>
          <cell r="C2608" t="str">
            <v>dzień turnieju.</v>
          </cell>
          <cell r="I2608" t="str">
            <v>Nr meczu</v>
          </cell>
          <cell r="N2608" t="str">
            <v>Godz.</v>
          </cell>
          <cell r="R2608" t="str">
            <v>S. prow.</v>
          </cell>
          <cell r="AF2608" t="str">
            <v>wygrany</v>
          </cell>
          <cell r="AG2608" t="str">
            <v>przegrany</v>
          </cell>
        </row>
        <row r="2609">
          <cell r="B2609" t="str">
            <v>Boisko</v>
          </cell>
          <cell r="C2609" t="str">
            <v>Gra</v>
          </cell>
          <cell r="I2609">
            <v>373</v>
          </cell>
          <cell r="N2609" t="str">
            <v>rozp.</v>
          </cell>
          <cell r="P2609" t="str">
            <v>zak.</v>
          </cell>
          <cell r="R2609" t="str">
            <v>S. serw.</v>
          </cell>
        </row>
        <row r="2610">
          <cell r="A2610">
            <v>373</v>
          </cell>
          <cell r="B2610">
            <v>6</v>
          </cell>
          <cell r="C2610" t="str">
            <v>pojedyncza dziewcząt M</v>
          </cell>
          <cell r="H2610">
            <v>21</v>
          </cell>
          <cell r="I2610">
            <v>3</v>
          </cell>
          <cell r="J2610">
            <v>21</v>
          </cell>
          <cell r="K2610">
            <v>6</v>
          </cell>
          <cell r="P2610">
            <v>0.80555555555555547</v>
          </cell>
          <cell r="R2610">
            <v>0.80555555555555547</v>
          </cell>
          <cell r="S2610" t="str">
            <v>sob 17:50</v>
          </cell>
          <cell r="X2610">
            <v>373</v>
          </cell>
          <cell r="Y2610" t="str">
            <v>pojedyncza dziewcząt M</v>
          </cell>
          <cell r="Z2610" t="str">
            <v>X13</v>
          </cell>
          <cell r="AA2610" t="str">
            <v/>
          </cell>
          <cell r="AB2610" t="str">
            <v>Z4822</v>
          </cell>
          <cell r="AC2610" t="str">
            <v/>
          </cell>
          <cell r="AD2610" t="str">
            <v>X13</v>
          </cell>
          <cell r="AE2610" t="str">
            <v/>
          </cell>
          <cell r="AF2610" t="str">
            <v>21:3,21:6</v>
          </cell>
          <cell r="AG2610" t="str">
            <v>3:21,6:21</v>
          </cell>
          <cell r="AH2610" t="str">
            <v/>
          </cell>
          <cell r="AI2610">
            <v>21</v>
          </cell>
          <cell r="AJ2610">
            <v>3</v>
          </cell>
          <cell r="AK2610">
            <v>21</v>
          </cell>
          <cell r="AL2610">
            <v>6</v>
          </cell>
          <cell r="AM2610">
            <v>0</v>
          </cell>
          <cell r="AN2610">
            <v>0</v>
          </cell>
        </row>
        <row r="2611">
          <cell r="A2611" t="str">
            <v/>
          </cell>
          <cell r="B2611" t="str">
            <v>Ylija BITSOUKOVA (Mińsk Białoruś)</v>
          </cell>
          <cell r="H2611" t="str">
            <v>X13</v>
          </cell>
          <cell r="K2611" t="str">
            <v>Z4822</v>
          </cell>
          <cell r="N2611" t="str">
            <v>Julia ZIEMIŃSKA (UKS Kiko Zamość)</v>
          </cell>
        </row>
        <row r="2612">
          <cell r="A2612" t="str">
            <v/>
          </cell>
          <cell r="B2612" t="str">
            <v/>
          </cell>
          <cell r="H2612" t="str">
            <v/>
          </cell>
          <cell r="K2612" t="str">
            <v/>
          </cell>
          <cell r="N2612" t="str">
            <v/>
          </cell>
        </row>
        <row r="2614">
          <cell r="B2614" t="str">
            <v>zwycięzca(cy): 21:3,21:6</v>
          </cell>
          <cell r="K2614" t="str">
            <v/>
          </cell>
        </row>
        <row r="2615">
          <cell r="B2615">
            <v>2</v>
          </cell>
          <cell r="C2615" t="str">
            <v>dzień turnieju.</v>
          </cell>
          <cell r="I2615" t="str">
            <v>Nr meczu</v>
          </cell>
          <cell r="N2615" t="str">
            <v>Godz.</v>
          </cell>
          <cell r="R2615" t="str">
            <v>S. prow.</v>
          </cell>
          <cell r="AF2615" t="str">
            <v>wygrany</v>
          </cell>
          <cell r="AG2615" t="str">
            <v>przegrany</v>
          </cell>
        </row>
        <row r="2616">
          <cell r="B2616" t="str">
            <v>Boisko</v>
          </cell>
          <cell r="C2616" t="str">
            <v>Gra</v>
          </cell>
          <cell r="I2616">
            <v>374</v>
          </cell>
          <cell r="N2616" t="str">
            <v>rozp.</v>
          </cell>
          <cell r="P2616" t="str">
            <v>zak.</v>
          </cell>
          <cell r="R2616" t="str">
            <v>S. serw.</v>
          </cell>
        </row>
        <row r="2617">
          <cell r="A2617">
            <v>374</v>
          </cell>
          <cell r="B2617">
            <v>2</v>
          </cell>
          <cell r="C2617" t="str">
            <v>pojedyncza dziewcząt M</v>
          </cell>
          <cell r="H2617">
            <v>9</v>
          </cell>
          <cell r="I2617">
            <v>21</v>
          </cell>
          <cell r="J2617">
            <v>9</v>
          </cell>
          <cell r="K2617">
            <v>21</v>
          </cell>
          <cell r="P2617">
            <v>0.81944444444444453</v>
          </cell>
          <cell r="R2617">
            <v>0.81944444444444453</v>
          </cell>
          <cell r="S2617" t="str">
            <v>sob 17:50</v>
          </cell>
          <cell r="X2617">
            <v>374</v>
          </cell>
          <cell r="Y2617" t="str">
            <v>pojedyncza dziewcząt M</v>
          </cell>
          <cell r="Z2617" t="str">
            <v>P4286</v>
          </cell>
          <cell r="AA2617" t="str">
            <v/>
          </cell>
          <cell r="AB2617" t="str">
            <v>G4208</v>
          </cell>
          <cell r="AC2617" t="str">
            <v/>
          </cell>
          <cell r="AD2617" t="str">
            <v>G4208</v>
          </cell>
          <cell r="AE2617" t="str">
            <v/>
          </cell>
          <cell r="AF2617" t="str">
            <v>21:9,21:9</v>
          </cell>
          <cell r="AG2617" t="str">
            <v>9:21,9:21</v>
          </cell>
          <cell r="AH2617" t="str">
            <v/>
          </cell>
          <cell r="AI2617">
            <v>9</v>
          </cell>
          <cell r="AJ2617">
            <v>21</v>
          </cell>
          <cell r="AK2617">
            <v>9</v>
          </cell>
          <cell r="AL2617">
            <v>21</v>
          </cell>
          <cell r="AM2617">
            <v>0</v>
          </cell>
          <cell r="AN2617">
            <v>0</v>
          </cell>
        </row>
        <row r="2618">
          <cell r="A2618" t="str">
            <v/>
          </cell>
          <cell r="B2618" t="str">
            <v>Ewelina PODZIEWSKA (SKB Suwałki)</v>
          </cell>
          <cell r="H2618" t="str">
            <v>P4286</v>
          </cell>
          <cell r="K2618" t="str">
            <v>G4208</v>
          </cell>
          <cell r="N2618" t="str">
            <v>Aleksandra GOSZCZYŃSKA (UKSB Milenium Warszawa)</v>
          </cell>
        </row>
        <row r="2619">
          <cell r="A2619" t="str">
            <v/>
          </cell>
          <cell r="B2619" t="str">
            <v/>
          </cell>
          <cell r="H2619" t="str">
            <v/>
          </cell>
          <cell r="K2619" t="str">
            <v/>
          </cell>
          <cell r="N2619" t="str">
            <v/>
          </cell>
        </row>
        <row r="2621">
          <cell r="B2621" t="str">
            <v/>
          </cell>
          <cell r="K2621" t="str">
            <v>zwycięzca(cy): 21:9,21:9</v>
          </cell>
        </row>
        <row r="2622">
          <cell r="B2622">
            <v>2</v>
          </cell>
          <cell r="C2622" t="str">
            <v>dzień turnieju.</v>
          </cell>
          <cell r="I2622" t="str">
            <v>Nr meczu</v>
          </cell>
          <cell r="N2622" t="str">
            <v>Godz.</v>
          </cell>
          <cell r="R2622" t="str">
            <v>S. prow.</v>
          </cell>
          <cell r="AF2622" t="str">
            <v>wygrany</v>
          </cell>
          <cell r="AG2622" t="str">
            <v>przegrany</v>
          </cell>
        </row>
        <row r="2623">
          <cell r="B2623" t="str">
            <v>Boisko</v>
          </cell>
          <cell r="C2623" t="str">
            <v>Gra</v>
          </cell>
          <cell r="I2623">
            <v>375</v>
          </cell>
          <cell r="N2623" t="str">
            <v>rozp.</v>
          </cell>
          <cell r="P2623" t="str">
            <v>zak.</v>
          </cell>
          <cell r="R2623" t="str">
            <v>S. serw.</v>
          </cell>
        </row>
        <row r="2624">
          <cell r="A2624">
            <v>375</v>
          </cell>
          <cell r="B2624">
            <v>2</v>
          </cell>
          <cell r="C2624" t="str">
            <v>pojedyncza dziewcząt M</v>
          </cell>
          <cell r="H2624">
            <v>17</v>
          </cell>
          <cell r="I2624">
            <v>21</v>
          </cell>
          <cell r="J2624">
            <v>17</v>
          </cell>
          <cell r="K2624">
            <v>21</v>
          </cell>
          <cell r="P2624">
            <v>0.81944444444444453</v>
          </cell>
          <cell r="R2624">
            <v>0.81944444444444453</v>
          </cell>
          <cell r="S2624" t="str">
            <v>sob 18:10</v>
          </cell>
          <cell r="X2624">
            <v>375</v>
          </cell>
          <cell r="Y2624" t="str">
            <v>pojedyncza dziewcząt M</v>
          </cell>
          <cell r="Z2624" t="str">
            <v>S4609</v>
          </cell>
          <cell r="AA2624" t="str">
            <v/>
          </cell>
          <cell r="AB2624" t="str">
            <v>X12</v>
          </cell>
          <cell r="AC2624" t="str">
            <v/>
          </cell>
          <cell r="AD2624" t="str">
            <v>X12</v>
          </cell>
          <cell r="AE2624" t="str">
            <v/>
          </cell>
          <cell r="AF2624" t="str">
            <v>21:17,21:17</v>
          </cell>
          <cell r="AG2624" t="str">
            <v>17:21,17:21</v>
          </cell>
          <cell r="AH2624" t="str">
            <v/>
          </cell>
          <cell r="AI2624">
            <v>17</v>
          </cell>
          <cell r="AJ2624">
            <v>21</v>
          </cell>
          <cell r="AK2624">
            <v>17</v>
          </cell>
          <cell r="AL2624">
            <v>21</v>
          </cell>
          <cell r="AM2624">
            <v>0</v>
          </cell>
          <cell r="AN2624">
            <v>0</v>
          </cell>
        </row>
        <row r="2625">
          <cell r="A2625" t="str">
            <v/>
          </cell>
          <cell r="B2625" t="str">
            <v>Jolanta SZYMAŃSKA (SKB Suwałki)</v>
          </cell>
          <cell r="H2625" t="str">
            <v>S4609</v>
          </cell>
          <cell r="K2625" t="str">
            <v>X12</v>
          </cell>
          <cell r="N2625" t="str">
            <v>Katsiaryna ZABLOTSKAYA (Mińsk Białoruś)</v>
          </cell>
        </row>
        <row r="2626">
          <cell r="A2626" t="str">
            <v/>
          </cell>
          <cell r="B2626" t="str">
            <v/>
          </cell>
          <cell r="H2626" t="str">
            <v/>
          </cell>
          <cell r="K2626" t="str">
            <v/>
          </cell>
          <cell r="N2626" t="str">
            <v/>
          </cell>
        </row>
        <row r="2628">
          <cell r="B2628" t="str">
            <v/>
          </cell>
          <cell r="K2628" t="str">
            <v>zwycięzca(cy): 21:17,21:17</v>
          </cell>
        </row>
        <row r="2629">
          <cell r="B2629">
            <v>2</v>
          </cell>
          <cell r="C2629" t="str">
            <v>dzień turnieju.</v>
          </cell>
          <cell r="I2629" t="str">
            <v>Nr meczu</v>
          </cell>
          <cell r="N2629" t="str">
            <v>Godz.</v>
          </cell>
          <cell r="R2629" t="str">
            <v>S. prow.</v>
          </cell>
          <cell r="AF2629" t="str">
            <v>wygrany</v>
          </cell>
          <cell r="AG2629" t="str">
            <v>przegrany</v>
          </cell>
        </row>
        <row r="2630">
          <cell r="B2630" t="str">
            <v>Boisko</v>
          </cell>
          <cell r="C2630" t="str">
            <v>Gra</v>
          </cell>
          <cell r="I2630">
            <v>376</v>
          </cell>
          <cell r="N2630" t="str">
            <v>rozp.</v>
          </cell>
          <cell r="P2630" t="str">
            <v>zak.</v>
          </cell>
          <cell r="R2630" t="str">
            <v>S. serw.</v>
          </cell>
        </row>
        <row r="2631">
          <cell r="A2631">
            <v>376</v>
          </cell>
          <cell r="B2631">
            <v>3</v>
          </cell>
          <cell r="C2631" t="str">
            <v>pojedyncza dziewcząt M</v>
          </cell>
          <cell r="H2631">
            <v>15</v>
          </cell>
          <cell r="I2631">
            <v>21</v>
          </cell>
          <cell r="J2631">
            <v>13</v>
          </cell>
          <cell r="K2631">
            <v>21</v>
          </cell>
          <cell r="P2631">
            <v>0.81944444444444453</v>
          </cell>
          <cell r="R2631">
            <v>0.81944444444444453</v>
          </cell>
          <cell r="S2631" t="str">
            <v>sob 18:10</v>
          </cell>
          <cell r="X2631">
            <v>376</v>
          </cell>
          <cell r="Y2631" t="str">
            <v>pojedyncza dziewcząt M</v>
          </cell>
          <cell r="Z2631" t="str">
            <v>F4339</v>
          </cell>
          <cell r="AA2631" t="str">
            <v/>
          </cell>
          <cell r="AB2631" t="str">
            <v>A4292</v>
          </cell>
          <cell r="AC2631" t="str">
            <v/>
          </cell>
          <cell r="AD2631" t="str">
            <v>A4292</v>
          </cell>
          <cell r="AE2631" t="str">
            <v/>
          </cell>
          <cell r="AF2631" t="str">
            <v>21:15,21:13</v>
          </cell>
          <cell r="AG2631" t="str">
            <v>15:21,13:21</v>
          </cell>
          <cell r="AH2631" t="str">
            <v/>
          </cell>
          <cell r="AI2631">
            <v>15</v>
          </cell>
          <cell r="AJ2631">
            <v>21</v>
          </cell>
          <cell r="AK2631">
            <v>13</v>
          </cell>
          <cell r="AL2631">
            <v>21</v>
          </cell>
          <cell r="AM2631">
            <v>0</v>
          </cell>
          <cell r="AN2631">
            <v>0</v>
          </cell>
        </row>
        <row r="2632">
          <cell r="A2632" t="str">
            <v/>
          </cell>
          <cell r="B2632" t="str">
            <v>Martyna FILIPIAK (MLKS Solec Kuj.)</v>
          </cell>
          <cell r="H2632" t="str">
            <v>F4339</v>
          </cell>
          <cell r="K2632" t="str">
            <v>A4292</v>
          </cell>
          <cell r="N2632" t="str">
            <v>Wiktoria ADAMEK (UKS Ząbkowice Dąbrowa Górn.)</v>
          </cell>
        </row>
        <row r="2633">
          <cell r="A2633" t="str">
            <v/>
          </cell>
          <cell r="B2633" t="str">
            <v/>
          </cell>
          <cell r="H2633" t="str">
            <v/>
          </cell>
          <cell r="K2633" t="str">
            <v/>
          </cell>
          <cell r="N2633" t="str">
            <v/>
          </cell>
        </row>
        <row r="2635">
          <cell r="B2635" t="str">
            <v/>
          </cell>
          <cell r="K2635" t="str">
            <v>zwycięzca(cy): 21:15,21:13</v>
          </cell>
        </row>
        <row r="2636">
          <cell r="B2636">
            <v>2</v>
          </cell>
          <cell r="C2636" t="str">
            <v>dzień turnieju.</v>
          </cell>
          <cell r="I2636" t="str">
            <v>Nr meczu</v>
          </cell>
          <cell r="N2636" t="str">
            <v>Godz.</v>
          </cell>
          <cell r="R2636" t="str">
            <v>S. prow.</v>
          </cell>
          <cell r="AF2636" t="str">
            <v>wygrany</v>
          </cell>
          <cell r="AG2636" t="str">
            <v>przegrany</v>
          </cell>
        </row>
        <row r="2637">
          <cell r="B2637" t="str">
            <v>Boisko</v>
          </cell>
          <cell r="C2637" t="str">
            <v>Gra</v>
          </cell>
          <cell r="I2637">
            <v>377</v>
          </cell>
          <cell r="N2637" t="str">
            <v>rozp.</v>
          </cell>
          <cell r="P2637" t="str">
            <v>zak.</v>
          </cell>
          <cell r="R2637" t="str">
            <v>S. serw.</v>
          </cell>
        </row>
        <row r="2638">
          <cell r="A2638">
            <v>377</v>
          </cell>
          <cell r="B2638">
            <v>6</v>
          </cell>
          <cell r="C2638" t="str">
            <v>pojedyncza chłopców M</v>
          </cell>
          <cell r="H2638">
            <v>21</v>
          </cell>
          <cell r="I2638">
            <v>14</v>
          </cell>
          <cell r="J2638">
            <v>21</v>
          </cell>
          <cell r="K2638">
            <v>13</v>
          </cell>
          <cell r="P2638">
            <v>0.81944444444444453</v>
          </cell>
          <cell r="R2638">
            <v>0.81944444444444453</v>
          </cell>
          <cell r="S2638" t="str">
            <v>sob 18:10</v>
          </cell>
          <cell r="X2638">
            <v>377</v>
          </cell>
          <cell r="Y2638" t="str">
            <v>pojedyncza chłopców M</v>
          </cell>
          <cell r="Z2638" t="str">
            <v>A4673</v>
          </cell>
          <cell r="AA2638" t="str">
            <v/>
          </cell>
          <cell r="AB2638" t="str">
            <v>W4701</v>
          </cell>
          <cell r="AC2638" t="str">
            <v/>
          </cell>
          <cell r="AD2638" t="str">
            <v>A4673</v>
          </cell>
          <cell r="AE2638" t="str">
            <v/>
          </cell>
          <cell r="AF2638" t="str">
            <v>21:14,21:13</v>
          </cell>
          <cell r="AG2638" t="str">
            <v>14:21,13:21</v>
          </cell>
          <cell r="AH2638" t="str">
            <v/>
          </cell>
          <cell r="AI2638">
            <v>21</v>
          </cell>
          <cell r="AJ2638">
            <v>14</v>
          </cell>
          <cell r="AK2638">
            <v>21</v>
          </cell>
          <cell r="AL2638">
            <v>13</v>
          </cell>
          <cell r="AM2638">
            <v>0</v>
          </cell>
          <cell r="AN2638">
            <v>0</v>
          </cell>
        </row>
        <row r="2639">
          <cell r="A2639" t="str">
            <v/>
          </cell>
          <cell r="B2639" t="str">
            <v>Szymon ADAMCZUK (UKS Kiko Zamość)</v>
          </cell>
          <cell r="H2639" t="str">
            <v>A4673</v>
          </cell>
          <cell r="K2639" t="str">
            <v>W4701</v>
          </cell>
          <cell r="N2639" t="str">
            <v>Radosław WRÓBEL (KB Vol-Trick Kępno)</v>
          </cell>
        </row>
        <row r="2640">
          <cell r="A2640" t="str">
            <v/>
          </cell>
          <cell r="B2640" t="str">
            <v/>
          </cell>
          <cell r="H2640" t="str">
            <v/>
          </cell>
          <cell r="K2640" t="str">
            <v/>
          </cell>
          <cell r="N2640" t="str">
            <v/>
          </cell>
        </row>
        <row r="2642">
          <cell r="B2642" t="str">
            <v>zwycięzca(cy): 21:14,21:13</v>
          </cell>
          <cell r="K2642" t="str">
            <v/>
          </cell>
        </row>
        <row r="2643">
          <cell r="B2643">
            <v>2</v>
          </cell>
          <cell r="C2643" t="str">
            <v>dzień turnieju.</v>
          </cell>
          <cell r="I2643" t="str">
            <v>Nr meczu</v>
          </cell>
          <cell r="N2643" t="str">
            <v>Godz.</v>
          </cell>
          <cell r="R2643" t="str">
            <v>S. prow.</v>
          </cell>
          <cell r="AF2643" t="str">
            <v>wygrany</v>
          </cell>
          <cell r="AG2643" t="str">
            <v>przegrany</v>
          </cell>
        </row>
        <row r="2644">
          <cell r="B2644" t="str">
            <v>Boisko</v>
          </cell>
          <cell r="C2644" t="str">
            <v>Gra</v>
          </cell>
          <cell r="I2644">
            <v>378</v>
          </cell>
          <cell r="N2644" t="str">
            <v>rozp.</v>
          </cell>
          <cell r="P2644" t="str">
            <v>zak.</v>
          </cell>
          <cell r="R2644" t="str">
            <v>S. serw.</v>
          </cell>
        </row>
        <row r="2645">
          <cell r="A2645">
            <v>378</v>
          </cell>
          <cell r="B2645">
            <v>1</v>
          </cell>
          <cell r="C2645" t="str">
            <v>pojedyncza chłopców M</v>
          </cell>
          <cell r="H2645">
            <v>21</v>
          </cell>
          <cell r="I2645">
            <v>14</v>
          </cell>
          <cell r="J2645">
            <v>21</v>
          </cell>
          <cell r="K2645">
            <v>9</v>
          </cell>
          <cell r="P2645">
            <v>0.81944444444444453</v>
          </cell>
          <cell r="R2645">
            <v>0.81944444444444453</v>
          </cell>
          <cell r="S2645" t="str">
            <v>sob 18:10</v>
          </cell>
          <cell r="X2645">
            <v>378</v>
          </cell>
          <cell r="Y2645" t="str">
            <v>pojedyncza chłopców M</v>
          </cell>
          <cell r="Z2645" t="str">
            <v>K4283</v>
          </cell>
          <cell r="AA2645" t="str">
            <v/>
          </cell>
          <cell r="AB2645" t="str">
            <v>W4657</v>
          </cell>
          <cell r="AC2645" t="str">
            <v/>
          </cell>
          <cell r="AD2645" t="str">
            <v>K4283</v>
          </cell>
          <cell r="AE2645" t="str">
            <v/>
          </cell>
          <cell r="AF2645" t="str">
            <v>21:14,21:9</v>
          </cell>
          <cell r="AG2645" t="str">
            <v>14:21,9:21</v>
          </cell>
          <cell r="AH2645" t="str">
            <v/>
          </cell>
          <cell r="AI2645">
            <v>21</v>
          </cell>
          <cell r="AJ2645">
            <v>14</v>
          </cell>
          <cell r="AK2645">
            <v>21</v>
          </cell>
          <cell r="AL2645">
            <v>9</v>
          </cell>
          <cell r="AM2645">
            <v>0</v>
          </cell>
          <cell r="AN2645">
            <v>0</v>
          </cell>
        </row>
        <row r="2646">
          <cell r="A2646" t="str">
            <v/>
          </cell>
          <cell r="B2646" t="str">
            <v>Filip KRUKOWSKI (SKB Suwałki)</v>
          </cell>
          <cell r="H2646" t="str">
            <v>K4283</v>
          </cell>
          <cell r="K2646" t="str">
            <v>W4657</v>
          </cell>
          <cell r="N2646" t="str">
            <v>Aleksander WYŻYKOWSKI (KS Hubertus Zalesie Górne)</v>
          </cell>
        </row>
        <row r="2647">
          <cell r="A2647" t="str">
            <v/>
          </cell>
          <cell r="B2647" t="str">
            <v/>
          </cell>
          <cell r="H2647" t="str">
            <v/>
          </cell>
          <cell r="K2647" t="str">
            <v/>
          </cell>
          <cell r="N2647" t="str">
            <v/>
          </cell>
        </row>
        <row r="2649">
          <cell r="B2649" t="str">
            <v>zwycięzca(cy): 21:14,21:9</v>
          </cell>
          <cell r="K2649" t="str">
            <v/>
          </cell>
        </row>
        <row r="2650">
          <cell r="B2650">
            <v>2</v>
          </cell>
          <cell r="C2650" t="str">
            <v>dzień turnieju.</v>
          </cell>
          <cell r="I2650" t="str">
            <v>Nr meczu</v>
          </cell>
          <cell r="N2650" t="str">
            <v>Godz.</v>
          </cell>
          <cell r="R2650" t="str">
            <v>S. prow.</v>
          </cell>
          <cell r="AF2650" t="str">
            <v>wygrany</v>
          </cell>
          <cell r="AG2650" t="str">
            <v>przegrany</v>
          </cell>
        </row>
        <row r="2651">
          <cell r="B2651" t="str">
            <v>Boisko</v>
          </cell>
          <cell r="C2651" t="str">
            <v>Gra</v>
          </cell>
          <cell r="I2651">
            <v>379</v>
          </cell>
          <cell r="N2651" t="str">
            <v>rozp.</v>
          </cell>
          <cell r="P2651" t="str">
            <v>zak.</v>
          </cell>
          <cell r="R2651" t="str">
            <v>S. serw.</v>
          </cell>
        </row>
        <row r="2652">
          <cell r="A2652">
            <v>379</v>
          </cell>
          <cell r="B2652">
            <v>4</v>
          </cell>
          <cell r="C2652" t="str">
            <v>pojedyncza chłopców M</v>
          </cell>
          <cell r="H2652">
            <v>21</v>
          </cell>
          <cell r="I2652">
            <v>8</v>
          </cell>
          <cell r="J2652">
            <v>21</v>
          </cell>
          <cell r="K2652">
            <v>8</v>
          </cell>
          <cell r="P2652">
            <v>0.82638888888888884</v>
          </cell>
          <cell r="R2652">
            <v>0.82638888888888884</v>
          </cell>
          <cell r="S2652" t="str">
            <v>sob 18:10</v>
          </cell>
          <cell r="X2652">
            <v>379</v>
          </cell>
          <cell r="Y2652" t="str">
            <v>pojedyncza chłopców M</v>
          </cell>
          <cell r="Z2652" t="str">
            <v>S3748</v>
          </cell>
          <cell r="AA2652" t="str">
            <v/>
          </cell>
          <cell r="AB2652" t="str">
            <v>S4265</v>
          </cell>
          <cell r="AC2652" t="str">
            <v/>
          </cell>
          <cell r="AD2652" t="str">
            <v>S3748</v>
          </cell>
          <cell r="AE2652" t="str">
            <v/>
          </cell>
          <cell r="AF2652" t="str">
            <v>21:8,21:8</v>
          </cell>
          <cell r="AG2652" t="str">
            <v>8:21,8:21</v>
          </cell>
          <cell r="AH2652" t="str">
            <v/>
          </cell>
          <cell r="AI2652">
            <v>21</v>
          </cell>
          <cell r="AJ2652">
            <v>8</v>
          </cell>
          <cell r="AK2652">
            <v>21</v>
          </cell>
          <cell r="AL2652">
            <v>8</v>
          </cell>
          <cell r="AM2652">
            <v>0</v>
          </cell>
          <cell r="AN2652">
            <v>0</v>
          </cell>
        </row>
        <row r="2653">
          <cell r="A2653" t="str">
            <v/>
          </cell>
          <cell r="B2653" t="str">
            <v>Adam SZOLC (KS Hubertus Zalesie Górne)</v>
          </cell>
          <cell r="H2653" t="str">
            <v>S3748</v>
          </cell>
          <cell r="K2653" t="str">
            <v>S4265</v>
          </cell>
          <cell r="N2653" t="str">
            <v>Łukasz STĘPNIEWSKI (MKB Lednik Miastko)</v>
          </cell>
        </row>
        <row r="2654">
          <cell r="A2654" t="str">
            <v/>
          </cell>
          <cell r="B2654" t="str">
            <v/>
          </cell>
          <cell r="H2654" t="str">
            <v/>
          </cell>
          <cell r="K2654" t="str">
            <v/>
          </cell>
          <cell r="N2654" t="str">
            <v/>
          </cell>
        </row>
        <row r="2656">
          <cell r="B2656" t="str">
            <v>zwycięzca(cy): 21:8,21:8</v>
          </cell>
          <cell r="K2656" t="str">
            <v/>
          </cell>
        </row>
        <row r="2657">
          <cell r="B2657">
            <v>2</v>
          </cell>
          <cell r="C2657" t="str">
            <v>dzień turnieju.</v>
          </cell>
          <cell r="I2657" t="str">
            <v>Nr meczu</v>
          </cell>
          <cell r="N2657" t="str">
            <v>Godz.</v>
          </cell>
          <cell r="R2657" t="str">
            <v>S. prow.</v>
          </cell>
          <cell r="AF2657" t="str">
            <v>wygrany</v>
          </cell>
          <cell r="AG2657" t="str">
            <v>przegrany</v>
          </cell>
        </row>
        <row r="2658">
          <cell r="B2658" t="str">
            <v>Boisko</v>
          </cell>
          <cell r="C2658" t="str">
            <v>Gra</v>
          </cell>
          <cell r="I2658">
            <v>380</v>
          </cell>
          <cell r="N2658" t="str">
            <v>rozp.</v>
          </cell>
          <cell r="P2658" t="str">
            <v>zak.</v>
          </cell>
          <cell r="R2658" t="str">
            <v>S. serw.</v>
          </cell>
        </row>
        <row r="2659">
          <cell r="A2659">
            <v>380</v>
          </cell>
          <cell r="B2659">
            <v>3</v>
          </cell>
          <cell r="C2659" t="str">
            <v>pojedyncza chłopców M</v>
          </cell>
          <cell r="H2659">
            <v>15</v>
          </cell>
          <cell r="I2659">
            <v>21</v>
          </cell>
          <cell r="J2659">
            <v>13</v>
          </cell>
          <cell r="K2659">
            <v>21</v>
          </cell>
          <cell r="P2659">
            <v>0.83333333333333337</v>
          </cell>
          <cell r="R2659">
            <v>0.83333333333333337</v>
          </cell>
          <cell r="S2659" t="str">
            <v>sob 18:10</v>
          </cell>
          <cell r="X2659">
            <v>380</v>
          </cell>
          <cell r="Y2659" t="str">
            <v>pojedyncza chłopców M</v>
          </cell>
          <cell r="Z2659" t="str">
            <v>G4560</v>
          </cell>
          <cell r="AA2659" t="str">
            <v/>
          </cell>
          <cell r="AB2659" t="str">
            <v>G4577</v>
          </cell>
          <cell r="AC2659" t="str">
            <v/>
          </cell>
          <cell r="AD2659" t="str">
            <v>G4577</v>
          </cell>
          <cell r="AE2659" t="str">
            <v/>
          </cell>
          <cell r="AF2659" t="str">
            <v>21:15,21:13</v>
          </cell>
          <cell r="AG2659" t="str">
            <v>15:21,13:21</v>
          </cell>
          <cell r="AH2659" t="str">
            <v/>
          </cell>
          <cell r="AI2659">
            <v>15</v>
          </cell>
          <cell r="AJ2659">
            <v>21</v>
          </cell>
          <cell r="AK2659">
            <v>13</v>
          </cell>
          <cell r="AL2659">
            <v>21</v>
          </cell>
          <cell r="AM2659">
            <v>0</v>
          </cell>
          <cell r="AN2659">
            <v>0</v>
          </cell>
        </row>
        <row r="2660">
          <cell r="A2660" t="str">
            <v/>
          </cell>
          <cell r="B2660" t="str">
            <v>Michał GOMOŁA (KS Masovia Płock)</v>
          </cell>
          <cell r="H2660" t="str">
            <v>G4560</v>
          </cell>
          <cell r="K2660" t="str">
            <v>G4577</v>
          </cell>
          <cell r="N2660" t="str">
            <v>Jakub GIREŃ (MKS Strzelce Opolskie)</v>
          </cell>
        </row>
        <row r="2661">
          <cell r="A2661" t="str">
            <v/>
          </cell>
          <cell r="B2661" t="str">
            <v/>
          </cell>
          <cell r="H2661" t="str">
            <v/>
          </cell>
          <cell r="K2661" t="str">
            <v/>
          </cell>
          <cell r="N2661" t="str">
            <v/>
          </cell>
        </row>
        <row r="2663">
          <cell r="B2663" t="str">
            <v/>
          </cell>
          <cell r="K2663" t="str">
            <v>zwycięzca(cy): 21:15,21:13</v>
          </cell>
        </row>
        <row r="2664">
          <cell r="B2664">
            <v>2</v>
          </cell>
          <cell r="C2664" t="str">
            <v>dzień turnieju.</v>
          </cell>
          <cell r="I2664" t="str">
            <v>Nr meczu</v>
          </cell>
          <cell r="N2664" t="str">
            <v>Godz.</v>
          </cell>
          <cell r="R2664" t="str">
            <v>S. prow.</v>
          </cell>
          <cell r="AF2664" t="str">
            <v>wygrany</v>
          </cell>
          <cell r="AG2664" t="str">
            <v>przegrany</v>
          </cell>
        </row>
        <row r="2665">
          <cell r="B2665" t="str">
            <v>Boisko</v>
          </cell>
          <cell r="C2665" t="str">
            <v>Gra</v>
          </cell>
          <cell r="I2665">
            <v>381</v>
          </cell>
          <cell r="N2665" t="str">
            <v>rozp.</v>
          </cell>
          <cell r="P2665" t="str">
            <v>zak.</v>
          </cell>
          <cell r="R2665" t="str">
            <v>S. serw.</v>
          </cell>
        </row>
        <row r="2666">
          <cell r="A2666">
            <v>381</v>
          </cell>
          <cell r="B2666">
            <v>2</v>
          </cell>
          <cell r="C2666" t="str">
            <v>pojedyncza chłopców M</v>
          </cell>
          <cell r="H2666">
            <v>21</v>
          </cell>
          <cell r="I2666">
            <v>12</v>
          </cell>
          <cell r="J2666">
            <v>26</v>
          </cell>
          <cell r="K2666">
            <v>24</v>
          </cell>
          <cell r="P2666">
            <v>0.83680555555555547</v>
          </cell>
          <cell r="R2666">
            <v>0.83680555555555547</v>
          </cell>
          <cell r="S2666" t="str">
            <v>sob 18:10</v>
          </cell>
          <cell r="X2666">
            <v>381</v>
          </cell>
          <cell r="Y2666" t="str">
            <v>pojedyncza chłopców M</v>
          </cell>
          <cell r="Z2666" t="str">
            <v>K4579</v>
          </cell>
          <cell r="AA2666" t="str">
            <v/>
          </cell>
          <cell r="AB2666" t="str">
            <v>J4677</v>
          </cell>
          <cell r="AC2666" t="str">
            <v/>
          </cell>
          <cell r="AD2666" t="str">
            <v>K4579</v>
          </cell>
          <cell r="AE2666" t="str">
            <v/>
          </cell>
          <cell r="AF2666" t="str">
            <v>21:12,26:24</v>
          </cell>
          <cell r="AG2666" t="str">
            <v>12:21,24:26</v>
          </cell>
          <cell r="AH2666" t="str">
            <v/>
          </cell>
          <cell r="AI2666">
            <v>21</v>
          </cell>
          <cell r="AJ2666">
            <v>12</v>
          </cell>
          <cell r="AK2666">
            <v>26</v>
          </cell>
          <cell r="AL2666">
            <v>24</v>
          </cell>
          <cell r="AM2666">
            <v>0</v>
          </cell>
          <cell r="AN2666">
            <v>0</v>
          </cell>
        </row>
        <row r="2667">
          <cell r="A2667" t="str">
            <v/>
          </cell>
          <cell r="B2667" t="str">
            <v>Miłosz KAIM (KS Masovia Płock)</v>
          </cell>
          <cell r="H2667" t="str">
            <v>K4579</v>
          </cell>
          <cell r="K2667" t="str">
            <v>J4677</v>
          </cell>
          <cell r="N2667" t="str">
            <v>Adam JAGODA (UKS Kiko Zamość)</v>
          </cell>
        </row>
        <row r="2668">
          <cell r="A2668" t="str">
            <v/>
          </cell>
          <cell r="B2668" t="str">
            <v/>
          </cell>
          <cell r="H2668" t="str">
            <v/>
          </cell>
          <cell r="K2668" t="str">
            <v/>
          </cell>
          <cell r="N2668" t="str">
            <v/>
          </cell>
        </row>
        <row r="2670">
          <cell r="B2670" t="str">
            <v>zwycięzca(cy): 21:12,26:24</v>
          </cell>
          <cell r="K2670" t="str">
            <v/>
          </cell>
        </row>
        <row r="2671">
          <cell r="B2671">
            <v>2</v>
          </cell>
          <cell r="C2671" t="str">
            <v>dzień turnieju.</v>
          </cell>
          <cell r="I2671" t="str">
            <v>Nr meczu</v>
          </cell>
          <cell r="N2671" t="str">
            <v>Godz.</v>
          </cell>
          <cell r="R2671" t="str">
            <v>S. prow.</v>
          </cell>
          <cell r="AF2671" t="str">
            <v>wygrany</v>
          </cell>
          <cell r="AG2671" t="str">
            <v>przegrany</v>
          </cell>
        </row>
        <row r="2672">
          <cell r="B2672" t="str">
            <v>Boisko</v>
          </cell>
          <cell r="C2672" t="str">
            <v>Gra</v>
          </cell>
          <cell r="I2672">
            <v>382</v>
          </cell>
          <cell r="N2672" t="str">
            <v>rozp.</v>
          </cell>
          <cell r="P2672" t="str">
            <v>zak.</v>
          </cell>
          <cell r="R2672" t="str">
            <v>S. serw.</v>
          </cell>
        </row>
        <row r="2673">
          <cell r="A2673">
            <v>382</v>
          </cell>
          <cell r="B2673">
            <v>5</v>
          </cell>
          <cell r="C2673" t="str">
            <v>pojedyncza chłopców M</v>
          </cell>
          <cell r="H2673">
            <v>21</v>
          </cell>
          <cell r="I2673">
            <v>12</v>
          </cell>
          <cell r="J2673">
            <v>21</v>
          </cell>
          <cell r="K2673">
            <v>16</v>
          </cell>
          <cell r="P2673">
            <v>0.82638888888888884</v>
          </cell>
          <cell r="R2673">
            <v>0.82638888888888884</v>
          </cell>
          <cell r="S2673" t="str">
            <v>sob 18:10</v>
          </cell>
          <cell r="X2673">
            <v>382</v>
          </cell>
          <cell r="Y2673" t="str">
            <v>pojedyncza chłopców M</v>
          </cell>
          <cell r="Z2673" t="str">
            <v>S4287</v>
          </cell>
          <cell r="AA2673" t="str">
            <v/>
          </cell>
          <cell r="AB2673" t="str">
            <v>B4431</v>
          </cell>
          <cell r="AC2673" t="str">
            <v/>
          </cell>
          <cell r="AD2673" t="str">
            <v>S4287</v>
          </cell>
          <cell r="AE2673" t="str">
            <v/>
          </cell>
          <cell r="AF2673" t="str">
            <v>21:12,21:16</v>
          </cell>
          <cell r="AG2673" t="str">
            <v>12:21,16:21</v>
          </cell>
          <cell r="AH2673" t="str">
            <v/>
          </cell>
          <cell r="AI2673">
            <v>21</v>
          </cell>
          <cell r="AJ2673">
            <v>12</v>
          </cell>
          <cell r="AK2673">
            <v>21</v>
          </cell>
          <cell r="AL2673">
            <v>16</v>
          </cell>
          <cell r="AM2673">
            <v>0</v>
          </cell>
          <cell r="AN2673">
            <v>0</v>
          </cell>
        </row>
        <row r="2674">
          <cell r="A2674" t="str">
            <v/>
          </cell>
          <cell r="B2674" t="str">
            <v>Michał SOBOLEWSKI (SKB Suwałki)</v>
          </cell>
          <cell r="H2674" t="str">
            <v>S4287</v>
          </cell>
          <cell r="K2674" t="str">
            <v>B4431</v>
          </cell>
          <cell r="N2674" t="str">
            <v>Michał BIENIA (UKS Aktywna Piątka Przemyśl)</v>
          </cell>
        </row>
        <row r="2675">
          <cell r="A2675" t="str">
            <v/>
          </cell>
          <cell r="B2675" t="str">
            <v/>
          </cell>
          <cell r="H2675" t="str">
            <v/>
          </cell>
          <cell r="K2675" t="str">
            <v/>
          </cell>
          <cell r="N2675" t="str">
            <v/>
          </cell>
        </row>
        <row r="2677">
          <cell r="B2677" t="str">
            <v>zwycięzca(cy): 21:12,21:16</v>
          </cell>
          <cell r="K2677" t="str">
            <v/>
          </cell>
        </row>
        <row r="2678">
          <cell r="B2678">
            <v>2</v>
          </cell>
          <cell r="C2678" t="str">
            <v>dzień turnieju.</v>
          </cell>
          <cell r="I2678" t="str">
            <v>Nr meczu</v>
          </cell>
          <cell r="N2678" t="str">
            <v>Godz.</v>
          </cell>
          <cell r="R2678" t="str">
            <v>S. prow.</v>
          </cell>
          <cell r="AF2678" t="str">
            <v>wygrany</v>
          </cell>
          <cell r="AG2678" t="str">
            <v>przegrany</v>
          </cell>
        </row>
        <row r="2679">
          <cell r="B2679" t="str">
            <v>Boisko</v>
          </cell>
          <cell r="C2679" t="str">
            <v>Gra</v>
          </cell>
          <cell r="I2679">
            <v>383</v>
          </cell>
          <cell r="N2679" t="str">
            <v>rozp.</v>
          </cell>
          <cell r="P2679" t="str">
            <v>zak.</v>
          </cell>
          <cell r="R2679" t="str">
            <v>S. serw.</v>
          </cell>
        </row>
        <row r="2680">
          <cell r="A2680">
            <v>383</v>
          </cell>
          <cell r="B2680">
            <v>1</v>
          </cell>
          <cell r="C2680" t="str">
            <v>pojedyncza chłopców M</v>
          </cell>
          <cell r="H2680">
            <v>14</v>
          </cell>
          <cell r="I2680">
            <v>21</v>
          </cell>
          <cell r="J2680">
            <v>18</v>
          </cell>
          <cell r="K2680">
            <v>21</v>
          </cell>
          <cell r="P2680">
            <v>0.83333333333333337</v>
          </cell>
          <cell r="R2680">
            <v>0.83333333333333337</v>
          </cell>
          <cell r="S2680" t="str">
            <v>sob 18:30</v>
          </cell>
          <cell r="X2680">
            <v>383</v>
          </cell>
          <cell r="Y2680" t="str">
            <v>pojedyncza chłopców M</v>
          </cell>
          <cell r="Z2680" t="str">
            <v>K4613</v>
          </cell>
          <cell r="AA2680" t="str">
            <v/>
          </cell>
          <cell r="AB2680" t="str">
            <v>P4121</v>
          </cell>
          <cell r="AC2680" t="str">
            <v/>
          </cell>
          <cell r="AD2680" t="str">
            <v>P4121</v>
          </cell>
          <cell r="AE2680" t="str">
            <v/>
          </cell>
          <cell r="AF2680" t="str">
            <v>21:14,21:18</v>
          </cell>
          <cell r="AG2680" t="str">
            <v>14:21,18:21</v>
          </cell>
          <cell r="AH2680" t="str">
            <v/>
          </cell>
          <cell r="AI2680">
            <v>14</v>
          </cell>
          <cell r="AJ2680">
            <v>21</v>
          </cell>
          <cell r="AK2680">
            <v>18</v>
          </cell>
          <cell r="AL2680">
            <v>21</v>
          </cell>
          <cell r="AM2680">
            <v>0</v>
          </cell>
          <cell r="AN2680">
            <v>0</v>
          </cell>
        </row>
        <row r="2681">
          <cell r="A2681" t="str">
            <v/>
          </cell>
          <cell r="B2681" t="str">
            <v>Jakub KUFEL (UKS Orbitek Straszęcin)</v>
          </cell>
          <cell r="H2681" t="str">
            <v>K4613</v>
          </cell>
          <cell r="K2681" t="str">
            <v>P4121</v>
          </cell>
          <cell r="N2681" t="str">
            <v>Konrad PŁOCH (UKS Start Widełka)</v>
          </cell>
        </row>
        <row r="2682">
          <cell r="A2682" t="str">
            <v/>
          </cell>
          <cell r="B2682" t="str">
            <v/>
          </cell>
          <cell r="H2682" t="str">
            <v/>
          </cell>
          <cell r="K2682" t="str">
            <v/>
          </cell>
          <cell r="N2682" t="str">
            <v/>
          </cell>
        </row>
        <row r="2684">
          <cell r="B2684" t="str">
            <v/>
          </cell>
          <cell r="K2684" t="str">
            <v>zwycięzca(cy): 21:14,21:18</v>
          </cell>
        </row>
        <row r="2685">
          <cell r="B2685">
            <v>2</v>
          </cell>
          <cell r="C2685" t="str">
            <v>dzień turnieju.</v>
          </cell>
          <cell r="I2685" t="str">
            <v>Nr meczu</v>
          </cell>
          <cell r="N2685" t="str">
            <v>Godz.</v>
          </cell>
          <cell r="R2685" t="str">
            <v>S. prow.</v>
          </cell>
          <cell r="AF2685" t="str">
            <v>wygrany</v>
          </cell>
          <cell r="AG2685" t="str">
            <v>przegrany</v>
          </cell>
        </row>
        <row r="2686">
          <cell r="B2686" t="str">
            <v>Boisko</v>
          </cell>
          <cell r="C2686" t="str">
            <v>Gra</v>
          </cell>
          <cell r="I2686">
            <v>384</v>
          </cell>
          <cell r="N2686" t="str">
            <v>rozp.</v>
          </cell>
          <cell r="P2686" t="str">
            <v>zak.</v>
          </cell>
          <cell r="R2686" t="str">
            <v>S. serw.</v>
          </cell>
        </row>
        <row r="2687">
          <cell r="A2687">
            <v>384</v>
          </cell>
          <cell r="B2687">
            <v>6</v>
          </cell>
          <cell r="C2687" t="str">
            <v>pojedyncza chłopców M</v>
          </cell>
          <cell r="H2687">
            <v>16</v>
          </cell>
          <cell r="I2687">
            <v>21</v>
          </cell>
          <cell r="J2687">
            <v>15</v>
          </cell>
          <cell r="K2687">
            <v>21</v>
          </cell>
          <cell r="P2687">
            <v>0.83333333333333337</v>
          </cell>
          <cell r="R2687">
            <v>0.83333333333333337</v>
          </cell>
          <cell r="S2687" t="str">
            <v>sob 18:30</v>
          </cell>
          <cell r="X2687">
            <v>384</v>
          </cell>
          <cell r="Y2687" t="str">
            <v>pojedyncza chłopców M</v>
          </cell>
          <cell r="Z2687" t="str">
            <v>G4559</v>
          </cell>
          <cell r="AA2687" t="str">
            <v/>
          </cell>
          <cell r="AB2687" t="str">
            <v>C3670</v>
          </cell>
          <cell r="AC2687" t="str">
            <v/>
          </cell>
          <cell r="AD2687" t="str">
            <v>C3670</v>
          </cell>
          <cell r="AE2687" t="str">
            <v/>
          </cell>
          <cell r="AF2687" t="str">
            <v>21:16,21:15</v>
          </cell>
          <cell r="AG2687" t="str">
            <v>16:21,15:21</v>
          </cell>
          <cell r="AH2687" t="str">
            <v/>
          </cell>
          <cell r="AI2687">
            <v>16</v>
          </cell>
          <cell r="AJ2687">
            <v>21</v>
          </cell>
          <cell r="AK2687">
            <v>15</v>
          </cell>
          <cell r="AL2687">
            <v>21</v>
          </cell>
          <cell r="AM2687">
            <v>0</v>
          </cell>
          <cell r="AN2687">
            <v>0</v>
          </cell>
        </row>
        <row r="2688">
          <cell r="A2688" t="str">
            <v/>
          </cell>
          <cell r="B2688" t="str">
            <v>Maciej GOMOŁA (KS Masovia Płock)</v>
          </cell>
          <cell r="H2688" t="str">
            <v>G4559</v>
          </cell>
          <cell r="K2688" t="str">
            <v>C3670</v>
          </cell>
          <cell r="N2688" t="str">
            <v>Robert CYBULSKI (MKB Lednik Miastko)</v>
          </cell>
        </row>
        <row r="2689">
          <cell r="A2689" t="str">
            <v/>
          </cell>
          <cell r="B2689" t="str">
            <v/>
          </cell>
          <cell r="H2689" t="str">
            <v/>
          </cell>
          <cell r="K2689" t="str">
            <v/>
          </cell>
          <cell r="N2689" t="str">
            <v/>
          </cell>
        </row>
        <row r="2691">
          <cell r="B2691" t="str">
            <v/>
          </cell>
          <cell r="K2691" t="str">
            <v>zwycięzca(cy): 21:16,21:15</v>
          </cell>
        </row>
        <row r="2692">
          <cell r="B2692">
            <v>2</v>
          </cell>
          <cell r="C2692" t="str">
            <v>dzień turnieju.</v>
          </cell>
          <cell r="I2692" t="str">
            <v>Nr meczu</v>
          </cell>
          <cell r="N2692" t="str">
            <v>Godz.</v>
          </cell>
          <cell r="R2692" t="str">
            <v>S. prow.</v>
          </cell>
          <cell r="AF2692" t="str">
            <v>wygrany</v>
          </cell>
          <cell r="AG2692" t="str">
            <v>przegrany</v>
          </cell>
        </row>
        <row r="2693">
          <cell r="B2693" t="str">
            <v>Boisko</v>
          </cell>
          <cell r="C2693" t="str">
            <v>Gra</v>
          </cell>
          <cell r="I2693">
            <v>385</v>
          </cell>
          <cell r="N2693" t="str">
            <v>rozp.</v>
          </cell>
          <cell r="P2693" t="str">
            <v>zak.</v>
          </cell>
          <cell r="R2693" t="str">
            <v>S. serw.</v>
          </cell>
        </row>
        <row r="2694">
          <cell r="A2694">
            <v>385</v>
          </cell>
          <cell r="B2694">
            <v>4</v>
          </cell>
          <cell r="C2694" t="str">
            <v>mieszana MM</v>
          </cell>
          <cell r="H2694">
            <v>10</v>
          </cell>
          <cell r="I2694">
            <v>21</v>
          </cell>
          <cell r="J2694">
            <v>13</v>
          </cell>
          <cell r="K2694">
            <v>21</v>
          </cell>
          <cell r="P2694">
            <v>0.84236111111111101</v>
          </cell>
          <cell r="R2694">
            <v>0.84236111111111101</v>
          </cell>
          <cell r="S2694" t="str">
            <v>sob 18:30</v>
          </cell>
          <cell r="X2694">
            <v>385</v>
          </cell>
          <cell r="Y2694" t="str">
            <v>mieszana MM</v>
          </cell>
          <cell r="Z2694" t="str">
            <v>G4725</v>
          </cell>
          <cell r="AA2694" t="str">
            <v>K5208</v>
          </cell>
          <cell r="AB2694" t="str">
            <v>M4565</v>
          </cell>
          <cell r="AC2694" t="str">
            <v>X05</v>
          </cell>
          <cell r="AD2694" t="str">
            <v>M4565</v>
          </cell>
          <cell r="AE2694" t="str">
            <v>X05</v>
          </cell>
          <cell r="AF2694" t="str">
            <v>21:10,21:13</v>
          </cell>
          <cell r="AG2694" t="str">
            <v>10:21,13:21</v>
          </cell>
          <cell r="AH2694" t="str">
            <v/>
          </cell>
          <cell r="AI2694">
            <v>10</v>
          </cell>
          <cell r="AJ2694">
            <v>21</v>
          </cell>
          <cell r="AK2694">
            <v>13</v>
          </cell>
          <cell r="AL2694">
            <v>21</v>
          </cell>
          <cell r="AM2694">
            <v>0</v>
          </cell>
          <cell r="AN2694">
            <v>0</v>
          </cell>
        </row>
        <row r="2695">
          <cell r="A2695" t="str">
            <v/>
          </cell>
          <cell r="B2695" t="str">
            <v>Bartosz GAŁĄZKA (LKS Technik Głubczyce)</v>
          </cell>
          <cell r="H2695" t="str">
            <v>G4725</v>
          </cell>
          <cell r="K2695" t="str">
            <v>M4565</v>
          </cell>
          <cell r="N2695" t="str">
            <v>Maciej MATUSZ (LKS Technik Głubczyce)</v>
          </cell>
        </row>
        <row r="2696">
          <cell r="A2696" t="str">
            <v/>
          </cell>
          <cell r="B2696" t="str">
            <v>Dominika KWAŚNIK (UKS Feniks Kędzierzyn-Koźle)</v>
          </cell>
          <cell r="H2696" t="str">
            <v>K5208</v>
          </cell>
          <cell r="K2696" t="str">
            <v>X05</v>
          </cell>
          <cell r="N2696" t="str">
            <v>Alesia  KRAMCHANINA (Białoruś)</v>
          </cell>
        </row>
        <row r="2698">
          <cell r="B2698" t="str">
            <v/>
          </cell>
          <cell r="K2698" t="str">
            <v>zwycięzca(cy): 21:10,21:13</v>
          </cell>
        </row>
        <row r="2699">
          <cell r="B2699">
            <v>2</v>
          </cell>
          <cell r="C2699" t="str">
            <v>dzień turnieju.</v>
          </cell>
          <cell r="I2699" t="str">
            <v>Nr meczu</v>
          </cell>
          <cell r="N2699" t="str">
            <v>Godz.</v>
          </cell>
          <cell r="R2699" t="str">
            <v>S. prow.</v>
          </cell>
          <cell r="AF2699" t="str">
            <v>wygrany</v>
          </cell>
          <cell r="AG2699" t="str">
            <v>przegrany</v>
          </cell>
        </row>
        <row r="2700">
          <cell r="B2700" t="str">
            <v>Boisko</v>
          </cell>
          <cell r="C2700" t="str">
            <v>Gra</v>
          </cell>
          <cell r="I2700">
            <v>386</v>
          </cell>
          <cell r="N2700" t="str">
            <v>rozp.</v>
          </cell>
          <cell r="P2700" t="str">
            <v>zak.</v>
          </cell>
          <cell r="R2700" t="str">
            <v>S. serw.</v>
          </cell>
        </row>
        <row r="2701">
          <cell r="A2701">
            <v>386</v>
          </cell>
          <cell r="B2701">
            <v>5</v>
          </cell>
          <cell r="C2701" t="str">
            <v>mieszana MM</v>
          </cell>
          <cell r="H2701">
            <v>21</v>
          </cell>
          <cell r="I2701">
            <v>17</v>
          </cell>
          <cell r="J2701">
            <v>21</v>
          </cell>
          <cell r="K2701">
            <v>15</v>
          </cell>
          <cell r="P2701">
            <v>0.84305555555555556</v>
          </cell>
          <cell r="R2701">
            <v>0.84305555555555556</v>
          </cell>
          <cell r="S2701" t="str">
            <v>sob 18:30</v>
          </cell>
          <cell r="X2701">
            <v>386</v>
          </cell>
          <cell r="Y2701" t="str">
            <v>mieszana MM</v>
          </cell>
          <cell r="Z2701" t="str">
            <v>Z4312</v>
          </cell>
          <cell r="AA2701" t="str">
            <v>H5946</v>
          </cell>
          <cell r="AB2701" t="str">
            <v>M4698</v>
          </cell>
          <cell r="AC2701" t="str">
            <v>X16</v>
          </cell>
          <cell r="AD2701" t="str">
            <v>Z4312</v>
          </cell>
          <cell r="AE2701" t="str">
            <v>H5946</v>
          </cell>
          <cell r="AF2701" t="str">
            <v>21:17,21:15</v>
          </cell>
          <cell r="AG2701" t="str">
            <v>17:21,15:21</v>
          </cell>
          <cell r="AH2701" t="str">
            <v/>
          </cell>
          <cell r="AI2701">
            <v>21</v>
          </cell>
          <cell r="AJ2701">
            <v>17</v>
          </cell>
          <cell r="AK2701">
            <v>21</v>
          </cell>
          <cell r="AL2701">
            <v>15</v>
          </cell>
          <cell r="AM2701">
            <v>0</v>
          </cell>
          <cell r="AN2701">
            <v>0</v>
          </cell>
        </row>
        <row r="2702">
          <cell r="A2702" t="str">
            <v/>
          </cell>
          <cell r="B2702" t="str">
            <v>Łukasz ZWIERZCHOWSKI (UKSB Milenium Warszawa)</v>
          </cell>
          <cell r="H2702" t="str">
            <v>Z4312</v>
          </cell>
          <cell r="K2702" t="str">
            <v>M4698</v>
          </cell>
          <cell r="N2702" t="str">
            <v>Norbert MARKOWSKI (UKS Kometa Sianów)</v>
          </cell>
        </row>
        <row r="2703">
          <cell r="A2703" t="str">
            <v/>
          </cell>
          <cell r="B2703" t="str">
            <v>Paulina HANKIEWICZ (UKSB Milenium Warszawa)</v>
          </cell>
          <cell r="H2703" t="str">
            <v>H5946</v>
          </cell>
          <cell r="K2703" t="str">
            <v>X16</v>
          </cell>
          <cell r="N2703" t="str">
            <v>Yelizaveta KAMINSKAYA (Mińsk Białoruś)</v>
          </cell>
        </row>
        <row r="2705">
          <cell r="B2705" t="str">
            <v>zwycięzca(cy): 21:17,21:15</v>
          </cell>
          <cell r="K2705" t="str">
            <v/>
          </cell>
        </row>
        <row r="2706">
          <cell r="B2706">
            <v>2</v>
          </cell>
          <cell r="C2706" t="str">
            <v>dzień turnieju.</v>
          </cell>
          <cell r="I2706" t="str">
            <v>Nr meczu</v>
          </cell>
          <cell r="N2706" t="str">
            <v>Godz.</v>
          </cell>
          <cell r="R2706" t="str">
            <v>S. prow.</v>
          </cell>
          <cell r="AF2706" t="str">
            <v>wygrany</v>
          </cell>
          <cell r="AG2706" t="str">
            <v>przegrany</v>
          </cell>
        </row>
        <row r="2707">
          <cell r="B2707" t="str">
            <v>Boisko</v>
          </cell>
          <cell r="C2707" t="str">
            <v>Gra</v>
          </cell>
          <cell r="I2707">
            <v>387</v>
          </cell>
          <cell r="N2707" t="str">
            <v>rozp.</v>
          </cell>
          <cell r="P2707" t="str">
            <v>zak.</v>
          </cell>
          <cell r="R2707" t="str">
            <v>S. serw.</v>
          </cell>
        </row>
        <row r="2708">
          <cell r="A2708">
            <v>387</v>
          </cell>
          <cell r="B2708">
            <v>3</v>
          </cell>
          <cell r="C2708" t="str">
            <v>mieszana MM</v>
          </cell>
          <cell r="H2708">
            <v>15</v>
          </cell>
          <cell r="I2708">
            <v>21</v>
          </cell>
          <cell r="J2708">
            <v>6</v>
          </cell>
          <cell r="K2708">
            <v>21</v>
          </cell>
          <cell r="P2708">
            <v>0.84722222222222221</v>
          </cell>
          <cell r="R2708">
            <v>0.84722222222222221</v>
          </cell>
          <cell r="S2708" t="str">
            <v>sob 18:30</v>
          </cell>
          <cell r="X2708">
            <v>387</v>
          </cell>
          <cell r="Y2708" t="str">
            <v>mieszana MM</v>
          </cell>
          <cell r="Z2708" t="str">
            <v>T5801</v>
          </cell>
          <cell r="AA2708" t="str">
            <v>T5222</v>
          </cell>
          <cell r="AB2708" t="str">
            <v>R4145</v>
          </cell>
          <cell r="AC2708" t="str">
            <v>P4759</v>
          </cell>
          <cell r="AD2708" t="str">
            <v>R4145</v>
          </cell>
          <cell r="AE2708" t="str">
            <v>P4759</v>
          </cell>
          <cell r="AF2708" t="str">
            <v>21:15,21:6</v>
          </cell>
          <cell r="AG2708" t="str">
            <v>15:21,6:21</v>
          </cell>
          <cell r="AH2708" t="str">
            <v/>
          </cell>
          <cell r="AI2708">
            <v>15</v>
          </cell>
          <cell r="AJ2708">
            <v>21</v>
          </cell>
          <cell r="AK2708">
            <v>6</v>
          </cell>
          <cell r="AL2708">
            <v>21</v>
          </cell>
          <cell r="AM2708">
            <v>0</v>
          </cell>
          <cell r="AN2708">
            <v>0</v>
          </cell>
        </row>
        <row r="2709">
          <cell r="A2709" t="str">
            <v/>
          </cell>
          <cell r="B2709" t="str">
            <v>Wiktor TRECKI (UKS Unia Bieruń)</v>
          </cell>
          <cell r="H2709" t="str">
            <v>T5801</v>
          </cell>
          <cell r="K2709" t="str">
            <v>R4145</v>
          </cell>
          <cell r="N2709" t="str">
            <v>Michał RECKI (UKS Lotka Lubiewo)</v>
          </cell>
        </row>
        <row r="2710">
          <cell r="A2710" t="str">
            <v/>
          </cell>
          <cell r="B2710" t="str">
            <v>Miriam TOMALA (UKS Unia Bieruń)</v>
          </cell>
          <cell r="H2710" t="str">
            <v>T5222</v>
          </cell>
          <cell r="K2710" t="str">
            <v>P4759</v>
          </cell>
          <cell r="N2710" t="str">
            <v>Martyna PIETRZAK (MLKS Solec Kuj.)</v>
          </cell>
        </row>
        <row r="2712">
          <cell r="B2712" t="str">
            <v/>
          </cell>
          <cell r="K2712" t="str">
            <v>zwycięzca(cy): 21:15,21:6</v>
          </cell>
        </row>
        <row r="2713">
          <cell r="B2713">
            <v>2</v>
          </cell>
          <cell r="C2713" t="str">
            <v>dzień turnieju.</v>
          </cell>
          <cell r="I2713" t="str">
            <v>Nr meczu</v>
          </cell>
          <cell r="N2713" t="str">
            <v>Godz.</v>
          </cell>
          <cell r="R2713" t="str">
            <v>S. prow.</v>
          </cell>
          <cell r="AF2713" t="str">
            <v>wygrany</v>
          </cell>
          <cell r="AG2713" t="str">
            <v>przegrany</v>
          </cell>
        </row>
        <row r="2714">
          <cell r="B2714" t="str">
            <v>Boisko</v>
          </cell>
          <cell r="C2714" t="str">
            <v>Gra</v>
          </cell>
          <cell r="I2714">
            <v>388</v>
          </cell>
          <cell r="N2714" t="str">
            <v>rozp.</v>
          </cell>
          <cell r="P2714" t="str">
            <v>zak.</v>
          </cell>
          <cell r="R2714" t="str">
            <v>S. serw.</v>
          </cell>
        </row>
        <row r="2715">
          <cell r="A2715">
            <v>388</v>
          </cell>
          <cell r="B2715">
            <v>6</v>
          </cell>
          <cell r="C2715" t="str">
            <v>pojedyncza dziewcząt Ż</v>
          </cell>
          <cell r="H2715">
            <v>12</v>
          </cell>
          <cell r="I2715">
            <v>21</v>
          </cell>
          <cell r="J2715">
            <v>14</v>
          </cell>
          <cell r="K2715">
            <v>21</v>
          </cell>
          <cell r="P2715">
            <v>0.84722222222222221</v>
          </cell>
          <cell r="R2715">
            <v>0.84722222222222221</v>
          </cell>
          <cell r="S2715" t="str">
            <v>sob 18:30</v>
          </cell>
          <cell r="X2715">
            <v>388</v>
          </cell>
          <cell r="Y2715" t="str">
            <v>pojedyncza dziewcząt Ż</v>
          </cell>
          <cell r="Z2715" t="str">
            <v>Ł5765</v>
          </cell>
          <cell r="AA2715" t="str">
            <v/>
          </cell>
          <cell r="AB2715" t="str">
            <v>S5623</v>
          </cell>
          <cell r="AC2715" t="str">
            <v/>
          </cell>
          <cell r="AD2715" t="str">
            <v>S5623</v>
          </cell>
          <cell r="AE2715" t="str">
            <v/>
          </cell>
          <cell r="AF2715" t="str">
            <v>21:12,21:14</v>
          </cell>
          <cell r="AG2715" t="str">
            <v>12:21,14:21</v>
          </cell>
          <cell r="AH2715" t="str">
            <v/>
          </cell>
          <cell r="AI2715">
            <v>12</v>
          </cell>
          <cell r="AJ2715">
            <v>21</v>
          </cell>
          <cell r="AK2715">
            <v>14</v>
          </cell>
          <cell r="AL2715">
            <v>21</v>
          </cell>
          <cell r="AM2715">
            <v>0</v>
          </cell>
          <cell r="AN2715">
            <v>0</v>
          </cell>
        </row>
        <row r="2716">
          <cell r="A2716" t="str">
            <v/>
          </cell>
          <cell r="B2716" t="str">
            <v>Martyna ŁYŻWA (UKS Lotka Łódź)</v>
          </cell>
          <cell r="H2716" t="str">
            <v>Ł5765</v>
          </cell>
          <cell r="K2716" t="str">
            <v>S5623</v>
          </cell>
          <cell r="N2716" t="str">
            <v>Weronika SZEMPLIŃSKA (UKS Badminton Stare Babice)</v>
          </cell>
        </row>
        <row r="2717">
          <cell r="A2717" t="str">
            <v/>
          </cell>
          <cell r="B2717" t="str">
            <v/>
          </cell>
          <cell r="H2717" t="str">
            <v/>
          </cell>
          <cell r="K2717" t="str">
            <v/>
          </cell>
          <cell r="N2717" t="str">
            <v/>
          </cell>
        </row>
        <row r="2719">
          <cell r="B2719" t="str">
            <v/>
          </cell>
          <cell r="K2719" t="str">
            <v>zwycięzca(cy): 21:12,21:14</v>
          </cell>
        </row>
        <row r="2720">
          <cell r="B2720">
            <v>2</v>
          </cell>
          <cell r="C2720" t="str">
            <v>dzień turnieju.</v>
          </cell>
          <cell r="I2720" t="str">
            <v>Nr meczu</v>
          </cell>
          <cell r="N2720" t="str">
            <v>Godz.</v>
          </cell>
          <cell r="R2720" t="str">
            <v>S. prow.</v>
          </cell>
          <cell r="AF2720" t="str">
            <v>wygrany</v>
          </cell>
          <cell r="AG2720" t="str">
            <v>przegrany</v>
          </cell>
        </row>
        <row r="2721">
          <cell r="B2721" t="str">
            <v>Boisko</v>
          </cell>
          <cell r="C2721" t="str">
            <v>Gra</v>
          </cell>
          <cell r="I2721">
            <v>389</v>
          </cell>
          <cell r="N2721" t="str">
            <v>rozp.</v>
          </cell>
          <cell r="P2721" t="str">
            <v>zak.</v>
          </cell>
          <cell r="R2721" t="str">
            <v>S. serw.</v>
          </cell>
        </row>
        <row r="2722">
          <cell r="A2722">
            <v>389</v>
          </cell>
          <cell r="B2722">
            <v>1</v>
          </cell>
          <cell r="C2722" t="str">
            <v>pojedyncza dziewcząt Ż</v>
          </cell>
          <cell r="H2722">
            <v>21</v>
          </cell>
          <cell r="I2722">
            <v>3</v>
          </cell>
          <cell r="J2722">
            <v>21</v>
          </cell>
          <cell r="K2722">
            <v>17</v>
          </cell>
          <cell r="P2722">
            <v>0.84722222222222221</v>
          </cell>
          <cell r="R2722">
            <v>0.84722222222222221</v>
          </cell>
          <cell r="S2722" t="str">
            <v>sob 18:50</v>
          </cell>
          <cell r="X2722">
            <v>389</v>
          </cell>
          <cell r="Y2722" t="str">
            <v>pojedyncza dziewcząt Ż</v>
          </cell>
          <cell r="Z2722" t="str">
            <v>X18</v>
          </cell>
          <cell r="AA2722" t="str">
            <v/>
          </cell>
          <cell r="AB2722" t="str">
            <v>R5626</v>
          </cell>
          <cell r="AC2722" t="str">
            <v/>
          </cell>
          <cell r="AD2722" t="str">
            <v>X18</v>
          </cell>
          <cell r="AE2722" t="str">
            <v/>
          </cell>
          <cell r="AF2722" t="str">
            <v>21:3,21:17</v>
          </cell>
          <cell r="AG2722" t="str">
            <v>3:21,17:21</v>
          </cell>
          <cell r="AH2722" t="str">
            <v/>
          </cell>
          <cell r="AI2722">
            <v>21</v>
          </cell>
          <cell r="AJ2722">
            <v>3</v>
          </cell>
          <cell r="AK2722">
            <v>21</v>
          </cell>
          <cell r="AL2722">
            <v>17</v>
          </cell>
          <cell r="AM2722">
            <v>0</v>
          </cell>
          <cell r="AN2722">
            <v>0</v>
          </cell>
        </row>
        <row r="2723">
          <cell r="A2723" t="str">
            <v/>
          </cell>
          <cell r="B2723" t="str">
            <v>Veranika TARUSAVA (Mińsk Białoruś)</v>
          </cell>
          <cell r="H2723" t="str">
            <v>X18</v>
          </cell>
          <cell r="K2723" t="str">
            <v>R5626</v>
          </cell>
          <cell r="N2723" t="str">
            <v>Anna RADTKE (ULKS U-2 Lotka Bytów)</v>
          </cell>
        </row>
        <row r="2724">
          <cell r="A2724" t="str">
            <v/>
          </cell>
          <cell r="B2724" t="str">
            <v/>
          </cell>
          <cell r="H2724" t="str">
            <v/>
          </cell>
          <cell r="K2724" t="str">
            <v/>
          </cell>
          <cell r="N2724" t="str">
            <v/>
          </cell>
        </row>
        <row r="2726">
          <cell r="B2726" t="str">
            <v>zwycięzca(cy): 21:3,21:17</v>
          </cell>
          <cell r="K2726" t="str">
            <v/>
          </cell>
        </row>
        <row r="2727">
          <cell r="B2727">
            <v>2</v>
          </cell>
          <cell r="C2727" t="str">
            <v>dzień turnieju.</v>
          </cell>
          <cell r="I2727" t="str">
            <v>Nr meczu</v>
          </cell>
          <cell r="N2727" t="str">
            <v>Godz.</v>
          </cell>
          <cell r="R2727" t="str">
            <v>S. prow.</v>
          </cell>
          <cell r="AF2727" t="str">
            <v>wygrany</v>
          </cell>
          <cell r="AG2727" t="str">
            <v>przegrany</v>
          </cell>
        </row>
        <row r="2728">
          <cell r="B2728" t="str">
            <v>Boisko</v>
          </cell>
          <cell r="C2728" t="str">
            <v>Gra</v>
          </cell>
          <cell r="I2728">
            <v>390</v>
          </cell>
          <cell r="N2728" t="str">
            <v>rozp.</v>
          </cell>
          <cell r="P2728" t="str">
            <v>zak.</v>
          </cell>
          <cell r="R2728" t="str">
            <v>S. serw.</v>
          </cell>
        </row>
        <row r="2729">
          <cell r="A2729">
            <v>390</v>
          </cell>
          <cell r="B2729">
            <v>2</v>
          </cell>
          <cell r="C2729" t="str">
            <v>pojedyncza dziewcząt Ż</v>
          </cell>
          <cell r="H2729">
            <v>8</v>
          </cell>
          <cell r="I2729">
            <v>21</v>
          </cell>
          <cell r="J2729">
            <v>8</v>
          </cell>
          <cell r="K2729">
            <v>21</v>
          </cell>
          <cell r="P2729">
            <v>0.84722222222222221</v>
          </cell>
          <cell r="R2729">
            <v>0.84722222222222221</v>
          </cell>
          <cell r="S2729" t="str">
            <v>sob 18:50</v>
          </cell>
          <cell r="X2729">
            <v>390</v>
          </cell>
          <cell r="Y2729" t="str">
            <v>pojedyncza dziewcząt Ż</v>
          </cell>
          <cell r="Z2729" t="str">
            <v>M5269</v>
          </cell>
          <cell r="AA2729" t="str">
            <v/>
          </cell>
          <cell r="AB2729" t="str">
            <v>K5598</v>
          </cell>
          <cell r="AC2729" t="str">
            <v/>
          </cell>
          <cell r="AD2729" t="str">
            <v>K5598</v>
          </cell>
          <cell r="AE2729" t="str">
            <v/>
          </cell>
          <cell r="AF2729" t="str">
            <v>21:8,21:8</v>
          </cell>
          <cell r="AG2729" t="str">
            <v>8:21,8:21</v>
          </cell>
          <cell r="AH2729" t="str">
            <v/>
          </cell>
          <cell r="AI2729">
            <v>8</v>
          </cell>
          <cell r="AJ2729">
            <v>21</v>
          </cell>
          <cell r="AK2729">
            <v>8</v>
          </cell>
          <cell r="AL2729">
            <v>21</v>
          </cell>
          <cell r="AM2729">
            <v>0</v>
          </cell>
          <cell r="AN2729">
            <v>0</v>
          </cell>
        </row>
        <row r="2730">
          <cell r="A2730" t="str">
            <v/>
          </cell>
          <cell r="B2730" t="str">
            <v>Julia MIŚKO (UKS Badminton Stare Babice)</v>
          </cell>
          <cell r="H2730" t="str">
            <v>M5269</v>
          </cell>
          <cell r="K2730" t="str">
            <v>K5598</v>
          </cell>
          <cell r="N2730" t="str">
            <v>Eliza KWIATKOWSKA (STB Energia Lubliniec)</v>
          </cell>
        </row>
        <row r="2731">
          <cell r="A2731" t="str">
            <v/>
          </cell>
          <cell r="B2731" t="str">
            <v/>
          </cell>
          <cell r="H2731" t="str">
            <v/>
          </cell>
          <cell r="K2731" t="str">
            <v/>
          </cell>
          <cell r="N2731" t="str">
            <v/>
          </cell>
        </row>
        <row r="2733">
          <cell r="B2733" t="str">
            <v/>
          </cell>
          <cell r="K2733" t="str">
            <v>zwycięzca(cy): 21:8,21:8</v>
          </cell>
        </row>
        <row r="2734">
          <cell r="B2734">
            <v>2</v>
          </cell>
          <cell r="C2734" t="str">
            <v>dzień turnieju.</v>
          </cell>
          <cell r="I2734" t="str">
            <v>Nr meczu</v>
          </cell>
          <cell r="N2734" t="str">
            <v>Godz.</v>
          </cell>
          <cell r="R2734" t="str">
            <v>S. prow.</v>
          </cell>
          <cell r="AF2734" t="str">
            <v>wygrany</v>
          </cell>
          <cell r="AG2734" t="str">
            <v>przegrany</v>
          </cell>
        </row>
        <row r="2735">
          <cell r="B2735" t="str">
            <v>Boisko</v>
          </cell>
          <cell r="C2735" t="str">
            <v>Gra</v>
          </cell>
          <cell r="I2735">
            <v>391</v>
          </cell>
          <cell r="N2735" t="str">
            <v>rozp.</v>
          </cell>
          <cell r="P2735" t="str">
            <v>zak.</v>
          </cell>
          <cell r="R2735" t="str">
            <v>S. serw.</v>
          </cell>
        </row>
        <row r="2736">
          <cell r="A2736">
            <v>391</v>
          </cell>
          <cell r="B2736">
            <v>4</v>
          </cell>
          <cell r="C2736" t="str">
            <v>podwójna dziewcząt M</v>
          </cell>
          <cell r="H2736">
            <v>21</v>
          </cell>
          <cell r="I2736">
            <v>19</v>
          </cell>
          <cell r="J2736">
            <v>21</v>
          </cell>
          <cell r="K2736">
            <v>12</v>
          </cell>
          <cell r="P2736">
            <v>0.86111111111111116</v>
          </cell>
          <cell r="R2736">
            <v>0.86111111111111116</v>
          </cell>
          <cell r="S2736" t="str">
            <v>sob 18:50</v>
          </cell>
          <cell r="X2736">
            <v>391</v>
          </cell>
          <cell r="Y2736" t="str">
            <v>podwójna dziewcząt M</v>
          </cell>
          <cell r="Z2736" t="str">
            <v>X17</v>
          </cell>
          <cell r="AA2736" t="str">
            <v>X06</v>
          </cell>
          <cell r="AB2736" t="str">
            <v>K5033</v>
          </cell>
          <cell r="AC2736" t="str">
            <v>P4197</v>
          </cell>
          <cell r="AD2736" t="str">
            <v>X17</v>
          </cell>
          <cell r="AE2736" t="str">
            <v>X06</v>
          </cell>
          <cell r="AF2736" t="str">
            <v>21:19,21:12</v>
          </cell>
          <cell r="AG2736" t="str">
            <v>19:21,12:21</v>
          </cell>
          <cell r="AH2736" t="str">
            <v/>
          </cell>
          <cell r="AI2736">
            <v>21</v>
          </cell>
          <cell r="AJ2736">
            <v>19</v>
          </cell>
          <cell r="AK2736">
            <v>21</v>
          </cell>
          <cell r="AL2736">
            <v>12</v>
          </cell>
          <cell r="AM2736">
            <v>0</v>
          </cell>
          <cell r="AN2736">
            <v>0</v>
          </cell>
        </row>
        <row r="2737">
          <cell r="A2737" t="str">
            <v/>
          </cell>
          <cell r="B2737" t="str">
            <v>Anna BANDARENKA (Mińsk Białoruś)</v>
          </cell>
          <cell r="H2737" t="str">
            <v>X17</v>
          </cell>
          <cell r="K2737" t="str">
            <v>K5033</v>
          </cell>
          <cell r="N2737" t="str">
            <v>Magdalena KULSKA (UKS Unia Bieruń)</v>
          </cell>
        </row>
        <row r="2738">
          <cell r="A2738" t="str">
            <v/>
          </cell>
          <cell r="B2738" t="str">
            <v>Uliana ZACHROVA (Brześć Białoruś)</v>
          </cell>
          <cell r="H2738" t="str">
            <v>X06</v>
          </cell>
          <cell r="K2738" t="str">
            <v>P4197</v>
          </cell>
          <cell r="N2738" t="str">
            <v>Zuzanna PARYSZ (UKS Unia Bieruń)</v>
          </cell>
        </row>
        <row r="2740">
          <cell r="B2740" t="str">
            <v>zwycięzca(cy): 21:19,21:12</v>
          </cell>
          <cell r="K2740" t="str">
            <v/>
          </cell>
        </row>
        <row r="2741">
          <cell r="B2741">
            <v>2</v>
          </cell>
          <cell r="C2741" t="str">
            <v>dzień turnieju.</v>
          </cell>
          <cell r="I2741" t="str">
            <v>Nr meczu</v>
          </cell>
          <cell r="N2741" t="str">
            <v>Godz.</v>
          </cell>
          <cell r="R2741" t="str">
            <v>S. prow.</v>
          </cell>
          <cell r="AF2741" t="str">
            <v>wygrany</v>
          </cell>
          <cell r="AG2741" t="str">
            <v>przegrany</v>
          </cell>
        </row>
        <row r="2742">
          <cell r="B2742" t="str">
            <v>Boisko</v>
          </cell>
          <cell r="C2742" t="str">
            <v>Gra</v>
          </cell>
          <cell r="I2742">
            <v>392</v>
          </cell>
          <cell r="N2742" t="str">
            <v>rozp.</v>
          </cell>
          <cell r="P2742" t="str">
            <v>zak.</v>
          </cell>
          <cell r="R2742" t="str">
            <v>S. serw.</v>
          </cell>
        </row>
        <row r="2743">
          <cell r="A2743">
            <v>392</v>
          </cell>
          <cell r="B2743">
            <v>6</v>
          </cell>
          <cell r="C2743" t="str">
            <v>podwójna dziewcząt MM</v>
          </cell>
          <cell r="H2743">
            <v>13</v>
          </cell>
          <cell r="I2743">
            <v>21</v>
          </cell>
          <cell r="J2743">
            <v>21</v>
          </cell>
          <cell r="K2743">
            <v>12</v>
          </cell>
          <cell r="L2743">
            <v>18</v>
          </cell>
          <cell r="M2743">
            <v>21</v>
          </cell>
          <cell r="P2743">
            <v>0.875</v>
          </cell>
          <cell r="R2743">
            <v>0.875</v>
          </cell>
          <cell r="S2743" t="str">
            <v>sob 18:50</v>
          </cell>
          <cell r="X2743">
            <v>392</v>
          </cell>
          <cell r="Y2743" t="str">
            <v>podwójna dziewcząt MM</v>
          </cell>
          <cell r="Z2743" t="str">
            <v>J5024</v>
          </cell>
          <cell r="AA2743" t="str">
            <v>K5208</v>
          </cell>
          <cell r="AB2743" t="str">
            <v>X16</v>
          </cell>
          <cell r="AC2743" t="str">
            <v>X18</v>
          </cell>
          <cell r="AD2743" t="str">
            <v>X16</v>
          </cell>
          <cell r="AE2743" t="str">
            <v>X18</v>
          </cell>
          <cell r="AF2743" t="str">
            <v>21:13,12:21,21:18</v>
          </cell>
          <cell r="AG2743" t="str">
            <v>13:21,21:12,18:21</v>
          </cell>
          <cell r="AH2743" t="str">
            <v/>
          </cell>
          <cell r="AI2743">
            <v>13</v>
          </cell>
          <cell r="AJ2743">
            <v>21</v>
          </cell>
          <cell r="AK2743">
            <v>21</v>
          </cell>
          <cell r="AL2743">
            <v>12</v>
          </cell>
          <cell r="AM2743">
            <v>18</v>
          </cell>
          <cell r="AN2743">
            <v>21</v>
          </cell>
        </row>
        <row r="2744">
          <cell r="A2744" t="str">
            <v/>
          </cell>
          <cell r="B2744" t="str">
            <v>Zuzanna JANKOWSKA (MKS Strzelce Opolskie)</v>
          </cell>
          <cell r="H2744" t="str">
            <v>J5024</v>
          </cell>
          <cell r="K2744" t="str">
            <v>X16</v>
          </cell>
          <cell r="N2744" t="str">
            <v>Yelizaveta KAMINSKAYA (Mińsk Białoruś)</v>
          </cell>
        </row>
        <row r="2745">
          <cell r="A2745" t="str">
            <v/>
          </cell>
          <cell r="B2745" t="str">
            <v>Dominika KWAŚNIK (UKS Feniks Kędzierzyn-Koźle)</v>
          </cell>
          <cell r="H2745" t="str">
            <v>K5208</v>
          </cell>
          <cell r="K2745" t="str">
            <v>X18</v>
          </cell>
          <cell r="N2745" t="str">
            <v>Veranika TARUSAVA (Mińsk Białoruś)</v>
          </cell>
        </row>
        <row r="2747">
          <cell r="B2747" t="str">
            <v/>
          </cell>
          <cell r="K2747" t="str">
            <v>zwycięzca(cy): 21:13,12:21,21:18</v>
          </cell>
        </row>
        <row r="2748">
          <cell r="B2748">
            <v>2</v>
          </cell>
          <cell r="C2748" t="str">
            <v>dzień turnieju.</v>
          </cell>
          <cell r="I2748" t="str">
            <v>Nr meczu</v>
          </cell>
          <cell r="N2748" t="str">
            <v>Godz.</v>
          </cell>
          <cell r="R2748" t="str">
            <v>S. prow.</v>
          </cell>
          <cell r="AF2748" t="str">
            <v>wygrany</v>
          </cell>
          <cell r="AG2748" t="str">
            <v>przegrany</v>
          </cell>
        </row>
        <row r="2749">
          <cell r="B2749" t="str">
            <v>Boisko</v>
          </cell>
          <cell r="C2749" t="str">
            <v>Gra</v>
          </cell>
          <cell r="I2749">
            <v>393</v>
          </cell>
          <cell r="N2749" t="str">
            <v>rozp.</v>
          </cell>
          <cell r="P2749" t="str">
            <v>zak.</v>
          </cell>
          <cell r="R2749" t="str">
            <v>S. serw.</v>
          </cell>
        </row>
        <row r="2750">
          <cell r="A2750">
            <v>393</v>
          </cell>
          <cell r="B2750">
            <v>5</v>
          </cell>
          <cell r="C2750" t="str">
            <v>podwójna dziewcząt MM</v>
          </cell>
          <cell r="H2750">
            <v>21</v>
          </cell>
          <cell r="I2750">
            <v>12</v>
          </cell>
          <cell r="J2750">
            <v>21</v>
          </cell>
          <cell r="K2750">
            <v>9</v>
          </cell>
          <cell r="P2750">
            <v>0.85763888888888884</v>
          </cell>
          <cell r="R2750">
            <v>0.85763888888888884</v>
          </cell>
          <cell r="S2750" t="str">
            <v>sob 18:50</v>
          </cell>
          <cell r="X2750">
            <v>393</v>
          </cell>
          <cell r="Y2750" t="str">
            <v>podwójna dziewcząt MM</v>
          </cell>
          <cell r="Z2750" t="str">
            <v>K5262</v>
          </cell>
          <cell r="AA2750" t="str">
            <v>L5359</v>
          </cell>
          <cell r="AB2750" t="str">
            <v>M4792</v>
          </cell>
          <cell r="AC2750" t="str">
            <v>O5218</v>
          </cell>
          <cell r="AD2750" t="str">
            <v>K5262</v>
          </cell>
          <cell r="AE2750" t="str">
            <v>L5359</v>
          </cell>
          <cell r="AF2750" t="str">
            <v>21:12,21:9</v>
          </cell>
          <cell r="AG2750" t="str">
            <v>12:21,9:21</v>
          </cell>
          <cell r="AH2750" t="str">
            <v/>
          </cell>
          <cell r="AI2750">
            <v>21</v>
          </cell>
          <cell r="AJ2750">
            <v>12</v>
          </cell>
          <cell r="AK2750">
            <v>21</v>
          </cell>
          <cell r="AL2750">
            <v>9</v>
          </cell>
          <cell r="AM2750">
            <v>0</v>
          </cell>
          <cell r="AN2750">
            <v>0</v>
          </cell>
        </row>
        <row r="2751">
          <cell r="A2751" t="str">
            <v/>
          </cell>
          <cell r="B2751" t="str">
            <v>Wiktoria KASPRZAK (UKS Kiko Zamość)</v>
          </cell>
          <cell r="H2751" t="str">
            <v>K5262</v>
          </cell>
          <cell r="K2751" t="str">
            <v>M4792</v>
          </cell>
          <cell r="N2751" t="str">
            <v>Urszula MISZKIEL (SKB Suwałki)</v>
          </cell>
        </row>
        <row r="2752">
          <cell r="A2752" t="str">
            <v/>
          </cell>
          <cell r="B2752" t="str">
            <v>Aleksandra LASKOWSKA (UKS Kiko Zamość)</v>
          </cell>
          <cell r="H2752" t="str">
            <v>L5359</v>
          </cell>
          <cell r="K2752" t="str">
            <v>O5218</v>
          </cell>
          <cell r="N2752" t="str">
            <v>Natalia OWSIEJEW (SKB Suwałki)</v>
          </cell>
        </row>
        <row r="2754">
          <cell r="B2754" t="str">
            <v>zwycięzca(cy): 21:12,21:9</v>
          </cell>
          <cell r="K2754" t="str">
            <v/>
          </cell>
        </row>
        <row r="2755">
          <cell r="B2755">
            <v>2</v>
          </cell>
          <cell r="C2755" t="str">
            <v>dzień turnieju.</v>
          </cell>
          <cell r="I2755" t="str">
            <v>Nr meczu</v>
          </cell>
          <cell r="N2755" t="str">
            <v>Godz.</v>
          </cell>
          <cell r="R2755" t="str">
            <v>S. prow.</v>
          </cell>
          <cell r="AF2755" t="str">
            <v>wygrany</v>
          </cell>
          <cell r="AG2755" t="str">
            <v>przegrany</v>
          </cell>
        </row>
        <row r="2756">
          <cell r="B2756" t="str">
            <v>Boisko</v>
          </cell>
          <cell r="C2756" t="str">
            <v>Gra</v>
          </cell>
          <cell r="I2756">
            <v>394</v>
          </cell>
          <cell r="N2756" t="str">
            <v>rozp.</v>
          </cell>
          <cell r="P2756" t="str">
            <v>zak.</v>
          </cell>
          <cell r="R2756" t="str">
            <v>S. serw.</v>
          </cell>
        </row>
        <row r="2757">
          <cell r="A2757">
            <v>394</v>
          </cell>
          <cell r="B2757">
            <v>2</v>
          </cell>
          <cell r="C2757" t="str">
            <v>podwójna chłopców MM</v>
          </cell>
          <cell r="H2757">
            <v>21</v>
          </cell>
          <cell r="I2757">
            <v>15</v>
          </cell>
          <cell r="J2757">
            <v>21</v>
          </cell>
          <cell r="K2757">
            <v>19</v>
          </cell>
          <cell r="P2757">
            <v>0.87013888888888891</v>
          </cell>
          <cell r="R2757">
            <v>0.87013888888888891</v>
          </cell>
          <cell r="S2757" t="str">
            <v>sob 18:50</v>
          </cell>
          <cell r="X2757">
            <v>394</v>
          </cell>
          <cell r="Y2757" t="str">
            <v>podwójna chłopców MM</v>
          </cell>
          <cell r="Z2757" t="str">
            <v>M5584</v>
          </cell>
          <cell r="AA2757" t="str">
            <v>Ś5585</v>
          </cell>
          <cell r="AB2757" t="str">
            <v>H5344</v>
          </cell>
          <cell r="AC2757" t="str">
            <v>P5351</v>
          </cell>
          <cell r="AD2757" t="str">
            <v>M5584</v>
          </cell>
          <cell r="AE2757" t="str">
            <v>Ś5585</v>
          </cell>
          <cell r="AF2757" t="str">
            <v>21:15,21:19</v>
          </cell>
          <cell r="AG2757" t="str">
            <v>15:21,19:21</v>
          </cell>
          <cell r="AH2757" t="str">
            <v/>
          </cell>
          <cell r="AI2757">
            <v>21</v>
          </cell>
          <cell r="AJ2757">
            <v>15</v>
          </cell>
          <cell r="AK2757">
            <v>21</v>
          </cell>
          <cell r="AL2757">
            <v>19</v>
          </cell>
          <cell r="AM2757">
            <v>0</v>
          </cell>
          <cell r="AN2757">
            <v>0</v>
          </cell>
        </row>
        <row r="2758">
          <cell r="A2758" t="str">
            <v/>
          </cell>
          <cell r="B2758" t="str">
            <v>Jakub MAZUR (LKS Technik Głubczyce)</v>
          </cell>
          <cell r="H2758" t="str">
            <v>M5584</v>
          </cell>
          <cell r="K2758" t="str">
            <v>H5344</v>
          </cell>
          <cell r="N2758" t="str">
            <v>Mateusz HAŁASA (UKS Kiko Zamość)</v>
          </cell>
        </row>
        <row r="2759">
          <cell r="A2759" t="str">
            <v/>
          </cell>
          <cell r="B2759" t="str">
            <v>Szymon ŚLEPECKI (LKS Technik Głubczyce)</v>
          </cell>
          <cell r="H2759" t="str">
            <v>Ś5585</v>
          </cell>
          <cell r="K2759" t="str">
            <v>P5351</v>
          </cell>
          <cell r="N2759" t="str">
            <v>Norbert POŹDZIK (UKS Kiko Zamość)</v>
          </cell>
        </row>
        <row r="2761">
          <cell r="B2761" t="str">
            <v>zwycięzca(cy): 21:15,21:19</v>
          </cell>
          <cell r="K2761" t="str">
            <v/>
          </cell>
        </row>
        <row r="2762">
          <cell r="B2762">
            <v>2</v>
          </cell>
          <cell r="C2762" t="str">
            <v>dzień turnieju.</v>
          </cell>
          <cell r="I2762" t="str">
            <v>Nr meczu</v>
          </cell>
          <cell r="N2762" t="str">
            <v>Godz.</v>
          </cell>
          <cell r="R2762" t="str">
            <v>S. prow.</v>
          </cell>
          <cell r="AF2762" t="str">
            <v>wygrany</v>
          </cell>
          <cell r="AG2762" t="str">
            <v>przegrany</v>
          </cell>
        </row>
        <row r="2763">
          <cell r="B2763" t="str">
            <v>Boisko</v>
          </cell>
          <cell r="C2763" t="str">
            <v>Gra</v>
          </cell>
          <cell r="I2763">
            <v>395</v>
          </cell>
          <cell r="N2763" t="str">
            <v>rozp.</v>
          </cell>
          <cell r="P2763" t="str">
            <v>zak.</v>
          </cell>
          <cell r="R2763" t="str">
            <v>S. serw.</v>
          </cell>
        </row>
        <row r="2764">
          <cell r="A2764">
            <v>395</v>
          </cell>
          <cell r="B2764">
            <v>3</v>
          </cell>
          <cell r="C2764" t="str">
            <v>podwójna chłopców MM</v>
          </cell>
          <cell r="H2764">
            <v>21</v>
          </cell>
          <cell r="I2764">
            <v>13</v>
          </cell>
          <cell r="J2764">
            <v>21</v>
          </cell>
          <cell r="K2764">
            <v>12</v>
          </cell>
          <cell r="P2764">
            <v>0.86111111111111116</v>
          </cell>
          <cell r="R2764">
            <v>0.86111111111111116</v>
          </cell>
          <cell r="S2764" t="str">
            <v>sob 18:50</v>
          </cell>
          <cell r="X2764">
            <v>395</v>
          </cell>
          <cell r="Y2764" t="str">
            <v>podwójna chłopców MM</v>
          </cell>
          <cell r="Z2764" t="str">
            <v>G4725</v>
          </cell>
          <cell r="AA2764" t="str">
            <v>M4565</v>
          </cell>
          <cell r="AB2764" t="str">
            <v>G5058</v>
          </cell>
          <cell r="AC2764" t="str">
            <v>K4981</v>
          </cell>
          <cell r="AD2764" t="str">
            <v>G4725</v>
          </cell>
          <cell r="AE2764" t="str">
            <v>M4565</v>
          </cell>
          <cell r="AF2764" t="str">
            <v>21:13,21:12</v>
          </cell>
          <cell r="AG2764" t="str">
            <v>13:21,12:21</v>
          </cell>
          <cell r="AH2764" t="str">
            <v/>
          </cell>
          <cell r="AI2764">
            <v>21</v>
          </cell>
          <cell r="AJ2764">
            <v>13</v>
          </cell>
          <cell r="AK2764">
            <v>21</v>
          </cell>
          <cell r="AL2764">
            <v>12</v>
          </cell>
          <cell r="AM2764">
            <v>0</v>
          </cell>
          <cell r="AN2764">
            <v>0</v>
          </cell>
        </row>
        <row r="2765">
          <cell r="A2765" t="str">
            <v/>
          </cell>
          <cell r="B2765" t="str">
            <v>Bartosz GAŁĄZKA (LKS Technik Głubczyce)</v>
          </cell>
          <cell r="H2765" t="str">
            <v>G4725</v>
          </cell>
          <cell r="K2765" t="str">
            <v>G5058</v>
          </cell>
          <cell r="N2765" t="str">
            <v>Wiktor GRZYB (UKS Orbitek Straszęcin)</v>
          </cell>
        </row>
        <row r="2766">
          <cell r="A2766" t="str">
            <v/>
          </cell>
          <cell r="B2766" t="str">
            <v>Maciej MATUSZ (LKS Technik Głubczyce)</v>
          </cell>
          <cell r="H2766" t="str">
            <v>M4565</v>
          </cell>
          <cell r="K2766" t="str">
            <v>K4981</v>
          </cell>
          <cell r="N2766" t="str">
            <v>Michał KOSZTYŁO (UKS Orbitek Straszęcin)</v>
          </cell>
        </row>
        <row r="2768">
          <cell r="B2768" t="str">
            <v>zwycięzca(cy): 21:13,21:12</v>
          </cell>
          <cell r="K2768" t="str">
            <v/>
          </cell>
        </row>
        <row r="2769">
          <cell r="B2769">
            <v>2</v>
          </cell>
          <cell r="C2769" t="str">
            <v>dzień turnieju.</v>
          </cell>
          <cell r="I2769" t="str">
            <v>Nr meczu</v>
          </cell>
          <cell r="N2769" t="str">
            <v>Godz.</v>
          </cell>
          <cell r="R2769" t="str">
            <v>S. prow.</v>
          </cell>
          <cell r="AF2769" t="str">
            <v>wygrany</v>
          </cell>
          <cell r="AG2769" t="str">
            <v>przegrany</v>
          </cell>
        </row>
        <row r="2770">
          <cell r="B2770" t="str">
            <v>Boisko</v>
          </cell>
          <cell r="C2770" t="str">
            <v>Gra</v>
          </cell>
          <cell r="I2770">
            <v>396</v>
          </cell>
          <cell r="N2770" t="str">
            <v>rozp.</v>
          </cell>
          <cell r="P2770" t="str">
            <v>zak.</v>
          </cell>
          <cell r="R2770" t="str">
            <v>S. serw.</v>
          </cell>
        </row>
        <row r="2771">
          <cell r="A2771">
            <v>396</v>
          </cell>
          <cell r="B2771">
            <v>5</v>
          </cell>
          <cell r="C2771" t="str">
            <v>pojedyncza dziewcząt Ż</v>
          </cell>
          <cell r="H2771">
            <v>21</v>
          </cell>
          <cell r="I2771">
            <v>11</v>
          </cell>
          <cell r="J2771">
            <v>21</v>
          </cell>
          <cell r="K2771">
            <v>15</v>
          </cell>
          <cell r="P2771">
            <v>0.87152777777777779</v>
          </cell>
          <cell r="R2771">
            <v>0.87152777777777779</v>
          </cell>
          <cell r="S2771" t="str">
            <v>sob 18:50</v>
          </cell>
          <cell r="X2771">
            <v>396</v>
          </cell>
          <cell r="Y2771" t="str">
            <v>pojedyncza dziewcząt Ż</v>
          </cell>
          <cell r="Z2771" t="str">
            <v>N5113</v>
          </cell>
          <cell r="AA2771" t="str">
            <v/>
          </cell>
          <cell r="AB2771" t="str">
            <v>S5623</v>
          </cell>
          <cell r="AC2771" t="str">
            <v/>
          </cell>
          <cell r="AD2771" t="str">
            <v>N5113</v>
          </cell>
          <cell r="AE2771" t="str">
            <v/>
          </cell>
          <cell r="AF2771" t="str">
            <v>21:11,21:15</v>
          </cell>
          <cell r="AG2771" t="str">
            <v>11:21,15:21</v>
          </cell>
          <cell r="AH2771" t="str">
            <v/>
          </cell>
          <cell r="AI2771">
            <v>21</v>
          </cell>
          <cell r="AJ2771">
            <v>11</v>
          </cell>
          <cell r="AK2771">
            <v>21</v>
          </cell>
          <cell r="AL2771">
            <v>15</v>
          </cell>
          <cell r="AM2771">
            <v>0</v>
          </cell>
          <cell r="AN2771">
            <v>0</v>
          </cell>
        </row>
        <row r="2772">
          <cell r="A2772" t="str">
            <v/>
          </cell>
          <cell r="B2772" t="str">
            <v>Weronika NIKLAS (ULKS U-2 Lotka Bytów)</v>
          </cell>
          <cell r="H2772" t="str">
            <v>N5113</v>
          </cell>
          <cell r="K2772" t="str">
            <v>S5623</v>
          </cell>
          <cell r="N2772" t="str">
            <v>Weronika SZEMPLIŃSKA (UKS Badminton Stare Babice)</v>
          </cell>
        </row>
        <row r="2773">
          <cell r="A2773" t="str">
            <v/>
          </cell>
          <cell r="B2773" t="str">
            <v/>
          </cell>
          <cell r="H2773" t="str">
            <v/>
          </cell>
          <cell r="K2773" t="str">
            <v/>
          </cell>
          <cell r="N2773" t="str">
            <v/>
          </cell>
        </row>
        <row r="2775">
          <cell r="B2775" t="str">
            <v>zwycięzca(cy): 21:11,21:15</v>
          </cell>
          <cell r="K2775" t="str">
            <v/>
          </cell>
        </row>
        <row r="2776">
          <cell r="B2776">
            <v>2</v>
          </cell>
          <cell r="C2776" t="str">
            <v>dzień turnieju.</v>
          </cell>
          <cell r="I2776" t="str">
            <v>Nr meczu</v>
          </cell>
          <cell r="N2776" t="str">
            <v>Godz.</v>
          </cell>
          <cell r="R2776" t="str">
            <v>S. prow.</v>
          </cell>
          <cell r="AF2776" t="str">
            <v>wygrany</v>
          </cell>
          <cell r="AG2776" t="str">
            <v>przegrany</v>
          </cell>
        </row>
        <row r="2777">
          <cell r="B2777" t="str">
            <v>Boisko</v>
          </cell>
          <cell r="C2777" t="str">
            <v>Gra</v>
          </cell>
          <cell r="I2777">
            <v>397</v>
          </cell>
          <cell r="N2777" t="str">
            <v>rozp.</v>
          </cell>
          <cell r="P2777" t="str">
            <v>zak.</v>
          </cell>
          <cell r="R2777" t="str">
            <v>S. serw.</v>
          </cell>
        </row>
        <row r="2778">
          <cell r="A2778">
            <v>397</v>
          </cell>
          <cell r="B2778">
            <v>6</v>
          </cell>
          <cell r="C2778" t="str">
            <v>pojedyncza dziewcząt Ż</v>
          </cell>
          <cell r="H2778">
            <v>21</v>
          </cell>
          <cell r="I2778">
            <v>16</v>
          </cell>
          <cell r="J2778">
            <v>21</v>
          </cell>
          <cell r="K2778">
            <v>15</v>
          </cell>
          <cell r="P2778">
            <v>0.88888888888888884</v>
          </cell>
          <cell r="R2778">
            <v>0.88888888888888884</v>
          </cell>
          <cell r="S2778" t="str">
            <v>sob 18:50</v>
          </cell>
          <cell r="X2778">
            <v>397</v>
          </cell>
          <cell r="Y2778" t="str">
            <v>pojedyncza dziewcząt Ż</v>
          </cell>
          <cell r="Z2778" t="str">
            <v>X18</v>
          </cell>
          <cell r="AA2778" t="str">
            <v/>
          </cell>
          <cell r="AB2778" t="str">
            <v>K5598</v>
          </cell>
          <cell r="AC2778" t="str">
            <v/>
          </cell>
          <cell r="AD2778" t="str">
            <v>X18</v>
          </cell>
          <cell r="AE2778" t="str">
            <v/>
          </cell>
          <cell r="AF2778" t="str">
            <v>21:16,21:15</v>
          </cell>
          <cell r="AG2778" t="str">
            <v>16:21,15:21</v>
          </cell>
          <cell r="AH2778" t="str">
            <v/>
          </cell>
          <cell r="AI2778">
            <v>21</v>
          </cell>
          <cell r="AJ2778">
            <v>16</v>
          </cell>
          <cell r="AK2778">
            <v>21</v>
          </cell>
          <cell r="AL2778">
            <v>15</v>
          </cell>
          <cell r="AM2778">
            <v>0</v>
          </cell>
          <cell r="AN2778">
            <v>0</v>
          </cell>
        </row>
        <row r="2779">
          <cell r="A2779" t="str">
            <v/>
          </cell>
          <cell r="B2779" t="str">
            <v>Veranika TARUSAVA (Mińsk Białoruś)</v>
          </cell>
          <cell r="H2779" t="str">
            <v>X18</v>
          </cell>
          <cell r="K2779" t="str">
            <v>K5598</v>
          </cell>
          <cell r="N2779" t="str">
            <v>Eliza KWIATKOWSKA (STB Energia Lubliniec)</v>
          </cell>
        </row>
        <row r="2780">
          <cell r="A2780" t="str">
            <v/>
          </cell>
          <cell r="B2780" t="str">
            <v/>
          </cell>
          <cell r="H2780" t="str">
            <v/>
          </cell>
          <cell r="K2780" t="str">
            <v/>
          </cell>
          <cell r="N2780" t="str">
            <v/>
          </cell>
        </row>
        <row r="2782">
          <cell r="B2782" t="str">
            <v>zwycięzca(cy): 21:16,21:15</v>
          </cell>
          <cell r="K2782" t="str">
            <v/>
          </cell>
        </row>
        <row r="2783">
          <cell r="B2783">
            <v>2</v>
          </cell>
          <cell r="C2783" t="str">
            <v>dzień turnieju.</v>
          </cell>
          <cell r="I2783" t="str">
            <v>Nr meczu</v>
          </cell>
          <cell r="N2783" t="str">
            <v>Godz.</v>
          </cell>
          <cell r="R2783" t="str">
            <v>S. prow.</v>
          </cell>
          <cell r="AF2783" t="str">
            <v>wygrany</v>
          </cell>
          <cell r="AG2783" t="str">
            <v>przegrany</v>
          </cell>
        </row>
        <row r="2784">
          <cell r="B2784" t="str">
            <v>Boisko</v>
          </cell>
          <cell r="C2784" t="str">
            <v>Gra</v>
          </cell>
          <cell r="I2784">
            <v>398</v>
          </cell>
          <cell r="N2784" t="str">
            <v>rozp.</v>
          </cell>
          <cell r="P2784" t="str">
            <v>zak.</v>
          </cell>
          <cell r="R2784" t="str">
            <v>S. serw.</v>
          </cell>
        </row>
        <row r="2785">
          <cell r="A2785">
            <v>398</v>
          </cell>
          <cell r="B2785">
            <v>5</v>
          </cell>
          <cell r="C2785" t="str">
            <v>pojedyncza chłopców Ż</v>
          </cell>
          <cell r="H2785">
            <v>21</v>
          </cell>
          <cell r="I2785">
            <v>7</v>
          </cell>
          <cell r="J2785">
            <v>21</v>
          </cell>
          <cell r="K2785">
            <v>4</v>
          </cell>
          <cell r="P2785">
            <v>0.88541666666666663</v>
          </cell>
          <cell r="R2785">
            <v>0.88541666666666663</v>
          </cell>
          <cell r="S2785" t="str">
            <v>sob 18:50</v>
          </cell>
          <cell r="X2785">
            <v>398</v>
          </cell>
          <cell r="Y2785" t="str">
            <v>pojedyncza chłopców Ż</v>
          </cell>
          <cell r="Z2785" t="str">
            <v>Ś5585</v>
          </cell>
          <cell r="AA2785" t="str">
            <v/>
          </cell>
          <cell r="AB2785" t="str">
            <v>J5015</v>
          </cell>
          <cell r="AC2785" t="str">
            <v/>
          </cell>
          <cell r="AD2785" t="str">
            <v>Ś5585</v>
          </cell>
          <cell r="AE2785" t="str">
            <v/>
          </cell>
          <cell r="AF2785" t="str">
            <v>21:7,21:4</v>
          </cell>
          <cell r="AG2785" t="str">
            <v>7:21,4:21</v>
          </cell>
          <cell r="AH2785" t="str">
            <v/>
          </cell>
          <cell r="AI2785">
            <v>21</v>
          </cell>
          <cell r="AJ2785">
            <v>7</v>
          </cell>
          <cell r="AK2785">
            <v>21</v>
          </cell>
          <cell r="AL2785">
            <v>4</v>
          </cell>
          <cell r="AM2785">
            <v>0</v>
          </cell>
          <cell r="AN2785">
            <v>0</v>
          </cell>
        </row>
        <row r="2786">
          <cell r="A2786" t="str">
            <v/>
          </cell>
          <cell r="B2786" t="str">
            <v>Szymon ŚLEPECKI (LKS Technik Głubczyce)</v>
          </cell>
          <cell r="H2786" t="str">
            <v>Ś5585</v>
          </cell>
          <cell r="K2786" t="str">
            <v>J5015</v>
          </cell>
          <cell r="N2786" t="str">
            <v>Jakub JAGODZIŃSKI (UKSB Milenium Warszawa)</v>
          </cell>
        </row>
        <row r="2787">
          <cell r="A2787" t="str">
            <v/>
          </cell>
          <cell r="B2787" t="str">
            <v/>
          </cell>
          <cell r="H2787" t="str">
            <v/>
          </cell>
          <cell r="K2787" t="str">
            <v/>
          </cell>
          <cell r="N2787" t="str">
            <v/>
          </cell>
        </row>
        <row r="2789">
          <cell r="B2789" t="str">
            <v>zwycięzca(cy): 21:7,21:4</v>
          </cell>
          <cell r="K2789" t="str">
            <v/>
          </cell>
        </row>
        <row r="2790">
          <cell r="B2790">
            <v>2</v>
          </cell>
          <cell r="C2790" t="str">
            <v>dzień turnieju.</v>
          </cell>
          <cell r="I2790" t="str">
            <v>Nr meczu</v>
          </cell>
          <cell r="N2790" t="str">
            <v>Godz.</v>
          </cell>
          <cell r="R2790" t="str">
            <v>S. prow.</v>
          </cell>
          <cell r="AF2790" t="str">
            <v>wygrany</v>
          </cell>
          <cell r="AG2790" t="str">
            <v>przegrany</v>
          </cell>
        </row>
        <row r="2791">
          <cell r="B2791" t="str">
            <v>Boisko</v>
          </cell>
          <cell r="C2791" t="str">
            <v>Gra</v>
          </cell>
          <cell r="I2791">
            <v>399</v>
          </cell>
          <cell r="N2791" t="str">
            <v>rozp.</v>
          </cell>
          <cell r="P2791" t="str">
            <v>zak.</v>
          </cell>
          <cell r="R2791" t="str">
            <v>S. serw.</v>
          </cell>
        </row>
        <row r="2792">
          <cell r="A2792">
            <v>399</v>
          </cell>
          <cell r="B2792">
            <v>2</v>
          </cell>
          <cell r="C2792" t="str">
            <v>pojedyncza chłopców Ż</v>
          </cell>
          <cell r="H2792">
            <v>9</v>
          </cell>
          <cell r="I2792">
            <v>21</v>
          </cell>
          <cell r="J2792">
            <v>9</v>
          </cell>
          <cell r="K2792">
            <v>21</v>
          </cell>
          <cell r="P2792">
            <v>0.88541666666666663</v>
          </cell>
          <cell r="R2792">
            <v>0.88541666666666663</v>
          </cell>
          <cell r="S2792" t="str">
            <v>sob 19:45</v>
          </cell>
          <cell r="X2792">
            <v>399</v>
          </cell>
          <cell r="Y2792" t="str">
            <v>pojedyncza chłopców Ż</v>
          </cell>
          <cell r="Z2792" t="str">
            <v>N5960</v>
          </cell>
          <cell r="AA2792" t="str">
            <v/>
          </cell>
          <cell r="AB2792" t="str">
            <v>M5584</v>
          </cell>
          <cell r="AC2792" t="str">
            <v/>
          </cell>
          <cell r="AD2792" t="str">
            <v>M5584</v>
          </cell>
          <cell r="AE2792" t="str">
            <v/>
          </cell>
          <cell r="AF2792" t="str">
            <v>21:9,21:9</v>
          </cell>
          <cell r="AG2792" t="str">
            <v>9:21,9:21</v>
          </cell>
          <cell r="AH2792" t="str">
            <v/>
          </cell>
          <cell r="AI2792">
            <v>9</v>
          </cell>
          <cell r="AJ2792">
            <v>21</v>
          </cell>
          <cell r="AK2792">
            <v>9</v>
          </cell>
          <cell r="AL2792">
            <v>21</v>
          </cell>
          <cell r="AM2792">
            <v>0</v>
          </cell>
          <cell r="AN2792">
            <v>0</v>
          </cell>
        </row>
        <row r="2793">
          <cell r="A2793" t="str">
            <v/>
          </cell>
          <cell r="B2793" t="str">
            <v>Andrzej NICZYPORUK (AZSUW Warszawa)</v>
          </cell>
          <cell r="H2793" t="str">
            <v>N5960</v>
          </cell>
          <cell r="K2793" t="str">
            <v>M5584</v>
          </cell>
          <cell r="N2793" t="str">
            <v>Jakub MAZUR (LKS Technik Głubczyce)</v>
          </cell>
        </row>
        <row r="2794">
          <cell r="A2794" t="str">
            <v/>
          </cell>
          <cell r="B2794" t="str">
            <v/>
          </cell>
          <cell r="H2794" t="str">
            <v/>
          </cell>
          <cell r="K2794" t="str">
            <v/>
          </cell>
          <cell r="N2794" t="str">
            <v/>
          </cell>
        </row>
        <row r="2796">
          <cell r="B2796" t="str">
            <v/>
          </cell>
          <cell r="K2796" t="str">
            <v>zwycięzca(cy): 21:9,21:9</v>
          </cell>
        </row>
        <row r="2797">
          <cell r="B2797">
            <v>2</v>
          </cell>
          <cell r="C2797" t="str">
            <v>dzień turnieju.</v>
          </cell>
          <cell r="I2797" t="str">
            <v>Nr meczu</v>
          </cell>
          <cell r="N2797" t="str">
            <v>Godz.</v>
          </cell>
          <cell r="R2797" t="str">
            <v>S. prow.</v>
          </cell>
          <cell r="AF2797" t="str">
            <v>wygrany</v>
          </cell>
          <cell r="AG2797" t="str">
            <v>przegrany</v>
          </cell>
        </row>
        <row r="2798">
          <cell r="B2798" t="str">
            <v>Boisko</v>
          </cell>
          <cell r="C2798" t="str">
            <v>Gra</v>
          </cell>
          <cell r="I2798">
            <v>400</v>
          </cell>
          <cell r="N2798" t="str">
            <v>rozp.</v>
          </cell>
          <cell r="P2798" t="str">
            <v>zak.</v>
          </cell>
          <cell r="R2798" t="str">
            <v>S. serw.</v>
          </cell>
        </row>
        <row r="2799">
          <cell r="A2799">
            <v>400</v>
          </cell>
          <cell r="C2799" t="str">
            <v>mieszana MM</v>
          </cell>
          <cell r="H2799">
            <v>16</v>
          </cell>
          <cell r="I2799">
            <v>21</v>
          </cell>
          <cell r="J2799">
            <v>15</v>
          </cell>
          <cell r="K2799">
            <v>21</v>
          </cell>
          <cell r="R2799">
            <v>0</v>
          </cell>
          <cell r="S2799" t="str">
            <v>sob 19:45</v>
          </cell>
          <cell r="X2799">
            <v>400</v>
          </cell>
          <cell r="Y2799" t="str">
            <v>mieszana MM</v>
          </cell>
          <cell r="Z2799" t="str">
            <v>P5025</v>
          </cell>
          <cell r="AA2799" t="str">
            <v>J5024</v>
          </cell>
          <cell r="AB2799" t="str">
            <v>M4565</v>
          </cell>
          <cell r="AC2799" t="str">
            <v>X05</v>
          </cell>
          <cell r="AD2799" t="str">
            <v>M4565</v>
          </cell>
          <cell r="AE2799" t="str">
            <v>X05</v>
          </cell>
          <cell r="AF2799" t="str">
            <v>21:16,21:15</v>
          </cell>
          <cell r="AG2799" t="str">
            <v>16:21,15:21</v>
          </cell>
          <cell r="AH2799" t="str">
            <v/>
          </cell>
          <cell r="AI2799">
            <v>16</v>
          </cell>
          <cell r="AJ2799">
            <v>21</v>
          </cell>
          <cell r="AK2799">
            <v>15</v>
          </cell>
          <cell r="AL2799">
            <v>21</v>
          </cell>
          <cell r="AM2799">
            <v>0</v>
          </cell>
          <cell r="AN2799">
            <v>0</v>
          </cell>
        </row>
        <row r="2800">
          <cell r="A2800" t="str">
            <v/>
          </cell>
          <cell r="B2800" t="str">
            <v>Jakub PLASZCZYK (MKS Strzelce Opolskie)</v>
          </cell>
          <cell r="H2800" t="str">
            <v>P5025</v>
          </cell>
          <cell r="K2800" t="str">
            <v>M4565</v>
          </cell>
          <cell r="N2800" t="str">
            <v>Maciej MATUSZ (LKS Technik Głubczyce)</v>
          </cell>
        </row>
        <row r="2801">
          <cell r="A2801" t="str">
            <v/>
          </cell>
          <cell r="B2801" t="str">
            <v>Zuzanna JANKOWSKA (MKS Strzelce Opolskie)</v>
          </cell>
          <cell r="H2801" t="str">
            <v>J5024</v>
          </cell>
          <cell r="K2801" t="str">
            <v>X05</v>
          </cell>
          <cell r="N2801" t="str">
            <v>Alesia  KRAMCHANINA (Białoruś)</v>
          </cell>
        </row>
        <row r="2803">
          <cell r="B2803" t="str">
            <v/>
          </cell>
          <cell r="K2803" t="str">
            <v>zwycięzca(cy): 21:16,21:15</v>
          </cell>
        </row>
        <row r="2804">
          <cell r="B2804">
            <v>2</v>
          </cell>
          <cell r="C2804" t="str">
            <v>dzień turnieju.</v>
          </cell>
          <cell r="I2804" t="str">
            <v>Nr meczu</v>
          </cell>
          <cell r="N2804" t="str">
            <v>Godz.</v>
          </cell>
          <cell r="R2804" t="str">
            <v>S. prow.</v>
          </cell>
          <cell r="AF2804" t="str">
            <v>wygrany</v>
          </cell>
          <cell r="AG2804" t="str">
            <v>przegrany</v>
          </cell>
        </row>
        <row r="2805">
          <cell r="B2805" t="str">
            <v>Boisko</v>
          </cell>
          <cell r="C2805" t="str">
            <v>Gra</v>
          </cell>
          <cell r="I2805">
            <v>401</v>
          </cell>
          <cell r="N2805" t="str">
            <v>rozp.</v>
          </cell>
          <cell r="P2805" t="str">
            <v>zak.</v>
          </cell>
          <cell r="R2805" t="str">
            <v>S. serw.</v>
          </cell>
        </row>
        <row r="2806">
          <cell r="A2806">
            <v>401</v>
          </cell>
          <cell r="B2806">
            <v>1</v>
          </cell>
          <cell r="C2806" t="str">
            <v>mieszana MM</v>
          </cell>
          <cell r="H2806">
            <v>11</v>
          </cell>
          <cell r="I2806">
            <v>21</v>
          </cell>
          <cell r="J2806">
            <v>10</v>
          </cell>
          <cell r="K2806">
            <v>21</v>
          </cell>
          <cell r="P2806">
            <v>0.87152777777777779</v>
          </cell>
          <cell r="R2806">
            <v>0.87152777777777779</v>
          </cell>
          <cell r="S2806" t="str">
            <v>sob 19:45</v>
          </cell>
          <cell r="X2806">
            <v>401</v>
          </cell>
          <cell r="Y2806" t="str">
            <v>mieszana MM</v>
          </cell>
          <cell r="Z2806" t="str">
            <v>Z4312</v>
          </cell>
          <cell r="AA2806" t="str">
            <v>H5946</v>
          </cell>
          <cell r="AB2806" t="str">
            <v>R4145</v>
          </cell>
          <cell r="AC2806" t="str">
            <v>P4759</v>
          </cell>
          <cell r="AD2806" t="str">
            <v>R4145</v>
          </cell>
          <cell r="AE2806" t="str">
            <v>P4759</v>
          </cell>
          <cell r="AF2806" t="str">
            <v>21:11,21:10</v>
          </cell>
          <cell r="AG2806" t="str">
            <v>11:21,10:21</v>
          </cell>
          <cell r="AH2806" t="str">
            <v/>
          </cell>
          <cell r="AI2806">
            <v>11</v>
          </cell>
          <cell r="AJ2806">
            <v>21</v>
          </cell>
          <cell r="AK2806">
            <v>10</v>
          </cell>
          <cell r="AL2806">
            <v>21</v>
          </cell>
          <cell r="AM2806">
            <v>0</v>
          </cell>
          <cell r="AN2806">
            <v>0</v>
          </cell>
        </row>
        <row r="2807">
          <cell r="A2807" t="str">
            <v/>
          </cell>
          <cell r="B2807" t="str">
            <v>Łukasz ZWIERZCHOWSKI (UKSB Milenium Warszawa)</v>
          </cell>
          <cell r="H2807" t="str">
            <v>Z4312</v>
          </cell>
          <cell r="K2807" t="str">
            <v>R4145</v>
          </cell>
          <cell r="N2807" t="str">
            <v>Michał RECKI (UKS Lotka Lubiewo)</v>
          </cell>
        </row>
        <row r="2808">
          <cell r="A2808" t="str">
            <v/>
          </cell>
          <cell r="B2808" t="str">
            <v>Paulina HANKIEWICZ (UKSB Milenium Warszawa)</v>
          </cell>
          <cell r="H2808" t="str">
            <v>H5946</v>
          </cell>
          <cell r="K2808" t="str">
            <v>P4759</v>
          </cell>
          <cell r="N2808" t="str">
            <v>Martyna PIETRZAK (MLKS Solec Kuj.)</v>
          </cell>
        </row>
        <row r="2810">
          <cell r="B2810" t="str">
            <v/>
          </cell>
          <cell r="K2810" t="str">
            <v>zwycięzca(cy): 21:11,21:10</v>
          </cell>
        </row>
        <row r="2811">
          <cell r="B2811">
            <v>2</v>
          </cell>
          <cell r="C2811" t="str">
            <v>dzień turnieju.</v>
          </cell>
          <cell r="I2811" t="str">
            <v>Nr meczu</v>
          </cell>
          <cell r="N2811" t="str">
            <v>Godz.</v>
          </cell>
          <cell r="R2811" t="str">
            <v>S. prow.</v>
          </cell>
          <cell r="AF2811" t="str">
            <v>wygrany</v>
          </cell>
          <cell r="AG2811" t="str">
            <v>przegrany</v>
          </cell>
        </row>
        <row r="2812">
          <cell r="B2812" t="str">
            <v>Boisko</v>
          </cell>
          <cell r="C2812" t="str">
            <v>Gra</v>
          </cell>
          <cell r="I2812">
            <v>402</v>
          </cell>
          <cell r="N2812" t="str">
            <v>rozp.</v>
          </cell>
          <cell r="P2812" t="str">
            <v>zak.</v>
          </cell>
          <cell r="R2812" t="str">
            <v>S. serw.</v>
          </cell>
        </row>
        <row r="2813">
          <cell r="A2813">
            <v>402</v>
          </cell>
          <cell r="B2813">
            <v>1</v>
          </cell>
          <cell r="C2813" t="str">
            <v>podwójna dziewcząt MM</v>
          </cell>
          <cell r="H2813">
            <v>0</v>
          </cell>
          <cell r="I2813">
            <v>21</v>
          </cell>
          <cell r="J2813">
            <v>0</v>
          </cell>
          <cell r="K2813">
            <v>21</v>
          </cell>
          <cell r="P2813">
            <v>0.91666666666666663</v>
          </cell>
          <cell r="R2813">
            <v>0.91666666666666663</v>
          </cell>
          <cell r="S2813" t="str">
            <v>sob 19:45</v>
          </cell>
          <cell r="X2813">
            <v>402</v>
          </cell>
          <cell r="Y2813" t="str">
            <v>podwójna dziewcząt MM</v>
          </cell>
          <cell r="Z2813" t="str">
            <v>X30</v>
          </cell>
          <cell r="AA2813" t="str">
            <v>X29</v>
          </cell>
          <cell r="AB2813" t="str">
            <v>X16</v>
          </cell>
          <cell r="AC2813" t="str">
            <v>X18</v>
          </cell>
          <cell r="AD2813" t="str">
            <v>X16</v>
          </cell>
          <cell r="AE2813" t="str">
            <v>X18</v>
          </cell>
          <cell r="AF2813" t="str">
            <v>21:0,21:0</v>
          </cell>
          <cell r="AG2813" t="str">
            <v>0:21,0:21</v>
          </cell>
          <cell r="AH2813" t="str">
            <v/>
          </cell>
          <cell r="AI2813">
            <v>0</v>
          </cell>
          <cell r="AJ2813">
            <v>21</v>
          </cell>
          <cell r="AK2813">
            <v>0</v>
          </cell>
          <cell r="AL2813">
            <v>21</v>
          </cell>
          <cell r="AM2813">
            <v>0</v>
          </cell>
          <cell r="AN2813">
            <v>0</v>
          </cell>
        </row>
        <row r="2814">
          <cell r="A2814" t="str">
            <v/>
          </cell>
          <cell r="B2814" t="str">
            <v>Lizaveta BAYAROUSKAYA (Białoruś)</v>
          </cell>
          <cell r="H2814" t="str">
            <v>X30</v>
          </cell>
          <cell r="K2814" t="str">
            <v>X16</v>
          </cell>
          <cell r="N2814" t="str">
            <v>Yelizaveta KAMINSKAYA (Mińsk Białoruś)</v>
          </cell>
        </row>
        <row r="2815">
          <cell r="A2815" t="str">
            <v/>
          </cell>
          <cell r="B2815" t="str">
            <v>Anastasiya KHOMICH (Białoruś)</v>
          </cell>
          <cell r="H2815" t="str">
            <v>X29</v>
          </cell>
          <cell r="K2815" t="str">
            <v>X18</v>
          </cell>
          <cell r="N2815" t="str">
            <v>Veranika TARUSAVA (Mińsk Białoruś)</v>
          </cell>
        </row>
        <row r="2817">
          <cell r="B2817" t="str">
            <v/>
          </cell>
          <cell r="K2817" t="str">
            <v>zwycięzca(cy): 21:0,21:0</v>
          </cell>
        </row>
        <row r="2818">
          <cell r="B2818">
            <v>2</v>
          </cell>
          <cell r="C2818" t="str">
            <v>dzień turnieju.</v>
          </cell>
          <cell r="I2818" t="str">
            <v>Nr meczu</v>
          </cell>
          <cell r="N2818" t="str">
            <v>Godz.</v>
          </cell>
          <cell r="R2818" t="str">
            <v>S. prow.</v>
          </cell>
          <cell r="AF2818" t="str">
            <v>wygrany</v>
          </cell>
          <cell r="AG2818" t="str">
            <v>przegrany</v>
          </cell>
        </row>
        <row r="2819">
          <cell r="B2819" t="str">
            <v>Boisko</v>
          </cell>
          <cell r="C2819" t="str">
            <v>Gra</v>
          </cell>
          <cell r="I2819">
            <v>403</v>
          </cell>
          <cell r="N2819" t="str">
            <v>rozp.</v>
          </cell>
          <cell r="P2819" t="str">
            <v>zak.</v>
          </cell>
          <cell r="R2819" t="str">
            <v>S. serw.</v>
          </cell>
        </row>
        <row r="2820">
          <cell r="A2820">
            <v>403</v>
          </cell>
          <cell r="B2820">
            <v>3</v>
          </cell>
          <cell r="C2820" t="str">
            <v>podwójna dziewcząt MM</v>
          </cell>
          <cell r="H2820">
            <v>24</v>
          </cell>
          <cell r="I2820">
            <v>22</v>
          </cell>
          <cell r="J2820">
            <v>18</v>
          </cell>
          <cell r="K2820">
            <v>21</v>
          </cell>
          <cell r="L2820">
            <v>21</v>
          </cell>
          <cell r="M2820">
            <v>12</v>
          </cell>
          <cell r="P2820">
            <v>0.88888888888888884</v>
          </cell>
          <cell r="R2820">
            <v>0.88888888888888884</v>
          </cell>
          <cell r="S2820" t="str">
            <v>sob 19:45</v>
          </cell>
          <cell r="X2820">
            <v>403</v>
          </cell>
          <cell r="Y2820" t="str">
            <v>podwójna dziewcząt MM</v>
          </cell>
          <cell r="Z2820" t="str">
            <v>K5262</v>
          </cell>
          <cell r="AA2820" t="str">
            <v>L5359</v>
          </cell>
          <cell r="AB2820" t="str">
            <v>F4870</v>
          </cell>
          <cell r="AC2820" t="str">
            <v>S4730</v>
          </cell>
          <cell r="AD2820" t="str">
            <v>K5262</v>
          </cell>
          <cell r="AE2820" t="str">
            <v>L5359</v>
          </cell>
          <cell r="AF2820" t="str">
            <v>24:22,18:21,21:12</v>
          </cell>
          <cell r="AG2820" t="str">
            <v>22:24,21:18,12:21</v>
          </cell>
          <cell r="AH2820" t="str">
            <v/>
          </cell>
          <cell r="AI2820">
            <v>24</v>
          </cell>
          <cell r="AJ2820">
            <v>22</v>
          </cell>
          <cell r="AK2820">
            <v>18</v>
          </cell>
          <cell r="AL2820">
            <v>21</v>
          </cell>
          <cell r="AM2820">
            <v>21</v>
          </cell>
          <cell r="AN2820">
            <v>12</v>
          </cell>
        </row>
        <row r="2821">
          <cell r="A2821" t="str">
            <v/>
          </cell>
          <cell r="B2821" t="str">
            <v>Wiktoria KASPRZAK (UKS Kiko Zamość)</v>
          </cell>
          <cell r="H2821" t="str">
            <v>K5262</v>
          </cell>
          <cell r="K2821" t="str">
            <v>F4870</v>
          </cell>
          <cell r="N2821" t="str">
            <v>Marcelina FRANCZUK (MMKS Gdańsk)</v>
          </cell>
        </row>
        <row r="2822">
          <cell r="A2822" t="str">
            <v/>
          </cell>
          <cell r="B2822" t="str">
            <v>Aleksandra LASKOWSKA (UKS Kiko Zamość)</v>
          </cell>
          <cell r="H2822" t="str">
            <v>L5359</v>
          </cell>
          <cell r="K2822" t="str">
            <v>S4730</v>
          </cell>
          <cell r="N2822" t="str">
            <v>Karolina SZUBERT (KS Match Point Ślęza)</v>
          </cell>
        </row>
        <row r="2824">
          <cell r="B2824" t="str">
            <v>zwycięzca(cy): 24:22,18:21,21:12</v>
          </cell>
          <cell r="K2824" t="str">
            <v/>
          </cell>
        </row>
        <row r="2825">
          <cell r="B2825">
            <v>2</v>
          </cell>
          <cell r="C2825" t="str">
            <v>dzień turnieju.</v>
          </cell>
          <cell r="I2825" t="str">
            <v>Nr meczu</v>
          </cell>
          <cell r="N2825" t="str">
            <v>Godz.</v>
          </cell>
          <cell r="R2825" t="str">
            <v>S. prow.</v>
          </cell>
          <cell r="AF2825" t="str">
            <v>wygrany</v>
          </cell>
          <cell r="AG2825" t="str">
            <v>przegrany</v>
          </cell>
        </row>
        <row r="2826">
          <cell r="B2826" t="str">
            <v>Boisko</v>
          </cell>
          <cell r="C2826" t="str">
            <v>Gra</v>
          </cell>
          <cell r="I2826">
            <v>404</v>
          </cell>
          <cell r="N2826" t="str">
            <v>rozp.</v>
          </cell>
          <cell r="P2826" t="str">
            <v>zak.</v>
          </cell>
          <cell r="R2826" t="str">
            <v>S. serw.</v>
          </cell>
        </row>
        <row r="2827">
          <cell r="A2827">
            <v>404</v>
          </cell>
          <cell r="B2827">
            <v>3</v>
          </cell>
          <cell r="C2827" t="str">
            <v>podwójna chłopców MM</v>
          </cell>
          <cell r="H2827">
            <v>21</v>
          </cell>
          <cell r="I2827">
            <v>17</v>
          </cell>
          <cell r="J2827">
            <v>21</v>
          </cell>
          <cell r="K2827">
            <v>10</v>
          </cell>
          <cell r="P2827">
            <v>0.91666666666666663</v>
          </cell>
          <cell r="R2827">
            <v>0.91666666666666663</v>
          </cell>
          <cell r="S2827" t="str">
            <v>sob 19:45</v>
          </cell>
          <cell r="X2827">
            <v>404</v>
          </cell>
          <cell r="Y2827" t="str">
            <v>podwójna chłopców MM</v>
          </cell>
          <cell r="Z2827" t="str">
            <v>C4406</v>
          </cell>
          <cell r="AA2827" t="str">
            <v>C4264</v>
          </cell>
          <cell r="AB2827" t="str">
            <v>M5584</v>
          </cell>
          <cell r="AC2827" t="str">
            <v>Ś5585</v>
          </cell>
          <cell r="AD2827" t="str">
            <v>C4406</v>
          </cell>
          <cell r="AE2827" t="str">
            <v>C4264</v>
          </cell>
          <cell r="AF2827" t="str">
            <v>21:17,21:10</v>
          </cell>
          <cell r="AG2827" t="str">
            <v>17:21,10:21</v>
          </cell>
          <cell r="AH2827" t="str">
            <v/>
          </cell>
          <cell r="AI2827">
            <v>21</v>
          </cell>
          <cell r="AJ2827">
            <v>17</v>
          </cell>
          <cell r="AK2827">
            <v>21</v>
          </cell>
          <cell r="AL2827">
            <v>10</v>
          </cell>
          <cell r="AM2827">
            <v>0</v>
          </cell>
          <cell r="AN2827">
            <v>0</v>
          </cell>
        </row>
        <row r="2828">
          <cell r="A2828" t="str">
            <v/>
          </cell>
          <cell r="B2828" t="str">
            <v>Łukasz CIMOSZ (KS Chojnik Jelenia Góra)</v>
          </cell>
          <cell r="H2828" t="str">
            <v>C4406</v>
          </cell>
          <cell r="K2828" t="str">
            <v>M5584</v>
          </cell>
          <cell r="N2828" t="str">
            <v>Jakub MAZUR (LKS Technik Głubczyce)</v>
          </cell>
        </row>
        <row r="2829">
          <cell r="A2829" t="str">
            <v/>
          </cell>
          <cell r="B2829" t="str">
            <v>Szymon CYBULSKI (MKB Lednik Miastko)</v>
          </cell>
          <cell r="H2829" t="str">
            <v>C4264</v>
          </cell>
          <cell r="K2829" t="str">
            <v>Ś5585</v>
          </cell>
          <cell r="N2829" t="str">
            <v>Szymon ŚLEPECKI (LKS Technik Głubczyce)</v>
          </cell>
        </row>
        <row r="2831">
          <cell r="B2831" t="str">
            <v>zwycięzca(cy): 21:17,21:10</v>
          </cell>
          <cell r="K2831" t="str">
            <v/>
          </cell>
        </row>
        <row r="2832">
          <cell r="B2832">
            <v>2</v>
          </cell>
          <cell r="C2832" t="str">
            <v>dzień turnieju.</v>
          </cell>
          <cell r="I2832" t="str">
            <v>Nr meczu</v>
          </cell>
          <cell r="N2832" t="str">
            <v>Godz.</v>
          </cell>
          <cell r="R2832" t="str">
            <v>S. prow.</v>
          </cell>
          <cell r="AF2832" t="str">
            <v>wygrany</v>
          </cell>
          <cell r="AG2832" t="str">
            <v>przegrany</v>
          </cell>
        </row>
        <row r="2833">
          <cell r="B2833" t="str">
            <v>Boisko</v>
          </cell>
          <cell r="C2833" t="str">
            <v>Gra</v>
          </cell>
          <cell r="I2833">
            <v>405</v>
          </cell>
          <cell r="N2833" t="str">
            <v>rozp.</v>
          </cell>
          <cell r="P2833" t="str">
            <v>zak.</v>
          </cell>
          <cell r="R2833" t="str">
            <v>S. serw.</v>
          </cell>
        </row>
        <row r="2834">
          <cell r="A2834">
            <v>405</v>
          </cell>
          <cell r="B2834">
            <v>4</v>
          </cell>
          <cell r="C2834" t="str">
            <v>podwójna chłopców MM</v>
          </cell>
          <cell r="H2834">
            <v>19</v>
          </cell>
          <cell r="I2834">
            <v>21</v>
          </cell>
          <cell r="J2834">
            <v>21</v>
          </cell>
          <cell r="K2834">
            <v>12</v>
          </cell>
          <cell r="L2834">
            <v>21</v>
          </cell>
          <cell r="M2834">
            <v>14</v>
          </cell>
          <cell r="P2834">
            <v>0.88888888888888884</v>
          </cell>
          <cell r="R2834">
            <v>0.88888888888888884</v>
          </cell>
          <cell r="S2834" t="str">
            <v>sob 20:15</v>
          </cell>
          <cell r="X2834">
            <v>405</v>
          </cell>
          <cell r="Y2834" t="str">
            <v>podwójna chłopców MM</v>
          </cell>
          <cell r="Z2834" t="str">
            <v>G4725</v>
          </cell>
          <cell r="AA2834" t="str">
            <v>M4565</v>
          </cell>
          <cell r="AB2834" t="str">
            <v>K5180</v>
          </cell>
          <cell r="AC2834" t="str">
            <v>M4612</v>
          </cell>
          <cell r="AD2834" t="str">
            <v>G4725</v>
          </cell>
          <cell r="AE2834" t="str">
            <v>M4565</v>
          </cell>
          <cell r="AF2834" t="str">
            <v>19:21,21:12,21:14</v>
          </cell>
          <cell r="AG2834" t="str">
            <v>21:19,12:21,14:21</v>
          </cell>
          <cell r="AH2834" t="str">
            <v/>
          </cell>
          <cell r="AI2834">
            <v>19</v>
          </cell>
          <cell r="AJ2834">
            <v>21</v>
          </cell>
          <cell r="AK2834">
            <v>21</v>
          </cell>
          <cell r="AL2834">
            <v>12</v>
          </cell>
          <cell r="AM2834">
            <v>21</v>
          </cell>
          <cell r="AN2834">
            <v>14</v>
          </cell>
        </row>
        <row r="2835">
          <cell r="A2835" t="str">
            <v/>
          </cell>
          <cell r="B2835" t="str">
            <v>Bartosz GAŁĄZKA (LKS Technik Głubczyce)</v>
          </cell>
          <cell r="H2835" t="str">
            <v>G4725</v>
          </cell>
          <cell r="K2835" t="str">
            <v>K5180</v>
          </cell>
          <cell r="N2835" t="str">
            <v>Patryk KORDEK (UKS Aktywna Piątka Przemyśl)</v>
          </cell>
        </row>
        <row r="2836">
          <cell r="A2836" t="str">
            <v/>
          </cell>
          <cell r="B2836" t="str">
            <v>Maciej MATUSZ (LKS Technik Głubczyce)</v>
          </cell>
          <cell r="H2836" t="str">
            <v>M4565</v>
          </cell>
          <cell r="K2836" t="str">
            <v>M4612</v>
          </cell>
          <cell r="N2836" t="str">
            <v>Patryk MICHAŁEK (UKS Orbitek Straszęcin)</v>
          </cell>
        </row>
        <row r="2838">
          <cell r="B2838" t="str">
            <v>zwycięzca(cy): 19:21,21:12,21:14</v>
          </cell>
          <cell r="K2838" t="str">
            <v/>
          </cell>
        </row>
        <row r="2839">
          <cell r="B2839">
            <v>2</v>
          </cell>
          <cell r="C2839" t="str">
            <v>dzień turnieju.</v>
          </cell>
          <cell r="I2839" t="str">
            <v>Nr meczu</v>
          </cell>
          <cell r="N2839" t="str">
            <v>Godz.</v>
          </cell>
          <cell r="R2839" t="str">
            <v>S. prow.</v>
          </cell>
          <cell r="AF2839" t="str">
            <v>wygrany</v>
          </cell>
          <cell r="AG2839" t="str">
            <v>przegrany</v>
          </cell>
        </row>
        <row r="2840">
          <cell r="B2840" t="str">
            <v>Boisko</v>
          </cell>
          <cell r="C2840" t="str">
            <v>Gra</v>
          </cell>
          <cell r="I2840">
            <v>406</v>
          </cell>
          <cell r="N2840" t="str">
            <v>rozp.</v>
          </cell>
          <cell r="P2840" t="str">
            <v>zak.</v>
          </cell>
          <cell r="R2840" t="str">
            <v>S. serw.</v>
          </cell>
        </row>
        <row r="2841">
          <cell r="A2841">
            <v>406</v>
          </cell>
          <cell r="B2841">
            <v>1</v>
          </cell>
          <cell r="C2841" t="str">
            <v>pojedyncza dziewcząt MM</v>
          </cell>
          <cell r="H2841">
            <v>20</v>
          </cell>
          <cell r="I2841">
            <v>22</v>
          </cell>
          <cell r="J2841">
            <v>19</v>
          </cell>
          <cell r="K2841">
            <v>21</v>
          </cell>
          <cell r="P2841">
            <v>0.88888888888888884</v>
          </cell>
          <cell r="R2841">
            <v>0.88888888888888884</v>
          </cell>
          <cell r="S2841" t="str">
            <v>sob 20:15</v>
          </cell>
          <cell r="X2841">
            <v>406</v>
          </cell>
          <cell r="Y2841" t="str">
            <v>pojedyncza dziewcząt MM</v>
          </cell>
          <cell r="Z2841" t="str">
            <v>D4628</v>
          </cell>
          <cell r="AA2841" t="str">
            <v/>
          </cell>
          <cell r="AB2841" t="str">
            <v>X17</v>
          </cell>
          <cell r="AC2841" t="str">
            <v/>
          </cell>
          <cell r="AD2841" t="str">
            <v>X17</v>
          </cell>
          <cell r="AE2841" t="str">
            <v/>
          </cell>
          <cell r="AF2841" t="str">
            <v>22:20,21:19</v>
          </cell>
          <cell r="AG2841" t="str">
            <v>20:22,19:21</v>
          </cell>
          <cell r="AH2841" t="str">
            <v/>
          </cell>
          <cell r="AI2841">
            <v>20</v>
          </cell>
          <cell r="AJ2841">
            <v>22</v>
          </cell>
          <cell r="AK2841">
            <v>19</v>
          </cell>
          <cell r="AL2841">
            <v>21</v>
          </cell>
          <cell r="AM2841">
            <v>0</v>
          </cell>
          <cell r="AN2841">
            <v>0</v>
          </cell>
        </row>
        <row r="2842">
          <cell r="A2842" t="str">
            <v/>
          </cell>
          <cell r="B2842" t="str">
            <v>Anna DUDA (ULKS U-2 Lotka Bytów)</v>
          </cell>
          <cell r="H2842" t="str">
            <v>D4628</v>
          </cell>
          <cell r="K2842" t="str">
            <v>X17</v>
          </cell>
          <cell r="N2842" t="str">
            <v>Anna BANDARENKA (Mińsk Białoruś)</v>
          </cell>
        </row>
        <row r="2843">
          <cell r="A2843" t="str">
            <v/>
          </cell>
          <cell r="B2843" t="str">
            <v/>
          </cell>
          <cell r="H2843" t="str">
            <v/>
          </cell>
          <cell r="K2843" t="str">
            <v/>
          </cell>
          <cell r="N2843" t="str">
            <v/>
          </cell>
        </row>
        <row r="2845">
          <cell r="B2845" t="str">
            <v/>
          </cell>
          <cell r="K2845" t="str">
            <v>zwycięzca(cy): 22:20,21:19</v>
          </cell>
        </row>
        <row r="2846">
          <cell r="B2846">
            <v>2</v>
          </cell>
          <cell r="C2846" t="str">
            <v>dzień turnieju.</v>
          </cell>
          <cell r="I2846" t="str">
            <v>Nr meczu</v>
          </cell>
          <cell r="N2846" t="str">
            <v>Godz.</v>
          </cell>
          <cell r="R2846" t="str">
            <v>S. prow.</v>
          </cell>
          <cell r="AF2846" t="str">
            <v>wygrany</v>
          </cell>
          <cell r="AG2846" t="str">
            <v>przegrany</v>
          </cell>
        </row>
        <row r="2847">
          <cell r="B2847" t="str">
            <v>Boisko</v>
          </cell>
          <cell r="C2847" t="str">
            <v>Gra</v>
          </cell>
          <cell r="I2847">
            <v>407</v>
          </cell>
          <cell r="N2847" t="str">
            <v>rozp.</v>
          </cell>
          <cell r="P2847" t="str">
            <v>zak.</v>
          </cell>
          <cell r="R2847" t="str">
            <v>S. serw.</v>
          </cell>
        </row>
        <row r="2848">
          <cell r="A2848">
            <v>407</v>
          </cell>
          <cell r="B2848">
            <v>2</v>
          </cell>
          <cell r="C2848" t="str">
            <v>pojedyncza dziewcząt MM</v>
          </cell>
          <cell r="H2848">
            <v>21</v>
          </cell>
          <cell r="I2848">
            <v>18</v>
          </cell>
          <cell r="J2848">
            <v>21</v>
          </cell>
          <cell r="K2848">
            <v>19</v>
          </cell>
          <cell r="P2848">
            <v>0.90972222222222221</v>
          </cell>
          <cell r="R2848">
            <v>0.90972222222222221</v>
          </cell>
          <cell r="S2848" t="str">
            <v>sob 20:15</v>
          </cell>
          <cell r="X2848">
            <v>407</v>
          </cell>
          <cell r="Y2848" t="str">
            <v>pojedyncza dziewcząt MM</v>
          </cell>
          <cell r="Z2848" t="str">
            <v>X63</v>
          </cell>
          <cell r="AA2848" t="str">
            <v/>
          </cell>
          <cell r="AB2848" t="str">
            <v>X16</v>
          </cell>
          <cell r="AC2848" t="str">
            <v/>
          </cell>
          <cell r="AD2848" t="str">
            <v>X63</v>
          </cell>
          <cell r="AE2848" t="str">
            <v/>
          </cell>
          <cell r="AF2848" t="str">
            <v>21:18,21:19</v>
          </cell>
          <cell r="AG2848" t="str">
            <v>18:21,19:21</v>
          </cell>
          <cell r="AH2848" t="str">
            <v/>
          </cell>
          <cell r="AI2848">
            <v>21</v>
          </cell>
          <cell r="AJ2848">
            <v>18</v>
          </cell>
          <cell r="AK2848">
            <v>21</v>
          </cell>
          <cell r="AL2848">
            <v>19</v>
          </cell>
          <cell r="AM2848">
            <v>0</v>
          </cell>
          <cell r="AN2848">
            <v>0</v>
          </cell>
        </row>
        <row r="2849">
          <cell r="A2849" t="str">
            <v/>
          </cell>
          <cell r="B2849" t="str">
            <v>Anna  KRAMCHANINA (Brześć 2 Białoruś)</v>
          </cell>
          <cell r="H2849" t="str">
            <v>X63</v>
          </cell>
          <cell r="K2849" t="str">
            <v>X16</v>
          </cell>
          <cell r="N2849" t="str">
            <v>Yelizaveta KAMINSKAYA (Mińsk Białoruś)</v>
          </cell>
        </row>
        <row r="2850">
          <cell r="A2850" t="str">
            <v/>
          </cell>
          <cell r="B2850" t="str">
            <v/>
          </cell>
          <cell r="H2850" t="str">
            <v/>
          </cell>
          <cell r="K2850" t="str">
            <v/>
          </cell>
          <cell r="N2850" t="str">
            <v/>
          </cell>
        </row>
        <row r="2852">
          <cell r="B2852" t="str">
            <v>zwycięzca(cy): 21:18,21:19</v>
          </cell>
          <cell r="K2852" t="str">
            <v/>
          </cell>
        </row>
        <row r="2853">
          <cell r="B2853">
            <v>2</v>
          </cell>
          <cell r="C2853" t="str">
            <v>dzień turnieju.</v>
          </cell>
          <cell r="I2853" t="str">
            <v>Nr meczu</v>
          </cell>
          <cell r="N2853" t="str">
            <v>Godz.</v>
          </cell>
          <cell r="R2853" t="str">
            <v>S. prow.</v>
          </cell>
          <cell r="AF2853" t="str">
            <v>wygrany</v>
          </cell>
          <cell r="AG2853" t="str">
            <v>przegrany</v>
          </cell>
        </row>
        <row r="2854">
          <cell r="B2854" t="str">
            <v>Boisko</v>
          </cell>
          <cell r="C2854" t="str">
            <v>Gra</v>
          </cell>
          <cell r="I2854">
            <v>408</v>
          </cell>
          <cell r="N2854" t="str">
            <v>rozp.</v>
          </cell>
          <cell r="P2854" t="str">
            <v>zak.</v>
          </cell>
          <cell r="R2854" t="str">
            <v>S. serw.</v>
          </cell>
        </row>
        <row r="2855">
          <cell r="A2855">
            <v>408</v>
          </cell>
          <cell r="C2855" t="str">
            <v>pojedyncza chłopców MM</v>
          </cell>
          <cell r="H2855">
            <v>10</v>
          </cell>
          <cell r="I2855">
            <v>21</v>
          </cell>
          <cell r="J2855">
            <v>21</v>
          </cell>
          <cell r="K2855">
            <v>14</v>
          </cell>
          <cell r="L2855">
            <v>21</v>
          </cell>
          <cell r="M2855">
            <v>10</v>
          </cell>
          <cell r="R2855">
            <v>0</v>
          </cell>
          <cell r="S2855" t="str">
            <v>sob 20:15</v>
          </cell>
          <cell r="X2855">
            <v>408</v>
          </cell>
          <cell r="Y2855" t="str">
            <v>pojedyncza chłopców MM</v>
          </cell>
          <cell r="Z2855" t="str">
            <v>M4565</v>
          </cell>
          <cell r="AA2855" t="str">
            <v/>
          </cell>
          <cell r="AB2855" t="str">
            <v>P5025</v>
          </cell>
          <cell r="AC2855" t="str">
            <v/>
          </cell>
          <cell r="AD2855" t="str">
            <v>M4565</v>
          </cell>
          <cell r="AE2855" t="str">
            <v/>
          </cell>
          <cell r="AF2855" t="str">
            <v>10:21,21:14,21:10</v>
          </cell>
          <cell r="AG2855" t="str">
            <v>21:10,14:21,10:21</v>
          </cell>
          <cell r="AH2855" t="str">
            <v/>
          </cell>
          <cell r="AI2855">
            <v>10</v>
          </cell>
          <cell r="AJ2855">
            <v>21</v>
          </cell>
          <cell r="AK2855">
            <v>21</v>
          </cell>
          <cell r="AL2855">
            <v>14</v>
          </cell>
          <cell r="AM2855">
            <v>21</v>
          </cell>
          <cell r="AN2855">
            <v>10</v>
          </cell>
        </row>
        <row r="2856">
          <cell r="A2856" t="str">
            <v/>
          </cell>
          <cell r="B2856" t="str">
            <v>Maciej MATUSZ (LKS Technik Głubczyce)</v>
          </cell>
          <cell r="H2856" t="str">
            <v>M4565</v>
          </cell>
          <cell r="K2856" t="str">
            <v>P5025</v>
          </cell>
          <cell r="N2856" t="str">
            <v>Jakub PLASZCZYK (MKS Strzelce Opolskie)</v>
          </cell>
        </row>
        <row r="2857">
          <cell r="A2857" t="str">
            <v/>
          </cell>
          <cell r="B2857" t="str">
            <v/>
          </cell>
          <cell r="H2857" t="str">
            <v/>
          </cell>
          <cell r="K2857" t="str">
            <v/>
          </cell>
          <cell r="N2857" t="str">
            <v/>
          </cell>
        </row>
        <row r="2859">
          <cell r="B2859" t="str">
            <v>zwycięzca(cy): 10:21,21:14,21:10</v>
          </cell>
          <cell r="K2859" t="str">
            <v/>
          </cell>
        </row>
        <row r="2860">
          <cell r="B2860">
            <v>2</v>
          </cell>
          <cell r="C2860" t="str">
            <v>dzień turnieju.</v>
          </cell>
          <cell r="I2860" t="str">
            <v>Nr meczu</v>
          </cell>
          <cell r="N2860" t="str">
            <v>Godz.</v>
          </cell>
          <cell r="R2860" t="str">
            <v>S. prow.</v>
          </cell>
          <cell r="AF2860" t="str">
            <v>wygrany</v>
          </cell>
          <cell r="AG2860" t="str">
            <v>przegrany</v>
          </cell>
        </row>
        <row r="2861">
          <cell r="B2861" t="str">
            <v>Boisko</v>
          </cell>
          <cell r="C2861" t="str">
            <v>Gra</v>
          </cell>
          <cell r="I2861">
            <v>409</v>
          </cell>
          <cell r="N2861" t="str">
            <v>rozp.</v>
          </cell>
          <cell r="P2861" t="str">
            <v>zak.</v>
          </cell>
          <cell r="R2861" t="str">
            <v>S. serw.</v>
          </cell>
        </row>
        <row r="2862">
          <cell r="A2862">
            <v>409</v>
          </cell>
          <cell r="C2862" t="str">
            <v>pojedyncza chłopców MM</v>
          </cell>
          <cell r="H2862">
            <v>19</v>
          </cell>
          <cell r="I2862">
            <v>21</v>
          </cell>
          <cell r="J2862">
            <v>21</v>
          </cell>
          <cell r="K2862">
            <v>10</v>
          </cell>
          <cell r="L2862">
            <v>21</v>
          </cell>
          <cell r="M2862">
            <v>15</v>
          </cell>
          <cell r="R2862">
            <v>0</v>
          </cell>
          <cell r="S2862" t="str">
            <v>sob 20:15</v>
          </cell>
          <cell r="X2862">
            <v>409</v>
          </cell>
          <cell r="Y2862" t="str">
            <v>pojedyncza chłopców MM</v>
          </cell>
          <cell r="Z2862" t="str">
            <v>G4725</v>
          </cell>
          <cell r="AA2862" t="str">
            <v/>
          </cell>
          <cell r="AB2862" t="str">
            <v>M4612</v>
          </cell>
          <cell r="AC2862" t="str">
            <v/>
          </cell>
          <cell r="AD2862" t="str">
            <v>G4725</v>
          </cell>
          <cell r="AE2862" t="str">
            <v/>
          </cell>
          <cell r="AF2862" t="str">
            <v>19:21,21:10,21:15</v>
          </cell>
          <cell r="AG2862" t="str">
            <v>21:19,10:21,15:21</v>
          </cell>
          <cell r="AH2862" t="str">
            <v/>
          </cell>
          <cell r="AI2862">
            <v>19</v>
          </cell>
          <cell r="AJ2862">
            <v>21</v>
          </cell>
          <cell r="AK2862">
            <v>21</v>
          </cell>
          <cell r="AL2862">
            <v>10</v>
          </cell>
          <cell r="AM2862">
            <v>21</v>
          </cell>
          <cell r="AN2862">
            <v>15</v>
          </cell>
        </row>
        <row r="2863">
          <cell r="A2863" t="str">
            <v/>
          </cell>
          <cell r="B2863" t="str">
            <v>Bartosz GAŁĄZKA (LKS Technik Głubczyce)</v>
          </cell>
          <cell r="H2863" t="str">
            <v>G4725</v>
          </cell>
          <cell r="K2863" t="str">
            <v>M4612</v>
          </cell>
          <cell r="N2863" t="str">
            <v>Patryk MICHAŁEK (UKS Orbitek Straszęcin)</v>
          </cell>
        </row>
        <row r="2864">
          <cell r="A2864" t="str">
            <v/>
          </cell>
          <cell r="B2864" t="str">
            <v/>
          </cell>
          <cell r="H2864" t="str">
            <v/>
          </cell>
          <cell r="K2864" t="str">
            <v/>
          </cell>
          <cell r="N2864" t="str">
            <v/>
          </cell>
        </row>
        <row r="2866">
          <cell r="B2866" t="str">
            <v>zwycięzca(cy): 19:21,21:10,21:15</v>
          </cell>
          <cell r="K2866" t="str">
            <v/>
          </cell>
        </row>
        <row r="2867">
          <cell r="B2867">
            <v>2</v>
          </cell>
          <cell r="C2867" t="str">
            <v>dzień turnieju.</v>
          </cell>
          <cell r="I2867" t="str">
            <v>Nr meczu</v>
          </cell>
          <cell r="N2867" t="str">
            <v>Godz.</v>
          </cell>
          <cell r="R2867" t="str">
            <v>S. prow.</v>
          </cell>
          <cell r="AF2867" t="str">
            <v>wygrany</v>
          </cell>
          <cell r="AG2867" t="str">
            <v>przegrany</v>
          </cell>
        </row>
        <row r="2868">
          <cell r="B2868" t="str">
            <v>Boisko</v>
          </cell>
          <cell r="C2868" t="str">
            <v>Gra</v>
          </cell>
          <cell r="I2868">
            <v>410</v>
          </cell>
          <cell r="N2868" t="str">
            <v>rozp.</v>
          </cell>
          <cell r="P2868" t="str">
            <v>zak.</v>
          </cell>
          <cell r="R2868" t="str">
            <v>S. serw.</v>
          </cell>
        </row>
        <row r="2869">
          <cell r="A2869">
            <v>410</v>
          </cell>
          <cell r="B2869">
            <v>5</v>
          </cell>
          <cell r="C2869" t="str">
            <v>pojedyncza dziewcząt Ż</v>
          </cell>
          <cell r="H2869">
            <v>11</v>
          </cell>
          <cell r="I2869">
            <v>21</v>
          </cell>
          <cell r="J2869">
            <v>6</v>
          </cell>
          <cell r="K2869">
            <v>21</v>
          </cell>
          <cell r="P2869">
            <v>0.92291666666666661</v>
          </cell>
          <cell r="R2869">
            <v>0.92291666666666661</v>
          </cell>
          <cell r="S2869" t="str">
            <v>sob 20:15</v>
          </cell>
          <cell r="X2869">
            <v>410</v>
          </cell>
          <cell r="Y2869" t="str">
            <v>pojedyncza dziewcząt Ż</v>
          </cell>
          <cell r="Z2869" t="str">
            <v>N5113</v>
          </cell>
          <cell r="AA2869" t="str">
            <v/>
          </cell>
          <cell r="AB2869" t="str">
            <v>X18</v>
          </cell>
          <cell r="AC2869" t="str">
            <v/>
          </cell>
          <cell r="AD2869" t="str">
            <v>X18</v>
          </cell>
          <cell r="AE2869" t="str">
            <v/>
          </cell>
          <cell r="AF2869" t="str">
            <v>21:11,21:6</v>
          </cell>
          <cell r="AG2869" t="str">
            <v>11:21,6:21</v>
          </cell>
          <cell r="AH2869" t="str">
            <v/>
          </cell>
          <cell r="AI2869">
            <v>11</v>
          </cell>
          <cell r="AJ2869">
            <v>21</v>
          </cell>
          <cell r="AK2869">
            <v>6</v>
          </cell>
          <cell r="AL2869">
            <v>21</v>
          </cell>
          <cell r="AM2869">
            <v>0</v>
          </cell>
          <cell r="AN2869">
            <v>0</v>
          </cell>
        </row>
        <row r="2870">
          <cell r="A2870" t="str">
            <v/>
          </cell>
          <cell r="B2870" t="str">
            <v>Weronika NIKLAS (ULKS U-2 Lotka Bytów)</v>
          </cell>
          <cell r="H2870" t="str">
            <v>N5113</v>
          </cell>
          <cell r="K2870" t="str">
            <v>X18</v>
          </cell>
          <cell r="N2870" t="str">
            <v>Veranika TARUSAVA (Mińsk Białoruś)</v>
          </cell>
        </row>
        <row r="2871">
          <cell r="A2871" t="str">
            <v/>
          </cell>
          <cell r="B2871" t="str">
            <v/>
          </cell>
          <cell r="H2871" t="str">
            <v/>
          </cell>
          <cell r="K2871" t="str">
            <v/>
          </cell>
          <cell r="N2871" t="str">
            <v/>
          </cell>
        </row>
        <row r="2873">
          <cell r="B2873" t="str">
            <v/>
          </cell>
          <cell r="K2873" t="str">
            <v>zwycięzca(cy): 21:11,21:6</v>
          </cell>
        </row>
        <row r="2874">
          <cell r="B2874">
            <v>2</v>
          </cell>
          <cell r="C2874" t="str">
            <v>dzień turnieju.</v>
          </cell>
          <cell r="I2874" t="str">
            <v>Nr meczu</v>
          </cell>
          <cell r="N2874" t="str">
            <v>Godz.</v>
          </cell>
          <cell r="R2874" t="str">
            <v>S. prow.</v>
          </cell>
          <cell r="AF2874" t="str">
            <v>wygrany</v>
          </cell>
          <cell r="AG2874" t="str">
            <v>przegrany</v>
          </cell>
        </row>
        <row r="2875">
          <cell r="B2875" t="str">
            <v>Boisko</v>
          </cell>
          <cell r="C2875" t="str">
            <v>Gra</v>
          </cell>
          <cell r="I2875">
            <v>411</v>
          </cell>
          <cell r="N2875" t="str">
            <v>rozp.</v>
          </cell>
          <cell r="P2875" t="str">
            <v>zak.</v>
          </cell>
          <cell r="R2875" t="str">
            <v>S. serw.</v>
          </cell>
        </row>
        <row r="2876">
          <cell r="A2876">
            <v>411</v>
          </cell>
          <cell r="C2876" t="str">
            <v>pojedyncza chłopców Ż</v>
          </cell>
          <cell r="H2876">
            <v>21</v>
          </cell>
          <cell r="I2876">
            <v>10</v>
          </cell>
          <cell r="J2876">
            <v>11</v>
          </cell>
          <cell r="K2876">
            <v>21</v>
          </cell>
          <cell r="L2876">
            <v>21</v>
          </cell>
          <cell r="M2876">
            <v>17</v>
          </cell>
          <cell r="R2876">
            <v>0</v>
          </cell>
          <cell r="S2876" t="str">
            <v>sob 20:15</v>
          </cell>
          <cell r="X2876">
            <v>411</v>
          </cell>
          <cell r="Y2876" t="str">
            <v>pojedyncza chłopców Ż</v>
          </cell>
          <cell r="Z2876" t="str">
            <v>Ś5585</v>
          </cell>
          <cell r="AA2876" t="str">
            <v/>
          </cell>
          <cell r="AB2876" t="str">
            <v>M5584</v>
          </cell>
          <cell r="AC2876" t="str">
            <v/>
          </cell>
          <cell r="AD2876" t="str">
            <v>Ś5585</v>
          </cell>
          <cell r="AE2876" t="str">
            <v/>
          </cell>
          <cell r="AF2876" t="str">
            <v>21:10,11:21,21:17</v>
          </cell>
          <cell r="AG2876" t="str">
            <v>10:21,21:11,17:21</v>
          </cell>
          <cell r="AH2876" t="str">
            <v/>
          </cell>
          <cell r="AI2876">
            <v>21</v>
          </cell>
          <cell r="AJ2876">
            <v>10</v>
          </cell>
          <cell r="AK2876">
            <v>11</v>
          </cell>
          <cell r="AL2876">
            <v>21</v>
          </cell>
          <cell r="AM2876">
            <v>21</v>
          </cell>
          <cell r="AN2876">
            <v>17</v>
          </cell>
        </row>
        <row r="2877">
          <cell r="A2877" t="str">
            <v/>
          </cell>
          <cell r="B2877" t="str">
            <v>Szymon ŚLEPECKI (LKS Technik Głubczyce)</v>
          </cell>
          <cell r="H2877" t="str">
            <v>Ś5585</v>
          </cell>
          <cell r="K2877" t="str">
            <v>M5584</v>
          </cell>
          <cell r="N2877" t="str">
            <v>Jakub MAZUR (LKS Technik Głubczyce)</v>
          </cell>
        </row>
        <row r="2878">
          <cell r="A2878" t="str">
            <v/>
          </cell>
          <cell r="B2878" t="str">
            <v/>
          </cell>
          <cell r="H2878" t="str">
            <v/>
          </cell>
          <cell r="K2878" t="str">
            <v/>
          </cell>
          <cell r="N2878" t="str">
            <v/>
          </cell>
        </row>
        <row r="2880">
          <cell r="B2880" t="str">
            <v>zwycięzca(cy): 21:10,11:21,21:17</v>
          </cell>
          <cell r="K2880" t="str">
            <v/>
          </cell>
        </row>
        <row r="2881">
          <cell r="B2881">
            <v>2</v>
          </cell>
          <cell r="C2881" t="str">
            <v>dzień turnieju.</v>
          </cell>
          <cell r="I2881" t="str">
            <v>Nr meczu</v>
          </cell>
          <cell r="N2881" t="str">
            <v>Godz.</v>
          </cell>
          <cell r="R2881" t="str">
            <v>S. prow.</v>
          </cell>
          <cell r="AF2881" t="str">
            <v>wygrany</v>
          </cell>
          <cell r="AG2881" t="str">
            <v>przegrany</v>
          </cell>
        </row>
        <row r="2882">
          <cell r="B2882" t="str">
            <v>Boisko</v>
          </cell>
          <cell r="C2882" t="str">
            <v>Gra</v>
          </cell>
          <cell r="I2882">
            <v>412</v>
          </cell>
          <cell r="N2882" t="str">
            <v>rozp.</v>
          </cell>
          <cell r="P2882" t="str">
            <v>zak.</v>
          </cell>
          <cell r="R2882" t="str">
            <v>S. serw.</v>
          </cell>
        </row>
        <row r="2883">
          <cell r="A2883">
            <v>412</v>
          </cell>
          <cell r="C2883" t="str">
            <v>mieszana MM</v>
          </cell>
          <cell r="H2883">
            <v>21</v>
          </cell>
          <cell r="I2883">
            <v>13</v>
          </cell>
          <cell r="J2883">
            <v>21</v>
          </cell>
          <cell r="K2883">
            <v>3</v>
          </cell>
          <cell r="R2883">
            <v>0</v>
          </cell>
          <cell r="S2883" t="str">
            <v>sob 20:15</v>
          </cell>
          <cell r="X2883">
            <v>412</v>
          </cell>
          <cell r="Y2883" t="str">
            <v>mieszana MM</v>
          </cell>
          <cell r="Z2883" t="str">
            <v>M4565</v>
          </cell>
          <cell r="AA2883" t="str">
            <v>X05</v>
          </cell>
          <cell r="AB2883" t="str">
            <v>R4145</v>
          </cell>
          <cell r="AC2883" t="str">
            <v>P4759</v>
          </cell>
          <cell r="AD2883" t="str">
            <v>M4565</v>
          </cell>
          <cell r="AE2883" t="str">
            <v>X05</v>
          </cell>
          <cell r="AF2883" t="str">
            <v>21:13,21:3</v>
          </cell>
          <cell r="AG2883" t="str">
            <v>13:21,3:21</v>
          </cell>
          <cell r="AH2883" t="str">
            <v/>
          </cell>
          <cell r="AI2883">
            <v>21</v>
          </cell>
          <cell r="AJ2883">
            <v>13</v>
          </cell>
          <cell r="AK2883">
            <v>21</v>
          </cell>
          <cell r="AL2883">
            <v>3</v>
          </cell>
          <cell r="AM2883">
            <v>0</v>
          </cell>
          <cell r="AN2883">
            <v>0</v>
          </cell>
        </row>
        <row r="2884">
          <cell r="A2884" t="str">
            <v/>
          </cell>
          <cell r="B2884" t="str">
            <v>Maciej MATUSZ (LKS Technik Głubczyce)</v>
          </cell>
          <cell r="H2884" t="str">
            <v>M4565</v>
          </cell>
          <cell r="K2884" t="str">
            <v>R4145</v>
          </cell>
          <cell r="N2884" t="str">
            <v>Michał RECKI (UKS Lotka Lubiewo)</v>
          </cell>
        </row>
        <row r="2885">
          <cell r="A2885" t="str">
            <v/>
          </cell>
          <cell r="B2885" t="str">
            <v>Alesia  KRAMCHANINA (Białoruś)</v>
          </cell>
          <cell r="H2885" t="str">
            <v>X05</v>
          </cell>
          <cell r="K2885" t="str">
            <v>P4759</v>
          </cell>
          <cell r="N2885" t="str">
            <v>Martyna PIETRZAK (MLKS Solec Kuj.)</v>
          </cell>
        </row>
        <row r="2887">
          <cell r="B2887" t="str">
            <v>zwycięzca(cy): 21:13,21:3</v>
          </cell>
          <cell r="K2887" t="str">
            <v/>
          </cell>
        </row>
        <row r="2888">
          <cell r="B2888">
            <v>2</v>
          </cell>
          <cell r="C2888" t="str">
            <v>dzień turnieju.</v>
          </cell>
          <cell r="I2888" t="str">
            <v>Nr meczu</v>
          </cell>
          <cell r="N2888" t="str">
            <v>Godz.</v>
          </cell>
          <cell r="R2888" t="str">
            <v>S. prow.</v>
          </cell>
          <cell r="AF2888" t="str">
            <v>wygrany</v>
          </cell>
          <cell r="AG2888" t="str">
            <v>przegrany</v>
          </cell>
        </row>
        <row r="2889">
          <cell r="B2889" t="str">
            <v>Boisko</v>
          </cell>
          <cell r="C2889" t="str">
            <v>Gra</v>
          </cell>
          <cell r="I2889">
            <v>413</v>
          </cell>
          <cell r="N2889" t="str">
            <v>rozp.</v>
          </cell>
          <cell r="P2889" t="str">
            <v>zak.</v>
          </cell>
          <cell r="R2889" t="str">
            <v>S. serw.</v>
          </cell>
        </row>
        <row r="2890">
          <cell r="A2890">
            <v>413</v>
          </cell>
          <cell r="B2890">
            <v>2</v>
          </cell>
          <cell r="C2890" t="str">
            <v>podwójna dziewcząt MM</v>
          </cell>
          <cell r="H2890">
            <v>21</v>
          </cell>
          <cell r="I2890">
            <v>13</v>
          </cell>
          <cell r="J2890">
            <v>10</v>
          </cell>
          <cell r="K2890">
            <v>21</v>
          </cell>
          <cell r="L2890">
            <v>21</v>
          </cell>
          <cell r="M2890">
            <v>17</v>
          </cell>
          <cell r="P2890">
            <v>0.94791666666666663</v>
          </cell>
          <cell r="R2890">
            <v>0.94791666666666663</v>
          </cell>
          <cell r="S2890" t="str">
            <v>sob 20:15</v>
          </cell>
          <cell r="X2890">
            <v>413</v>
          </cell>
          <cell r="Y2890" t="str">
            <v>podwójna dziewcząt MM</v>
          </cell>
          <cell r="Z2890" t="str">
            <v>X16</v>
          </cell>
          <cell r="AA2890" t="str">
            <v>X18</v>
          </cell>
          <cell r="AB2890" t="str">
            <v>K5262</v>
          </cell>
          <cell r="AC2890" t="str">
            <v>L5359</v>
          </cell>
          <cell r="AD2890" t="str">
            <v>X16</v>
          </cell>
          <cell r="AE2890" t="str">
            <v>X18</v>
          </cell>
          <cell r="AF2890" t="str">
            <v>21:13,10:21,21:17</v>
          </cell>
          <cell r="AG2890" t="str">
            <v>13:21,21:10,17:21</v>
          </cell>
          <cell r="AH2890" t="str">
            <v/>
          </cell>
          <cell r="AI2890">
            <v>21</v>
          </cell>
          <cell r="AJ2890">
            <v>13</v>
          </cell>
          <cell r="AK2890">
            <v>10</v>
          </cell>
          <cell r="AL2890">
            <v>21</v>
          </cell>
          <cell r="AM2890">
            <v>21</v>
          </cell>
          <cell r="AN2890">
            <v>17</v>
          </cell>
        </row>
        <row r="2891">
          <cell r="A2891" t="str">
            <v/>
          </cell>
          <cell r="B2891" t="str">
            <v>Yelizaveta KAMINSKAYA (Mińsk Białoruś)</v>
          </cell>
          <cell r="H2891" t="str">
            <v>X16</v>
          </cell>
          <cell r="K2891" t="str">
            <v>K5262</v>
          </cell>
          <cell r="N2891" t="str">
            <v>Wiktoria KASPRZAK (UKS Kiko Zamość)</v>
          </cell>
        </row>
        <row r="2892">
          <cell r="A2892" t="str">
            <v/>
          </cell>
          <cell r="B2892" t="str">
            <v>Veranika TARUSAVA (Mińsk Białoruś)</v>
          </cell>
          <cell r="H2892" t="str">
            <v>X18</v>
          </cell>
          <cell r="K2892" t="str">
            <v>L5359</v>
          </cell>
          <cell r="N2892" t="str">
            <v>Aleksandra LASKOWSKA (UKS Kiko Zamość)</v>
          </cell>
        </row>
        <row r="2894">
          <cell r="B2894" t="str">
            <v>zwycięzca(cy): 21:13,10:21,21:17</v>
          </cell>
          <cell r="K2894" t="str">
            <v/>
          </cell>
        </row>
        <row r="2895">
          <cell r="B2895">
            <v>2</v>
          </cell>
          <cell r="C2895" t="str">
            <v>dzień turnieju.</v>
          </cell>
          <cell r="I2895" t="str">
            <v>Nr meczu</v>
          </cell>
          <cell r="N2895" t="str">
            <v>Godz.</v>
          </cell>
          <cell r="R2895" t="str">
            <v>S. prow.</v>
          </cell>
          <cell r="AF2895" t="str">
            <v>wygrany</v>
          </cell>
          <cell r="AG2895" t="str">
            <v>przegrany</v>
          </cell>
        </row>
        <row r="2896">
          <cell r="B2896" t="str">
            <v>Boisko</v>
          </cell>
          <cell r="C2896" t="str">
            <v>Gra</v>
          </cell>
          <cell r="I2896">
            <v>414</v>
          </cell>
          <cell r="N2896" t="str">
            <v>rozp.</v>
          </cell>
          <cell r="P2896" t="str">
            <v>zak.</v>
          </cell>
          <cell r="R2896" t="str">
            <v>S. serw.</v>
          </cell>
        </row>
        <row r="2897">
          <cell r="A2897">
            <v>414</v>
          </cell>
          <cell r="B2897">
            <v>3</v>
          </cell>
          <cell r="C2897" t="str">
            <v>podwójna chłopców MM</v>
          </cell>
          <cell r="H2897">
            <v>8</v>
          </cell>
          <cell r="I2897">
            <v>21</v>
          </cell>
          <cell r="J2897">
            <v>10</v>
          </cell>
          <cell r="K2897">
            <v>21</v>
          </cell>
          <cell r="P2897">
            <v>0.93333333333333324</v>
          </cell>
          <cell r="R2897">
            <v>0.93333333333333324</v>
          </cell>
          <cell r="S2897" t="str">
            <v>sob 21:00</v>
          </cell>
          <cell r="X2897">
            <v>414</v>
          </cell>
          <cell r="Y2897" t="str">
            <v>podwójna chłopców MM</v>
          </cell>
          <cell r="Z2897" t="str">
            <v>C4406</v>
          </cell>
          <cell r="AA2897" t="str">
            <v>C4264</v>
          </cell>
          <cell r="AB2897" t="str">
            <v>G4725</v>
          </cell>
          <cell r="AC2897" t="str">
            <v>M4565</v>
          </cell>
          <cell r="AD2897" t="str">
            <v>G4725</v>
          </cell>
          <cell r="AE2897" t="str">
            <v>M4565</v>
          </cell>
          <cell r="AF2897" t="str">
            <v>21:8,21:10</v>
          </cell>
          <cell r="AG2897" t="str">
            <v>8:21,10:21</v>
          </cell>
          <cell r="AH2897" t="str">
            <v/>
          </cell>
          <cell r="AI2897">
            <v>8</v>
          </cell>
          <cell r="AJ2897">
            <v>21</v>
          </cell>
          <cell r="AK2897">
            <v>10</v>
          </cell>
          <cell r="AL2897">
            <v>21</v>
          </cell>
          <cell r="AM2897">
            <v>0</v>
          </cell>
          <cell r="AN2897">
            <v>0</v>
          </cell>
        </row>
        <row r="2898">
          <cell r="A2898" t="str">
            <v/>
          </cell>
          <cell r="B2898" t="str">
            <v>Łukasz CIMOSZ (KS Chojnik Jelenia Góra)</v>
          </cell>
          <cell r="H2898" t="str">
            <v>C4406</v>
          </cell>
          <cell r="K2898" t="str">
            <v>G4725</v>
          </cell>
          <cell r="N2898" t="str">
            <v>Bartosz GAŁĄZKA (LKS Technik Głubczyce)</v>
          </cell>
        </row>
        <row r="2899">
          <cell r="A2899" t="str">
            <v/>
          </cell>
          <cell r="B2899" t="str">
            <v>Szymon CYBULSKI (MKB Lednik Miastko)</v>
          </cell>
          <cell r="H2899" t="str">
            <v>C4264</v>
          </cell>
          <cell r="K2899" t="str">
            <v>M4565</v>
          </cell>
          <cell r="N2899" t="str">
            <v>Maciej MATUSZ (LKS Technik Głubczyce)</v>
          </cell>
        </row>
        <row r="2901">
          <cell r="B2901" t="str">
            <v/>
          </cell>
          <cell r="K2901" t="str">
            <v>zwycięzca(cy): 21:8,21:10</v>
          </cell>
        </row>
        <row r="2902">
          <cell r="B2902">
            <v>2</v>
          </cell>
          <cell r="C2902" t="str">
            <v>dzień turnieju.</v>
          </cell>
          <cell r="I2902" t="str">
            <v>Nr meczu</v>
          </cell>
          <cell r="N2902" t="str">
            <v>Godz.</v>
          </cell>
          <cell r="R2902" t="str">
            <v>S. prow.</v>
          </cell>
          <cell r="AF2902" t="str">
            <v>wygrany</v>
          </cell>
          <cell r="AG2902" t="str">
            <v>przegrany</v>
          </cell>
        </row>
        <row r="2903">
          <cell r="B2903" t="str">
            <v>Boisko</v>
          </cell>
          <cell r="C2903" t="str">
            <v>Gra</v>
          </cell>
          <cell r="I2903">
            <v>415</v>
          </cell>
          <cell r="N2903" t="str">
            <v>rozp.</v>
          </cell>
          <cell r="P2903" t="str">
            <v>zak.</v>
          </cell>
          <cell r="R2903" t="str">
            <v>S. serw.</v>
          </cell>
        </row>
        <row r="2904">
          <cell r="A2904">
            <v>415</v>
          </cell>
          <cell r="B2904">
            <v>1</v>
          </cell>
          <cell r="C2904" t="str">
            <v>pojedyncza dziewcząt MM</v>
          </cell>
          <cell r="H2904">
            <v>17</v>
          </cell>
          <cell r="I2904">
            <v>21</v>
          </cell>
          <cell r="J2904">
            <v>14</v>
          </cell>
          <cell r="K2904">
            <v>21</v>
          </cell>
          <cell r="R2904">
            <v>0</v>
          </cell>
          <cell r="S2904" t="str">
            <v>sob 21:00</v>
          </cell>
          <cell r="X2904">
            <v>415</v>
          </cell>
          <cell r="Y2904" t="str">
            <v>pojedyncza dziewcząt MM</v>
          </cell>
          <cell r="Z2904" t="str">
            <v>X17</v>
          </cell>
          <cell r="AA2904" t="str">
            <v/>
          </cell>
          <cell r="AB2904" t="str">
            <v>X63</v>
          </cell>
          <cell r="AC2904" t="str">
            <v/>
          </cell>
          <cell r="AD2904" t="str">
            <v>X63</v>
          </cell>
          <cell r="AE2904" t="str">
            <v/>
          </cell>
          <cell r="AF2904" t="str">
            <v>21:17,21:14</v>
          </cell>
          <cell r="AG2904" t="str">
            <v>17:21,14:21</v>
          </cell>
          <cell r="AH2904" t="str">
            <v/>
          </cell>
          <cell r="AI2904">
            <v>17</v>
          </cell>
          <cell r="AJ2904">
            <v>21</v>
          </cell>
          <cell r="AK2904">
            <v>14</v>
          </cell>
          <cell r="AL2904">
            <v>21</v>
          </cell>
          <cell r="AM2904">
            <v>0</v>
          </cell>
          <cell r="AN2904">
            <v>0</v>
          </cell>
        </row>
        <row r="2905">
          <cell r="A2905" t="str">
            <v/>
          </cell>
          <cell r="B2905" t="str">
            <v>Anna BANDARENKA (Mińsk Białoruś)</v>
          </cell>
          <cell r="H2905" t="str">
            <v>X17</v>
          </cell>
          <cell r="K2905" t="str">
            <v>X63</v>
          </cell>
          <cell r="N2905" t="str">
            <v>Anna  KRAMCHANINA (Brześć 2 Białoruś)</v>
          </cell>
        </row>
        <row r="2906">
          <cell r="A2906" t="str">
            <v/>
          </cell>
          <cell r="B2906" t="str">
            <v/>
          </cell>
          <cell r="H2906" t="str">
            <v/>
          </cell>
          <cell r="K2906" t="str">
            <v/>
          </cell>
          <cell r="N2906" t="str">
            <v/>
          </cell>
        </row>
        <row r="2908">
          <cell r="B2908" t="str">
            <v/>
          </cell>
          <cell r="K2908" t="str">
            <v>zwycięzca(cy): 21:17,21:14</v>
          </cell>
        </row>
        <row r="2909">
          <cell r="B2909">
            <v>2</v>
          </cell>
          <cell r="C2909" t="str">
            <v>dzień turnieju.</v>
          </cell>
          <cell r="I2909" t="str">
            <v>Nr meczu</v>
          </cell>
          <cell r="N2909" t="str">
            <v>Godz.</v>
          </cell>
          <cell r="R2909" t="str">
            <v>S. prow.</v>
          </cell>
          <cell r="AF2909" t="str">
            <v>wygrany</v>
          </cell>
          <cell r="AG2909" t="str">
            <v>przegrany</v>
          </cell>
        </row>
        <row r="2910">
          <cell r="B2910" t="str">
            <v>Boisko</v>
          </cell>
          <cell r="C2910" t="str">
            <v>Gra</v>
          </cell>
          <cell r="I2910">
            <v>416</v>
          </cell>
          <cell r="N2910" t="str">
            <v>rozp.</v>
          </cell>
          <cell r="P2910" t="str">
            <v>zak.</v>
          </cell>
          <cell r="R2910" t="str">
            <v>S. serw.</v>
          </cell>
        </row>
        <row r="2911">
          <cell r="A2911">
            <v>416</v>
          </cell>
          <cell r="C2911" t="str">
            <v>pojedyncza chłopców MM</v>
          </cell>
          <cell r="H2911">
            <v>10</v>
          </cell>
          <cell r="I2911">
            <v>21</v>
          </cell>
          <cell r="J2911">
            <v>21</v>
          </cell>
          <cell r="K2911">
            <v>14</v>
          </cell>
          <cell r="L2911">
            <v>21</v>
          </cell>
          <cell r="M2911">
            <v>10</v>
          </cell>
          <cell r="R2911">
            <v>0</v>
          </cell>
          <cell r="S2911" t="str">
            <v>sob 21:00</v>
          </cell>
          <cell r="X2911">
            <v>416</v>
          </cell>
          <cell r="Y2911" t="str">
            <v>pojedyncza chłopców MM</v>
          </cell>
          <cell r="Z2911" t="str">
            <v>M4565</v>
          </cell>
          <cell r="AA2911" t="str">
            <v/>
          </cell>
          <cell r="AB2911" t="str">
            <v>G4725</v>
          </cell>
          <cell r="AC2911" t="str">
            <v/>
          </cell>
          <cell r="AD2911" t="str">
            <v>M4565</v>
          </cell>
          <cell r="AE2911" t="str">
            <v/>
          </cell>
          <cell r="AF2911" t="str">
            <v>10:21,21:14,21:10</v>
          </cell>
          <cell r="AG2911" t="str">
            <v>21:10,14:21,10:21</v>
          </cell>
          <cell r="AH2911" t="str">
            <v/>
          </cell>
          <cell r="AI2911">
            <v>10</v>
          </cell>
          <cell r="AJ2911">
            <v>21</v>
          </cell>
          <cell r="AK2911">
            <v>21</v>
          </cell>
          <cell r="AL2911">
            <v>14</v>
          </cell>
          <cell r="AM2911">
            <v>21</v>
          </cell>
          <cell r="AN2911">
            <v>10</v>
          </cell>
        </row>
        <row r="2912">
          <cell r="A2912" t="str">
            <v/>
          </cell>
          <cell r="B2912" t="str">
            <v>Maciej MATUSZ (LKS Technik Głubczyce)</v>
          </cell>
          <cell r="H2912" t="str">
            <v>M4565</v>
          </cell>
          <cell r="K2912" t="str">
            <v>G4725</v>
          </cell>
          <cell r="N2912" t="str">
            <v>Bartosz GAŁĄZKA (LKS Technik Głubczyce)</v>
          </cell>
        </row>
        <row r="2913">
          <cell r="A2913" t="str">
            <v/>
          </cell>
          <cell r="B2913" t="str">
            <v/>
          </cell>
          <cell r="H2913" t="str">
            <v/>
          </cell>
          <cell r="K2913" t="str">
            <v/>
          </cell>
          <cell r="N2913" t="str">
            <v/>
          </cell>
        </row>
        <row r="2915">
          <cell r="B2915" t="str">
            <v>zwycięzca(cy): 10:21,21:14,21:10</v>
          </cell>
          <cell r="K2915" t="str">
            <v/>
          </cell>
        </row>
        <row r="2916">
          <cell r="B2916">
            <v>3</v>
          </cell>
          <cell r="C2916" t="str">
            <v>dzień turnieju.</v>
          </cell>
          <cell r="I2916" t="str">
            <v>Nr meczu</v>
          </cell>
          <cell r="N2916" t="str">
            <v>Godz.</v>
          </cell>
          <cell r="R2916" t="str">
            <v>S. prow.</v>
          </cell>
          <cell r="AF2916" t="str">
            <v>wygrany</v>
          </cell>
          <cell r="AG2916" t="str">
            <v>przegrany</v>
          </cell>
        </row>
        <row r="2917">
          <cell r="B2917" t="str">
            <v>Boisko</v>
          </cell>
          <cell r="C2917" t="str">
            <v>Gra</v>
          </cell>
          <cell r="I2917">
            <v>417</v>
          </cell>
          <cell r="N2917" t="str">
            <v>rozp.</v>
          </cell>
          <cell r="P2917" t="str">
            <v>zak.</v>
          </cell>
          <cell r="R2917" t="str">
            <v>S. serw.</v>
          </cell>
        </row>
        <row r="2918">
          <cell r="A2918">
            <v>417</v>
          </cell>
          <cell r="C2918" t="str">
            <v>mieszana M</v>
          </cell>
          <cell r="H2918">
            <v>17</v>
          </cell>
          <cell r="I2918">
            <v>21</v>
          </cell>
          <cell r="J2918">
            <v>19</v>
          </cell>
          <cell r="K2918">
            <v>21</v>
          </cell>
          <cell r="R2918">
            <v>0</v>
          </cell>
          <cell r="S2918" t="str">
            <v>nie 10:00</v>
          </cell>
          <cell r="X2918">
            <v>417</v>
          </cell>
          <cell r="Y2918" t="str">
            <v>mieszana M</v>
          </cell>
          <cell r="Z2918" t="str">
            <v>W4701</v>
          </cell>
          <cell r="AA2918" t="str">
            <v>F3777</v>
          </cell>
          <cell r="AB2918" t="str">
            <v>K4563</v>
          </cell>
          <cell r="AC2918" t="str">
            <v>F4371</v>
          </cell>
          <cell r="AD2918" t="str">
            <v>K4563</v>
          </cell>
          <cell r="AE2918" t="str">
            <v>F4371</v>
          </cell>
          <cell r="AF2918" t="str">
            <v>21:17,21:19</v>
          </cell>
          <cell r="AG2918" t="str">
            <v>17:21,19:21</v>
          </cell>
          <cell r="AH2918" t="str">
            <v/>
          </cell>
          <cell r="AI2918">
            <v>17</v>
          </cell>
          <cell r="AJ2918">
            <v>21</v>
          </cell>
          <cell r="AK2918">
            <v>19</v>
          </cell>
          <cell r="AL2918">
            <v>21</v>
          </cell>
          <cell r="AM2918">
            <v>0</v>
          </cell>
          <cell r="AN2918">
            <v>0</v>
          </cell>
        </row>
        <row r="2919">
          <cell r="A2919" t="str">
            <v/>
          </cell>
          <cell r="B2919" t="str">
            <v>Radosław WRÓBEL (KB Vol-Trick Kępno)</v>
          </cell>
          <cell r="H2919" t="str">
            <v>W4701</v>
          </cell>
          <cell r="K2919" t="str">
            <v>K4563</v>
          </cell>
          <cell r="N2919" t="str">
            <v>Kordian KOBYLNIK (LKS Technik Głubczyce)</v>
          </cell>
        </row>
        <row r="2920">
          <cell r="A2920" t="str">
            <v/>
          </cell>
          <cell r="B2920" t="str">
            <v>Aleksandra FELSKA (UKS Orkan Przeźmierowo)</v>
          </cell>
          <cell r="H2920" t="str">
            <v>F3777</v>
          </cell>
          <cell r="K2920" t="str">
            <v>F4371</v>
          </cell>
          <cell r="N2920" t="str">
            <v>Agnieszka FORYTA (STB Energia Lubliniec)</v>
          </cell>
        </row>
        <row r="2922">
          <cell r="B2922" t="str">
            <v/>
          </cell>
          <cell r="K2922" t="str">
            <v>zwycięzca(cy): 21:17,21:19</v>
          </cell>
        </row>
        <row r="2923">
          <cell r="B2923">
            <v>3</v>
          </cell>
          <cell r="C2923" t="str">
            <v>dzień turnieju.</v>
          </cell>
          <cell r="I2923" t="str">
            <v>Nr meczu</v>
          </cell>
          <cell r="N2923" t="str">
            <v>Godz.</v>
          </cell>
          <cell r="R2923" t="str">
            <v>S. prow.</v>
          </cell>
          <cell r="AF2923" t="str">
            <v>wygrany</v>
          </cell>
          <cell r="AG2923" t="str">
            <v>przegrany</v>
          </cell>
        </row>
        <row r="2924">
          <cell r="B2924" t="str">
            <v>Boisko</v>
          </cell>
          <cell r="C2924" t="str">
            <v>Gra</v>
          </cell>
          <cell r="I2924">
            <v>418</v>
          </cell>
          <cell r="N2924" t="str">
            <v>rozp.</v>
          </cell>
          <cell r="P2924" t="str">
            <v>zak.</v>
          </cell>
          <cell r="R2924" t="str">
            <v>S. serw.</v>
          </cell>
        </row>
        <row r="2925">
          <cell r="A2925">
            <v>418</v>
          </cell>
          <cell r="C2925" t="str">
            <v>mieszana M</v>
          </cell>
          <cell r="H2925">
            <v>21</v>
          </cell>
          <cell r="I2925">
            <v>18</v>
          </cell>
          <cell r="J2925">
            <v>21</v>
          </cell>
          <cell r="K2925">
            <v>13</v>
          </cell>
          <cell r="R2925">
            <v>0</v>
          </cell>
          <cell r="S2925" t="str">
            <v>nie 10:00</v>
          </cell>
          <cell r="X2925">
            <v>418</v>
          </cell>
          <cell r="Y2925" t="str">
            <v>mieszana M</v>
          </cell>
          <cell r="Z2925" t="str">
            <v>K4283</v>
          </cell>
          <cell r="AA2925" t="str">
            <v>J4598</v>
          </cell>
          <cell r="AB2925" t="str">
            <v>K4579</v>
          </cell>
          <cell r="AC2925" t="str">
            <v>G4680</v>
          </cell>
          <cell r="AD2925" t="str">
            <v>K4283</v>
          </cell>
          <cell r="AE2925" t="str">
            <v>J4598</v>
          </cell>
          <cell r="AF2925" t="str">
            <v>21:18,21:13</v>
          </cell>
          <cell r="AG2925" t="str">
            <v>18:21,13:21</v>
          </cell>
          <cell r="AH2925" t="str">
            <v/>
          </cell>
          <cell r="AI2925">
            <v>21</v>
          </cell>
          <cell r="AJ2925">
            <v>18</v>
          </cell>
          <cell r="AK2925">
            <v>21</v>
          </cell>
          <cell r="AL2925">
            <v>13</v>
          </cell>
          <cell r="AM2925">
            <v>0</v>
          </cell>
          <cell r="AN2925">
            <v>0</v>
          </cell>
        </row>
        <row r="2926">
          <cell r="A2926" t="str">
            <v/>
          </cell>
          <cell r="B2926" t="str">
            <v>Filip KRUKOWSKI (SKB Suwałki)</v>
          </cell>
          <cell r="H2926" t="str">
            <v>K4283</v>
          </cell>
          <cell r="K2926" t="str">
            <v>K4579</v>
          </cell>
          <cell r="N2926" t="str">
            <v>Miłosz KAIM (KS Masovia Płock)</v>
          </cell>
        </row>
        <row r="2927">
          <cell r="A2927" t="str">
            <v/>
          </cell>
          <cell r="B2927" t="str">
            <v>Karolina JODZIO (SKB Suwałki)</v>
          </cell>
          <cell r="H2927" t="str">
            <v>J4598</v>
          </cell>
          <cell r="K2927" t="str">
            <v>G4680</v>
          </cell>
          <cell r="N2927" t="str">
            <v>Aneta GADOMSKA (UTS Akro-Bad Warszawa)</v>
          </cell>
        </row>
        <row r="2929">
          <cell r="B2929" t="str">
            <v>zwycięzca(cy): 21:18,21:13</v>
          </cell>
          <cell r="K2929" t="str">
            <v/>
          </cell>
        </row>
        <row r="2930">
          <cell r="B2930">
            <v>3</v>
          </cell>
          <cell r="C2930" t="str">
            <v>dzień turnieju.</v>
          </cell>
          <cell r="I2930" t="str">
            <v>Nr meczu</v>
          </cell>
          <cell r="N2930" t="str">
            <v>Godz.</v>
          </cell>
          <cell r="R2930" t="str">
            <v>S. prow.</v>
          </cell>
          <cell r="AF2930" t="str">
            <v>wygrany</v>
          </cell>
          <cell r="AG2930" t="str">
            <v>przegrany</v>
          </cell>
        </row>
        <row r="2931">
          <cell r="B2931" t="str">
            <v>Boisko</v>
          </cell>
          <cell r="C2931" t="str">
            <v>Gra</v>
          </cell>
          <cell r="I2931">
            <v>419</v>
          </cell>
          <cell r="N2931" t="str">
            <v>rozp.</v>
          </cell>
          <cell r="P2931" t="str">
            <v>zak.</v>
          </cell>
          <cell r="R2931" t="str">
            <v>S. serw.</v>
          </cell>
        </row>
        <row r="2932">
          <cell r="A2932">
            <v>419</v>
          </cell>
          <cell r="C2932" t="str">
            <v>mieszana M</v>
          </cell>
          <cell r="H2932">
            <v>16</v>
          </cell>
          <cell r="I2932">
            <v>21</v>
          </cell>
          <cell r="J2932">
            <v>9</v>
          </cell>
          <cell r="K2932">
            <v>21</v>
          </cell>
          <cell r="R2932">
            <v>0</v>
          </cell>
          <cell r="S2932" t="str">
            <v>nie 10:00</v>
          </cell>
          <cell r="X2932">
            <v>419</v>
          </cell>
          <cell r="Y2932" t="str">
            <v>mieszana M</v>
          </cell>
          <cell r="Z2932" t="str">
            <v>T3691</v>
          </cell>
          <cell r="AA2932" t="str">
            <v>K4023</v>
          </cell>
          <cell r="AB2932" t="str">
            <v>M4689</v>
          </cell>
          <cell r="AC2932" t="str">
            <v>D3427</v>
          </cell>
          <cell r="AD2932" t="str">
            <v>M4689</v>
          </cell>
          <cell r="AE2932" t="str">
            <v>D3427</v>
          </cell>
          <cell r="AF2932" t="str">
            <v>21:16,21:9</v>
          </cell>
          <cell r="AG2932" t="str">
            <v>16:21,9:21</v>
          </cell>
          <cell r="AH2932" t="str">
            <v/>
          </cell>
          <cell r="AI2932">
            <v>16</v>
          </cell>
          <cell r="AJ2932">
            <v>21</v>
          </cell>
          <cell r="AK2932">
            <v>9</v>
          </cell>
          <cell r="AL2932">
            <v>21</v>
          </cell>
          <cell r="AM2932">
            <v>0</v>
          </cell>
          <cell r="AN2932">
            <v>0</v>
          </cell>
        </row>
        <row r="2933">
          <cell r="A2933" t="str">
            <v/>
          </cell>
          <cell r="B2933" t="str">
            <v>Jakub TEMBIKOWSKI (UKS Badminton Stare Babice)</v>
          </cell>
          <cell r="H2933" t="str">
            <v>T3691</v>
          </cell>
          <cell r="K2933" t="str">
            <v>M4689</v>
          </cell>
          <cell r="N2933" t="str">
            <v>Maciej MAŁACHOWSKI (UKS Kometa Sianów)</v>
          </cell>
        </row>
        <row r="2934">
          <cell r="A2934" t="str">
            <v/>
          </cell>
          <cell r="B2934" t="str">
            <v>Agnieszka KOPER (KKS Warmia Olsztyn)</v>
          </cell>
          <cell r="H2934" t="str">
            <v>K4023</v>
          </cell>
          <cell r="K2934" t="str">
            <v>D3427</v>
          </cell>
          <cell r="N2934" t="str">
            <v>Wiktoria DĄBCZYŃSKA (MKS Orlicz Suchedniów)</v>
          </cell>
        </row>
        <row r="2936">
          <cell r="B2936" t="str">
            <v/>
          </cell>
          <cell r="K2936" t="str">
            <v>zwycięzca(cy): 21:16,21:9</v>
          </cell>
        </row>
        <row r="2937">
          <cell r="B2937">
            <v>3</v>
          </cell>
          <cell r="C2937" t="str">
            <v>dzień turnieju.</v>
          </cell>
          <cell r="I2937" t="str">
            <v>Nr meczu</v>
          </cell>
          <cell r="N2937" t="str">
            <v>Godz.</v>
          </cell>
          <cell r="R2937" t="str">
            <v>S. prow.</v>
          </cell>
          <cell r="AF2937" t="str">
            <v>wygrany</v>
          </cell>
          <cell r="AG2937" t="str">
            <v>przegrany</v>
          </cell>
        </row>
        <row r="2938">
          <cell r="B2938" t="str">
            <v>Boisko</v>
          </cell>
          <cell r="C2938" t="str">
            <v>Gra</v>
          </cell>
          <cell r="I2938">
            <v>420</v>
          </cell>
          <cell r="N2938" t="str">
            <v>rozp.</v>
          </cell>
          <cell r="P2938" t="str">
            <v>zak.</v>
          </cell>
          <cell r="R2938" t="str">
            <v>S. serw.</v>
          </cell>
        </row>
        <row r="2939">
          <cell r="A2939">
            <v>420</v>
          </cell>
          <cell r="C2939" t="str">
            <v>mieszana M</v>
          </cell>
          <cell r="H2939">
            <v>11</v>
          </cell>
          <cell r="I2939">
            <v>21</v>
          </cell>
          <cell r="J2939">
            <v>19</v>
          </cell>
          <cell r="K2939">
            <v>21</v>
          </cell>
          <cell r="R2939">
            <v>0</v>
          </cell>
          <cell r="S2939" t="str">
            <v>nie 10:00</v>
          </cell>
          <cell r="X2939">
            <v>420</v>
          </cell>
          <cell r="Y2939" t="str">
            <v>mieszana M</v>
          </cell>
          <cell r="Z2939" t="str">
            <v>B4431</v>
          </cell>
          <cell r="AA2939" t="str">
            <v>G3411</v>
          </cell>
          <cell r="AB2939" t="str">
            <v>S4287</v>
          </cell>
          <cell r="AC2939" t="str">
            <v>P4286</v>
          </cell>
          <cell r="AD2939" t="str">
            <v>S4287</v>
          </cell>
          <cell r="AE2939" t="str">
            <v>P4286</v>
          </cell>
          <cell r="AF2939" t="str">
            <v>21:11,21:19</v>
          </cell>
          <cell r="AG2939" t="str">
            <v>11:21,19:21</v>
          </cell>
          <cell r="AH2939" t="str">
            <v/>
          </cell>
          <cell r="AI2939">
            <v>11</v>
          </cell>
          <cell r="AJ2939">
            <v>21</v>
          </cell>
          <cell r="AK2939">
            <v>19</v>
          </cell>
          <cell r="AL2939">
            <v>21</v>
          </cell>
          <cell r="AM2939">
            <v>0</v>
          </cell>
          <cell r="AN2939">
            <v>0</v>
          </cell>
        </row>
        <row r="2940">
          <cell r="A2940" t="str">
            <v/>
          </cell>
          <cell r="B2940" t="str">
            <v>Michał BIENIA (UKS Aktywna Piątka Przemyśl)</v>
          </cell>
          <cell r="H2940" t="str">
            <v>B4431</v>
          </cell>
          <cell r="K2940" t="str">
            <v>S4287</v>
          </cell>
          <cell r="N2940" t="str">
            <v>Michał SOBOLEWSKI (SKB Suwałki)</v>
          </cell>
        </row>
        <row r="2941">
          <cell r="A2941" t="str">
            <v/>
          </cell>
          <cell r="B2941" t="str">
            <v>Magdalena GOLENIA (UKS Sokół Ropczyce)</v>
          </cell>
          <cell r="H2941" t="str">
            <v>G3411</v>
          </cell>
          <cell r="K2941" t="str">
            <v>P4286</v>
          </cell>
          <cell r="N2941" t="str">
            <v>Ewelina PODZIEWSKA (SKB Suwałki)</v>
          </cell>
        </row>
        <row r="2943">
          <cell r="B2943" t="str">
            <v/>
          </cell>
          <cell r="K2943" t="str">
            <v>zwycięzca(cy): 21:11,21:19</v>
          </cell>
        </row>
        <row r="2944">
          <cell r="B2944">
            <v>3</v>
          </cell>
          <cell r="C2944" t="str">
            <v>dzień turnieju.</v>
          </cell>
          <cell r="I2944" t="str">
            <v>Nr meczu</v>
          </cell>
          <cell r="N2944" t="str">
            <v>Godz.</v>
          </cell>
          <cell r="R2944" t="str">
            <v>S. prow.</v>
          </cell>
          <cell r="AF2944" t="str">
            <v>wygrany</v>
          </cell>
          <cell r="AG2944" t="str">
            <v>przegrany</v>
          </cell>
        </row>
        <row r="2945">
          <cell r="B2945" t="str">
            <v>Boisko</v>
          </cell>
          <cell r="C2945" t="str">
            <v>Gra</v>
          </cell>
          <cell r="I2945">
            <v>421</v>
          </cell>
          <cell r="N2945" t="str">
            <v>rozp.</v>
          </cell>
          <cell r="P2945" t="str">
            <v>zak.</v>
          </cell>
          <cell r="R2945" t="str">
            <v>S. serw.</v>
          </cell>
        </row>
        <row r="2946">
          <cell r="A2946">
            <v>421</v>
          </cell>
          <cell r="C2946" t="str">
            <v>podwójna dziewcząt M</v>
          </cell>
          <cell r="H2946">
            <v>18</v>
          </cell>
          <cell r="I2946">
            <v>21</v>
          </cell>
          <cell r="J2946">
            <v>14</v>
          </cell>
          <cell r="K2946">
            <v>21</v>
          </cell>
          <cell r="R2946">
            <v>0</v>
          </cell>
          <cell r="S2946" t="str">
            <v>nie 10:00</v>
          </cell>
          <cell r="X2946">
            <v>421</v>
          </cell>
          <cell r="Y2946" t="str">
            <v>podwójna dziewcząt M</v>
          </cell>
          <cell r="Z2946" t="str">
            <v>J4505</v>
          </cell>
          <cell r="AA2946" t="str">
            <v>K5041</v>
          </cell>
          <cell r="AB2946" t="str">
            <v>X22</v>
          </cell>
          <cell r="AC2946" t="str">
            <v>X24</v>
          </cell>
          <cell r="AD2946" t="str">
            <v>X22</v>
          </cell>
          <cell r="AE2946" t="str">
            <v>X24</v>
          </cell>
          <cell r="AF2946" t="str">
            <v>21:18,21:14</v>
          </cell>
          <cell r="AG2946" t="str">
            <v>18:21,14:21</v>
          </cell>
          <cell r="AH2946" t="str">
            <v/>
          </cell>
          <cell r="AI2946">
            <v>18</v>
          </cell>
          <cell r="AJ2946">
            <v>21</v>
          </cell>
          <cell r="AK2946">
            <v>14</v>
          </cell>
          <cell r="AL2946">
            <v>21</v>
          </cell>
          <cell r="AM2946">
            <v>0</v>
          </cell>
          <cell r="AN2946">
            <v>0</v>
          </cell>
        </row>
        <row r="2947">
          <cell r="A2947" t="str">
            <v/>
          </cell>
          <cell r="B2947" t="str">
            <v>Wiktoria JUSZCZAK (MMKS Gdańsk)</v>
          </cell>
          <cell r="H2947" t="str">
            <v>J4505</v>
          </cell>
          <cell r="K2947" t="str">
            <v>X22</v>
          </cell>
          <cell r="N2947" t="str">
            <v>Elyzaveta NIKOLAEVA (Vinnica Ukraina)</v>
          </cell>
        </row>
        <row r="2948">
          <cell r="A2948" t="str">
            <v/>
          </cell>
          <cell r="B2948" t="str">
            <v>Aleksandra KOŁODZIEJ (KSR Wolant Łódź)</v>
          </cell>
          <cell r="H2948" t="str">
            <v>K5041</v>
          </cell>
          <cell r="K2948" t="str">
            <v>X24</v>
          </cell>
          <cell r="N2948" t="str">
            <v>Anna  POLISCHUK (Lwów Ukraina)</v>
          </cell>
        </row>
        <row r="2950">
          <cell r="B2950" t="str">
            <v/>
          </cell>
          <cell r="K2950" t="str">
            <v>zwycięzca(cy): 21:18,21:14</v>
          </cell>
        </row>
        <row r="2951">
          <cell r="B2951">
            <v>3</v>
          </cell>
          <cell r="C2951" t="str">
            <v>dzień turnieju.</v>
          </cell>
          <cell r="I2951" t="str">
            <v>Nr meczu</v>
          </cell>
          <cell r="N2951" t="str">
            <v>Godz.</v>
          </cell>
          <cell r="R2951" t="str">
            <v>S. prow.</v>
          </cell>
          <cell r="AF2951" t="str">
            <v>wygrany</v>
          </cell>
          <cell r="AG2951" t="str">
            <v>przegrany</v>
          </cell>
        </row>
        <row r="2952">
          <cell r="B2952" t="str">
            <v>Boisko</v>
          </cell>
          <cell r="C2952" t="str">
            <v>Gra</v>
          </cell>
          <cell r="I2952">
            <v>422</v>
          </cell>
          <cell r="N2952" t="str">
            <v>rozp.</v>
          </cell>
          <cell r="P2952" t="str">
            <v>zak.</v>
          </cell>
          <cell r="R2952" t="str">
            <v>S. serw.</v>
          </cell>
        </row>
        <row r="2953">
          <cell r="A2953">
            <v>422</v>
          </cell>
          <cell r="C2953" t="str">
            <v>podwójna dziewcząt M</v>
          </cell>
          <cell r="H2953">
            <v>21</v>
          </cell>
          <cell r="I2953">
            <v>19</v>
          </cell>
          <cell r="J2953">
            <v>12</v>
          </cell>
          <cell r="K2953">
            <v>21</v>
          </cell>
          <cell r="L2953">
            <v>15</v>
          </cell>
          <cell r="M2953">
            <v>21</v>
          </cell>
          <cell r="R2953">
            <v>0</v>
          </cell>
          <cell r="S2953" t="str">
            <v>nie 10:00</v>
          </cell>
          <cell r="X2953">
            <v>422</v>
          </cell>
          <cell r="Y2953" t="str">
            <v>podwójna dziewcząt M</v>
          </cell>
          <cell r="Z2953" t="str">
            <v>M4748</v>
          </cell>
          <cell r="AA2953" t="str">
            <v>W4281</v>
          </cell>
          <cell r="AB2953" t="str">
            <v>J4555</v>
          </cell>
          <cell r="AC2953" t="str">
            <v>R4591</v>
          </cell>
          <cell r="AD2953" t="str">
            <v>J4555</v>
          </cell>
          <cell r="AE2953" t="str">
            <v>R4591</v>
          </cell>
          <cell r="AF2953" t="str">
            <v>19:21,21:12,21:15</v>
          </cell>
          <cell r="AG2953" t="str">
            <v>21:19,12:21,15:21</v>
          </cell>
          <cell r="AH2953" t="str">
            <v/>
          </cell>
          <cell r="AI2953">
            <v>21</v>
          </cell>
          <cell r="AJ2953">
            <v>19</v>
          </cell>
          <cell r="AK2953">
            <v>12</v>
          </cell>
          <cell r="AL2953">
            <v>21</v>
          </cell>
          <cell r="AM2953">
            <v>15</v>
          </cell>
          <cell r="AN2953">
            <v>21</v>
          </cell>
        </row>
        <row r="2954">
          <cell r="A2954" t="str">
            <v/>
          </cell>
          <cell r="B2954" t="str">
            <v>Olga MIKSZA (KS Wesoła Warszawa)</v>
          </cell>
          <cell r="H2954" t="str">
            <v>M4748</v>
          </cell>
          <cell r="K2954" t="str">
            <v>J4555</v>
          </cell>
          <cell r="N2954" t="str">
            <v>Izabela JAJKO (UKS Orliki Ropica Polska)</v>
          </cell>
        </row>
        <row r="2955">
          <cell r="A2955" t="str">
            <v/>
          </cell>
          <cell r="B2955" t="str">
            <v>Ida WIŚNIEWSKA (----)</v>
          </cell>
          <cell r="H2955" t="str">
            <v>W4281</v>
          </cell>
          <cell r="K2955" t="str">
            <v>R4591</v>
          </cell>
          <cell r="N2955" t="str">
            <v>Natalia RÓG (MKS Stal Nowa Dęba)</v>
          </cell>
        </row>
        <row r="2957">
          <cell r="B2957" t="str">
            <v/>
          </cell>
          <cell r="K2957" t="str">
            <v>zwycięzca(cy): 19:21,21:12,21:15</v>
          </cell>
        </row>
        <row r="2958">
          <cell r="B2958">
            <v>3</v>
          </cell>
          <cell r="C2958" t="str">
            <v>dzień turnieju.</v>
          </cell>
          <cell r="I2958" t="str">
            <v>Nr meczu</v>
          </cell>
          <cell r="N2958" t="str">
            <v>Godz.</v>
          </cell>
          <cell r="R2958" t="str">
            <v>S. prow.</v>
          </cell>
          <cell r="AF2958" t="str">
            <v>wygrany</v>
          </cell>
          <cell r="AG2958" t="str">
            <v>przegrany</v>
          </cell>
        </row>
        <row r="2959">
          <cell r="B2959" t="str">
            <v>Boisko</v>
          </cell>
          <cell r="C2959" t="str">
            <v>Gra</v>
          </cell>
          <cell r="I2959">
            <v>423</v>
          </cell>
          <cell r="N2959" t="str">
            <v>rozp.</v>
          </cell>
          <cell r="P2959" t="str">
            <v>zak.</v>
          </cell>
          <cell r="R2959" t="str">
            <v>S. serw.</v>
          </cell>
        </row>
        <row r="2960">
          <cell r="A2960">
            <v>423</v>
          </cell>
          <cell r="B2960">
            <v>1</v>
          </cell>
          <cell r="C2960" t="str">
            <v>podwójna dziewcząt M</v>
          </cell>
          <cell r="H2960">
            <v>7</v>
          </cell>
          <cell r="I2960">
            <v>21</v>
          </cell>
          <cell r="J2960">
            <v>6</v>
          </cell>
          <cell r="K2960">
            <v>21</v>
          </cell>
          <cell r="P2960">
            <v>0.375</v>
          </cell>
          <cell r="R2960">
            <v>0.375</v>
          </cell>
          <cell r="S2960" t="str">
            <v>nie 10:00</v>
          </cell>
          <cell r="X2960">
            <v>423</v>
          </cell>
          <cell r="Y2960" t="str">
            <v>podwójna dziewcząt M</v>
          </cell>
          <cell r="Z2960" t="str">
            <v>X17</v>
          </cell>
          <cell r="AA2960" t="str">
            <v>X06</v>
          </cell>
          <cell r="AB2960" t="str">
            <v>G4208</v>
          </cell>
          <cell r="AC2960" t="str">
            <v>M3746</v>
          </cell>
          <cell r="AD2960" t="str">
            <v>G4208</v>
          </cell>
          <cell r="AE2960" t="str">
            <v>M3746</v>
          </cell>
          <cell r="AF2960" t="str">
            <v>21:7,21:6</v>
          </cell>
          <cell r="AG2960" t="str">
            <v>7:21,6:21</v>
          </cell>
          <cell r="AH2960" t="str">
            <v/>
          </cell>
          <cell r="AI2960">
            <v>7</v>
          </cell>
          <cell r="AJ2960">
            <v>21</v>
          </cell>
          <cell r="AK2960">
            <v>6</v>
          </cell>
          <cell r="AL2960">
            <v>21</v>
          </cell>
          <cell r="AM2960">
            <v>0</v>
          </cell>
          <cell r="AN2960">
            <v>0</v>
          </cell>
        </row>
        <row r="2961">
          <cell r="A2961" t="str">
            <v/>
          </cell>
          <cell r="B2961" t="str">
            <v>Anna BANDARENKA (Mińsk Białoruś)</v>
          </cell>
          <cell r="H2961" t="str">
            <v>X17</v>
          </cell>
          <cell r="K2961" t="str">
            <v>G4208</v>
          </cell>
          <cell r="N2961" t="str">
            <v>Aleksandra GOSZCZYŃSKA (UKSB Milenium Warszawa)</v>
          </cell>
        </row>
        <row r="2962">
          <cell r="A2962" t="str">
            <v/>
          </cell>
          <cell r="B2962" t="str">
            <v>Uliana ZACHROVA (Brześć Białoruś)</v>
          </cell>
          <cell r="H2962" t="str">
            <v>X06</v>
          </cell>
          <cell r="K2962" t="str">
            <v>M3746</v>
          </cell>
          <cell r="N2962" t="str">
            <v>Dorota MATYSIAK (KS Hubertus Zalesie Górne)</v>
          </cell>
        </row>
        <row r="2964">
          <cell r="B2964" t="str">
            <v/>
          </cell>
          <cell r="K2964" t="str">
            <v>zwycięzca(cy): 21:7,21:6</v>
          </cell>
        </row>
        <row r="2965">
          <cell r="B2965">
            <v>3</v>
          </cell>
          <cell r="C2965" t="str">
            <v>dzień turnieju.</v>
          </cell>
          <cell r="I2965" t="str">
            <v>Nr meczu</v>
          </cell>
          <cell r="N2965" t="str">
            <v>Godz.</v>
          </cell>
          <cell r="R2965" t="str">
            <v>S. prow.</v>
          </cell>
          <cell r="AF2965" t="str">
            <v>wygrany</v>
          </cell>
          <cell r="AG2965" t="str">
            <v>przegrany</v>
          </cell>
        </row>
        <row r="2966">
          <cell r="B2966" t="str">
            <v>Boisko</v>
          </cell>
          <cell r="C2966" t="str">
            <v>Gra</v>
          </cell>
          <cell r="I2966">
            <v>424</v>
          </cell>
          <cell r="N2966" t="str">
            <v>rozp.</v>
          </cell>
          <cell r="P2966" t="str">
            <v>zak.</v>
          </cell>
          <cell r="R2966" t="str">
            <v>S. serw.</v>
          </cell>
        </row>
        <row r="2967">
          <cell r="A2967">
            <v>424</v>
          </cell>
          <cell r="C2967" t="str">
            <v>podwójna dziewcząt M</v>
          </cell>
          <cell r="H2967">
            <v>5</v>
          </cell>
          <cell r="I2967">
            <v>21</v>
          </cell>
          <cell r="J2967">
            <v>7</v>
          </cell>
          <cell r="K2967">
            <v>21</v>
          </cell>
          <cell r="R2967">
            <v>0</v>
          </cell>
          <cell r="S2967" t="str">
            <v>nie 10:00</v>
          </cell>
          <cell r="X2967">
            <v>424</v>
          </cell>
          <cell r="Y2967" t="str">
            <v>podwójna dziewcząt M</v>
          </cell>
          <cell r="Z2967" t="str">
            <v>G5122</v>
          </cell>
          <cell r="AA2967" t="str">
            <v>R4341</v>
          </cell>
          <cell r="AB2967" t="str">
            <v>A4292</v>
          </cell>
          <cell r="AC2967" t="str">
            <v>P4786</v>
          </cell>
          <cell r="AD2967" t="str">
            <v>A4292</v>
          </cell>
          <cell r="AE2967" t="str">
            <v>P4786</v>
          </cell>
          <cell r="AF2967" t="str">
            <v>21:5,21:7</v>
          </cell>
          <cell r="AG2967" t="str">
            <v>5:21,7:21</v>
          </cell>
          <cell r="AH2967" t="str">
            <v/>
          </cell>
          <cell r="AI2967">
            <v>5</v>
          </cell>
          <cell r="AJ2967">
            <v>21</v>
          </cell>
          <cell r="AK2967">
            <v>7</v>
          </cell>
          <cell r="AL2967">
            <v>21</v>
          </cell>
          <cell r="AM2967">
            <v>0</v>
          </cell>
          <cell r="AN2967">
            <v>0</v>
          </cell>
        </row>
        <row r="2968">
          <cell r="A2968" t="str">
            <v/>
          </cell>
          <cell r="B2968" t="str">
            <v>Weronika GAPIŃSKA (MLKS Solec Kuj.)</v>
          </cell>
          <cell r="H2968" t="str">
            <v>G5122</v>
          </cell>
          <cell r="K2968" t="str">
            <v>A4292</v>
          </cell>
          <cell r="N2968" t="str">
            <v>Wiktoria ADAMEK (UKS Ząbkowice Dąbrowa Górn.)</v>
          </cell>
        </row>
        <row r="2969">
          <cell r="A2969" t="str">
            <v/>
          </cell>
          <cell r="B2969" t="str">
            <v>Małgorzata ROGUT (MLKS Solec Kuj.)</v>
          </cell>
          <cell r="H2969" t="str">
            <v>R4341</v>
          </cell>
          <cell r="K2969" t="str">
            <v>P4786</v>
          </cell>
          <cell r="N2969" t="str">
            <v>Aleksandra PTAK (STB Energia Lubliniec)</v>
          </cell>
        </row>
        <row r="2971">
          <cell r="B2971" t="str">
            <v/>
          </cell>
          <cell r="K2971" t="str">
            <v>zwycięzca(cy): 21:5,21:7</v>
          </cell>
        </row>
        <row r="2972">
          <cell r="B2972">
            <v>3</v>
          </cell>
          <cell r="C2972" t="str">
            <v>dzień turnieju.</v>
          </cell>
          <cell r="I2972" t="str">
            <v>Nr meczu</v>
          </cell>
          <cell r="N2972" t="str">
            <v>Godz.</v>
          </cell>
          <cell r="R2972" t="str">
            <v>S. prow.</v>
          </cell>
          <cell r="AF2972" t="str">
            <v>wygrany</v>
          </cell>
          <cell r="AG2972" t="str">
            <v>przegrany</v>
          </cell>
        </row>
        <row r="2973">
          <cell r="B2973" t="str">
            <v>Boisko</v>
          </cell>
          <cell r="C2973" t="str">
            <v>Gra</v>
          </cell>
          <cell r="I2973">
            <v>425</v>
          </cell>
          <cell r="N2973" t="str">
            <v>rozp.</v>
          </cell>
          <cell r="P2973" t="str">
            <v>zak.</v>
          </cell>
          <cell r="R2973" t="str">
            <v>S. serw.</v>
          </cell>
        </row>
        <row r="2974">
          <cell r="A2974">
            <v>425</v>
          </cell>
          <cell r="C2974" t="str">
            <v>podwójna chłopców M</v>
          </cell>
          <cell r="H2974">
            <v>21</v>
          </cell>
          <cell r="I2974">
            <v>16</v>
          </cell>
          <cell r="J2974">
            <v>15</v>
          </cell>
          <cell r="K2974">
            <v>21</v>
          </cell>
          <cell r="L2974">
            <v>21</v>
          </cell>
          <cell r="M2974">
            <v>19</v>
          </cell>
          <cell r="R2974">
            <v>0</v>
          </cell>
          <cell r="S2974" t="str">
            <v>nie 10:00</v>
          </cell>
          <cell r="X2974">
            <v>425</v>
          </cell>
          <cell r="Y2974" t="str">
            <v>podwójna chłopców M</v>
          </cell>
          <cell r="Z2974" t="str">
            <v>A4673</v>
          </cell>
          <cell r="AA2974" t="str">
            <v>J4677</v>
          </cell>
          <cell r="AB2974" t="str">
            <v>B4431</v>
          </cell>
          <cell r="AC2974" t="str">
            <v>K4432</v>
          </cell>
          <cell r="AD2974" t="str">
            <v>A4673</v>
          </cell>
          <cell r="AE2974" t="str">
            <v>J4677</v>
          </cell>
          <cell r="AF2974" t="str">
            <v>21:16,15:21,21:19</v>
          </cell>
          <cell r="AG2974" t="str">
            <v>16:21,21:15,19:21</v>
          </cell>
          <cell r="AH2974" t="str">
            <v/>
          </cell>
          <cell r="AI2974">
            <v>21</v>
          </cell>
          <cell r="AJ2974">
            <v>16</v>
          </cell>
          <cell r="AK2974">
            <v>15</v>
          </cell>
          <cell r="AL2974">
            <v>21</v>
          </cell>
          <cell r="AM2974">
            <v>21</v>
          </cell>
          <cell r="AN2974">
            <v>19</v>
          </cell>
        </row>
        <row r="2975">
          <cell r="A2975" t="str">
            <v/>
          </cell>
          <cell r="B2975" t="str">
            <v>Szymon ADAMCZUK (UKS Kiko Zamość)</v>
          </cell>
          <cell r="H2975" t="str">
            <v>A4673</v>
          </cell>
          <cell r="K2975" t="str">
            <v>B4431</v>
          </cell>
          <cell r="N2975" t="str">
            <v>Michał BIENIA (UKS Aktywna Piątka Przemyśl)</v>
          </cell>
        </row>
        <row r="2976">
          <cell r="A2976" t="str">
            <v/>
          </cell>
          <cell r="B2976" t="str">
            <v>Adam JAGODA (UKS Kiko Zamość)</v>
          </cell>
          <cell r="H2976" t="str">
            <v>J4677</v>
          </cell>
          <cell r="K2976" t="str">
            <v>K4432</v>
          </cell>
          <cell r="N2976" t="str">
            <v>Daniel KNAP (UKS Aktywna Piątka Przemyśl)</v>
          </cell>
        </row>
        <row r="2978">
          <cell r="B2978" t="str">
            <v>zwycięzca(cy): 21:16,15:21,21:19</v>
          </cell>
          <cell r="K2978" t="str">
            <v/>
          </cell>
        </row>
        <row r="2979">
          <cell r="B2979">
            <v>3</v>
          </cell>
          <cell r="C2979" t="str">
            <v>dzień turnieju.</v>
          </cell>
          <cell r="I2979" t="str">
            <v>Nr meczu</v>
          </cell>
          <cell r="N2979" t="str">
            <v>Godz.</v>
          </cell>
          <cell r="R2979" t="str">
            <v>S. prow.</v>
          </cell>
          <cell r="AF2979" t="str">
            <v>wygrany</v>
          </cell>
          <cell r="AG2979" t="str">
            <v>przegrany</v>
          </cell>
        </row>
        <row r="2980">
          <cell r="B2980" t="str">
            <v>Boisko</v>
          </cell>
          <cell r="C2980" t="str">
            <v>Gra</v>
          </cell>
          <cell r="I2980">
            <v>426</v>
          </cell>
          <cell r="N2980" t="str">
            <v>rozp.</v>
          </cell>
          <cell r="P2980" t="str">
            <v>zak.</v>
          </cell>
          <cell r="R2980" t="str">
            <v>S. serw.</v>
          </cell>
        </row>
        <row r="2981">
          <cell r="A2981">
            <v>426</v>
          </cell>
          <cell r="C2981" t="str">
            <v>podwójna chłopców M</v>
          </cell>
          <cell r="H2981">
            <v>14</v>
          </cell>
          <cell r="I2981">
            <v>21</v>
          </cell>
          <cell r="J2981">
            <v>19</v>
          </cell>
          <cell r="K2981">
            <v>21</v>
          </cell>
          <cell r="R2981">
            <v>0</v>
          </cell>
          <cell r="S2981" t="str">
            <v>nie 10:00</v>
          </cell>
          <cell r="X2981">
            <v>426</v>
          </cell>
          <cell r="Y2981" t="str">
            <v>podwójna chłopców M</v>
          </cell>
          <cell r="Z2981" t="str">
            <v>P4121</v>
          </cell>
          <cell r="AA2981" t="str">
            <v>P4530</v>
          </cell>
          <cell r="AB2981" t="str">
            <v>K4283</v>
          </cell>
          <cell r="AC2981" t="str">
            <v>S4287</v>
          </cell>
          <cell r="AD2981" t="str">
            <v>K4283</v>
          </cell>
          <cell r="AE2981" t="str">
            <v>S4287</v>
          </cell>
          <cell r="AF2981" t="str">
            <v>21:14,21:19</v>
          </cell>
          <cell r="AG2981" t="str">
            <v>14:21,19:21</v>
          </cell>
          <cell r="AH2981" t="str">
            <v/>
          </cell>
          <cell r="AI2981">
            <v>14</v>
          </cell>
          <cell r="AJ2981">
            <v>21</v>
          </cell>
          <cell r="AK2981">
            <v>19</v>
          </cell>
          <cell r="AL2981">
            <v>21</v>
          </cell>
          <cell r="AM2981">
            <v>0</v>
          </cell>
          <cell r="AN2981">
            <v>0</v>
          </cell>
        </row>
        <row r="2982">
          <cell r="A2982" t="str">
            <v/>
          </cell>
          <cell r="B2982" t="str">
            <v>Konrad PŁOCH (UKS Start Widełka)</v>
          </cell>
          <cell r="H2982" t="str">
            <v>P4121</v>
          </cell>
          <cell r="K2982" t="str">
            <v>K4283</v>
          </cell>
          <cell r="N2982" t="str">
            <v>Filip KRUKOWSKI (SKB Suwałki)</v>
          </cell>
        </row>
        <row r="2983">
          <cell r="A2983" t="str">
            <v/>
          </cell>
          <cell r="B2983" t="str">
            <v>Krzysztof PŁOCH (UKS Start Widełka)</v>
          </cell>
          <cell r="H2983" t="str">
            <v>P4530</v>
          </cell>
          <cell r="K2983" t="str">
            <v>S4287</v>
          </cell>
          <cell r="N2983" t="str">
            <v>Michał SOBOLEWSKI (SKB Suwałki)</v>
          </cell>
        </row>
        <row r="2985">
          <cell r="B2985" t="str">
            <v/>
          </cell>
          <cell r="K2985" t="str">
            <v>zwycięzca(cy): 21:14,21:19</v>
          </cell>
        </row>
        <row r="2986">
          <cell r="B2986">
            <v>3</v>
          </cell>
          <cell r="C2986" t="str">
            <v>dzień turnieju.</v>
          </cell>
          <cell r="I2986" t="str">
            <v>Nr meczu</v>
          </cell>
          <cell r="N2986" t="str">
            <v>Godz.</v>
          </cell>
          <cell r="R2986" t="str">
            <v>S. prow.</v>
          </cell>
          <cell r="AF2986" t="str">
            <v>wygrany</v>
          </cell>
          <cell r="AG2986" t="str">
            <v>przegrany</v>
          </cell>
        </row>
        <row r="2987">
          <cell r="B2987" t="str">
            <v>Boisko</v>
          </cell>
          <cell r="C2987" t="str">
            <v>Gra</v>
          </cell>
          <cell r="I2987">
            <v>427</v>
          </cell>
          <cell r="N2987" t="str">
            <v>rozp.</v>
          </cell>
          <cell r="P2987" t="str">
            <v>zak.</v>
          </cell>
          <cell r="R2987" t="str">
            <v>S. serw.</v>
          </cell>
        </row>
        <row r="2988">
          <cell r="A2988">
            <v>427</v>
          </cell>
          <cell r="C2988" t="str">
            <v>podwójna chłopców M</v>
          </cell>
          <cell r="H2988">
            <v>11</v>
          </cell>
          <cell r="I2988">
            <v>21</v>
          </cell>
          <cell r="J2988">
            <v>9</v>
          </cell>
          <cell r="K2988">
            <v>21</v>
          </cell>
          <cell r="R2988">
            <v>0</v>
          </cell>
          <cell r="S2988" t="str">
            <v>nie 10:00</v>
          </cell>
          <cell r="X2988">
            <v>427</v>
          </cell>
          <cell r="Y2988" t="str">
            <v>podwójna chłopców M</v>
          </cell>
          <cell r="Z2988" t="str">
            <v>F4551</v>
          </cell>
          <cell r="AA2988" t="str">
            <v>K4556</v>
          </cell>
          <cell r="AB2988" t="str">
            <v>C3670</v>
          </cell>
          <cell r="AC2988" t="str">
            <v>S3748</v>
          </cell>
          <cell r="AD2988" t="str">
            <v>C3670</v>
          </cell>
          <cell r="AE2988" t="str">
            <v>S3748</v>
          </cell>
          <cell r="AF2988" t="str">
            <v>21:11,21:9</v>
          </cell>
          <cell r="AG2988" t="str">
            <v>11:21,9:21</v>
          </cell>
          <cell r="AH2988" t="str">
            <v/>
          </cell>
          <cell r="AI2988">
            <v>11</v>
          </cell>
          <cell r="AJ2988">
            <v>21</v>
          </cell>
          <cell r="AK2988">
            <v>9</v>
          </cell>
          <cell r="AL2988">
            <v>21</v>
          </cell>
          <cell r="AM2988">
            <v>0</v>
          </cell>
          <cell r="AN2988">
            <v>0</v>
          </cell>
        </row>
        <row r="2989">
          <cell r="A2989" t="str">
            <v/>
          </cell>
          <cell r="B2989" t="str">
            <v>Grzegorz FRAŚ (MKS Spartakus Niepołomice)</v>
          </cell>
          <cell r="H2989" t="str">
            <v>F4551</v>
          </cell>
          <cell r="K2989" t="str">
            <v>C3670</v>
          </cell>
          <cell r="N2989" t="str">
            <v>Robert CYBULSKI (MKB Lednik Miastko)</v>
          </cell>
        </row>
        <row r="2990">
          <cell r="A2990" t="str">
            <v/>
          </cell>
          <cell r="B2990" t="str">
            <v>Piotr KUKUŁA (UKS Orliki Ropica Polska)</v>
          </cell>
          <cell r="H2990" t="str">
            <v>K4556</v>
          </cell>
          <cell r="K2990" t="str">
            <v>S3748</v>
          </cell>
          <cell r="N2990" t="str">
            <v>Adam SZOLC (KS Hubertus Zalesie Górne)</v>
          </cell>
        </row>
        <row r="2992">
          <cell r="B2992" t="str">
            <v/>
          </cell>
          <cell r="K2992" t="str">
            <v>zwycięzca(cy): 21:11,21:9</v>
          </cell>
        </row>
        <row r="2993">
          <cell r="B2993">
            <v>3</v>
          </cell>
          <cell r="C2993" t="str">
            <v>dzień turnieju.</v>
          </cell>
          <cell r="I2993" t="str">
            <v>Nr meczu</v>
          </cell>
          <cell r="N2993" t="str">
            <v>Godz.</v>
          </cell>
          <cell r="R2993" t="str">
            <v>S. prow.</v>
          </cell>
          <cell r="AF2993" t="str">
            <v>wygrany</v>
          </cell>
          <cell r="AG2993" t="str">
            <v>przegrany</v>
          </cell>
        </row>
        <row r="2994">
          <cell r="B2994" t="str">
            <v>Boisko</v>
          </cell>
          <cell r="C2994" t="str">
            <v>Gra</v>
          </cell>
          <cell r="I2994">
            <v>428</v>
          </cell>
          <cell r="N2994" t="str">
            <v>rozp.</v>
          </cell>
          <cell r="P2994" t="str">
            <v>zak.</v>
          </cell>
          <cell r="R2994" t="str">
            <v>S. serw.</v>
          </cell>
        </row>
        <row r="2995">
          <cell r="A2995">
            <v>428</v>
          </cell>
          <cell r="C2995" t="str">
            <v>podwójna chłopców M</v>
          </cell>
          <cell r="H2995">
            <v>21</v>
          </cell>
          <cell r="I2995">
            <v>16</v>
          </cell>
          <cell r="J2995">
            <v>19</v>
          </cell>
          <cell r="K2995">
            <v>21</v>
          </cell>
          <cell r="L2995">
            <v>20</v>
          </cell>
          <cell r="M2995">
            <v>22</v>
          </cell>
          <cell r="R2995">
            <v>0</v>
          </cell>
          <cell r="S2995" t="str">
            <v>nie 10:00</v>
          </cell>
          <cell r="X2995">
            <v>428</v>
          </cell>
          <cell r="Y2995" t="str">
            <v>podwójna chłopców M</v>
          </cell>
          <cell r="Z2995" t="str">
            <v>G4577</v>
          </cell>
          <cell r="AA2995" t="str">
            <v>K4563</v>
          </cell>
          <cell r="AB2995" t="str">
            <v>G4559</v>
          </cell>
          <cell r="AC2995" t="str">
            <v>G4560</v>
          </cell>
          <cell r="AD2995" t="str">
            <v>G4559</v>
          </cell>
          <cell r="AE2995" t="str">
            <v>G4560</v>
          </cell>
          <cell r="AF2995" t="str">
            <v>16:21,21:19,22:20</v>
          </cell>
          <cell r="AG2995" t="str">
            <v>21:16,19:21,20:22</v>
          </cell>
          <cell r="AH2995" t="str">
            <v/>
          </cell>
          <cell r="AI2995">
            <v>21</v>
          </cell>
          <cell r="AJ2995">
            <v>16</v>
          </cell>
          <cell r="AK2995">
            <v>19</v>
          </cell>
          <cell r="AL2995">
            <v>21</v>
          </cell>
          <cell r="AM2995">
            <v>20</v>
          </cell>
          <cell r="AN2995">
            <v>22</v>
          </cell>
        </row>
        <row r="2996">
          <cell r="A2996" t="str">
            <v/>
          </cell>
          <cell r="B2996" t="str">
            <v>Jakub GIREŃ (MKS Strzelce Opolskie)</v>
          </cell>
          <cell r="H2996" t="str">
            <v>G4577</v>
          </cell>
          <cell r="K2996" t="str">
            <v>G4559</v>
          </cell>
          <cell r="N2996" t="str">
            <v>Maciej GOMOŁA (KS Masovia Płock)</v>
          </cell>
        </row>
        <row r="2997">
          <cell r="A2997" t="str">
            <v/>
          </cell>
          <cell r="B2997" t="str">
            <v>Kordian KOBYLNIK (LKS Technik Głubczyce)</v>
          </cell>
          <cell r="H2997" t="str">
            <v>K4563</v>
          </cell>
          <cell r="K2997" t="str">
            <v>G4560</v>
          </cell>
          <cell r="N2997" t="str">
            <v>Michał GOMOŁA (KS Masovia Płock)</v>
          </cell>
        </row>
        <row r="2999">
          <cell r="B2999" t="str">
            <v/>
          </cell>
          <cell r="K2999" t="str">
            <v>zwycięzca(cy): 16:21,21:19,22:20</v>
          </cell>
        </row>
        <row r="3000">
          <cell r="B3000">
            <v>3</v>
          </cell>
          <cell r="C3000" t="str">
            <v>dzień turnieju.</v>
          </cell>
          <cell r="I3000" t="str">
            <v>Nr meczu</v>
          </cell>
          <cell r="N3000" t="str">
            <v>Godz.</v>
          </cell>
          <cell r="R3000" t="str">
            <v>S. prow.</v>
          </cell>
          <cell r="AF3000" t="str">
            <v>wygrany</v>
          </cell>
          <cell r="AG3000" t="str">
            <v>przegrany</v>
          </cell>
        </row>
        <row r="3001">
          <cell r="B3001" t="str">
            <v>Boisko</v>
          </cell>
          <cell r="C3001" t="str">
            <v>Gra</v>
          </cell>
          <cell r="I3001">
            <v>429</v>
          </cell>
          <cell r="N3001" t="str">
            <v>rozp.</v>
          </cell>
          <cell r="P3001" t="str">
            <v>zak.</v>
          </cell>
          <cell r="R3001" t="str">
            <v>S. serw.</v>
          </cell>
        </row>
        <row r="3002">
          <cell r="A3002">
            <v>429</v>
          </cell>
          <cell r="C3002" t="str">
            <v>pojedyncza dziewcząt M</v>
          </cell>
          <cell r="H3002">
            <v>21</v>
          </cell>
          <cell r="I3002">
            <v>9</v>
          </cell>
          <cell r="J3002">
            <v>21</v>
          </cell>
          <cell r="K3002">
            <v>13</v>
          </cell>
          <cell r="R3002">
            <v>0</v>
          </cell>
          <cell r="S3002" t="str">
            <v>nie 10:00</v>
          </cell>
          <cell r="X3002">
            <v>429</v>
          </cell>
          <cell r="Y3002" t="str">
            <v>pojedyncza dziewcząt M</v>
          </cell>
          <cell r="Z3002" t="str">
            <v>D3427</v>
          </cell>
          <cell r="AA3002" t="str">
            <v/>
          </cell>
          <cell r="AB3002" t="str">
            <v>P4786</v>
          </cell>
          <cell r="AC3002" t="str">
            <v/>
          </cell>
          <cell r="AD3002" t="str">
            <v>D3427</v>
          </cell>
          <cell r="AE3002" t="str">
            <v/>
          </cell>
          <cell r="AF3002" t="str">
            <v>21:9,21:13</v>
          </cell>
          <cell r="AG3002" t="str">
            <v>9:21,13:21</v>
          </cell>
          <cell r="AH3002" t="str">
            <v/>
          </cell>
          <cell r="AI3002">
            <v>21</v>
          </cell>
          <cell r="AJ3002">
            <v>9</v>
          </cell>
          <cell r="AK3002">
            <v>21</v>
          </cell>
          <cell r="AL3002">
            <v>13</v>
          </cell>
          <cell r="AM3002">
            <v>0</v>
          </cell>
          <cell r="AN3002">
            <v>0</v>
          </cell>
        </row>
        <row r="3003">
          <cell r="A3003" t="str">
            <v/>
          </cell>
          <cell r="B3003" t="str">
            <v>Wiktoria DĄBCZYŃSKA (MKS Orlicz Suchedniów)</v>
          </cell>
          <cell r="H3003" t="str">
            <v>D3427</v>
          </cell>
          <cell r="K3003" t="str">
            <v>P4786</v>
          </cell>
          <cell r="N3003" t="str">
            <v>Aleksandra PTAK (STB Energia Lubliniec)</v>
          </cell>
        </row>
        <row r="3004">
          <cell r="A3004" t="str">
            <v/>
          </cell>
          <cell r="B3004" t="str">
            <v/>
          </cell>
          <cell r="H3004" t="str">
            <v/>
          </cell>
          <cell r="K3004" t="str">
            <v/>
          </cell>
          <cell r="N3004" t="str">
            <v/>
          </cell>
        </row>
        <row r="3006">
          <cell r="B3006" t="str">
            <v>zwycięzca(cy): 21:9,21:13</v>
          </cell>
          <cell r="K3006" t="str">
            <v/>
          </cell>
        </row>
        <row r="3007">
          <cell r="B3007">
            <v>3</v>
          </cell>
          <cell r="C3007" t="str">
            <v>dzień turnieju.</v>
          </cell>
          <cell r="I3007" t="str">
            <v>Nr meczu</v>
          </cell>
          <cell r="N3007" t="str">
            <v>Godz.</v>
          </cell>
          <cell r="R3007" t="str">
            <v>S. prow.</v>
          </cell>
          <cell r="AF3007" t="str">
            <v>wygrany</v>
          </cell>
          <cell r="AG3007" t="str">
            <v>przegrany</v>
          </cell>
        </row>
        <row r="3008">
          <cell r="B3008" t="str">
            <v>Boisko</v>
          </cell>
          <cell r="C3008" t="str">
            <v>Gra</v>
          </cell>
          <cell r="I3008">
            <v>430</v>
          </cell>
          <cell r="N3008" t="str">
            <v>rozp.</v>
          </cell>
          <cell r="P3008" t="str">
            <v>zak.</v>
          </cell>
          <cell r="R3008" t="str">
            <v>S. serw.</v>
          </cell>
        </row>
        <row r="3009">
          <cell r="A3009">
            <v>430</v>
          </cell>
          <cell r="C3009" t="str">
            <v>pojedyncza dziewcząt M</v>
          </cell>
          <cell r="H3009">
            <v>21</v>
          </cell>
          <cell r="I3009">
            <v>18</v>
          </cell>
          <cell r="J3009">
            <v>21</v>
          </cell>
          <cell r="K3009">
            <v>7</v>
          </cell>
          <cell r="R3009">
            <v>0</v>
          </cell>
          <cell r="S3009" t="str">
            <v>nie 10:00</v>
          </cell>
          <cell r="X3009">
            <v>430</v>
          </cell>
          <cell r="Y3009" t="str">
            <v>pojedyncza dziewcząt M</v>
          </cell>
          <cell r="Z3009" t="str">
            <v>S4370</v>
          </cell>
          <cell r="AA3009" t="str">
            <v/>
          </cell>
          <cell r="AB3009" t="str">
            <v>M3746</v>
          </cell>
          <cell r="AC3009" t="str">
            <v/>
          </cell>
          <cell r="AD3009" t="str">
            <v>S4370</v>
          </cell>
          <cell r="AE3009" t="str">
            <v/>
          </cell>
          <cell r="AF3009" t="str">
            <v>21:18,21:7</v>
          </cell>
          <cell r="AG3009" t="str">
            <v>18:21,7:21</v>
          </cell>
          <cell r="AH3009" t="str">
            <v/>
          </cell>
          <cell r="AI3009">
            <v>21</v>
          </cell>
          <cell r="AJ3009">
            <v>18</v>
          </cell>
          <cell r="AK3009">
            <v>21</v>
          </cell>
          <cell r="AL3009">
            <v>7</v>
          </cell>
          <cell r="AM3009">
            <v>0</v>
          </cell>
          <cell r="AN3009">
            <v>0</v>
          </cell>
        </row>
        <row r="3010">
          <cell r="A3010" t="str">
            <v/>
          </cell>
          <cell r="B3010" t="str">
            <v>Hanna SZYMAŃSKA (STB Energia Lubliniec)</v>
          </cell>
          <cell r="H3010" t="str">
            <v>S4370</v>
          </cell>
          <cell r="K3010" t="str">
            <v>M3746</v>
          </cell>
          <cell r="N3010" t="str">
            <v>Dorota MATYSIAK (KS Hubertus Zalesie Górne)</v>
          </cell>
        </row>
        <row r="3011">
          <cell r="A3011" t="str">
            <v/>
          </cell>
          <cell r="B3011" t="str">
            <v/>
          </cell>
          <cell r="H3011" t="str">
            <v/>
          </cell>
          <cell r="K3011" t="str">
            <v/>
          </cell>
          <cell r="N3011" t="str">
            <v/>
          </cell>
        </row>
        <row r="3013">
          <cell r="B3013" t="str">
            <v>zwycięzca(cy): 21:18,21:7</v>
          </cell>
          <cell r="K3013" t="str">
            <v/>
          </cell>
        </row>
        <row r="3014">
          <cell r="B3014">
            <v>3</v>
          </cell>
          <cell r="C3014" t="str">
            <v>dzień turnieju.</v>
          </cell>
          <cell r="I3014" t="str">
            <v>Nr meczu</v>
          </cell>
          <cell r="N3014" t="str">
            <v>Godz.</v>
          </cell>
          <cell r="R3014" t="str">
            <v>S. prow.</v>
          </cell>
          <cell r="AF3014" t="str">
            <v>wygrany</v>
          </cell>
          <cell r="AG3014" t="str">
            <v>przegrany</v>
          </cell>
        </row>
        <row r="3015">
          <cell r="B3015" t="str">
            <v>Boisko</v>
          </cell>
          <cell r="C3015" t="str">
            <v>Gra</v>
          </cell>
          <cell r="I3015">
            <v>431</v>
          </cell>
          <cell r="N3015" t="str">
            <v>rozp.</v>
          </cell>
          <cell r="P3015" t="str">
            <v>zak.</v>
          </cell>
          <cell r="R3015" t="str">
            <v>S. serw.</v>
          </cell>
        </row>
        <row r="3016">
          <cell r="A3016">
            <v>431</v>
          </cell>
          <cell r="C3016" t="str">
            <v>pojedyncza dziewcząt M</v>
          </cell>
          <cell r="H3016">
            <v>19</v>
          </cell>
          <cell r="I3016">
            <v>21</v>
          </cell>
          <cell r="J3016">
            <v>22</v>
          </cell>
          <cell r="K3016">
            <v>20</v>
          </cell>
          <cell r="L3016">
            <v>17</v>
          </cell>
          <cell r="M3016">
            <v>21</v>
          </cell>
          <cell r="R3016">
            <v>0</v>
          </cell>
          <cell r="S3016" t="str">
            <v>nie 10:00</v>
          </cell>
          <cell r="X3016">
            <v>431</v>
          </cell>
          <cell r="Y3016" t="str">
            <v>pojedyncza dziewcząt M</v>
          </cell>
          <cell r="Z3016" t="str">
            <v>X13</v>
          </cell>
          <cell r="AA3016" t="str">
            <v/>
          </cell>
          <cell r="AB3016" t="str">
            <v>G4208</v>
          </cell>
          <cell r="AC3016" t="str">
            <v/>
          </cell>
          <cell r="AD3016" t="str">
            <v>G4208</v>
          </cell>
          <cell r="AE3016" t="str">
            <v/>
          </cell>
          <cell r="AF3016" t="str">
            <v>21:19,20:22,21:17</v>
          </cell>
          <cell r="AG3016" t="str">
            <v>19:21,22:20,17:21</v>
          </cell>
          <cell r="AH3016" t="str">
            <v/>
          </cell>
          <cell r="AI3016">
            <v>19</v>
          </cell>
          <cell r="AJ3016">
            <v>21</v>
          </cell>
          <cell r="AK3016">
            <v>22</v>
          </cell>
          <cell r="AL3016">
            <v>20</v>
          </cell>
          <cell r="AM3016">
            <v>17</v>
          </cell>
          <cell r="AN3016">
            <v>21</v>
          </cell>
        </row>
        <row r="3017">
          <cell r="A3017" t="str">
            <v/>
          </cell>
          <cell r="B3017" t="str">
            <v>Ylija BITSOUKOVA (Mińsk Białoruś)</v>
          </cell>
          <cell r="H3017" t="str">
            <v>X13</v>
          </cell>
          <cell r="K3017" t="str">
            <v>G4208</v>
          </cell>
          <cell r="N3017" t="str">
            <v>Aleksandra GOSZCZYŃSKA (UKSB Milenium Warszawa)</v>
          </cell>
        </row>
        <row r="3018">
          <cell r="A3018" t="str">
            <v/>
          </cell>
          <cell r="B3018" t="str">
            <v/>
          </cell>
          <cell r="H3018" t="str">
            <v/>
          </cell>
          <cell r="K3018" t="str">
            <v/>
          </cell>
          <cell r="N3018" t="str">
            <v/>
          </cell>
        </row>
        <row r="3020">
          <cell r="B3020" t="str">
            <v/>
          </cell>
          <cell r="K3020" t="str">
            <v>zwycięzca(cy): 21:19,20:22,21:17</v>
          </cell>
        </row>
        <row r="3021">
          <cell r="B3021">
            <v>3</v>
          </cell>
          <cell r="C3021" t="str">
            <v>dzień turnieju.</v>
          </cell>
          <cell r="I3021" t="str">
            <v>Nr meczu</v>
          </cell>
          <cell r="N3021" t="str">
            <v>Godz.</v>
          </cell>
          <cell r="R3021" t="str">
            <v>S. prow.</v>
          </cell>
          <cell r="AF3021" t="str">
            <v>wygrany</v>
          </cell>
          <cell r="AG3021" t="str">
            <v>przegrany</v>
          </cell>
        </row>
        <row r="3022">
          <cell r="B3022" t="str">
            <v>Boisko</v>
          </cell>
          <cell r="C3022" t="str">
            <v>Gra</v>
          </cell>
          <cell r="I3022">
            <v>432</v>
          </cell>
          <cell r="N3022" t="str">
            <v>rozp.</v>
          </cell>
          <cell r="P3022" t="str">
            <v>zak.</v>
          </cell>
          <cell r="R3022" t="str">
            <v>S. serw.</v>
          </cell>
        </row>
        <row r="3023">
          <cell r="A3023">
            <v>432</v>
          </cell>
          <cell r="C3023" t="str">
            <v>pojedyncza dziewcząt M</v>
          </cell>
          <cell r="H3023">
            <v>15</v>
          </cell>
          <cell r="I3023">
            <v>21</v>
          </cell>
          <cell r="J3023">
            <v>14</v>
          </cell>
          <cell r="K3023">
            <v>21</v>
          </cell>
          <cell r="R3023">
            <v>0</v>
          </cell>
          <cell r="S3023" t="str">
            <v>nie 10:00</v>
          </cell>
          <cell r="X3023">
            <v>432</v>
          </cell>
          <cell r="Y3023" t="str">
            <v>pojedyncza dziewcząt M</v>
          </cell>
          <cell r="Z3023" t="str">
            <v>X12</v>
          </cell>
          <cell r="AA3023" t="str">
            <v/>
          </cell>
          <cell r="AB3023" t="str">
            <v>A4292</v>
          </cell>
          <cell r="AC3023" t="str">
            <v/>
          </cell>
          <cell r="AD3023" t="str">
            <v>A4292</v>
          </cell>
          <cell r="AE3023" t="str">
            <v/>
          </cell>
          <cell r="AF3023" t="str">
            <v>21:15,21:14</v>
          </cell>
          <cell r="AG3023" t="str">
            <v>15:21,14:21</v>
          </cell>
          <cell r="AH3023" t="str">
            <v/>
          </cell>
          <cell r="AI3023">
            <v>15</v>
          </cell>
          <cell r="AJ3023">
            <v>21</v>
          </cell>
          <cell r="AK3023">
            <v>14</v>
          </cell>
          <cell r="AL3023">
            <v>21</v>
          </cell>
          <cell r="AM3023">
            <v>0</v>
          </cell>
          <cell r="AN3023">
            <v>0</v>
          </cell>
        </row>
        <row r="3024">
          <cell r="A3024" t="str">
            <v/>
          </cell>
          <cell r="B3024" t="str">
            <v>Katsiaryna ZABLOTSKAYA (Mińsk Białoruś)</v>
          </cell>
          <cell r="H3024" t="str">
            <v>X12</v>
          </cell>
          <cell r="K3024" t="str">
            <v>A4292</v>
          </cell>
          <cell r="N3024" t="str">
            <v>Wiktoria ADAMEK (UKS Ząbkowice Dąbrowa Górn.)</v>
          </cell>
        </row>
        <row r="3025">
          <cell r="A3025" t="str">
            <v/>
          </cell>
          <cell r="B3025" t="str">
            <v/>
          </cell>
          <cell r="H3025" t="str">
            <v/>
          </cell>
          <cell r="K3025" t="str">
            <v/>
          </cell>
          <cell r="N3025" t="str">
            <v/>
          </cell>
        </row>
        <row r="3027">
          <cell r="B3027" t="str">
            <v/>
          </cell>
          <cell r="K3027" t="str">
            <v>zwycięzca(cy): 21:15,21:14</v>
          </cell>
        </row>
        <row r="3028">
          <cell r="B3028">
            <v>3</v>
          </cell>
          <cell r="C3028" t="str">
            <v>dzień turnieju.</v>
          </cell>
          <cell r="I3028" t="str">
            <v>Nr meczu</v>
          </cell>
          <cell r="N3028" t="str">
            <v>Godz.</v>
          </cell>
          <cell r="R3028" t="str">
            <v>S. prow.</v>
          </cell>
          <cell r="AF3028" t="str">
            <v>wygrany</v>
          </cell>
          <cell r="AG3028" t="str">
            <v>przegrany</v>
          </cell>
        </row>
        <row r="3029">
          <cell r="B3029" t="str">
            <v>Boisko</v>
          </cell>
          <cell r="C3029" t="str">
            <v>Gra</v>
          </cell>
          <cell r="I3029">
            <v>433</v>
          </cell>
          <cell r="N3029" t="str">
            <v>rozp.</v>
          </cell>
          <cell r="P3029" t="str">
            <v>zak.</v>
          </cell>
          <cell r="R3029" t="str">
            <v>S. serw.</v>
          </cell>
        </row>
        <row r="3030">
          <cell r="A3030">
            <v>433</v>
          </cell>
          <cell r="C3030" t="str">
            <v>pojedyncza chłopców M</v>
          </cell>
          <cell r="H3030">
            <v>16</v>
          </cell>
          <cell r="I3030">
            <v>21</v>
          </cell>
          <cell r="J3030">
            <v>9</v>
          </cell>
          <cell r="K3030">
            <v>21</v>
          </cell>
          <cell r="R3030">
            <v>0</v>
          </cell>
          <cell r="S3030" t="str">
            <v>nie 10:00</v>
          </cell>
          <cell r="X3030">
            <v>433</v>
          </cell>
          <cell r="Y3030" t="str">
            <v>pojedyncza chłopców M</v>
          </cell>
          <cell r="Z3030" t="str">
            <v>A4673</v>
          </cell>
          <cell r="AA3030" t="str">
            <v/>
          </cell>
          <cell r="AB3030" t="str">
            <v>K4283</v>
          </cell>
          <cell r="AC3030" t="str">
            <v/>
          </cell>
          <cell r="AD3030" t="str">
            <v>K4283</v>
          </cell>
          <cell r="AE3030" t="str">
            <v/>
          </cell>
          <cell r="AF3030" t="str">
            <v>21:16,21:9</v>
          </cell>
          <cell r="AG3030" t="str">
            <v>16:21,9:21</v>
          </cell>
          <cell r="AH3030" t="str">
            <v/>
          </cell>
          <cell r="AI3030">
            <v>16</v>
          </cell>
          <cell r="AJ3030">
            <v>21</v>
          </cell>
          <cell r="AK3030">
            <v>9</v>
          </cell>
          <cell r="AL3030">
            <v>21</v>
          </cell>
          <cell r="AM3030">
            <v>0</v>
          </cell>
          <cell r="AN3030">
            <v>0</v>
          </cell>
        </row>
        <row r="3031">
          <cell r="A3031" t="str">
            <v/>
          </cell>
          <cell r="B3031" t="str">
            <v>Szymon ADAMCZUK (UKS Kiko Zamość)</v>
          </cell>
          <cell r="H3031" t="str">
            <v>A4673</v>
          </cell>
          <cell r="K3031" t="str">
            <v>K4283</v>
          </cell>
          <cell r="N3031" t="str">
            <v>Filip KRUKOWSKI (SKB Suwałki)</v>
          </cell>
        </row>
        <row r="3032">
          <cell r="A3032" t="str">
            <v/>
          </cell>
          <cell r="B3032" t="str">
            <v/>
          </cell>
          <cell r="H3032" t="str">
            <v/>
          </cell>
          <cell r="K3032" t="str">
            <v/>
          </cell>
          <cell r="N3032" t="str">
            <v/>
          </cell>
        </row>
        <row r="3034">
          <cell r="B3034" t="str">
            <v/>
          </cell>
          <cell r="K3034" t="str">
            <v>zwycięzca(cy): 21:16,21:9</v>
          </cell>
        </row>
        <row r="3035">
          <cell r="B3035">
            <v>3</v>
          </cell>
          <cell r="C3035" t="str">
            <v>dzień turnieju.</v>
          </cell>
          <cell r="I3035" t="str">
            <v>Nr meczu</v>
          </cell>
          <cell r="N3035" t="str">
            <v>Godz.</v>
          </cell>
          <cell r="R3035" t="str">
            <v>S. prow.</v>
          </cell>
          <cell r="AF3035" t="str">
            <v>wygrany</v>
          </cell>
          <cell r="AG3035" t="str">
            <v>przegrany</v>
          </cell>
        </row>
        <row r="3036">
          <cell r="B3036" t="str">
            <v>Boisko</v>
          </cell>
          <cell r="C3036" t="str">
            <v>Gra</v>
          </cell>
          <cell r="I3036">
            <v>434</v>
          </cell>
          <cell r="N3036" t="str">
            <v>rozp.</v>
          </cell>
          <cell r="P3036" t="str">
            <v>zak.</v>
          </cell>
          <cell r="R3036" t="str">
            <v>S. serw.</v>
          </cell>
        </row>
        <row r="3037">
          <cell r="A3037">
            <v>434</v>
          </cell>
          <cell r="C3037" t="str">
            <v>pojedyncza chłopców M</v>
          </cell>
          <cell r="H3037">
            <v>21</v>
          </cell>
          <cell r="I3037">
            <v>19</v>
          </cell>
          <cell r="J3037">
            <v>18</v>
          </cell>
          <cell r="K3037">
            <v>21</v>
          </cell>
          <cell r="L3037">
            <v>21</v>
          </cell>
          <cell r="M3037">
            <v>14</v>
          </cell>
          <cell r="R3037">
            <v>0</v>
          </cell>
          <cell r="S3037" t="str">
            <v>nie 11:00</v>
          </cell>
          <cell r="X3037">
            <v>434</v>
          </cell>
          <cell r="Y3037" t="str">
            <v>pojedyncza chłopców M</v>
          </cell>
          <cell r="Z3037" t="str">
            <v>S3748</v>
          </cell>
          <cell r="AA3037" t="str">
            <v/>
          </cell>
          <cell r="AB3037" t="str">
            <v>G4577</v>
          </cell>
          <cell r="AC3037" t="str">
            <v/>
          </cell>
          <cell r="AD3037" t="str">
            <v>S3748</v>
          </cell>
          <cell r="AE3037" t="str">
            <v/>
          </cell>
          <cell r="AF3037" t="str">
            <v>21:19,18:21,21:14</v>
          </cell>
          <cell r="AG3037" t="str">
            <v>19:21,21:18,14:21</v>
          </cell>
          <cell r="AH3037" t="str">
            <v/>
          </cell>
          <cell r="AI3037">
            <v>21</v>
          </cell>
          <cell r="AJ3037">
            <v>19</v>
          </cell>
          <cell r="AK3037">
            <v>18</v>
          </cell>
          <cell r="AL3037">
            <v>21</v>
          </cell>
          <cell r="AM3037">
            <v>21</v>
          </cell>
          <cell r="AN3037">
            <v>14</v>
          </cell>
        </row>
        <row r="3038">
          <cell r="A3038" t="str">
            <v/>
          </cell>
          <cell r="B3038" t="str">
            <v>Adam SZOLC (KS Hubertus Zalesie Górne)</v>
          </cell>
          <cell r="H3038" t="str">
            <v>S3748</v>
          </cell>
          <cell r="K3038" t="str">
            <v>G4577</v>
          </cell>
          <cell r="N3038" t="str">
            <v>Jakub GIREŃ (MKS Strzelce Opolskie)</v>
          </cell>
        </row>
        <row r="3039">
          <cell r="A3039" t="str">
            <v/>
          </cell>
          <cell r="B3039" t="str">
            <v/>
          </cell>
          <cell r="H3039" t="str">
            <v/>
          </cell>
          <cell r="K3039" t="str">
            <v/>
          </cell>
          <cell r="N3039" t="str">
            <v/>
          </cell>
        </row>
        <row r="3041">
          <cell r="B3041" t="str">
            <v>zwycięzca(cy): 21:19,18:21,21:14</v>
          </cell>
          <cell r="K3041" t="str">
            <v/>
          </cell>
        </row>
        <row r="3042">
          <cell r="B3042">
            <v>3</v>
          </cell>
          <cell r="C3042" t="str">
            <v>dzień turnieju.</v>
          </cell>
          <cell r="I3042" t="str">
            <v>Nr meczu</v>
          </cell>
          <cell r="N3042" t="str">
            <v>Godz.</v>
          </cell>
          <cell r="R3042" t="str">
            <v>S. prow.</v>
          </cell>
          <cell r="AF3042" t="str">
            <v>wygrany</v>
          </cell>
          <cell r="AG3042" t="str">
            <v>przegrany</v>
          </cell>
        </row>
        <row r="3043">
          <cell r="B3043" t="str">
            <v>Boisko</v>
          </cell>
          <cell r="C3043" t="str">
            <v>Gra</v>
          </cell>
          <cell r="I3043">
            <v>435</v>
          </cell>
          <cell r="N3043" t="str">
            <v>rozp.</v>
          </cell>
          <cell r="P3043" t="str">
            <v>zak.</v>
          </cell>
          <cell r="R3043" t="str">
            <v>S. serw.</v>
          </cell>
        </row>
        <row r="3044">
          <cell r="A3044">
            <v>435</v>
          </cell>
          <cell r="C3044" t="str">
            <v>pojedyncza chłopców M</v>
          </cell>
          <cell r="H3044">
            <v>21</v>
          </cell>
          <cell r="I3044">
            <v>15</v>
          </cell>
          <cell r="J3044">
            <v>18</v>
          </cell>
          <cell r="K3044">
            <v>21</v>
          </cell>
          <cell r="L3044">
            <v>16</v>
          </cell>
          <cell r="M3044">
            <v>21</v>
          </cell>
          <cell r="R3044">
            <v>0</v>
          </cell>
          <cell r="S3044" t="str">
            <v>nie 11:00</v>
          </cell>
          <cell r="X3044">
            <v>435</v>
          </cell>
          <cell r="Y3044" t="str">
            <v>pojedyncza chłopców M</v>
          </cell>
          <cell r="Z3044" t="str">
            <v>K4579</v>
          </cell>
          <cell r="AA3044" t="str">
            <v/>
          </cell>
          <cell r="AB3044" t="str">
            <v>S4287</v>
          </cell>
          <cell r="AC3044" t="str">
            <v/>
          </cell>
          <cell r="AD3044" t="str">
            <v>S4287</v>
          </cell>
          <cell r="AE3044" t="str">
            <v/>
          </cell>
          <cell r="AF3044" t="str">
            <v>15:21,21:18,21:16</v>
          </cell>
          <cell r="AG3044" t="str">
            <v>21:15,18:21,16:21</v>
          </cell>
          <cell r="AH3044" t="str">
            <v/>
          </cell>
          <cell r="AI3044">
            <v>21</v>
          </cell>
          <cell r="AJ3044">
            <v>15</v>
          </cell>
          <cell r="AK3044">
            <v>18</v>
          </cell>
          <cell r="AL3044">
            <v>21</v>
          </cell>
          <cell r="AM3044">
            <v>16</v>
          </cell>
          <cell r="AN3044">
            <v>21</v>
          </cell>
        </row>
        <row r="3045">
          <cell r="A3045" t="str">
            <v/>
          </cell>
          <cell r="B3045" t="str">
            <v>Miłosz KAIM (KS Masovia Płock)</v>
          </cell>
          <cell r="H3045" t="str">
            <v>K4579</v>
          </cell>
          <cell r="K3045" t="str">
            <v>S4287</v>
          </cell>
          <cell r="N3045" t="str">
            <v>Michał SOBOLEWSKI (SKB Suwałki)</v>
          </cell>
        </row>
        <row r="3046">
          <cell r="A3046" t="str">
            <v/>
          </cell>
          <cell r="B3046" t="str">
            <v/>
          </cell>
          <cell r="H3046" t="str">
            <v/>
          </cell>
          <cell r="K3046" t="str">
            <v/>
          </cell>
          <cell r="N3046" t="str">
            <v/>
          </cell>
        </row>
        <row r="3048">
          <cell r="B3048" t="str">
            <v/>
          </cell>
          <cell r="K3048" t="str">
            <v>zwycięzca(cy): 15:21,21:18,21:16</v>
          </cell>
        </row>
        <row r="3049">
          <cell r="B3049">
            <v>3</v>
          </cell>
          <cell r="C3049" t="str">
            <v>dzień turnieju.</v>
          </cell>
          <cell r="I3049" t="str">
            <v>Nr meczu</v>
          </cell>
          <cell r="N3049" t="str">
            <v>Godz.</v>
          </cell>
          <cell r="R3049" t="str">
            <v>S. prow.</v>
          </cell>
          <cell r="AF3049" t="str">
            <v>wygrany</v>
          </cell>
          <cell r="AG3049" t="str">
            <v>przegrany</v>
          </cell>
        </row>
        <row r="3050">
          <cell r="B3050" t="str">
            <v>Boisko</v>
          </cell>
          <cell r="C3050" t="str">
            <v>Gra</v>
          </cell>
          <cell r="I3050">
            <v>436</v>
          </cell>
          <cell r="N3050" t="str">
            <v>rozp.</v>
          </cell>
          <cell r="P3050" t="str">
            <v>zak.</v>
          </cell>
          <cell r="R3050" t="str">
            <v>S. serw.</v>
          </cell>
        </row>
        <row r="3051">
          <cell r="A3051">
            <v>436</v>
          </cell>
          <cell r="C3051" t="str">
            <v>pojedyncza chłopców M</v>
          </cell>
          <cell r="H3051">
            <v>14</v>
          </cell>
          <cell r="I3051">
            <v>21</v>
          </cell>
          <cell r="J3051">
            <v>21</v>
          </cell>
          <cell r="K3051">
            <v>19</v>
          </cell>
          <cell r="L3051">
            <v>16</v>
          </cell>
          <cell r="M3051">
            <v>21</v>
          </cell>
          <cell r="R3051">
            <v>0</v>
          </cell>
          <cell r="S3051" t="str">
            <v>nie 11:00</v>
          </cell>
          <cell r="X3051">
            <v>436</v>
          </cell>
          <cell r="Y3051" t="str">
            <v>pojedyncza chłopców M</v>
          </cell>
          <cell r="Z3051" t="str">
            <v>P4121</v>
          </cell>
          <cell r="AA3051" t="str">
            <v/>
          </cell>
          <cell r="AB3051" t="str">
            <v>C3670</v>
          </cell>
          <cell r="AC3051" t="str">
            <v/>
          </cell>
          <cell r="AD3051" t="str">
            <v>C3670</v>
          </cell>
          <cell r="AE3051" t="str">
            <v/>
          </cell>
          <cell r="AF3051" t="str">
            <v>21:14,19:21,21:16</v>
          </cell>
          <cell r="AG3051" t="str">
            <v>14:21,21:19,16:21</v>
          </cell>
          <cell r="AH3051" t="str">
            <v/>
          </cell>
          <cell r="AI3051">
            <v>14</v>
          </cell>
          <cell r="AJ3051">
            <v>21</v>
          </cell>
          <cell r="AK3051">
            <v>21</v>
          </cell>
          <cell r="AL3051">
            <v>19</v>
          </cell>
          <cell r="AM3051">
            <v>16</v>
          </cell>
          <cell r="AN3051">
            <v>21</v>
          </cell>
        </row>
        <row r="3052">
          <cell r="A3052" t="str">
            <v/>
          </cell>
          <cell r="B3052" t="str">
            <v>Konrad PŁOCH (UKS Start Widełka)</v>
          </cell>
          <cell r="H3052" t="str">
            <v>P4121</v>
          </cell>
          <cell r="K3052" t="str">
            <v>C3670</v>
          </cell>
          <cell r="N3052" t="str">
            <v>Robert CYBULSKI (MKB Lednik Miastko)</v>
          </cell>
        </row>
        <row r="3053">
          <cell r="A3053" t="str">
            <v/>
          </cell>
          <cell r="B3053" t="str">
            <v/>
          </cell>
          <cell r="H3053" t="str">
            <v/>
          </cell>
          <cell r="K3053" t="str">
            <v/>
          </cell>
          <cell r="N3053" t="str">
            <v/>
          </cell>
        </row>
        <row r="3055">
          <cell r="B3055" t="str">
            <v/>
          </cell>
          <cell r="K3055" t="str">
            <v>zwycięzca(cy): 21:14,19:21,21:16</v>
          </cell>
        </row>
        <row r="3056">
          <cell r="B3056">
            <v>3</v>
          </cell>
          <cell r="C3056" t="str">
            <v>dzień turnieju.</v>
          </cell>
          <cell r="I3056" t="str">
            <v>Nr meczu</v>
          </cell>
          <cell r="N3056" t="str">
            <v>Godz.</v>
          </cell>
          <cell r="R3056" t="str">
            <v>S. prow.</v>
          </cell>
          <cell r="AF3056" t="str">
            <v>wygrany</v>
          </cell>
          <cell r="AG3056" t="str">
            <v>przegrany</v>
          </cell>
        </row>
        <row r="3057">
          <cell r="B3057" t="str">
            <v>Boisko</v>
          </cell>
          <cell r="C3057" t="str">
            <v>Gra</v>
          </cell>
          <cell r="I3057">
            <v>437</v>
          </cell>
          <cell r="N3057" t="str">
            <v>rozp.</v>
          </cell>
          <cell r="P3057" t="str">
            <v>zak.</v>
          </cell>
          <cell r="R3057" t="str">
            <v>S. serw.</v>
          </cell>
        </row>
        <row r="3058">
          <cell r="A3058">
            <v>437</v>
          </cell>
          <cell r="C3058" t="str">
            <v>mieszana M</v>
          </cell>
          <cell r="H3058">
            <v>21</v>
          </cell>
          <cell r="I3058">
            <v>14</v>
          </cell>
          <cell r="J3058">
            <v>21</v>
          </cell>
          <cell r="K3058">
            <v>13</v>
          </cell>
          <cell r="R3058">
            <v>0</v>
          </cell>
          <cell r="S3058" t="str">
            <v>nie 11:00</v>
          </cell>
          <cell r="X3058">
            <v>437</v>
          </cell>
          <cell r="Y3058" t="str">
            <v>mieszana M</v>
          </cell>
          <cell r="Z3058" t="str">
            <v>K4563</v>
          </cell>
          <cell r="AA3058" t="str">
            <v>F4371</v>
          </cell>
          <cell r="AB3058" t="str">
            <v>K4283</v>
          </cell>
          <cell r="AC3058" t="str">
            <v>J4598</v>
          </cell>
          <cell r="AD3058" t="str">
            <v>K4563</v>
          </cell>
          <cell r="AE3058" t="str">
            <v>F4371</v>
          </cell>
          <cell r="AF3058" t="str">
            <v>21:14,21:13</v>
          </cell>
          <cell r="AG3058" t="str">
            <v>14:21,13:21</v>
          </cell>
          <cell r="AH3058" t="str">
            <v/>
          </cell>
          <cell r="AI3058">
            <v>21</v>
          </cell>
          <cell r="AJ3058">
            <v>14</v>
          </cell>
          <cell r="AK3058">
            <v>21</v>
          </cell>
          <cell r="AL3058">
            <v>13</v>
          </cell>
          <cell r="AM3058">
            <v>0</v>
          </cell>
          <cell r="AN3058">
            <v>0</v>
          </cell>
        </row>
        <row r="3059">
          <cell r="A3059" t="str">
            <v/>
          </cell>
          <cell r="B3059" t="str">
            <v>Kordian KOBYLNIK (LKS Technik Głubczyce)</v>
          </cell>
          <cell r="H3059" t="str">
            <v>K4563</v>
          </cell>
          <cell r="K3059" t="str">
            <v>K4283</v>
          </cell>
          <cell r="N3059" t="str">
            <v>Filip KRUKOWSKI (SKB Suwałki)</v>
          </cell>
        </row>
        <row r="3060">
          <cell r="A3060" t="str">
            <v/>
          </cell>
          <cell r="B3060" t="str">
            <v>Agnieszka FORYTA (STB Energia Lubliniec)</v>
          </cell>
          <cell r="H3060" t="str">
            <v>F4371</v>
          </cell>
          <cell r="K3060" t="str">
            <v>J4598</v>
          </cell>
          <cell r="N3060" t="str">
            <v>Karolina JODZIO (SKB Suwałki)</v>
          </cell>
        </row>
        <row r="3062">
          <cell r="B3062" t="str">
            <v>zwycięzca(cy): 21:14,21:13</v>
          </cell>
          <cell r="K3062" t="str">
            <v/>
          </cell>
        </row>
        <row r="3063">
          <cell r="B3063">
            <v>3</v>
          </cell>
          <cell r="C3063" t="str">
            <v>dzień turnieju.</v>
          </cell>
          <cell r="I3063" t="str">
            <v>Nr meczu</v>
          </cell>
          <cell r="N3063" t="str">
            <v>Godz.</v>
          </cell>
          <cell r="R3063" t="str">
            <v>S. prow.</v>
          </cell>
          <cell r="AF3063" t="str">
            <v>wygrany</v>
          </cell>
          <cell r="AG3063" t="str">
            <v>przegrany</v>
          </cell>
        </row>
        <row r="3064">
          <cell r="B3064" t="str">
            <v>Boisko</v>
          </cell>
          <cell r="C3064" t="str">
            <v>Gra</v>
          </cell>
          <cell r="I3064">
            <v>438</v>
          </cell>
          <cell r="N3064" t="str">
            <v>rozp.</v>
          </cell>
          <cell r="P3064" t="str">
            <v>zak.</v>
          </cell>
          <cell r="R3064" t="str">
            <v>S. serw.</v>
          </cell>
        </row>
        <row r="3065">
          <cell r="A3065">
            <v>438</v>
          </cell>
          <cell r="C3065" t="str">
            <v>mieszana M</v>
          </cell>
          <cell r="H3065">
            <v>17</v>
          </cell>
          <cell r="I3065">
            <v>21</v>
          </cell>
          <cell r="J3065">
            <v>17</v>
          </cell>
          <cell r="K3065">
            <v>21</v>
          </cell>
          <cell r="R3065">
            <v>0</v>
          </cell>
          <cell r="S3065" t="str">
            <v>nie 11:00</v>
          </cell>
          <cell r="X3065">
            <v>438</v>
          </cell>
          <cell r="Y3065" t="str">
            <v>mieszana M</v>
          </cell>
          <cell r="Z3065" t="str">
            <v>M4689</v>
          </cell>
          <cell r="AA3065" t="str">
            <v>D3427</v>
          </cell>
          <cell r="AB3065" t="str">
            <v>S4287</v>
          </cell>
          <cell r="AC3065" t="str">
            <v>P4286</v>
          </cell>
          <cell r="AD3065" t="str">
            <v>S4287</v>
          </cell>
          <cell r="AE3065" t="str">
            <v>P4286</v>
          </cell>
          <cell r="AF3065" t="str">
            <v>21:17,21:17</v>
          </cell>
          <cell r="AG3065" t="str">
            <v>17:21,17:21</v>
          </cell>
          <cell r="AH3065" t="str">
            <v/>
          </cell>
          <cell r="AI3065">
            <v>17</v>
          </cell>
          <cell r="AJ3065">
            <v>21</v>
          </cell>
          <cell r="AK3065">
            <v>17</v>
          </cell>
          <cell r="AL3065">
            <v>21</v>
          </cell>
          <cell r="AM3065">
            <v>0</v>
          </cell>
          <cell r="AN3065">
            <v>0</v>
          </cell>
        </row>
        <row r="3066">
          <cell r="A3066" t="str">
            <v/>
          </cell>
          <cell r="B3066" t="str">
            <v>Maciej MAŁACHOWSKI (UKS Kometa Sianów)</v>
          </cell>
          <cell r="H3066" t="str">
            <v>M4689</v>
          </cell>
          <cell r="K3066" t="str">
            <v>S4287</v>
          </cell>
          <cell r="N3066" t="str">
            <v>Michał SOBOLEWSKI (SKB Suwałki)</v>
          </cell>
        </row>
        <row r="3067">
          <cell r="A3067" t="str">
            <v/>
          </cell>
          <cell r="B3067" t="str">
            <v>Wiktoria DĄBCZYŃSKA (MKS Orlicz Suchedniów)</v>
          </cell>
          <cell r="H3067" t="str">
            <v>D3427</v>
          </cell>
          <cell r="K3067" t="str">
            <v>P4286</v>
          </cell>
          <cell r="N3067" t="str">
            <v>Ewelina PODZIEWSKA (SKB Suwałki)</v>
          </cell>
        </row>
        <row r="3069">
          <cell r="B3069" t="str">
            <v/>
          </cell>
          <cell r="K3069" t="str">
            <v>zwycięzca(cy): 21:17,21:17</v>
          </cell>
        </row>
        <row r="3070">
          <cell r="B3070">
            <v>3</v>
          </cell>
          <cell r="C3070" t="str">
            <v>dzień turnieju.</v>
          </cell>
          <cell r="I3070" t="str">
            <v>Nr meczu</v>
          </cell>
          <cell r="N3070" t="str">
            <v>Godz.</v>
          </cell>
          <cell r="R3070" t="str">
            <v>S. prow.</v>
          </cell>
          <cell r="AF3070" t="str">
            <v>wygrany</v>
          </cell>
          <cell r="AG3070" t="str">
            <v>przegrany</v>
          </cell>
        </row>
        <row r="3071">
          <cell r="B3071" t="str">
            <v>Boisko</v>
          </cell>
          <cell r="C3071" t="str">
            <v>Gra</v>
          </cell>
          <cell r="I3071">
            <v>439</v>
          </cell>
          <cell r="N3071" t="str">
            <v>rozp.</v>
          </cell>
          <cell r="P3071" t="str">
            <v>zak.</v>
          </cell>
          <cell r="R3071" t="str">
            <v>S. serw.</v>
          </cell>
        </row>
        <row r="3072">
          <cell r="A3072">
            <v>439</v>
          </cell>
          <cell r="C3072" t="str">
            <v>podwójna dziewcząt M</v>
          </cell>
          <cell r="H3072">
            <v>11</v>
          </cell>
          <cell r="I3072">
            <v>21</v>
          </cell>
          <cell r="J3072">
            <v>18</v>
          </cell>
          <cell r="K3072">
            <v>21</v>
          </cell>
          <cell r="R3072">
            <v>0</v>
          </cell>
          <cell r="S3072" t="str">
            <v>nie 11:00</v>
          </cell>
          <cell r="X3072">
            <v>439</v>
          </cell>
          <cell r="Y3072" t="str">
            <v>podwójna dziewcząt M</v>
          </cell>
          <cell r="Z3072" t="str">
            <v>X22</v>
          </cell>
          <cell r="AA3072" t="str">
            <v>X24</v>
          </cell>
          <cell r="AB3072" t="str">
            <v>J4555</v>
          </cell>
          <cell r="AC3072" t="str">
            <v>R4591</v>
          </cell>
          <cell r="AD3072" t="str">
            <v>J4555</v>
          </cell>
          <cell r="AE3072" t="str">
            <v>R4591</v>
          </cell>
          <cell r="AF3072" t="str">
            <v>21:11,21:18</v>
          </cell>
          <cell r="AG3072" t="str">
            <v>11:21,18:21</v>
          </cell>
          <cell r="AH3072" t="str">
            <v/>
          </cell>
          <cell r="AI3072">
            <v>11</v>
          </cell>
          <cell r="AJ3072">
            <v>21</v>
          </cell>
          <cell r="AK3072">
            <v>18</v>
          </cell>
          <cell r="AL3072">
            <v>21</v>
          </cell>
          <cell r="AM3072">
            <v>0</v>
          </cell>
          <cell r="AN3072">
            <v>0</v>
          </cell>
        </row>
        <row r="3073">
          <cell r="A3073" t="str">
            <v/>
          </cell>
          <cell r="B3073" t="str">
            <v>Elyzaveta NIKOLAEVA (Vinnica Ukraina)</v>
          </cell>
          <cell r="H3073" t="str">
            <v>X22</v>
          </cell>
          <cell r="K3073" t="str">
            <v>J4555</v>
          </cell>
          <cell r="N3073" t="str">
            <v>Izabela JAJKO (UKS Orliki Ropica Polska)</v>
          </cell>
        </row>
        <row r="3074">
          <cell r="A3074" t="str">
            <v/>
          </cell>
          <cell r="B3074" t="str">
            <v>Anna  POLISCHUK (Lwów Ukraina)</v>
          </cell>
          <cell r="H3074" t="str">
            <v>X24</v>
          </cell>
          <cell r="K3074" t="str">
            <v>R4591</v>
          </cell>
          <cell r="N3074" t="str">
            <v>Natalia RÓG (MKS Stal Nowa Dęba)</v>
          </cell>
        </row>
        <row r="3076">
          <cell r="B3076" t="str">
            <v/>
          </cell>
          <cell r="K3076" t="str">
            <v>zwycięzca(cy): 21:11,21:18</v>
          </cell>
        </row>
        <row r="3077">
          <cell r="B3077">
            <v>3</v>
          </cell>
          <cell r="C3077" t="str">
            <v>dzień turnieju.</v>
          </cell>
          <cell r="I3077" t="str">
            <v>Nr meczu</v>
          </cell>
          <cell r="N3077" t="str">
            <v>Godz.</v>
          </cell>
          <cell r="R3077" t="str">
            <v>S. prow.</v>
          </cell>
          <cell r="AF3077" t="str">
            <v>wygrany</v>
          </cell>
          <cell r="AG3077" t="str">
            <v>przegrany</v>
          </cell>
        </row>
        <row r="3078">
          <cell r="B3078" t="str">
            <v>Boisko</v>
          </cell>
          <cell r="C3078" t="str">
            <v>Gra</v>
          </cell>
          <cell r="I3078">
            <v>440</v>
          </cell>
          <cell r="N3078" t="str">
            <v>rozp.</v>
          </cell>
          <cell r="P3078" t="str">
            <v>zak.</v>
          </cell>
          <cell r="R3078" t="str">
            <v>S. serw.</v>
          </cell>
        </row>
        <row r="3079">
          <cell r="A3079">
            <v>440</v>
          </cell>
          <cell r="C3079" t="str">
            <v>podwójna dziewcząt M</v>
          </cell>
          <cell r="H3079">
            <v>20</v>
          </cell>
          <cell r="I3079">
            <v>22</v>
          </cell>
          <cell r="J3079">
            <v>21</v>
          </cell>
          <cell r="K3079">
            <v>12</v>
          </cell>
          <cell r="L3079">
            <v>21</v>
          </cell>
          <cell r="M3079">
            <v>18</v>
          </cell>
          <cell r="R3079">
            <v>0</v>
          </cell>
          <cell r="S3079" t="str">
            <v>nie 11:00</v>
          </cell>
          <cell r="X3079">
            <v>440</v>
          </cell>
          <cell r="Y3079" t="str">
            <v>podwójna dziewcząt M</v>
          </cell>
          <cell r="Z3079" t="str">
            <v>G4208</v>
          </cell>
          <cell r="AA3079" t="str">
            <v>M3746</v>
          </cell>
          <cell r="AB3079" t="str">
            <v>A4292</v>
          </cell>
          <cell r="AC3079" t="str">
            <v>P4786</v>
          </cell>
          <cell r="AD3079" t="str">
            <v>G4208</v>
          </cell>
          <cell r="AE3079" t="str">
            <v>M3746</v>
          </cell>
          <cell r="AF3079" t="str">
            <v>20:22,21:12,21:18</v>
          </cell>
          <cell r="AG3079" t="str">
            <v>22:20,12:21,18:21</v>
          </cell>
          <cell r="AH3079" t="str">
            <v/>
          </cell>
          <cell r="AI3079">
            <v>20</v>
          </cell>
          <cell r="AJ3079">
            <v>22</v>
          </cell>
          <cell r="AK3079">
            <v>21</v>
          </cell>
          <cell r="AL3079">
            <v>12</v>
          </cell>
          <cell r="AM3079">
            <v>21</v>
          </cell>
          <cell r="AN3079">
            <v>18</v>
          </cell>
        </row>
        <row r="3080">
          <cell r="A3080" t="str">
            <v/>
          </cell>
          <cell r="B3080" t="str">
            <v>Aleksandra GOSZCZYŃSKA (UKSB Milenium Warszawa)</v>
          </cell>
          <cell r="H3080" t="str">
            <v>G4208</v>
          </cell>
          <cell r="K3080" t="str">
            <v>A4292</v>
          </cell>
          <cell r="N3080" t="str">
            <v>Wiktoria ADAMEK (UKS Ząbkowice Dąbrowa Górn.)</v>
          </cell>
        </row>
        <row r="3081">
          <cell r="A3081" t="str">
            <v/>
          </cell>
          <cell r="B3081" t="str">
            <v>Dorota MATYSIAK (KS Hubertus Zalesie Górne)</v>
          </cell>
          <cell r="H3081" t="str">
            <v>M3746</v>
          </cell>
          <cell r="K3081" t="str">
            <v>P4786</v>
          </cell>
          <cell r="N3081" t="str">
            <v>Aleksandra PTAK (STB Energia Lubliniec)</v>
          </cell>
        </row>
        <row r="3083">
          <cell r="B3083" t="str">
            <v>zwycięzca(cy): 20:22,21:12,21:18</v>
          </cell>
          <cell r="K3083" t="str">
            <v/>
          </cell>
        </row>
        <row r="3084">
          <cell r="B3084">
            <v>3</v>
          </cell>
          <cell r="C3084" t="str">
            <v>dzień turnieju.</v>
          </cell>
          <cell r="I3084" t="str">
            <v>Nr meczu</v>
          </cell>
          <cell r="N3084" t="str">
            <v>Godz.</v>
          </cell>
          <cell r="R3084" t="str">
            <v>S. prow.</v>
          </cell>
          <cell r="AF3084" t="str">
            <v>wygrany</v>
          </cell>
          <cell r="AG3084" t="str">
            <v>przegrany</v>
          </cell>
        </row>
        <row r="3085">
          <cell r="B3085" t="str">
            <v>Boisko</v>
          </cell>
          <cell r="C3085" t="str">
            <v>Gra</v>
          </cell>
          <cell r="I3085">
            <v>441</v>
          </cell>
          <cell r="N3085" t="str">
            <v>rozp.</v>
          </cell>
          <cell r="P3085" t="str">
            <v>zak.</v>
          </cell>
          <cell r="R3085" t="str">
            <v>S. serw.</v>
          </cell>
        </row>
        <row r="3086">
          <cell r="A3086">
            <v>441</v>
          </cell>
          <cell r="C3086" t="str">
            <v>podwójna chłopców M</v>
          </cell>
          <cell r="H3086">
            <v>12</v>
          </cell>
          <cell r="I3086">
            <v>21</v>
          </cell>
          <cell r="J3086">
            <v>14</v>
          </cell>
          <cell r="K3086">
            <v>21</v>
          </cell>
          <cell r="R3086">
            <v>0</v>
          </cell>
          <cell r="S3086" t="str">
            <v>nie 11:00</v>
          </cell>
          <cell r="X3086">
            <v>441</v>
          </cell>
          <cell r="Y3086" t="str">
            <v>podwójna chłopców M</v>
          </cell>
          <cell r="Z3086" t="str">
            <v>A4673</v>
          </cell>
          <cell r="AA3086" t="str">
            <v>J4677</v>
          </cell>
          <cell r="AB3086" t="str">
            <v>K4283</v>
          </cell>
          <cell r="AC3086" t="str">
            <v>S4287</v>
          </cell>
          <cell r="AD3086" t="str">
            <v>K4283</v>
          </cell>
          <cell r="AE3086" t="str">
            <v>S4287</v>
          </cell>
          <cell r="AF3086" t="str">
            <v>21:12,21:14</v>
          </cell>
          <cell r="AG3086" t="str">
            <v>12:21,14:21</v>
          </cell>
          <cell r="AH3086" t="str">
            <v/>
          </cell>
          <cell r="AI3086">
            <v>12</v>
          </cell>
          <cell r="AJ3086">
            <v>21</v>
          </cell>
          <cell r="AK3086">
            <v>14</v>
          </cell>
          <cell r="AL3086">
            <v>21</v>
          </cell>
          <cell r="AM3086">
            <v>0</v>
          </cell>
          <cell r="AN3086">
            <v>0</v>
          </cell>
        </row>
        <row r="3087">
          <cell r="A3087" t="str">
            <v/>
          </cell>
          <cell r="B3087" t="str">
            <v>Szymon ADAMCZUK (UKS Kiko Zamość)</v>
          </cell>
          <cell r="H3087" t="str">
            <v>A4673</v>
          </cell>
          <cell r="K3087" t="str">
            <v>K4283</v>
          </cell>
          <cell r="N3087" t="str">
            <v>Filip KRUKOWSKI (SKB Suwałki)</v>
          </cell>
        </row>
        <row r="3088">
          <cell r="A3088" t="str">
            <v/>
          </cell>
          <cell r="B3088" t="str">
            <v>Adam JAGODA (UKS Kiko Zamość)</v>
          </cell>
          <cell r="H3088" t="str">
            <v>J4677</v>
          </cell>
          <cell r="K3088" t="str">
            <v>S4287</v>
          </cell>
          <cell r="N3088" t="str">
            <v>Michał SOBOLEWSKI (SKB Suwałki)</v>
          </cell>
        </row>
        <row r="3090">
          <cell r="B3090" t="str">
            <v/>
          </cell>
          <cell r="K3090" t="str">
            <v>zwycięzca(cy): 21:12,21:14</v>
          </cell>
        </row>
        <row r="3091">
          <cell r="B3091">
            <v>3</v>
          </cell>
          <cell r="C3091" t="str">
            <v>dzień turnieju.</v>
          </cell>
          <cell r="I3091" t="str">
            <v>Nr meczu</v>
          </cell>
          <cell r="N3091" t="str">
            <v>Godz.</v>
          </cell>
          <cell r="R3091" t="str">
            <v>S. prow.</v>
          </cell>
          <cell r="AF3091" t="str">
            <v>wygrany</v>
          </cell>
          <cell r="AG3091" t="str">
            <v>przegrany</v>
          </cell>
        </row>
        <row r="3092">
          <cell r="B3092" t="str">
            <v>Boisko</v>
          </cell>
          <cell r="C3092" t="str">
            <v>Gra</v>
          </cell>
          <cell r="I3092">
            <v>442</v>
          </cell>
          <cell r="N3092" t="str">
            <v>rozp.</v>
          </cell>
          <cell r="P3092" t="str">
            <v>zak.</v>
          </cell>
          <cell r="R3092" t="str">
            <v>S. serw.</v>
          </cell>
        </row>
        <row r="3093">
          <cell r="A3093">
            <v>442</v>
          </cell>
          <cell r="C3093" t="str">
            <v>podwójna chłopców M</v>
          </cell>
          <cell r="H3093">
            <v>21</v>
          </cell>
          <cell r="I3093">
            <v>9</v>
          </cell>
          <cell r="J3093">
            <v>21</v>
          </cell>
          <cell r="K3093">
            <v>12</v>
          </cell>
          <cell r="R3093">
            <v>0</v>
          </cell>
          <cell r="S3093" t="str">
            <v>nie 11:00</v>
          </cell>
          <cell r="X3093">
            <v>442</v>
          </cell>
          <cell r="Y3093" t="str">
            <v>podwójna chłopców M</v>
          </cell>
          <cell r="Z3093" t="str">
            <v>C3670</v>
          </cell>
          <cell r="AA3093" t="str">
            <v>S3748</v>
          </cell>
          <cell r="AB3093" t="str">
            <v>G4559</v>
          </cell>
          <cell r="AC3093" t="str">
            <v>G4560</v>
          </cell>
          <cell r="AD3093" t="str">
            <v>C3670</v>
          </cell>
          <cell r="AE3093" t="str">
            <v>S3748</v>
          </cell>
          <cell r="AF3093" t="str">
            <v>21:9,21:12</v>
          </cell>
          <cell r="AG3093" t="str">
            <v>9:21,12:21</v>
          </cell>
          <cell r="AH3093" t="str">
            <v/>
          </cell>
          <cell r="AI3093">
            <v>21</v>
          </cell>
          <cell r="AJ3093">
            <v>9</v>
          </cell>
          <cell r="AK3093">
            <v>21</v>
          </cell>
          <cell r="AL3093">
            <v>12</v>
          </cell>
          <cell r="AM3093">
            <v>0</v>
          </cell>
          <cell r="AN3093">
            <v>0</v>
          </cell>
        </row>
        <row r="3094">
          <cell r="A3094" t="str">
            <v/>
          </cell>
          <cell r="B3094" t="str">
            <v>Robert CYBULSKI (MKB Lednik Miastko)</v>
          </cell>
          <cell r="H3094" t="str">
            <v>C3670</v>
          </cell>
          <cell r="K3094" t="str">
            <v>G4559</v>
          </cell>
          <cell r="N3094" t="str">
            <v>Maciej GOMOŁA (KS Masovia Płock)</v>
          </cell>
        </row>
        <row r="3095">
          <cell r="A3095" t="str">
            <v/>
          </cell>
          <cell r="B3095" t="str">
            <v>Adam SZOLC (KS Hubertus Zalesie Górne)</v>
          </cell>
          <cell r="H3095" t="str">
            <v>S3748</v>
          </cell>
          <cell r="K3095" t="str">
            <v>G4560</v>
          </cell>
          <cell r="N3095" t="str">
            <v>Michał GOMOŁA (KS Masovia Płock)</v>
          </cell>
        </row>
        <row r="3097">
          <cell r="B3097" t="str">
            <v>zwycięzca(cy): 21:9,21:12</v>
          </cell>
          <cell r="K3097" t="str">
            <v/>
          </cell>
        </row>
        <row r="3098">
          <cell r="B3098">
            <v>3</v>
          </cell>
          <cell r="C3098" t="str">
            <v>dzień turnieju.</v>
          </cell>
          <cell r="I3098" t="str">
            <v>Nr meczu</v>
          </cell>
          <cell r="N3098" t="str">
            <v>Godz.</v>
          </cell>
          <cell r="R3098" t="str">
            <v>S. prow.</v>
          </cell>
          <cell r="AF3098" t="str">
            <v>wygrany</v>
          </cell>
          <cell r="AG3098" t="str">
            <v>przegrany</v>
          </cell>
        </row>
        <row r="3099">
          <cell r="B3099" t="str">
            <v>Boisko</v>
          </cell>
          <cell r="C3099" t="str">
            <v>Gra</v>
          </cell>
          <cell r="I3099">
            <v>443</v>
          </cell>
          <cell r="N3099" t="str">
            <v>rozp.</v>
          </cell>
          <cell r="P3099" t="str">
            <v>zak.</v>
          </cell>
          <cell r="R3099" t="str">
            <v>S. serw.</v>
          </cell>
        </row>
        <row r="3100">
          <cell r="A3100">
            <v>443</v>
          </cell>
          <cell r="C3100" t="str">
            <v>pojedyncza dziewcząt M</v>
          </cell>
          <cell r="H3100">
            <v>21</v>
          </cell>
          <cell r="I3100">
            <v>17</v>
          </cell>
          <cell r="J3100">
            <v>21</v>
          </cell>
          <cell r="K3100">
            <v>14</v>
          </cell>
          <cell r="R3100">
            <v>0</v>
          </cell>
          <cell r="S3100" t="str">
            <v>nie 11:00</v>
          </cell>
          <cell r="X3100">
            <v>443</v>
          </cell>
          <cell r="Y3100" t="str">
            <v>pojedyncza dziewcząt M</v>
          </cell>
          <cell r="Z3100" t="str">
            <v>D3427</v>
          </cell>
          <cell r="AA3100" t="str">
            <v/>
          </cell>
          <cell r="AB3100" t="str">
            <v>S4370</v>
          </cell>
          <cell r="AC3100" t="str">
            <v/>
          </cell>
          <cell r="AD3100" t="str">
            <v>D3427</v>
          </cell>
          <cell r="AE3100" t="str">
            <v/>
          </cell>
          <cell r="AF3100" t="str">
            <v>21:17,21:14</v>
          </cell>
          <cell r="AG3100" t="str">
            <v>17:21,14:21</v>
          </cell>
          <cell r="AH3100" t="str">
            <v/>
          </cell>
          <cell r="AI3100">
            <v>21</v>
          </cell>
          <cell r="AJ3100">
            <v>17</v>
          </cell>
          <cell r="AK3100">
            <v>21</v>
          </cell>
          <cell r="AL3100">
            <v>14</v>
          </cell>
          <cell r="AM3100">
            <v>0</v>
          </cell>
          <cell r="AN3100">
            <v>0</v>
          </cell>
        </row>
        <row r="3101">
          <cell r="A3101" t="str">
            <v/>
          </cell>
          <cell r="B3101" t="str">
            <v>Wiktoria DĄBCZYŃSKA (MKS Orlicz Suchedniów)</v>
          </cell>
          <cell r="H3101" t="str">
            <v>D3427</v>
          </cell>
          <cell r="K3101" t="str">
            <v>S4370</v>
          </cell>
          <cell r="N3101" t="str">
            <v>Hanna SZYMAŃSKA (STB Energia Lubliniec)</v>
          </cell>
        </row>
        <row r="3102">
          <cell r="A3102" t="str">
            <v/>
          </cell>
          <cell r="B3102" t="str">
            <v/>
          </cell>
          <cell r="H3102" t="str">
            <v/>
          </cell>
          <cell r="K3102" t="str">
            <v/>
          </cell>
          <cell r="N3102" t="str">
            <v/>
          </cell>
        </row>
        <row r="3104">
          <cell r="B3104" t="str">
            <v>zwycięzca(cy): 21:17,21:14</v>
          </cell>
          <cell r="K3104" t="str">
            <v/>
          </cell>
        </row>
        <row r="3105">
          <cell r="B3105">
            <v>3</v>
          </cell>
          <cell r="C3105" t="str">
            <v>dzień turnieju.</v>
          </cell>
          <cell r="I3105" t="str">
            <v>Nr meczu</v>
          </cell>
          <cell r="N3105" t="str">
            <v>Godz.</v>
          </cell>
          <cell r="R3105" t="str">
            <v>S. prow.</v>
          </cell>
          <cell r="AF3105" t="str">
            <v>wygrany</v>
          </cell>
          <cell r="AG3105" t="str">
            <v>przegrany</v>
          </cell>
        </row>
        <row r="3106">
          <cell r="B3106" t="str">
            <v>Boisko</v>
          </cell>
          <cell r="C3106" t="str">
            <v>Gra</v>
          </cell>
          <cell r="I3106">
            <v>444</v>
          </cell>
          <cell r="N3106" t="str">
            <v>rozp.</v>
          </cell>
          <cell r="P3106" t="str">
            <v>zak.</v>
          </cell>
          <cell r="R3106" t="str">
            <v>S. serw.</v>
          </cell>
        </row>
        <row r="3107">
          <cell r="A3107">
            <v>444</v>
          </cell>
          <cell r="C3107" t="str">
            <v>pojedyncza dziewcząt M</v>
          </cell>
          <cell r="H3107">
            <v>17</v>
          </cell>
          <cell r="I3107">
            <v>21</v>
          </cell>
          <cell r="J3107">
            <v>23</v>
          </cell>
          <cell r="K3107">
            <v>25</v>
          </cell>
          <cell r="R3107">
            <v>0</v>
          </cell>
          <cell r="S3107" t="str">
            <v>nie 12:00</v>
          </cell>
          <cell r="X3107">
            <v>444</v>
          </cell>
          <cell r="Y3107" t="str">
            <v>pojedyncza dziewcząt M</v>
          </cell>
          <cell r="Z3107" t="str">
            <v>G4208</v>
          </cell>
          <cell r="AA3107" t="str">
            <v/>
          </cell>
          <cell r="AB3107" t="str">
            <v>A4292</v>
          </cell>
          <cell r="AC3107" t="str">
            <v/>
          </cell>
          <cell r="AD3107" t="str">
            <v>A4292</v>
          </cell>
          <cell r="AE3107" t="str">
            <v/>
          </cell>
          <cell r="AF3107" t="str">
            <v>21:17,25:23</v>
          </cell>
          <cell r="AG3107" t="str">
            <v>17:21,23:25</v>
          </cell>
          <cell r="AH3107" t="str">
            <v/>
          </cell>
          <cell r="AI3107">
            <v>17</v>
          </cell>
          <cell r="AJ3107">
            <v>21</v>
          </cell>
          <cell r="AK3107">
            <v>23</v>
          </cell>
          <cell r="AL3107">
            <v>25</v>
          </cell>
          <cell r="AM3107">
            <v>0</v>
          </cell>
          <cell r="AN3107">
            <v>0</v>
          </cell>
        </row>
        <row r="3108">
          <cell r="A3108" t="str">
            <v/>
          </cell>
          <cell r="B3108" t="str">
            <v>Aleksandra GOSZCZYŃSKA (UKSB Milenium Warszawa)</v>
          </cell>
          <cell r="H3108" t="str">
            <v>G4208</v>
          </cell>
          <cell r="K3108" t="str">
            <v>A4292</v>
          </cell>
          <cell r="N3108" t="str">
            <v>Wiktoria ADAMEK (UKS Ząbkowice Dąbrowa Górn.)</v>
          </cell>
        </row>
        <row r="3109">
          <cell r="A3109" t="str">
            <v/>
          </cell>
          <cell r="B3109" t="str">
            <v/>
          </cell>
          <cell r="H3109" t="str">
            <v/>
          </cell>
          <cell r="K3109" t="str">
            <v/>
          </cell>
          <cell r="N3109" t="str">
            <v/>
          </cell>
        </row>
        <row r="3111">
          <cell r="B3111" t="str">
            <v/>
          </cell>
          <cell r="K3111" t="str">
            <v>zwycięzca(cy): 21:17,25:23</v>
          </cell>
        </row>
        <row r="3112">
          <cell r="B3112">
            <v>3</v>
          </cell>
          <cell r="C3112" t="str">
            <v>dzień turnieju.</v>
          </cell>
          <cell r="I3112" t="str">
            <v>Nr meczu</v>
          </cell>
          <cell r="N3112" t="str">
            <v>Godz.</v>
          </cell>
          <cell r="R3112" t="str">
            <v>S. prow.</v>
          </cell>
          <cell r="AF3112" t="str">
            <v>wygrany</v>
          </cell>
          <cell r="AG3112" t="str">
            <v>przegrany</v>
          </cell>
        </row>
        <row r="3113">
          <cell r="B3113" t="str">
            <v>Boisko</v>
          </cell>
          <cell r="C3113" t="str">
            <v>Gra</v>
          </cell>
          <cell r="I3113">
            <v>445</v>
          </cell>
          <cell r="N3113" t="str">
            <v>rozp.</v>
          </cell>
          <cell r="P3113" t="str">
            <v>zak.</v>
          </cell>
          <cell r="R3113" t="str">
            <v>S. serw.</v>
          </cell>
        </row>
        <row r="3114">
          <cell r="A3114">
            <v>445</v>
          </cell>
          <cell r="C3114" t="str">
            <v>pojedyncza chłopców M</v>
          </cell>
          <cell r="H3114">
            <v>15</v>
          </cell>
          <cell r="I3114">
            <v>21</v>
          </cell>
          <cell r="J3114">
            <v>5</v>
          </cell>
          <cell r="K3114">
            <v>21</v>
          </cell>
          <cell r="R3114">
            <v>0</v>
          </cell>
          <cell r="S3114" t="str">
            <v>nie 12:00</v>
          </cell>
          <cell r="X3114">
            <v>445</v>
          </cell>
          <cell r="Y3114" t="str">
            <v>pojedyncza chłopców M</v>
          </cell>
          <cell r="Z3114" t="str">
            <v>K4283</v>
          </cell>
          <cell r="AA3114" t="str">
            <v/>
          </cell>
          <cell r="AB3114" t="str">
            <v>S3748</v>
          </cell>
          <cell r="AC3114" t="str">
            <v/>
          </cell>
          <cell r="AD3114" t="str">
            <v>S3748</v>
          </cell>
          <cell r="AE3114" t="str">
            <v/>
          </cell>
          <cell r="AF3114" t="str">
            <v>21:15,21:5</v>
          </cell>
          <cell r="AG3114" t="str">
            <v>15:21,5:21</v>
          </cell>
          <cell r="AH3114" t="str">
            <v/>
          </cell>
          <cell r="AI3114">
            <v>15</v>
          </cell>
          <cell r="AJ3114">
            <v>21</v>
          </cell>
          <cell r="AK3114">
            <v>5</v>
          </cell>
          <cell r="AL3114">
            <v>21</v>
          </cell>
          <cell r="AM3114">
            <v>0</v>
          </cell>
          <cell r="AN3114">
            <v>0</v>
          </cell>
        </row>
        <row r="3115">
          <cell r="A3115" t="str">
            <v/>
          </cell>
          <cell r="B3115" t="str">
            <v>Filip KRUKOWSKI (SKB Suwałki)</v>
          </cell>
          <cell r="H3115" t="str">
            <v>K4283</v>
          </cell>
          <cell r="K3115" t="str">
            <v>S3748</v>
          </cell>
          <cell r="N3115" t="str">
            <v>Adam SZOLC (KS Hubertus Zalesie Górne)</v>
          </cell>
        </row>
        <row r="3116">
          <cell r="A3116" t="str">
            <v/>
          </cell>
          <cell r="B3116" t="str">
            <v/>
          </cell>
          <cell r="H3116" t="str">
            <v/>
          </cell>
          <cell r="K3116" t="str">
            <v/>
          </cell>
          <cell r="N3116" t="str">
            <v/>
          </cell>
        </row>
        <row r="3118">
          <cell r="B3118" t="str">
            <v/>
          </cell>
          <cell r="K3118" t="str">
            <v>zwycięzca(cy): 21:15,21:5</v>
          </cell>
        </row>
        <row r="3119">
          <cell r="B3119">
            <v>3</v>
          </cell>
          <cell r="C3119" t="str">
            <v>dzień turnieju.</v>
          </cell>
          <cell r="I3119" t="str">
            <v>Nr meczu</v>
          </cell>
          <cell r="N3119" t="str">
            <v>Godz.</v>
          </cell>
          <cell r="R3119" t="str">
            <v>S. prow.</v>
          </cell>
          <cell r="AF3119" t="str">
            <v>wygrany</v>
          </cell>
          <cell r="AG3119" t="str">
            <v>przegrany</v>
          </cell>
        </row>
        <row r="3120">
          <cell r="B3120" t="str">
            <v>Boisko</v>
          </cell>
          <cell r="C3120" t="str">
            <v>Gra</v>
          </cell>
          <cell r="I3120">
            <v>446</v>
          </cell>
          <cell r="N3120" t="str">
            <v>rozp.</v>
          </cell>
          <cell r="P3120" t="str">
            <v>zak.</v>
          </cell>
          <cell r="R3120" t="str">
            <v>S. serw.</v>
          </cell>
        </row>
        <row r="3121">
          <cell r="A3121">
            <v>446</v>
          </cell>
          <cell r="C3121" t="str">
            <v>pojedyncza chłopców M</v>
          </cell>
          <cell r="H3121">
            <v>13</v>
          </cell>
          <cell r="I3121">
            <v>21</v>
          </cell>
          <cell r="J3121">
            <v>10</v>
          </cell>
          <cell r="K3121">
            <v>21</v>
          </cell>
          <cell r="R3121">
            <v>0</v>
          </cell>
          <cell r="S3121" t="str">
            <v>nie 12:00</v>
          </cell>
          <cell r="X3121">
            <v>446</v>
          </cell>
          <cell r="Y3121" t="str">
            <v>pojedyncza chłopców M</v>
          </cell>
          <cell r="Z3121" t="str">
            <v>S4287</v>
          </cell>
          <cell r="AA3121" t="str">
            <v/>
          </cell>
          <cell r="AB3121" t="str">
            <v>C3670</v>
          </cell>
          <cell r="AC3121" t="str">
            <v/>
          </cell>
          <cell r="AD3121" t="str">
            <v>C3670</v>
          </cell>
          <cell r="AE3121" t="str">
            <v/>
          </cell>
          <cell r="AF3121" t="str">
            <v>21:13,21:10</v>
          </cell>
          <cell r="AG3121" t="str">
            <v>13:21,10:21</v>
          </cell>
          <cell r="AH3121" t="str">
            <v/>
          </cell>
          <cell r="AI3121">
            <v>13</v>
          </cell>
          <cell r="AJ3121">
            <v>21</v>
          </cell>
          <cell r="AK3121">
            <v>10</v>
          </cell>
          <cell r="AL3121">
            <v>21</v>
          </cell>
          <cell r="AM3121">
            <v>0</v>
          </cell>
          <cell r="AN3121">
            <v>0</v>
          </cell>
        </row>
        <row r="3122">
          <cell r="A3122" t="str">
            <v/>
          </cell>
          <cell r="B3122" t="str">
            <v>Michał SOBOLEWSKI (SKB Suwałki)</v>
          </cell>
          <cell r="H3122" t="str">
            <v>S4287</v>
          </cell>
          <cell r="K3122" t="str">
            <v>C3670</v>
          </cell>
          <cell r="N3122" t="str">
            <v>Robert CYBULSKI (MKB Lednik Miastko)</v>
          </cell>
        </row>
        <row r="3123">
          <cell r="A3123" t="str">
            <v/>
          </cell>
          <cell r="B3123" t="str">
            <v/>
          </cell>
          <cell r="H3123" t="str">
            <v/>
          </cell>
          <cell r="K3123" t="str">
            <v/>
          </cell>
          <cell r="N3123" t="str">
            <v/>
          </cell>
        </row>
        <row r="3125">
          <cell r="B3125" t="str">
            <v/>
          </cell>
          <cell r="K3125" t="str">
            <v>zwycięzca(cy): 21:13,21:10</v>
          </cell>
        </row>
        <row r="3126">
          <cell r="B3126">
            <v>3</v>
          </cell>
          <cell r="C3126" t="str">
            <v>dzień turnieju.</v>
          </cell>
          <cell r="I3126" t="str">
            <v>Nr meczu</v>
          </cell>
          <cell r="N3126" t="str">
            <v>Godz.</v>
          </cell>
          <cell r="R3126" t="str">
            <v>S. prow.</v>
          </cell>
          <cell r="AF3126" t="str">
            <v>wygrany</v>
          </cell>
          <cell r="AG3126" t="str">
            <v>przegrany</v>
          </cell>
        </row>
        <row r="3127">
          <cell r="B3127" t="str">
            <v>Boisko</v>
          </cell>
          <cell r="C3127" t="str">
            <v>Gra</v>
          </cell>
          <cell r="I3127">
            <v>447</v>
          </cell>
          <cell r="N3127" t="str">
            <v>rozp.</v>
          </cell>
          <cell r="P3127" t="str">
            <v>zak.</v>
          </cell>
          <cell r="R3127" t="str">
            <v>S. serw.</v>
          </cell>
        </row>
        <row r="3128">
          <cell r="A3128">
            <v>447</v>
          </cell>
          <cell r="C3128" t="str">
            <v>mieszana M</v>
          </cell>
          <cell r="H3128">
            <v>21</v>
          </cell>
          <cell r="I3128">
            <v>10</v>
          </cell>
          <cell r="J3128">
            <v>21</v>
          </cell>
          <cell r="K3128">
            <v>13</v>
          </cell>
          <cell r="R3128">
            <v>0</v>
          </cell>
          <cell r="S3128" t="str">
            <v>nie 12:00</v>
          </cell>
          <cell r="X3128">
            <v>447</v>
          </cell>
          <cell r="Y3128" t="str">
            <v>mieszana M</v>
          </cell>
          <cell r="Z3128" t="str">
            <v>K4563</v>
          </cell>
          <cell r="AA3128" t="str">
            <v>F4371</v>
          </cell>
          <cell r="AB3128" t="str">
            <v>S4287</v>
          </cell>
          <cell r="AC3128" t="str">
            <v>P4286</v>
          </cell>
          <cell r="AD3128" t="str">
            <v>K4563</v>
          </cell>
          <cell r="AE3128" t="str">
            <v>F4371</v>
          </cell>
          <cell r="AF3128" t="str">
            <v>21:10,21:13</v>
          </cell>
          <cell r="AG3128" t="str">
            <v>10:21,13:21</v>
          </cell>
          <cell r="AH3128" t="str">
            <v/>
          </cell>
          <cell r="AI3128">
            <v>21</v>
          </cell>
          <cell r="AJ3128">
            <v>10</v>
          </cell>
          <cell r="AK3128">
            <v>21</v>
          </cell>
          <cell r="AL3128">
            <v>13</v>
          </cell>
          <cell r="AM3128">
            <v>0</v>
          </cell>
          <cell r="AN3128">
            <v>0</v>
          </cell>
        </row>
        <row r="3129">
          <cell r="A3129" t="str">
            <v/>
          </cell>
          <cell r="B3129" t="str">
            <v>Kordian KOBYLNIK (LKS Technik Głubczyce)</v>
          </cell>
          <cell r="H3129" t="str">
            <v>K4563</v>
          </cell>
          <cell r="K3129" t="str">
            <v>S4287</v>
          </cell>
          <cell r="N3129" t="str">
            <v>Michał SOBOLEWSKI (SKB Suwałki)</v>
          </cell>
        </row>
        <row r="3130">
          <cell r="A3130" t="str">
            <v/>
          </cell>
          <cell r="B3130" t="str">
            <v>Agnieszka FORYTA (STB Energia Lubliniec)</v>
          </cell>
          <cell r="H3130" t="str">
            <v>F4371</v>
          </cell>
          <cell r="K3130" t="str">
            <v>P4286</v>
          </cell>
          <cell r="N3130" t="str">
            <v>Ewelina PODZIEWSKA (SKB Suwałki)</v>
          </cell>
        </row>
        <row r="3132">
          <cell r="B3132" t="str">
            <v>zwycięzca(cy): 21:10,21:13</v>
          </cell>
          <cell r="K3132" t="str">
            <v/>
          </cell>
        </row>
        <row r="3133">
          <cell r="B3133">
            <v>3</v>
          </cell>
          <cell r="C3133" t="str">
            <v>dzień turnieju.</v>
          </cell>
          <cell r="I3133" t="str">
            <v>Nr meczu</v>
          </cell>
          <cell r="N3133" t="str">
            <v>Godz.</v>
          </cell>
          <cell r="R3133" t="str">
            <v>S. prow.</v>
          </cell>
          <cell r="AF3133" t="str">
            <v>wygrany</v>
          </cell>
          <cell r="AG3133" t="str">
            <v>przegrany</v>
          </cell>
        </row>
        <row r="3134">
          <cell r="B3134" t="str">
            <v>Boisko</v>
          </cell>
          <cell r="C3134" t="str">
            <v>Gra</v>
          </cell>
          <cell r="I3134">
            <v>448</v>
          </cell>
          <cell r="N3134" t="str">
            <v>rozp.</v>
          </cell>
          <cell r="P3134" t="str">
            <v>zak.</v>
          </cell>
          <cell r="R3134" t="str">
            <v>S. serw.</v>
          </cell>
        </row>
        <row r="3135">
          <cell r="A3135">
            <v>448</v>
          </cell>
          <cell r="C3135" t="str">
            <v>podwójna dziewcząt M</v>
          </cell>
          <cell r="H3135">
            <v>11</v>
          </cell>
          <cell r="I3135">
            <v>21</v>
          </cell>
          <cell r="J3135">
            <v>22</v>
          </cell>
          <cell r="K3135">
            <v>20</v>
          </cell>
          <cell r="L3135">
            <v>21</v>
          </cell>
          <cell r="M3135">
            <v>13</v>
          </cell>
          <cell r="R3135">
            <v>0</v>
          </cell>
          <cell r="S3135" t="str">
            <v>nie 12:00</v>
          </cell>
          <cell r="X3135">
            <v>448</v>
          </cell>
          <cell r="Y3135" t="str">
            <v>podwójna dziewcząt M</v>
          </cell>
          <cell r="Z3135" t="str">
            <v>J4555</v>
          </cell>
          <cell r="AA3135" t="str">
            <v>R4591</v>
          </cell>
          <cell r="AB3135" t="str">
            <v>G4208</v>
          </cell>
          <cell r="AC3135" t="str">
            <v>M3746</v>
          </cell>
          <cell r="AD3135" t="str">
            <v>J4555</v>
          </cell>
          <cell r="AE3135" t="str">
            <v>R4591</v>
          </cell>
          <cell r="AF3135" t="str">
            <v>11:21,22:20,21:13</v>
          </cell>
          <cell r="AG3135" t="str">
            <v>21:11,20:22,13:21</v>
          </cell>
          <cell r="AH3135" t="str">
            <v/>
          </cell>
          <cell r="AI3135">
            <v>11</v>
          </cell>
          <cell r="AJ3135">
            <v>21</v>
          </cell>
          <cell r="AK3135">
            <v>22</v>
          </cell>
          <cell r="AL3135">
            <v>20</v>
          </cell>
          <cell r="AM3135">
            <v>21</v>
          </cell>
          <cell r="AN3135">
            <v>13</v>
          </cell>
        </row>
        <row r="3136">
          <cell r="A3136" t="str">
            <v/>
          </cell>
          <cell r="B3136" t="str">
            <v>Izabela JAJKO (UKS Orliki Ropica Polska)</v>
          </cell>
          <cell r="H3136" t="str">
            <v>J4555</v>
          </cell>
          <cell r="K3136" t="str">
            <v>G4208</v>
          </cell>
          <cell r="N3136" t="str">
            <v>Aleksandra GOSZCZYŃSKA (UKSB Milenium Warszawa)</v>
          </cell>
        </row>
        <row r="3137">
          <cell r="A3137" t="str">
            <v/>
          </cell>
          <cell r="B3137" t="str">
            <v>Natalia RÓG (MKS Stal Nowa Dęba)</v>
          </cell>
          <cell r="H3137" t="str">
            <v>R4591</v>
          </cell>
          <cell r="K3137" t="str">
            <v>M3746</v>
          </cell>
          <cell r="N3137" t="str">
            <v>Dorota MATYSIAK (KS Hubertus Zalesie Górne)</v>
          </cell>
        </row>
        <row r="3139">
          <cell r="B3139" t="str">
            <v>zwycięzca(cy): 11:21,22:20,21:13</v>
          </cell>
          <cell r="K3139" t="str">
            <v/>
          </cell>
        </row>
        <row r="3140">
          <cell r="B3140">
            <v>3</v>
          </cell>
          <cell r="C3140" t="str">
            <v>dzień turnieju.</v>
          </cell>
          <cell r="I3140" t="str">
            <v>Nr meczu</v>
          </cell>
          <cell r="N3140" t="str">
            <v>Godz.</v>
          </cell>
          <cell r="R3140" t="str">
            <v>S. prow.</v>
          </cell>
          <cell r="AF3140" t="str">
            <v>wygrany</v>
          </cell>
          <cell r="AG3140" t="str">
            <v>przegrany</v>
          </cell>
        </row>
        <row r="3141">
          <cell r="B3141" t="str">
            <v>Boisko</v>
          </cell>
          <cell r="C3141" t="str">
            <v>Gra</v>
          </cell>
          <cell r="I3141">
            <v>449</v>
          </cell>
          <cell r="N3141" t="str">
            <v>rozp.</v>
          </cell>
          <cell r="P3141" t="str">
            <v>zak.</v>
          </cell>
          <cell r="R3141" t="str">
            <v>S. serw.</v>
          </cell>
        </row>
        <row r="3142">
          <cell r="A3142">
            <v>449</v>
          </cell>
          <cell r="C3142" t="str">
            <v>podwójna chłopców M</v>
          </cell>
          <cell r="H3142">
            <v>18</v>
          </cell>
          <cell r="I3142">
            <v>21</v>
          </cell>
          <cell r="J3142">
            <v>11</v>
          </cell>
          <cell r="K3142">
            <v>21</v>
          </cell>
          <cell r="R3142">
            <v>0</v>
          </cell>
          <cell r="S3142" t="str">
            <v>nie 13:00</v>
          </cell>
          <cell r="X3142">
            <v>449</v>
          </cell>
          <cell r="Y3142" t="str">
            <v>podwójna chłopców M</v>
          </cell>
          <cell r="Z3142" t="str">
            <v>K4283</v>
          </cell>
          <cell r="AA3142" t="str">
            <v>S4287</v>
          </cell>
          <cell r="AB3142" t="str">
            <v>C3670</v>
          </cell>
          <cell r="AC3142" t="str">
            <v>S3748</v>
          </cell>
          <cell r="AD3142" t="str">
            <v>C3670</v>
          </cell>
          <cell r="AE3142" t="str">
            <v>S3748</v>
          </cell>
          <cell r="AF3142" t="str">
            <v>21:18,21:11</v>
          </cell>
          <cell r="AG3142" t="str">
            <v>18:21,11:21</v>
          </cell>
          <cell r="AH3142" t="str">
            <v/>
          </cell>
          <cell r="AI3142">
            <v>18</v>
          </cell>
          <cell r="AJ3142">
            <v>21</v>
          </cell>
          <cell r="AK3142">
            <v>11</v>
          </cell>
          <cell r="AL3142">
            <v>21</v>
          </cell>
          <cell r="AM3142">
            <v>0</v>
          </cell>
          <cell r="AN3142">
            <v>0</v>
          </cell>
        </row>
        <row r="3143">
          <cell r="A3143" t="str">
            <v/>
          </cell>
          <cell r="B3143" t="str">
            <v>Filip KRUKOWSKI (SKB Suwałki)</v>
          </cell>
          <cell r="H3143" t="str">
            <v>K4283</v>
          </cell>
          <cell r="K3143" t="str">
            <v>C3670</v>
          </cell>
          <cell r="N3143" t="str">
            <v>Robert CYBULSKI (MKB Lednik Miastko)</v>
          </cell>
        </row>
        <row r="3144">
          <cell r="A3144" t="str">
            <v/>
          </cell>
          <cell r="B3144" t="str">
            <v>Michał SOBOLEWSKI (SKB Suwałki)</v>
          </cell>
          <cell r="H3144" t="str">
            <v>S4287</v>
          </cell>
          <cell r="K3144" t="str">
            <v>S3748</v>
          </cell>
          <cell r="N3144" t="str">
            <v>Adam SZOLC (KS Hubertus Zalesie Górne)</v>
          </cell>
        </row>
        <row r="3146">
          <cell r="B3146" t="str">
            <v/>
          </cell>
          <cell r="K3146" t="str">
            <v>zwycięzca(cy): 21:18,21:11</v>
          </cell>
        </row>
        <row r="3147">
          <cell r="B3147">
            <v>3</v>
          </cell>
          <cell r="C3147" t="str">
            <v>dzień turnieju.</v>
          </cell>
          <cell r="I3147" t="str">
            <v>Nr meczu</v>
          </cell>
          <cell r="N3147" t="str">
            <v>Godz.</v>
          </cell>
          <cell r="R3147" t="str">
            <v>S. prow.</v>
          </cell>
          <cell r="AF3147" t="str">
            <v>wygrany</v>
          </cell>
          <cell r="AG3147" t="str">
            <v>przegrany</v>
          </cell>
        </row>
        <row r="3148">
          <cell r="B3148" t="str">
            <v>Boisko</v>
          </cell>
          <cell r="C3148" t="str">
            <v>Gra</v>
          </cell>
          <cell r="I3148">
            <v>450</v>
          </cell>
          <cell r="N3148" t="str">
            <v>rozp.</v>
          </cell>
          <cell r="P3148" t="str">
            <v>zak.</v>
          </cell>
          <cell r="R3148" t="str">
            <v>S. serw.</v>
          </cell>
        </row>
        <row r="3149">
          <cell r="A3149">
            <v>450</v>
          </cell>
          <cell r="C3149" t="str">
            <v>pojedyncza dziewcząt M</v>
          </cell>
          <cell r="H3149">
            <v>21</v>
          </cell>
          <cell r="I3149">
            <v>17</v>
          </cell>
          <cell r="J3149">
            <v>7</v>
          </cell>
          <cell r="K3149">
            <v>21</v>
          </cell>
          <cell r="L3149">
            <v>21</v>
          </cell>
          <cell r="M3149">
            <v>11</v>
          </cell>
          <cell r="R3149">
            <v>0</v>
          </cell>
          <cell r="S3149" t="str">
            <v>nie 13:00</v>
          </cell>
          <cell r="X3149">
            <v>450</v>
          </cell>
          <cell r="Y3149" t="str">
            <v>pojedyncza dziewcząt M</v>
          </cell>
          <cell r="Z3149" t="str">
            <v>D3427</v>
          </cell>
          <cell r="AA3149" t="str">
            <v/>
          </cell>
          <cell r="AB3149" t="str">
            <v>A4292</v>
          </cell>
          <cell r="AC3149" t="str">
            <v/>
          </cell>
          <cell r="AD3149" t="str">
            <v>D3427</v>
          </cell>
          <cell r="AE3149" t="str">
            <v/>
          </cell>
          <cell r="AF3149" t="str">
            <v>21:17,7:21,21:11</v>
          </cell>
          <cell r="AG3149" t="str">
            <v>17:21,21:7,11:21</v>
          </cell>
          <cell r="AH3149" t="str">
            <v/>
          </cell>
          <cell r="AI3149">
            <v>21</v>
          </cell>
          <cell r="AJ3149">
            <v>17</v>
          </cell>
          <cell r="AK3149">
            <v>7</v>
          </cell>
          <cell r="AL3149">
            <v>21</v>
          </cell>
          <cell r="AM3149">
            <v>21</v>
          </cell>
          <cell r="AN3149">
            <v>11</v>
          </cell>
        </row>
        <row r="3150">
          <cell r="A3150" t="str">
            <v/>
          </cell>
          <cell r="B3150" t="str">
            <v>Wiktoria DĄBCZYŃSKA (MKS Orlicz Suchedniów)</v>
          </cell>
          <cell r="H3150" t="str">
            <v>D3427</v>
          </cell>
          <cell r="K3150" t="str">
            <v>A4292</v>
          </cell>
          <cell r="N3150" t="str">
            <v>Wiktoria ADAMEK (UKS Ząbkowice Dąbrowa Górn.)</v>
          </cell>
        </row>
        <row r="3151">
          <cell r="A3151" t="str">
            <v/>
          </cell>
          <cell r="B3151" t="str">
            <v/>
          </cell>
          <cell r="H3151" t="str">
            <v/>
          </cell>
          <cell r="K3151" t="str">
            <v/>
          </cell>
          <cell r="N3151" t="str">
            <v/>
          </cell>
        </row>
        <row r="3153">
          <cell r="B3153" t="str">
            <v>zwycięzca(cy): 21:17,7:21,21:11</v>
          </cell>
          <cell r="K3153" t="str">
            <v/>
          </cell>
        </row>
        <row r="3154">
          <cell r="B3154">
            <v>3</v>
          </cell>
          <cell r="C3154" t="str">
            <v>dzień turnieju.</v>
          </cell>
          <cell r="I3154" t="str">
            <v>Nr meczu</v>
          </cell>
          <cell r="N3154" t="str">
            <v>Godz.</v>
          </cell>
          <cell r="R3154" t="str">
            <v>S. prow.</v>
          </cell>
          <cell r="AF3154" t="str">
            <v>wygrany</v>
          </cell>
          <cell r="AG3154" t="str">
            <v>przegrany</v>
          </cell>
        </row>
        <row r="3155">
          <cell r="B3155" t="str">
            <v>Boisko</v>
          </cell>
          <cell r="C3155" t="str">
            <v>Gra</v>
          </cell>
          <cell r="I3155">
            <v>451</v>
          </cell>
          <cell r="N3155" t="str">
            <v>rozp.</v>
          </cell>
          <cell r="P3155" t="str">
            <v>zak.</v>
          </cell>
          <cell r="R3155" t="str">
            <v>S. serw.</v>
          </cell>
        </row>
        <row r="3156">
          <cell r="A3156">
            <v>451</v>
          </cell>
          <cell r="C3156" t="str">
            <v>pojedyncza chłopców M</v>
          </cell>
          <cell r="H3156">
            <v>23</v>
          </cell>
          <cell r="I3156">
            <v>25</v>
          </cell>
          <cell r="J3156">
            <v>21</v>
          </cell>
          <cell r="K3156">
            <v>19</v>
          </cell>
          <cell r="L3156">
            <v>20</v>
          </cell>
          <cell r="M3156">
            <v>22</v>
          </cell>
          <cell r="R3156">
            <v>0</v>
          </cell>
          <cell r="S3156" t="str">
            <v>nie 13:00</v>
          </cell>
          <cell r="X3156">
            <v>451</v>
          </cell>
          <cell r="Y3156" t="str">
            <v>pojedyncza chłopców M</v>
          </cell>
          <cell r="Z3156" t="str">
            <v>S3748</v>
          </cell>
          <cell r="AA3156" t="str">
            <v/>
          </cell>
          <cell r="AB3156" t="str">
            <v>C3670</v>
          </cell>
          <cell r="AC3156" t="str">
            <v/>
          </cell>
          <cell r="AD3156" t="str">
            <v>C3670</v>
          </cell>
          <cell r="AE3156" t="str">
            <v/>
          </cell>
          <cell r="AF3156" t="str">
            <v>25:23,19:21,22:20</v>
          </cell>
          <cell r="AG3156" t="str">
            <v>23:25,21:19,20:22</v>
          </cell>
          <cell r="AH3156" t="str">
            <v/>
          </cell>
          <cell r="AI3156">
            <v>23</v>
          </cell>
          <cell r="AJ3156">
            <v>25</v>
          </cell>
          <cell r="AK3156">
            <v>21</v>
          </cell>
          <cell r="AL3156">
            <v>19</v>
          </cell>
          <cell r="AM3156">
            <v>20</v>
          </cell>
          <cell r="AN3156">
            <v>22</v>
          </cell>
        </row>
        <row r="3157">
          <cell r="A3157" t="str">
            <v/>
          </cell>
          <cell r="B3157" t="str">
            <v>Adam SZOLC (KS Hubertus Zalesie Górne)</v>
          </cell>
          <cell r="H3157" t="str">
            <v>S3748</v>
          </cell>
          <cell r="K3157" t="str">
            <v>C3670</v>
          </cell>
          <cell r="N3157" t="str">
            <v>Robert CYBULSKI (MKB Lednik Miastko)</v>
          </cell>
        </row>
        <row r="3158">
          <cell r="A3158" t="str">
            <v/>
          </cell>
          <cell r="B3158" t="str">
            <v/>
          </cell>
          <cell r="H3158" t="str">
            <v/>
          </cell>
          <cell r="K3158" t="str">
            <v/>
          </cell>
          <cell r="N3158" t="str">
            <v/>
          </cell>
        </row>
        <row r="3160">
          <cell r="B3160" t="str">
            <v/>
          </cell>
          <cell r="K3160" t="str">
            <v>zwycięzca(cy): 25:23,19:21,22:20</v>
          </cell>
        </row>
      </sheetData>
      <sheetData sheetId="2"/>
      <sheetData sheetId="3">
        <row r="8">
          <cell r="I8" t="str">
            <v>11podwójna dziewcząt M</v>
          </cell>
          <cell r="J8" t="str">
            <v>J4505</v>
          </cell>
        </row>
        <row r="10">
          <cell r="I10" t="str">
            <v>21podwójna dziewcząt M</v>
          </cell>
          <cell r="J10" t="str">
            <v>B4564</v>
          </cell>
        </row>
        <row r="12">
          <cell r="I12" t="str">
            <v>31podwójna dziewcząt M</v>
          </cell>
          <cell r="J12" t="str">
            <v>F4339</v>
          </cell>
        </row>
        <row r="14">
          <cell r="I14" t="str">
            <v>41podwójna dziewcząt M</v>
          </cell>
          <cell r="J14" t="str">
            <v>B4737</v>
          </cell>
        </row>
        <row r="22">
          <cell r="I22" t="str">
            <v>12podwójna dziewcząt M</v>
          </cell>
          <cell r="J22" t="str">
            <v>x22</v>
          </cell>
        </row>
        <row r="24">
          <cell r="I24" t="str">
            <v>22podwójna dziewcząt M</v>
          </cell>
          <cell r="J24" t="str">
            <v>S4547</v>
          </cell>
        </row>
        <row r="26">
          <cell r="I26" t="str">
            <v>32podwójna dziewcząt M</v>
          </cell>
          <cell r="J26" t="str">
            <v>D3427</v>
          </cell>
        </row>
        <row r="33">
          <cell r="I33" t="str">
            <v>13podwójna dziewcząt M</v>
          </cell>
          <cell r="J33" t="str">
            <v>M4748</v>
          </cell>
        </row>
        <row r="35">
          <cell r="I35" t="str">
            <v>23podwójna dziewcząt M</v>
          </cell>
          <cell r="J35" t="str">
            <v>x13</v>
          </cell>
        </row>
        <row r="37">
          <cell r="I37" t="str">
            <v>33podwójna dziewcząt M</v>
          </cell>
          <cell r="J37" t="str">
            <v>F4371</v>
          </cell>
        </row>
        <row r="44">
          <cell r="I44" t="str">
            <v>14podwójna dziewcząt M</v>
          </cell>
          <cell r="J44" t="str">
            <v>J4555</v>
          </cell>
        </row>
        <row r="46">
          <cell r="I46" t="str">
            <v>24podwójna dziewcząt M</v>
          </cell>
          <cell r="J46" t="str">
            <v>J4598</v>
          </cell>
        </row>
        <row r="48">
          <cell r="I48" t="str">
            <v>34podwójna dziewcząt M</v>
          </cell>
          <cell r="J48" t="str">
            <v>F3777</v>
          </cell>
        </row>
        <row r="55">
          <cell r="I55" t="str">
            <v>15podwójna dziewcząt M</v>
          </cell>
          <cell r="J55" t="str">
            <v>X17</v>
          </cell>
        </row>
        <row r="57">
          <cell r="I57" t="str">
            <v>25podwójna dziewcząt M</v>
          </cell>
          <cell r="J57" t="str">
            <v>D4545</v>
          </cell>
        </row>
        <row r="59">
          <cell r="I59" t="str">
            <v>35podwójna dziewcząt M</v>
          </cell>
          <cell r="J59" t="str">
            <v>G4142</v>
          </cell>
        </row>
        <row r="66">
          <cell r="I66" t="str">
            <v>16podwójna dziewcząt M</v>
          </cell>
          <cell r="J66" t="str">
            <v>K5033</v>
          </cell>
        </row>
        <row r="68">
          <cell r="I68" t="str">
            <v>26podwójna dziewcząt M</v>
          </cell>
          <cell r="J68" t="str">
            <v>K4023</v>
          </cell>
        </row>
        <row r="70">
          <cell r="I70" t="str">
            <v>36podwójna dziewcząt M</v>
          </cell>
          <cell r="J70" t="str">
            <v>S5167</v>
          </cell>
        </row>
        <row r="77">
          <cell r="I77" t="str">
            <v>17podwójna dziewcząt M</v>
          </cell>
          <cell r="J77" t="str">
            <v>G4208</v>
          </cell>
        </row>
        <row r="79">
          <cell r="I79" t="str">
            <v>27podwójna dziewcząt M</v>
          </cell>
          <cell r="J79" t="str">
            <v>P5195</v>
          </cell>
        </row>
        <row r="81">
          <cell r="I81" t="str">
            <v>37podwójna dziewcząt M</v>
          </cell>
          <cell r="J81" t="str">
            <v>X03</v>
          </cell>
        </row>
        <row r="88">
          <cell r="I88" t="str">
            <v>18podwójna dziewcząt M</v>
          </cell>
          <cell r="J88" t="str">
            <v>G5122</v>
          </cell>
        </row>
        <row r="90">
          <cell r="I90" t="str">
            <v>28podwójna dziewcząt M</v>
          </cell>
          <cell r="J90" t="str">
            <v>M4285</v>
          </cell>
        </row>
        <row r="92">
          <cell r="I92" t="str">
            <v>38podwójna dziewcząt M</v>
          </cell>
          <cell r="J92" t="str">
            <v>D4724</v>
          </cell>
        </row>
        <row r="99">
          <cell r="I99" t="str">
            <v>19podwójna dziewcząt M</v>
          </cell>
          <cell r="J99" t="str">
            <v>A4292</v>
          </cell>
        </row>
        <row r="101">
          <cell r="I101" t="str">
            <v>29podwójna dziewcząt M</v>
          </cell>
          <cell r="J101" t="str">
            <v>K4735</v>
          </cell>
        </row>
        <row r="103">
          <cell r="I103" t="str">
            <v>39podwójna dziewcząt M</v>
          </cell>
          <cell r="J103" t="str">
            <v>X21</v>
          </cell>
        </row>
        <row r="105">
          <cell r="I105" t="str">
            <v>49podwójna dziewcząt M</v>
          </cell>
          <cell r="J105" t="str">
            <v>R5590</v>
          </cell>
        </row>
        <row r="150">
          <cell r="I150" t="str">
            <v>11podwójna chłopców M</v>
          </cell>
          <cell r="J150" t="str">
            <v>A4673</v>
          </cell>
        </row>
        <row r="152">
          <cell r="I152" t="str">
            <v>21podwójna chłopców M</v>
          </cell>
          <cell r="J152" t="str">
            <v>K4613</v>
          </cell>
        </row>
        <row r="154">
          <cell r="I154" t="str">
            <v>31podwójna chłopców M</v>
          </cell>
          <cell r="J154" t="str">
            <v>K4579</v>
          </cell>
        </row>
        <row r="156">
          <cell r="I156" t="str">
            <v>41podwójna chłopców M</v>
          </cell>
          <cell r="J156" t="str">
            <v>M5027</v>
          </cell>
        </row>
        <row r="164">
          <cell r="I164" t="str">
            <v>12podwójna chłopców M</v>
          </cell>
          <cell r="J164" t="str">
            <v>B4431</v>
          </cell>
        </row>
        <row r="166">
          <cell r="I166" t="str">
            <v>22podwójna chłopców M</v>
          </cell>
          <cell r="J166" t="str">
            <v>E4320</v>
          </cell>
        </row>
        <row r="168">
          <cell r="I168" t="str">
            <v>32podwójna chłopców M</v>
          </cell>
          <cell r="J168" t="str">
            <v>X02</v>
          </cell>
        </row>
        <row r="175">
          <cell r="I175" t="str">
            <v>13podwójna chłopców M</v>
          </cell>
          <cell r="J175" t="str">
            <v>P4121</v>
          </cell>
        </row>
        <row r="177">
          <cell r="I177" t="str">
            <v>23podwójna chłopców M</v>
          </cell>
          <cell r="J177" t="str">
            <v>F4652</v>
          </cell>
        </row>
        <row r="179">
          <cell r="I179" t="str">
            <v>33podwójna chłopców M</v>
          </cell>
          <cell r="J179" t="str">
            <v>M4817</v>
          </cell>
        </row>
        <row r="186">
          <cell r="I186" t="str">
            <v>14podwójna chłopców M</v>
          </cell>
          <cell r="J186" t="str">
            <v>K4283</v>
          </cell>
        </row>
        <row r="188">
          <cell r="I188" t="str">
            <v>24podwójna chłopców M</v>
          </cell>
          <cell r="J188" t="str">
            <v>L4473</v>
          </cell>
        </row>
        <row r="190">
          <cell r="I190" t="str">
            <v>34podwójna chłopców M</v>
          </cell>
          <cell r="J190" t="str">
            <v>K5874</v>
          </cell>
        </row>
        <row r="197">
          <cell r="I197" t="str">
            <v>15podwójna chłopców M</v>
          </cell>
          <cell r="J197" t="str">
            <v>F4551</v>
          </cell>
        </row>
        <row r="199">
          <cell r="I199" t="str">
            <v>25podwójna chłopców M</v>
          </cell>
          <cell r="J199" t="str">
            <v>X23</v>
          </cell>
        </row>
        <row r="201">
          <cell r="I201" t="str">
            <v>35podwójna chłopców M</v>
          </cell>
          <cell r="J201" t="str">
            <v>J4722</v>
          </cell>
        </row>
        <row r="208">
          <cell r="I208" t="str">
            <v>16podwójna chłopców M</v>
          </cell>
          <cell r="J208" t="str">
            <v>C3670</v>
          </cell>
        </row>
        <row r="210">
          <cell r="I210" t="str">
            <v>26podwójna chłopców M</v>
          </cell>
          <cell r="J210" t="str">
            <v>M4170</v>
          </cell>
        </row>
        <row r="212">
          <cell r="I212" t="str">
            <v>36podwójna chłopców M</v>
          </cell>
          <cell r="J212" t="str">
            <v>G5275</v>
          </cell>
        </row>
        <row r="219">
          <cell r="I219" t="str">
            <v>17podwójna chłopców M</v>
          </cell>
          <cell r="J219" t="str">
            <v>G4577</v>
          </cell>
        </row>
        <row r="221">
          <cell r="I221" t="str">
            <v>27podwójna chłopców M</v>
          </cell>
          <cell r="J221" t="str">
            <v>K5132</v>
          </cell>
        </row>
        <row r="223">
          <cell r="I223" t="str">
            <v>37podwójna chłopców M</v>
          </cell>
          <cell r="J223" t="str">
            <v>K4124</v>
          </cell>
        </row>
        <row r="230">
          <cell r="I230" t="str">
            <v>18podwójna chłopców M</v>
          </cell>
          <cell r="J230" t="str">
            <v>G4559</v>
          </cell>
        </row>
        <row r="232">
          <cell r="I232" t="str">
            <v>28podwójna chłopców M</v>
          </cell>
          <cell r="J232" t="str">
            <v>S5092</v>
          </cell>
        </row>
        <row r="234">
          <cell r="I234" t="str">
            <v>38podwójna chłopców M</v>
          </cell>
          <cell r="J234" t="str">
            <v>G4178</v>
          </cell>
        </row>
        <row r="263">
          <cell r="I263" t="str">
            <v>11mieszana M</v>
          </cell>
          <cell r="J263" t="str">
            <v>W4701</v>
          </cell>
        </row>
        <row r="265">
          <cell r="I265" t="str">
            <v>21mieszana M</v>
          </cell>
          <cell r="J265" t="str">
            <v>Ś5003</v>
          </cell>
        </row>
        <row r="267">
          <cell r="I267" t="str">
            <v>31mieszana M</v>
          </cell>
          <cell r="J267" t="str">
            <v>B5525</v>
          </cell>
        </row>
        <row r="269">
          <cell r="I269" t="str">
            <v>41mieszana M</v>
          </cell>
          <cell r="J269" t="str">
            <v>S5947</v>
          </cell>
        </row>
        <row r="277">
          <cell r="I277" t="str">
            <v>12mieszana M</v>
          </cell>
          <cell r="J277" t="str">
            <v>K4563</v>
          </cell>
        </row>
        <row r="279">
          <cell r="I279" t="str">
            <v>22mieszana M</v>
          </cell>
          <cell r="J279" t="str">
            <v>M4170</v>
          </cell>
        </row>
        <row r="281">
          <cell r="I281" t="str">
            <v>32mieszana M</v>
          </cell>
          <cell r="J281" t="str">
            <v>X04</v>
          </cell>
        </row>
        <row r="288">
          <cell r="I288" t="str">
            <v>13mieszana M</v>
          </cell>
          <cell r="J288" t="str">
            <v>K4283</v>
          </cell>
        </row>
        <row r="290">
          <cell r="I290" t="str">
            <v>23mieszana M</v>
          </cell>
          <cell r="J290" t="str">
            <v>S5036</v>
          </cell>
        </row>
        <row r="292">
          <cell r="I292" t="str">
            <v>33mieszana M</v>
          </cell>
          <cell r="J292" t="str">
            <v>X08</v>
          </cell>
        </row>
        <row r="299">
          <cell r="I299" t="str">
            <v>14mieszana M</v>
          </cell>
          <cell r="J299" t="str">
            <v>K4579</v>
          </cell>
        </row>
        <row r="301">
          <cell r="I301" t="str">
            <v>24mieszana M</v>
          </cell>
          <cell r="J301" t="str">
            <v>C3670</v>
          </cell>
        </row>
        <row r="303">
          <cell r="I303" t="str">
            <v>34mieszana M</v>
          </cell>
          <cell r="J303" t="str">
            <v>W4753</v>
          </cell>
        </row>
        <row r="310">
          <cell r="I310" t="str">
            <v>15mieszana M</v>
          </cell>
          <cell r="J310" t="str">
            <v>T3691</v>
          </cell>
        </row>
        <row r="312">
          <cell r="I312" t="str">
            <v>25mieszana M</v>
          </cell>
          <cell r="J312" t="str">
            <v>X23</v>
          </cell>
        </row>
        <row r="314">
          <cell r="I314" t="str">
            <v>35mieszana M</v>
          </cell>
          <cell r="J314" t="str">
            <v>T4723</v>
          </cell>
        </row>
        <row r="321">
          <cell r="I321" t="str">
            <v>16mieszana M</v>
          </cell>
          <cell r="J321" t="str">
            <v>M4689</v>
          </cell>
        </row>
        <row r="323">
          <cell r="I323" t="str">
            <v>26mieszana M</v>
          </cell>
          <cell r="J323" t="str">
            <v>M5027</v>
          </cell>
        </row>
        <row r="325">
          <cell r="I325" t="str">
            <v>36mieszana M</v>
          </cell>
          <cell r="J325" t="str">
            <v>X02</v>
          </cell>
        </row>
        <row r="332">
          <cell r="I332" t="str">
            <v>17mieszana M</v>
          </cell>
          <cell r="J332" t="str">
            <v>B4431</v>
          </cell>
        </row>
        <row r="334">
          <cell r="I334" t="str">
            <v>27mieszana M</v>
          </cell>
          <cell r="J334" t="str">
            <v>G4577</v>
          </cell>
        </row>
        <row r="336">
          <cell r="I336" t="str">
            <v>37mieszana M</v>
          </cell>
          <cell r="J336" t="str">
            <v>X15</v>
          </cell>
        </row>
        <row r="343">
          <cell r="I343" t="str">
            <v>18mieszana M</v>
          </cell>
          <cell r="J343" t="str">
            <v>S4287</v>
          </cell>
        </row>
        <row r="345">
          <cell r="I345" t="str">
            <v>28mieszana M</v>
          </cell>
          <cell r="J345" t="str">
            <v>P4121</v>
          </cell>
        </row>
        <row r="347">
          <cell r="I347" t="str">
            <v>38mieszana M</v>
          </cell>
          <cell r="J347" t="str">
            <v>R4718</v>
          </cell>
        </row>
        <row r="349">
          <cell r="I349" t="str">
            <v>48mieszana M</v>
          </cell>
          <cell r="J349" t="str">
            <v>K5874</v>
          </cell>
        </row>
        <row r="378">
          <cell r="I378" t="str">
            <v>11pojedyncza dziewcząt MM</v>
          </cell>
          <cell r="J378" t="str">
            <v>D4628</v>
          </cell>
        </row>
        <row r="380">
          <cell r="I380" t="str">
            <v>21pojedyncza dziewcząt MM</v>
          </cell>
          <cell r="J380" t="str">
            <v>W5952</v>
          </cell>
        </row>
        <row r="382">
          <cell r="I382" t="str">
            <v>31pojedyncza dziewcząt MM</v>
          </cell>
          <cell r="J382" t="str">
            <v>X50</v>
          </cell>
        </row>
        <row r="389">
          <cell r="I389" t="str">
            <v>12pojedyncza dziewcząt MM</v>
          </cell>
          <cell r="J389" t="str">
            <v>K5208</v>
          </cell>
        </row>
        <row r="391">
          <cell r="I391" t="str">
            <v>22pojedyncza dziewcząt MM</v>
          </cell>
          <cell r="J391" t="str">
            <v>K5600</v>
          </cell>
        </row>
        <row r="393">
          <cell r="I393" t="str">
            <v>32pojedyncza dziewcząt MM</v>
          </cell>
          <cell r="J393" t="str">
            <v>F4870</v>
          </cell>
        </row>
        <row r="400">
          <cell r="I400" t="str">
            <v>13pojedyncza dziewcząt MM</v>
          </cell>
          <cell r="J400" t="str">
            <v>P4759</v>
          </cell>
        </row>
        <row r="402">
          <cell r="I402" t="str">
            <v>23pojedyncza dziewcząt MM</v>
          </cell>
          <cell r="J402" t="str">
            <v>X30</v>
          </cell>
        </row>
        <row r="404">
          <cell r="I404" t="str">
            <v>33pojedyncza dziewcząt MM</v>
          </cell>
          <cell r="J404" t="str">
            <v>T5222</v>
          </cell>
        </row>
        <row r="411">
          <cell r="I411" t="str">
            <v>14pojedyncza dziewcząt MM</v>
          </cell>
          <cell r="J411" t="str">
            <v>D5062</v>
          </cell>
        </row>
        <row r="413">
          <cell r="I413" t="str">
            <v>24pojedyncza dziewcząt MM</v>
          </cell>
          <cell r="J413" t="str">
            <v>Ż5592</v>
          </cell>
        </row>
        <row r="415">
          <cell r="I415" t="str">
            <v>34pojedyncza dziewcząt MM</v>
          </cell>
          <cell r="J415" t="str">
            <v>S5705</v>
          </cell>
        </row>
        <row r="422">
          <cell r="I422" t="str">
            <v>15pojedyncza dziewcząt MM</v>
          </cell>
          <cell r="J422" t="str">
            <v>L5359</v>
          </cell>
        </row>
        <row r="424">
          <cell r="I424" t="str">
            <v>25pojedyncza dziewcząt MM</v>
          </cell>
          <cell r="J424" t="str">
            <v>K5733</v>
          </cell>
        </row>
        <row r="426">
          <cell r="I426" t="str">
            <v>35pojedyncza dziewcząt MM</v>
          </cell>
          <cell r="J426" t="str">
            <v>G5951</v>
          </cell>
        </row>
        <row r="433">
          <cell r="I433" t="str">
            <v>16pojedyncza dziewcząt MM</v>
          </cell>
          <cell r="J433" t="str">
            <v>X29</v>
          </cell>
        </row>
        <row r="435">
          <cell r="I435" t="str">
            <v>26pojedyncza dziewcząt MM</v>
          </cell>
          <cell r="J435" t="str">
            <v>P4820</v>
          </cell>
        </row>
        <row r="437">
          <cell r="I437" t="str">
            <v>36pojedyncza dziewcząt MM</v>
          </cell>
          <cell r="J437" t="str">
            <v>P5477</v>
          </cell>
        </row>
        <row r="444">
          <cell r="I444" t="str">
            <v>17pojedyncza dziewcząt MM</v>
          </cell>
          <cell r="J444" t="str">
            <v>X17</v>
          </cell>
        </row>
        <row r="446">
          <cell r="I446" t="str">
            <v>27pojedyncza dziewcząt MM</v>
          </cell>
          <cell r="J446" t="str">
            <v>H5946</v>
          </cell>
        </row>
        <row r="448">
          <cell r="I448" t="str">
            <v>37pojedyncza dziewcząt MM</v>
          </cell>
          <cell r="J448" t="str">
            <v>O5218</v>
          </cell>
        </row>
        <row r="455">
          <cell r="I455" t="str">
            <v>18pojedyncza dziewcząt MM</v>
          </cell>
          <cell r="J455" t="str">
            <v>X63</v>
          </cell>
        </row>
        <row r="457">
          <cell r="I457" t="str">
            <v>28pojedyncza dziewcząt MM</v>
          </cell>
          <cell r="J457" t="str">
            <v>C5063</v>
          </cell>
        </row>
        <row r="459">
          <cell r="I459" t="str">
            <v>38pojedyncza dziewcząt MM</v>
          </cell>
          <cell r="J459" t="str">
            <v>F4799</v>
          </cell>
        </row>
        <row r="466">
          <cell r="I466" t="str">
            <v>19pojedyncza dziewcząt MM</v>
          </cell>
          <cell r="J466" t="str">
            <v>S4730</v>
          </cell>
        </row>
        <row r="468">
          <cell r="I468" t="str">
            <v>29pojedyncza dziewcząt MM</v>
          </cell>
          <cell r="J468" t="str">
            <v>X31</v>
          </cell>
        </row>
        <row r="470">
          <cell r="I470" t="str">
            <v>39pojedyncza dziewcząt MM</v>
          </cell>
          <cell r="J470" t="str">
            <v>K5950</v>
          </cell>
        </row>
        <row r="477">
          <cell r="I477" t="str">
            <v>110pojedyncza dziewcząt MM</v>
          </cell>
          <cell r="J477" t="str">
            <v>B4319</v>
          </cell>
        </row>
        <row r="479">
          <cell r="I479" t="str">
            <v>210pojedyncza dziewcząt MM</v>
          </cell>
          <cell r="J479" t="str">
            <v>G5614</v>
          </cell>
        </row>
        <row r="481">
          <cell r="I481" t="str">
            <v>310pojedyncza dziewcząt MM</v>
          </cell>
          <cell r="J481" t="str">
            <v>K5949</v>
          </cell>
        </row>
        <row r="488">
          <cell r="I488" t="str">
            <v>111pojedyncza dziewcząt MM</v>
          </cell>
          <cell r="J488" t="str">
            <v>J5024</v>
          </cell>
        </row>
        <row r="490">
          <cell r="I490" t="str">
            <v>211pojedyncza dziewcząt MM</v>
          </cell>
          <cell r="J490" t="str">
            <v>W5473</v>
          </cell>
        </row>
        <row r="492">
          <cell r="I492" t="str">
            <v>311pojedyncza dziewcząt MM</v>
          </cell>
          <cell r="J492" t="str">
            <v>X43</v>
          </cell>
        </row>
        <row r="499">
          <cell r="I499" t="str">
            <v>112pojedyncza dziewcząt MM</v>
          </cell>
          <cell r="J499" t="str">
            <v>R5603</v>
          </cell>
        </row>
        <row r="501">
          <cell r="I501" t="str">
            <v>212pojedyncza dziewcząt MM</v>
          </cell>
          <cell r="J501" t="str">
            <v>X32</v>
          </cell>
        </row>
        <row r="503">
          <cell r="I503" t="str">
            <v>312pojedyncza dziewcząt MM</v>
          </cell>
          <cell r="J503" t="str">
            <v>S5479</v>
          </cell>
        </row>
        <row r="510">
          <cell r="I510" t="str">
            <v>113pojedyncza dziewcząt MM</v>
          </cell>
          <cell r="J510" t="str">
            <v>X16</v>
          </cell>
        </row>
        <row r="512">
          <cell r="I512" t="str">
            <v>213pojedyncza dziewcząt MM</v>
          </cell>
          <cell r="J512" t="str">
            <v>M4792</v>
          </cell>
        </row>
        <row r="514">
          <cell r="I514" t="str">
            <v>313pojedyncza dziewcząt MM</v>
          </cell>
          <cell r="J514" t="str">
            <v>M4631</v>
          </cell>
        </row>
        <row r="521">
          <cell r="I521" t="str">
            <v>114pojedyncza dziewcząt MM</v>
          </cell>
          <cell r="J521" t="str">
            <v>K5262</v>
          </cell>
        </row>
        <row r="523">
          <cell r="I523" t="str">
            <v>214pojedyncza dziewcząt MM</v>
          </cell>
          <cell r="J523" t="str">
            <v>X25</v>
          </cell>
        </row>
        <row r="525">
          <cell r="I525" t="str">
            <v>314pojedyncza dziewcząt MM</v>
          </cell>
          <cell r="J525" t="str">
            <v>X33</v>
          </cell>
        </row>
        <row r="568">
          <cell r="I568" t="str">
            <v>11podwójna dziewcząt MM</v>
          </cell>
          <cell r="J568" t="str">
            <v>X30</v>
          </cell>
        </row>
        <row r="570">
          <cell r="I570" t="str">
            <v>21podwójna dziewcząt MM</v>
          </cell>
          <cell r="J570" t="str">
            <v>x05</v>
          </cell>
        </row>
        <row r="572">
          <cell r="I572" t="str">
            <v>31podwójna dziewcząt MM</v>
          </cell>
          <cell r="J572" t="str">
            <v>B4319</v>
          </cell>
        </row>
        <row r="579">
          <cell r="I579" t="str">
            <v>12podwójna dziewcząt MM</v>
          </cell>
          <cell r="J579" t="str">
            <v>J5024</v>
          </cell>
        </row>
        <row r="581">
          <cell r="I581" t="str">
            <v>22podwójna dziewcząt MM</v>
          </cell>
          <cell r="J581" t="str">
            <v>X31</v>
          </cell>
        </row>
        <row r="583">
          <cell r="I583" t="str">
            <v>32podwójna dziewcząt MM</v>
          </cell>
          <cell r="J583" t="str">
            <v>X25</v>
          </cell>
        </row>
        <row r="590">
          <cell r="I590" t="str">
            <v>13podwójna dziewcząt MM</v>
          </cell>
          <cell r="J590" t="str">
            <v>X16</v>
          </cell>
        </row>
        <row r="592">
          <cell r="I592" t="str">
            <v>23podwójna dziewcząt MM</v>
          </cell>
          <cell r="J592" t="str">
            <v>D5062</v>
          </cell>
        </row>
        <row r="594">
          <cell r="I594" t="str">
            <v>33podwójna dziewcząt MM</v>
          </cell>
          <cell r="J594" t="str">
            <v>S5479</v>
          </cell>
        </row>
        <row r="601">
          <cell r="I601" t="str">
            <v>14podwójna dziewcząt MM</v>
          </cell>
          <cell r="J601" t="str">
            <v>K5262</v>
          </cell>
        </row>
        <row r="603">
          <cell r="I603" t="str">
            <v>24podwójna dziewcząt MM</v>
          </cell>
          <cell r="J603" t="str">
            <v>g5614</v>
          </cell>
        </row>
        <row r="605">
          <cell r="I605" t="str">
            <v>34podwójna dziewcząt MM</v>
          </cell>
          <cell r="J605" t="str">
            <v>G5478</v>
          </cell>
        </row>
        <row r="612">
          <cell r="I612" t="str">
            <v>15podwójna dziewcząt MM</v>
          </cell>
          <cell r="J612" t="str">
            <v>M4792</v>
          </cell>
        </row>
        <row r="614">
          <cell r="I614" t="str">
            <v>25podwójna dziewcząt MM</v>
          </cell>
          <cell r="J614" t="str">
            <v>G5951</v>
          </cell>
        </row>
        <row r="616">
          <cell r="I616" t="str">
            <v>35podwójna dziewcząt MM</v>
          </cell>
          <cell r="J616" t="str">
            <v>X34</v>
          </cell>
        </row>
        <row r="623">
          <cell r="I623" t="str">
            <v>16podwójna dziewcząt MM</v>
          </cell>
          <cell r="J623" t="str">
            <v>F4870</v>
          </cell>
        </row>
        <row r="625">
          <cell r="I625" t="str">
            <v>26podwójna dziewcząt MM</v>
          </cell>
          <cell r="J625" t="str">
            <v>C5063</v>
          </cell>
        </row>
        <row r="627">
          <cell r="I627" t="str">
            <v>36podwójna dziewcząt MM</v>
          </cell>
          <cell r="J627" t="str">
            <v>X35</v>
          </cell>
        </row>
        <row r="656">
          <cell r="I656" t="str">
            <v>11podwójna chłopców MM</v>
          </cell>
          <cell r="J656" t="str">
            <v>C4406</v>
          </cell>
        </row>
        <row r="658">
          <cell r="I658" t="str">
            <v>21podwójna chłopców MM</v>
          </cell>
          <cell r="J658" t="str">
            <v>G5128</v>
          </cell>
        </row>
        <row r="660">
          <cell r="I660" t="str">
            <v>31podwójna chłopców MM</v>
          </cell>
          <cell r="J660" t="str">
            <v>B4655</v>
          </cell>
        </row>
        <row r="662">
          <cell r="I662" t="str">
            <v>41podwójna chłopców MM</v>
          </cell>
          <cell r="J662" t="str">
            <v>P5629</v>
          </cell>
        </row>
        <row r="670">
          <cell r="I670" t="str">
            <v>12podwójna chłopców MM</v>
          </cell>
          <cell r="J670" t="str">
            <v>M5584</v>
          </cell>
        </row>
        <row r="672">
          <cell r="I672" t="str">
            <v>22podwójna chłopców MM</v>
          </cell>
          <cell r="J672" t="str">
            <v>X26</v>
          </cell>
        </row>
        <row r="674">
          <cell r="I674" t="str">
            <v>32podwójna chłopców MM</v>
          </cell>
          <cell r="J674" t="str">
            <v>X47</v>
          </cell>
        </row>
        <row r="681">
          <cell r="I681" t="str">
            <v>13podwójna chłopców MM</v>
          </cell>
          <cell r="J681" t="str">
            <v>H5344</v>
          </cell>
        </row>
        <row r="683">
          <cell r="I683" t="str">
            <v>23podwójna chłopców MM</v>
          </cell>
          <cell r="J683" t="str">
            <v>F4888</v>
          </cell>
        </row>
        <row r="685">
          <cell r="I685" t="str">
            <v>33podwójna chłopców MM</v>
          </cell>
          <cell r="J685" t="str">
            <v>K4239</v>
          </cell>
        </row>
        <row r="692">
          <cell r="I692" t="str">
            <v>14podwójna chłopców MM</v>
          </cell>
          <cell r="J692" t="str">
            <v>G4725</v>
          </cell>
        </row>
        <row r="694">
          <cell r="I694" t="str">
            <v>24podwójna chłopców MM</v>
          </cell>
          <cell r="J694" t="str">
            <v>K4670</v>
          </cell>
        </row>
        <row r="696">
          <cell r="I696" t="str">
            <v>34podwójna chłopców MM</v>
          </cell>
          <cell r="J696" t="str">
            <v>P5350</v>
          </cell>
        </row>
        <row r="703">
          <cell r="I703" t="str">
            <v>15podwójna chłopców MM</v>
          </cell>
          <cell r="J703" t="str">
            <v>G5058</v>
          </cell>
        </row>
        <row r="705">
          <cell r="I705" t="str">
            <v>25podwójna chłopców MM</v>
          </cell>
          <cell r="J705" t="str">
            <v>K5476</v>
          </cell>
        </row>
        <row r="707">
          <cell r="I707" t="str">
            <v>35podwójna chłopców MM</v>
          </cell>
          <cell r="J707" t="str">
            <v>J5015</v>
          </cell>
        </row>
        <row r="714">
          <cell r="I714" t="str">
            <v>16podwójna chłopców MM</v>
          </cell>
          <cell r="J714" t="str">
            <v>K5180</v>
          </cell>
        </row>
        <row r="716">
          <cell r="I716" t="str">
            <v>26podwójna chłopców MM</v>
          </cell>
          <cell r="J716" t="str">
            <v>G5026</v>
          </cell>
        </row>
        <row r="718">
          <cell r="I718" t="str">
            <v>36podwójna chłopców MM</v>
          </cell>
          <cell r="J718" t="str">
            <v>K4702</v>
          </cell>
        </row>
        <row r="720">
          <cell r="I720" t="str">
            <v>46podwójna chłopców MM</v>
          </cell>
          <cell r="J720" t="str">
            <v>M4933</v>
          </cell>
        </row>
        <row r="751">
          <cell r="I751" t="str">
            <v>11mieszana MM</v>
          </cell>
          <cell r="J751" t="str">
            <v>P5025</v>
          </cell>
        </row>
        <row r="753">
          <cell r="I753" t="str">
            <v>21mieszana MM</v>
          </cell>
          <cell r="J753" t="str">
            <v>M4933</v>
          </cell>
        </row>
        <row r="755">
          <cell r="I755" t="str">
            <v>31mieszana MM</v>
          </cell>
          <cell r="J755" t="str">
            <v>M5475</v>
          </cell>
        </row>
        <row r="757">
          <cell r="I757" t="str">
            <v>41mieszana MM</v>
          </cell>
          <cell r="J757" t="str">
            <v>M5942</v>
          </cell>
        </row>
        <row r="765">
          <cell r="I765" t="str">
            <v>12mieszana MM</v>
          </cell>
          <cell r="J765" t="str">
            <v>G4725</v>
          </cell>
        </row>
        <row r="767">
          <cell r="I767" t="str">
            <v>22mieszana MM</v>
          </cell>
          <cell r="J767" t="str">
            <v>B4655</v>
          </cell>
        </row>
        <row r="769">
          <cell r="I769" t="str">
            <v>32mieszana MM</v>
          </cell>
          <cell r="J769" t="str">
            <v>X26</v>
          </cell>
        </row>
        <row r="776">
          <cell r="I776" t="str">
            <v>13mieszana MM</v>
          </cell>
          <cell r="J776" t="str">
            <v>M4565</v>
          </cell>
        </row>
        <row r="778">
          <cell r="I778" t="str">
            <v>23mieszana MM</v>
          </cell>
          <cell r="J778" t="str">
            <v>C4406</v>
          </cell>
        </row>
        <row r="780">
          <cell r="I780" t="str">
            <v>33mieszana MM</v>
          </cell>
          <cell r="J780" t="str">
            <v>R4700</v>
          </cell>
        </row>
        <row r="787">
          <cell r="I787" t="str">
            <v>14mieszana MM</v>
          </cell>
          <cell r="J787" t="str">
            <v>Z4312</v>
          </cell>
        </row>
        <row r="789">
          <cell r="I789" t="str">
            <v>24mieszana MM</v>
          </cell>
          <cell r="J789" t="str">
            <v>B5059</v>
          </cell>
        </row>
        <row r="791">
          <cell r="I791" t="str">
            <v>34mieszana MM</v>
          </cell>
          <cell r="J791" t="str">
            <v>S5627</v>
          </cell>
        </row>
        <row r="798">
          <cell r="I798" t="str">
            <v>15mieszana MM</v>
          </cell>
          <cell r="J798" t="str">
            <v>M4698</v>
          </cell>
        </row>
        <row r="800">
          <cell r="I800" t="str">
            <v>25mieszana MM</v>
          </cell>
          <cell r="J800" t="str">
            <v>Ż4858</v>
          </cell>
        </row>
        <row r="802">
          <cell r="I802" t="str">
            <v>35mieszana MM</v>
          </cell>
          <cell r="J802" t="str">
            <v>X49</v>
          </cell>
        </row>
        <row r="809">
          <cell r="I809" t="str">
            <v>16mieszana MM</v>
          </cell>
          <cell r="J809" t="str">
            <v>T5801</v>
          </cell>
        </row>
        <row r="811">
          <cell r="I811" t="str">
            <v>26mieszana MM</v>
          </cell>
          <cell r="J811" t="str">
            <v>F4888</v>
          </cell>
        </row>
        <row r="813">
          <cell r="I813" t="str">
            <v>36mieszana MM</v>
          </cell>
          <cell r="J813" t="str">
            <v>K5476</v>
          </cell>
        </row>
        <row r="820">
          <cell r="I820" t="str">
            <v>17mieszana MM</v>
          </cell>
          <cell r="J820" t="str">
            <v>R4145</v>
          </cell>
        </row>
        <row r="822">
          <cell r="I822" t="str">
            <v>27mieszana MM</v>
          </cell>
          <cell r="J822" t="str">
            <v>P5601</v>
          </cell>
        </row>
        <row r="824">
          <cell r="I824" t="str">
            <v>37mieszana MM</v>
          </cell>
          <cell r="J824" t="str">
            <v>G5536</v>
          </cell>
        </row>
        <row r="853">
          <cell r="I853" t="str">
            <v>11pojedyncza dziewcząt Ż</v>
          </cell>
          <cell r="J853" t="str">
            <v>N5113</v>
          </cell>
        </row>
        <row r="855">
          <cell r="I855" t="str">
            <v>21pojedyncza dziewcząt Ż</v>
          </cell>
          <cell r="J855" t="str">
            <v>X64</v>
          </cell>
        </row>
        <row r="857">
          <cell r="I857" t="str">
            <v>31pojedyncza dziewcząt Ż</v>
          </cell>
          <cell r="J857" t="str">
            <v>W5473</v>
          </cell>
        </row>
        <row r="859">
          <cell r="I859" t="str">
            <v>41pojedyncza dziewcząt Ż</v>
          </cell>
          <cell r="J859" t="str">
            <v>C5991</v>
          </cell>
        </row>
        <row r="867">
          <cell r="I867" t="str">
            <v>12pojedyncza dziewcząt Ż</v>
          </cell>
          <cell r="J867" t="str">
            <v>Ł5765</v>
          </cell>
        </row>
        <row r="869">
          <cell r="I869" t="str">
            <v>22pojedyncza dziewcząt Ż</v>
          </cell>
          <cell r="J869" t="str">
            <v>X37</v>
          </cell>
        </row>
        <row r="871">
          <cell r="I871" t="str">
            <v>32pojedyncza dziewcząt Ż</v>
          </cell>
          <cell r="J871" t="str">
            <v>X45</v>
          </cell>
        </row>
        <row r="878">
          <cell r="I878" t="str">
            <v>13pojedyncza dziewcząt Ż</v>
          </cell>
          <cell r="J878" t="str">
            <v>S5623</v>
          </cell>
        </row>
        <row r="880">
          <cell r="I880" t="str">
            <v>23pojedyncza dziewcząt Ż</v>
          </cell>
          <cell r="J880" t="str">
            <v>X34</v>
          </cell>
        </row>
        <row r="882">
          <cell r="I882" t="str">
            <v>33pojedyncza dziewcząt Ż</v>
          </cell>
          <cell r="J882" t="str">
            <v>X46</v>
          </cell>
        </row>
        <row r="889">
          <cell r="I889" t="str">
            <v>14pojedyncza dziewcząt Ż</v>
          </cell>
          <cell r="J889" t="str">
            <v>X18</v>
          </cell>
        </row>
        <row r="891">
          <cell r="I891" t="str">
            <v>24pojedyncza dziewcząt Ż</v>
          </cell>
          <cell r="J891" t="str">
            <v>K5975</v>
          </cell>
        </row>
        <row r="893">
          <cell r="I893" t="str">
            <v>34pojedyncza dziewcząt Ż</v>
          </cell>
          <cell r="J893" t="str">
            <v>D5992</v>
          </cell>
        </row>
        <row r="900">
          <cell r="I900" t="str">
            <v>15pojedyncza dziewcząt Ż</v>
          </cell>
          <cell r="J900" t="str">
            <v>R5626</v>
          </cell>
        </row>
        <row r="902">
          <cell r="I902" t="str">
            <v>25pojedyncza dziewcząt Ż</v>
          </cell>
          <cell r="J902" t="str">
            <v>X35</v>
          </cell>
        </row>
        <row r="904">
          <cell r="I904" t="str">
            <v>35pojedyncza dziewcząt Ż</v>
          </cell>
          <cell r="J904" t="str">
            <v>X27</v>
          </cell>
        </row>
        <row r="911">
          <cell r="I911" t="str">
            <v>16pojedyncza dziewcząt Ż</v>
          </cell>
          <cell r="J911" t="str">
            <v>M5269</v>
          </cell>
        </row>
        <row r="913">
          <cell r="I913" t="str">
            <v>26pojedyncza dziewcząt Ż</v>
          </cell>
          <cell r="J913" t="str">
            <v>X36</v>
          </cell>
        </row>
        <row r="915">
          <cell r="I915" t="str">
            <v>36pojedyncza dziewcząt Ż</v>
          </cell>
          <cell r="J915" t="str">
            <v>X60</v>
          </cell>
        </row>
        <row r="922">
          <cell r="I922" t="str">
            <v>17pojedyncza dziewcząt Ż</v>
          </cell>
          <cell r="J922" t="str">
            <v>k5598</v>
          </cell>
        </row>
        <row r="924">
          <cell r="I924" t="str">
            <v>27pojedyncza dziewcząt Ż</v>
          </cell>
          <cell r="J924" t="str">
            <v>W5766</v>
          </cell>
        </row>
        <row r="926">
          <cell r="I926" t="str">
            <v>37pojedyncza dziewcząt Ż</v>
          </cell>
          <cell r="J926" t="str">
            <v>X52</v>
          </cell>
        </row>
        <row r="953">
          <cell r="I953" t="str">
            <v>11pojedyncza chłopców Ż</v>
          </cell>
          <cell r="J953" t="str">
            <v>Ś5585</v>
          </cell>
        </row>
        <row r="955">
          <cell r="I955" t="str">
            <v>21pojedyncza chłopców Ż</v>
          </cell>
          <cell r="J955" t="str">
            <v>X54</v>
          </cell>
        </row>
        <row r="957">
          <cell r="I957" t="str">
            <v>31pojedyncza chłopców Ż</v>
          </cell>
          <cell r="J957" t="str">
            <v>B5816</v>
          </cell>
        </row>
        <row r="964">
          <cell r="I964" t="str">
            <v>12pojedyncza chłopców Ż</v>
          </cell>
          <cell r="J964" t="str">
            <v>J5015</v>
          </cell>
        </row>
        <row r="966">
          <cell r="I966" t="str">
            <v>22pojedyncza chłopców Ż</v>
          </cell>
          <cell r="J966" t="str">
            <v>S5976</v>
          </cell>
        </row>
        <row r="968">
          <cell r="I968" t="str">
            <v>32pojedyncza chłopców Ż</v>
          </cell>
          <cell r="J968" t="str">
            <v>X44</v>
          </cell>
        </row>
        <row r="975">
          <cell r="I975" t="str">
            <v>13pojedyncza chłopców Ż</v>
          </cell>
          <cell r="J975" t="str">
            <v>N5960</v>
          </cell>
        </row>
        <row r="977">
          <cell r="I977" t="str">
            <v>23pojedyncza chłopców Ż</v>
          </cell>
          <cell r="J977" t="str">
            <v>X61</v>
          </cell>
        </row>
        <row r="979">
          <cell r="I979" t="str">
            <v>33pojedyncza chłopców Ż</v>
          </cell>
          <cell r="J979" t="str">
            <v>K5833</v>
          </cell>
        </row>
        <row r="986">
          <cell r="I986" t="str">
            <v>14pojedyncza chłopców Ż</v>
          </cell>
          <cell r="J986" t="str">
            <v>M5584</v>
          </cell>
        </row>
        <row r="988">
          <cell r="I988" t="str">
            <v>24pojedyncza chłopców Ż</v>
          </cell>
          <cell r="J988" t="str">
            <v>M5942</v>
          </cell>
        </row>
        <row r="990">
          <cell r="I990" t="str">
            <v>34pojedyncza chłopców Ż</v>
          </cell>
          <cell r="J990" t="str">
            <v>X53</v>
          </cell>
        </row>
      </sheetData>
      <sheetData sheetId="4"/>
      <sheetData sheetId="5"/>
      <sheetData sheetId="6"/>
      <sheetData sheetId="7">
        <row r="8">
          <cell r="A8" t="str">
            <v>ŁYSAKOWSKI Marek</v>
          </cell>
        </row>
        <row r="9">
          <cell r="A9" t="str">
            <v>WISNIOWSKI Antoni</v>
          </cell>
        </row>
        <row r="10">
          <cell r="A10" t="str">
            <v xml:space="preserve"> </v>
          </cell>
        </row>
        <row r="11">
          <cell r="A11" t="str">
            <v xml:space="preserve"> </v>
          </cell>
        </row>
        <row r="12">
          <cell r="A12" t="str">
            <v xml:space="preserve"> </v>
          </cell>
        </row>
        <row r="13">
          <cell r="A13" t="str">
            <v xml:space="preserve"> </v>
          </cell>
        </row>
        <row r="14">
          <cell r="A14" t="str">
            <v xml:space="preserve"> </v>
          </cell>
        </row>
        <row r="15">
          <cell r="A15" t="str">
            <v xml:space="preserve"> </v>
          </cell>
        </row>
        <row r="16">
          <cell r="A16" t="str">
            <v xml:space="preserve"> </v>
          </cell>
        </row>
        <row r="17">
          <cell r="A17" t="str">
            <v xml:space="preserve"> </v>
          </cell>
        </row>
        <row r="18">
          <cell r="A18" t="str">
            <v xml:space="preserve"> </v>
          </cell>
        </row>
        <row r="19">
          <cell r="A19" t="str">
            <v xml:space="preserve"> </v>
          </cell>
        </row>
        <row r="20">
          <cell r="A20" t="str">
            <v xml:space="preserve"> </v>
          </cell>
        </row>
        <row r="21">
          <cell r="A21" t="str">
            <v xml:space="preserve"> </v>
          </cell>
        </row>
        <row r="22">
          <cell r="A22" t="str">
            <v xml:space="preserve"> </v>
          </cell>
        </row>
        <row r="23">
          <cell r="A23" t="str">
            <v xml:space="preserve"> </v>
          </cell>
        </row>
        <row r="24">
          <cell r="A24" t="str">
            <v xml:space="preserve"> </v>
          </cell>
        </row>
        <row r="25">
          <cell r="A25" t="str">
            <v xml:space="preserve"> </v>
          </cell>
        </row>
        <row r="26">
          <cell r="A26" t="str">
            <v xml:space="preserve"> </v>
          </cell>
        </row>
        <row r="27">
          <cell r="A27" t="str">
            <v xml:space="preserve"> </v>
          </cell>
        </row>
        <row r="28">
          <cell r="A28" t="str">
            <v xml:space="preserve"> </v>
          </cell>
        </row>
        <row r="29">
          <cell r="A29" t="str">
            <v xml:space="preserve"> </v>
          </cell>
        </row>
        <row r="30">
          <cell r="A30" t="str">
            <v xml:space="preserve"> </v>
          </cell>
        </row>
        <row r="31">
          <cell r="A31" t="str">
            <v xml:space="preserve"> </v>
          </cell>
        </row>
        <row r="32">
          <cell r="A32" t="str">
            <v xml:space="preserve"> </v>
          </cell>
        </row>
      </sheetData>
      <sheetData sheetId="8">
        <row r="1">
          <cell r="A1" t="str">
            <v>PZBADNR</v>
          </cell>
          <cell r="B1" t="str">
            <v>IMIĘ</v>
          </cell>
          <cell r="C1" t="str">
            <v>NAZWISKO</v>
          </cell>
          <cell r="D1" t="str">
            <v>KLUB</v>
          </cell>
          <cell r="E1" t="str">
            <v>Nieobecni</v>
          </cell>
        </row>
        <row r="2">
          <cell r="A2" t="str">
            <v>A4673</v>
          </cell>
          <cell r="B2" t="str">
            <v>Szymon</v>
          </cell>
          <cell r="C2" t="str">
            <v>ADAMCZUK</v>
          </cell>
          <cell r="D2" t="str">
            <v>UKS Kiko Zamość</v>
          </cell>
        </row>
        <row r="3">
          <cell r="A3" t="str">
            <v>A4956</v>
          </cell>
          <cell r="B3" t="str">
            <v>Agata</v>
          </cell>
          <cell r="C3" t="str">
            <v>ADAMCZYK</v>
          </cell>
          <cell r="D3" t="str">
            <v>PMKS Chrobry Piotrowice</v>
          </cell>
        </row>
        <row r="4">
          <cell r="A4" t="str">
            <v>A5362</v>
          </cell>
          <cell r="B4" t="str">
            <v>Dominika</v>
          </cell>
          <cell r="C4" t="str">
            <v>ADAMCZYK</v>
          </cell>
          <cell r="D4" t="str">
            <v>PMKS Chrobry Piotrowice</v>
          </cell>
        </row>
        <row r="5">
          <cell r="A5" t="str">
            <v>A 018</v>
          </cell>
          <cell r="B5" t="str">
            <v>Mirosław</v>
          </cell>
          <cell r="C5" t="str">
            <v>ADAMCZYK</v>
          </cell>
          <cell r="D5" t="str">
            <v>----</v>
          </cell>
        </row>
        <row r="6">
          <cell r="A6" t="str">
            <v>A4292</v>
          </cell>
          <cell r="B6" t="str">
            <v>Wiktoria</v>
          </cell>
          <cell r="C6" t="str">
            <v>ADAMEK</v>
          </cell>
          <cell r="D6" t="str">
            <v>UKS Ząbkowice Dąbrowa Górn.</v>
          </cell>
        </row>
        <row r="7">
          <cell r="A7" t="str">
            <v>A3414</v>
          </cell>
          <cell r="B7" t="str">
            <v>Piotr</v>
          </cell>
          <cell r="C7" t="str">
            <v>AGACIŃSKI</v>
          </cell>
          <cell r="D7" t="str">
            <v>----</v>
          </cell>
        </row>
        <row r="8">
          <cell r="A8" t="str">
            <v>A3577</v>
          </cell>
          <cell r="B8" t="str">
            <v>Urszula</v>
          </cell>
          <cell r="C8" t="str">
            <v>ALBRECHT</v>
          </cell>
          <cell r="D8" t="str">
            <v>----</v>
          </cell>
        </row>
        <row r="9">
          <cell r="A9" t="str">
            <v>A2789</v>
          </cell>
          <cell r="B9" t="str">
            <v>Filip</v>
          </cell>
          <cell r="C9" t="str">
            <v>ALBRYCHT</v>
          </cell>
          <cell r="D9" t="str">
            <v>MKS Dwójka Blachownia</v>
          </cell>
        </row>
        <row r="10">
          <cell r="A10" t="str">
            <v>A5420</v>
          </cell>
          <cell r="B10" t="str">
            <v>Przemysław</v>
          </cell>
          <cell r="C10" t="str">
            <v>ALEKSANDROWICZ</v>
          </cell>
          <cell r="D10" t="str">
            <v>----</v>
          </cell>
        </row>
        <row r="11">
          <cell r="A11" t="str">
            <v>A2616</v>
          </cell>
          <cell r="B11" t="str">
            <v>Adam</v>
          </cell>
          <cell r="C11" t="str">
            <v>ANDRZEJEWSKI</v>
          </cell>
          <cell r="D11" t="str">
            <v>----</v>
          </cell>
        </row>
        <row r="12">
          <cell r="A12" t="str">
            <v>A3592</v>
          </cell>
          <cell r="B12" t="str">
            <v>Szymon</v>
          </cell>
          <cell r="C12" t="str">
            <v>ANDRZEJEWSKI</v>
          </cell>
          <cell r="D12" t="str">
            <v>----</v>
          </cell>
        </row>
        <row r="13">
          <cell r="A13" t="str">
            <v>A5040</v>
          </cell>
          <cell r="B13" t="str">
            <v>Oliwia</v>
          </cell>
          <cell r="C13" t="str">
            <v>ANGOWSKA</v>
          </cell>
          <cell r="D13" t="str">
            <v>LUKS Krokus Góralice</v>
          </cell>
        </row>
        <row r="14">
          <cell r="A14" t="str">
            <v>A5374</v>
          </cell>
          <cell r="B14" t="str">
            <v>Eryk</v>
          </cell>
          <cell r="C14" t="str">
            <v>ANIOŁCZYK</v>
          </cell>
          <cell r="D14" t="str">
            <v>----</v>
          </cell>
        </row>
        <row r="15">
          <cell r="A15" t="str">
            <v>A5892</v>
          </cell>
          <cell r="B15" t="str">
            <v>Jakub</v>
          </cell>
          <cell r="C15" t="str">
            <v>ANISIEWICZ</v>
          </cell>
          <cell r="D15" t="str">
            <v>Górnik Łęczna SA</v>
          </cell>
        </row>
        <row r="16">
          <cell r="A16" t="str">
            <v>A5144</v>
          </cell>
          <cell r="B16" t="str">
            <v>Jonasz</v>
          </cell>
          <cell r="C16" t="str">
            <v>ANSION</v>
          </cell>
          <cell r="D16" t="str">
            <v>UKS Kopernik Słupca</v>
          </cell>
        </row>
        <row r="17">
          <cell r="A17" t="str">
            <v>A4397</v>
          </cell>
          <cell r="B17" t="str">
            <v>Kamila</v>
          </cell>
          <cell r="C17" t="str">
            <v>ANTKOWIAK</v>
          </cell>
          <cell r="D17" t="str">
            <v>UKS Siódemka Świebodzin</v>
          </cell>
        </row>
        <row r="18">
          <cell r="A18" t="str">
            <v>A1439</v>
          </cell>
          <cell r="B18" t="str">
            <v>Andrzej</v>
          </cell>
          <cell r="C18" t="str">
            <v>ANTOSIEWICZ</v>
          </cell>
          <cell r="D18" t="str">
            <v>----</v>
          </cell>
        </row>
        <row r="19">
          <cell r="A19" t="str">
            <v>A2054</v>
          </cell>
          <cell r="B19" t="str">
            <v>Kornel</v>
          </cell>
          <cell r="C19" t="str">
            <v>APOSTOLIK</v>
          </cell>
          <cell r="D19" t="str">
            <v>AZSAGH Kraków</v>
          </cell>
        </row>
        <row r="20">
          <cell r="A20" t="str">
            <v>A4863</v>
          </cell>
          <cell r="B20" t="str">
            <v>Patrycja</v>
          </cell>
          <cell r="C20" t="str">
            <v>ARABASZ</v>
          </cell>
          <cell r="D20" t="str">
            <v>MKS Orlicz Suchedniów</v>
          </cell>
        </row>
        <row r="21">
          <cell r="A21" t="str">
            <v>A5115</v>
          </cell>
          <cell r="B21" t="str">
            <v>Artur</v>
          </cell>
          <cell r="C21" t="str">
            <v>AROUTIOUNIAN</v>
          </cell>
          <cell r="D21" t="str">
            <v>MMKS Gdańsk</v>
          </cell>
        </row>
        <row r="22">
          <cell r="A22" t="str">
            <v>A0104</v>
          </cell>
          <cell r="B22" t="str">
            <v>Kamila</v>
          </cell>
          <cell r="C22" t="str">
            <v>AUGUSTYN</v>
          </cell>
          <cell r="D22" t="str">
            <v>SKB Suwałki</v>
          </cell>
        </row>
        <row r="23">
          <cell r="A23" t="str">
            <v>A0542</v>
          </cell>
          <cell r="B23" t="str">
            <v>Krzysztof</v>
          </cell>
          <cell r="C23" t="str">
            <v>AUGUSTYN</v>
          </cell>
          <cell r="D23" t="str">
            <v>SKB Piast Słupsk</v>
          </cell>
        </row>
        <row r="24">
          <cell r="A24" t="str">
            <v>B5739</v>
          </cell>
          <cell r="B24" t="str">
            <v>Paulina</v>
          </cell>
          <cell r="C24" t="str">
            <v>BABICKA</v>
          </cell>
          <cell r="D24" t="str">
            <v>UKS Kiko Zamość</v>
          </cell>
        </row>
        <row r="25">
          <cell r="A25" t="str">
            <v>B3607</v>
          </cell>
          <cell r="B25" t="str">
            <v>Jakub</v>
          </cell>
          <cell r="C25" t="str">
            <v>BABORSKI</v>
          </cell>
          <cell r="D25" t="str">
            <v>UKS Plesbad Pszczyna</v>
          </cell>
        </row>
        <row r="26">
          <cell r="A26" t="str">
            <v>B5956</v>
          </cell>
          <cell r="B26" t="str">
            <v>Karolina</v>
          </cell>
          <cell r="C26" t="str">
            <v>BACHORSKA</v>
          </cell>
          <cell r="D26" t="str">
            <v>OTB Lotka Ostrów Wlkp.</v>
          </cell>
        </row>
        <row r="27">
          <cell r="A27" t="str">
            <v>B5840</v>
          </cell>
          <cell r="B27" t="str">
            <v>Filip</v>
          </cell>
          <cell r="C27" t="str">
            <v>BAER</v>
          </cell>
          <cell r="D27" t="str">
            <v>UKS Iskra Babimost</v>
          </cell>
        </row>
        <row r="28">
          <cell r="A28" t="str">
            <v>B5863</v>
          </cell>
          <cell r="B28" t="str">
            <v>Julia</v>
          </cell>
          <cell r="C28" t="str">
            <v>BAJERSKA</v>
          </cell>
          <cell r="D28" t="str">
            <v>MMKS Gdańsk</v>
          </cell>
        </row>
        <row r="29">
          <cell r="A29" t="str">
            <v>B5224</v>
          </cell>
          <cell r="B29" t="str">
            <v>Sara</v>
          </cell>
          <cell r="C29" t="str">
            <v>BAJURA</v>
          </cell>
          <cell r="D29" t="str">
            <v>UKS Unia Bieruń</v>
          </cell>
        </row>
        <row r="30">
          <cell r="A30" t="str">
            <v>B5329</v>
          </cell>
          <cell r="B30" t="str">
            <v>Paweł</v>
          </cell>
          <cell r="C30" t="str">
            <v>BAKUN</v>
          </cell>
          <cell r="D30" t="str">
            <v>PTS Puszczykowo</v>
          </cell>
        </row>
        <row r="31">
          <cell r="A31" t="str">
            <v>B5909</v>
          </cell>
          <cell r="B31" t="str">
            <v>Martyna</v>
          </cell>
          <cell r="C31" t="str">
            <v>BALA</v>
          </cell>
          <cell r="D31" t="str">
            <v>UKS Junior Wrzosowa</v>
          </cell>
        </row>
        <row r="32">
          <cell r="A32" t="str">
            <v>B4184</v>
          </cell>
          <cell r="B32" t="str">
            <v>Milena</v>
          </cell>
          <cell r="C32" t="str">
            <v>BAŁON</v>
          </cell>
          <cell r="D32" t="str">
            <v>SKB Suwałki</v>
          </cell>
        </row>
        <row r="33">
          <cell r="A33" t="str">
            <v>B4340</v>
          </cell>
          <cell r="B33" t="str">
            <v>Ewelina</v>
          </cell>
          <cell r="C33" t="str">
            <v>BANACH</v>
          </cell>
          <cell r="D33" t="str">
            <v>MLKS Solec Kuj.</v>
          </cell>
        </row>
        <row r="34">
          <cell r="A34" t="str">
            <v>B5710</v>
          </cell>
          <cell r="B34" t="str">
            <v>Oliwia</v>
          </cell>
          <cell r="C34" t="str">
            <v>BANACHOWICZ</v>
          </cell>
          <cell r="D34" t="str">
            <v>UKS 70 Płock</v>
          </cell>
        </row>
        <row r="35">
          <cell r="A35" t="str">
            <v>B4512</v>
          </cell>
          <cell r="B35" t="str">
            <v>Michalina</v>
          </cell>
          <cell r="C35" t="str">
            <v>BANASIK</v>
          </cell>
          <cell r="D35" t="str">
            <v>BKS Kolejarz Katowice</v>
          </cell>
        </row>
        <row r="36">
          <cell r="A36" t="str">
            <v>B5607</v>
          </cell>
          <cell r="B36" t="str">
            <v>Marcelina</v>
          </cell>
          <cell r="C36" t="str">
            <v>BAR</v>
          </cell>
          <cell r="D36" t="str">
            <v>UKSB Volant Mielec</v>
          </cell>
        </row>
        <row r="37">
          <cell r="A37" t="str">
            <v>B5779</v>
          </cell>
          <cell r="B37" t="str">
            <v>Błażej</v>
          </cell>
          <cell r="C37" t="str">
            <v>BARAN</v>
          </cell>
          <cell r="D37" t="str">
            <v>UKS Orliki Ropica Polska</v>
          </cell>
        </row>
        <row r="38">
          <cell r="A38" t="str">
            <v>B2999</v>
          </cell>
          <cell r="B38" t="str">
            <v>Maciej</v>
          </cell>
          <cell r="C38" t="str">
            <v>BARAN</v>
          </cell>
          <cell r="D38" t="str">
            <v>UKS Sokół Ropczyce</v>
          </cell>
        </row>
        <row r="39">
          <cell r="A39" t="str">
            <v>B3552</v>
          </cell>
          <cell r="B39" t="str">
            <v>Mateusz</v>
          </cell>
          <cell r="C39" t="str">
            <v>BARAN</v>
          </cell>
          <cell r="D39" t="str">
            <v>UKS Kiko Zamość</v>
          </cell>
        </row>
        <row r="40">
          <cell r="A40" t="str">
            <v>B3655</v>
          </cell>
          <cell r="B40" t="str">
            <v>Katarzyna</v>
          </cell>
          <cell r="C40" t="str">
            <v>BARANOWSKA</v>
          </cell>
          <cell r="D40" t="str">
            <v>UKS Hubal Białystok</v>
          </cell>
        </row>
        <row r="41">
          <cell r="A41" t="str">
            <v>B2335</v>
          </cell>
          <cell r="B41" t="str">
            <v>Konrad</v>
          </cell>
          <cell r="C41" t="str">
            <v>BARANOWSKI</v>
          </cell>
          <cell r="D41" t="str">
            <v>UKS Hubal Białystok</v>
          </cell>
        </row>
        <row r="42">
          <cell r="A42" t="str">
            <v>B4533</v>
          </cell>
          <cell r="B42" t="str">
            <v>Marcin</v>
          </cell>
          <cell r="C42" t="str">
            <v>BARANOWSKI</v>
          </cell>
          <cell r="D42" t="str">
            <v>AZSOŚ Łódź</v>
          </cell>
        </row>
        <row r="43">
          <cell r="A43" t="str">
            <v>B4648</v>
          </cell>
          <cell r="B43" t="str">
            <v>Hanna</v>
          </cell>
          <cell r="C43" t="str">
            <v>BARAŃSKA</v>
          </cell>
          <cell r="D43" t="str">
            <v>ZKB Maced Polanów</v>
          </cell>
        </row>
        <row r="44">
          <cell r="A44" t="str">
            <v>B4647</v>
          </cell>
          <cell r="B44" t="str">
            <v>Monika</v>
          </cell>
          <cell r="C44" t="str">
            <v>BARAŃSKA</v>
          </cell>
          <cell r="D44" t="str">
            <v>ZKB Maced Polanów</v>
          </cell>
        </row>
        <row r="45">
          <cell r="A45" t="str">
            <v>B5525</v>
          </cell>
          <cell r="B45" t="str">
            <v>Michał</v>
          </cell>
          <cell r="C45" t="str">
            <v>BARAŃSKI</v>
          </cell>
          <cell r="D45" t="str">
            <v>SKB Suwałki</v>
          </cell>
        </row>
        <row r="46">
          <cell r="A46" t="str">
            <v>B4326</v>
          </cell>
          <cell r="B46" t="str">
            <v>Michał</v>
          </cell>
          <cell r="C46" t="str">
            <v>BARBARSKI</v>
          </cell>
          <cell r="D46" t="str">
            <v>UKS Jedynka Ruciane-Nida</v>
          </cell>
        </row>
        <row r="47">
          <cell r="A47" t="str">
            <v>B2905</v>
          </cell>
          <cell r="B47" t="str">
            <v>Maciej</v>
          </cell>
          <cell r="C47" t="str">
            <v>BARCHANOWSKI</v>
          </cell>
          <cell r="D47" t="str">
            <v>SKB Piast Słupsk</v>
          </cell>
        </row>
        <row r="48">
          <cell r="A48" t="str">
            <v>B3564</v>
          </cell>
          <cell r="B48" t="str">
            <v>Kinga</v>
          </cell>
          <cell r="C48" t="str">
            <v>BARNA</v>
          </cell>
          <cell r="D48" t="str">
            <v>UKS 2 Sobótka</v>
          </cell>
        </row>
        <row r="49">
          <cell r="A49" t="str">
            <v>B5415</v>
          </cell>
          <cell r="B49" t="str">
            <v>Patryk</v>
          </cell>
          <cell r="C49" t="str">
            <v>BARTECKI</v>
          </cell>
          <cell r="D49" t="str">
            <v>UKS Plesbad Pszczyna</v>
          </cell>
        </row>
        <row r="50">
          <cell r="A50" t="str">
            <v>B4079</v>
          </cell>
          <cell r="B50" t="str">
            <v>Kamil</v>
          </cell>
          <cell r="C50" t="str">
            <v>BARTKIEWICZ</v>
          </cell>
          <cell r="D50" t="str">
            <v>UKS Ząbkowice Dąbrowa Górn.</v>
          </cell>
        </row>
        <row r="51">
          <cell r="A51" t="str">
            <v>B4897</v>
          </cell>
          <cell r="B51" t="str">
            <v>Natalia</v>
          </cell>
          <cell r="C51" t="str">
            <v>BARTKOWSKA</v>
          </cell>
          <cell r="D51" t="str">
            <v>UKS 70 Płock</v>
          </cell>
        </row>
        <row r="52">
          <cell r="A52" t="str">
            <v>B5823</v>
          </cell>
          <cell r="B52" t="str">
            <v>Jan</v>
          </cell>
          <cell r="C52" t="str">
            <v>BARTLET</v>
          </cell>
          <cell r="D52" t="str">
            <v>UKSB Milenium Warszawa</v>
          </cell>
        </row>
        <row r="53">
          <cell r="A53" t="str">
            <v>B5002</v>
          </cell>
          <cell r="B53" t="str">
            <v>Waldemar</v>
          </cell>
          <cell r="C53" t="str">
            <v>BARTŁOMIEJCZYK</v>
          </cell>
          <cell r="D53" t="str">
            <v>----</v>
          </cell>
        </row>
        <row r="54">
          <cell r="A54" t="str">
            <v>B4861</v>
          </cell>
          <cell r="B54" t="str">
            <v>Iga</v>
          </cell>
          <cell r="C54" t="str">
            <v>BARTMAŃSKA</v>
          </cell>
          <cell r="D54" t="str">
            <v>KS Match Point Ślęza</v>
          </cell>
        </row>
        <row r="55">
          <cell r="A55" t="str">
            <v>B5153</v>
          </cell>
          <cell r="B55" t="str">
            <v>Jędrzej</v>
          </cell>
          <cell r="C55" t="str">
            <v>BARTOL</v>
          </cell>
          <cell r="D55" t="str">
            <v>----</v>
          </cell>
        </row>
        <row r="56">
          <cell r="A56" t="str">
            <v>B2285</v>
          </cell>
          <cell r="B56" t="str">
            <v>Zbigniew</v>
          </cell>
          <cell r="C56" t="str">
            <v>BARTOSZ</v>
          </cell>
          <cell r="D56" t="str">
            <v>----</v>
          </cell>
        </row>
        <row r="57">
          <cell r="A57" t="str">
            <v>B4553</v>
          </cell>
          <cell r="B57" t="str">
            <v>Karolina</v>
          </cell>
          <cell r="C57" t="str">
            <v>BARZYK</v>
          </cell>
          <cell r="D57" t="str">
            <v>UKS Orliki Ropica Polska</v>
          </cell>
        </row>
        <row r="58">
          <cell r="A58" t="str">
            <v>B5199</v>
          </cell>
          <cell r="B58" t="str">
            <v>Olivia</v>
          </cell>
          <cell r="C58" t="str">
            <v>BATKO</v>
          </cell>
          <cell r="D58" t="str">
            <v>MKB Lednik Miastko</v>
          </cell>
        </row>
        <row r="59">
          <cell r="A59" t="str">
            <v>B4236</v>
          </cell>
          <cell r="B59" t="str">
            <v>Karol</v>
          </cell>
          <cell r="C59" t="str">
            <v>BĄK</v>
          </cell>
          <cell r="D59" t="str">
            <v>AZSWAT Warszawa</v>
          </cell>
        </row>
        <row r="60">
          <cell r="A60" t="str">
            <v>B4790</v>
          </cell>
          <cell r="B60" t="str">
            <v>Kamil</v>
          </cell>
          <cell r="C60" t="str">
            <v>BĄKOWSKI</v>
          </cell>
          <cell r="D60" t="str">
            <v>UKS 2 Sobótka</v>
          </cell>
        </row>
        <row r="61">
          <cell r="A61" t="str">
            <v>B5651</v>
          </cell>
          <cell r="B61" t="str">
            <v>Kamil</v>
          </cell>
          <cell r="C61" t="str">
            <v>BEDNARCZYK</v>
          </cell>
          <cell r="D61" t="str">
            <v>PMKS Chrobry Piotrowice</v>
          </cell>
        </row>
        <row r="62">
          <cell r="A62" t="str">
            <v>B5404</v>
          </cell>
          <cell r="B62" t="str">
            <v>Karolina</v>
          </cell>
          <cell r="C62" t="str">
            <v>BEDRUNKA</v>
          </cell>
          <cell r="D62" t="str">
            <v>BKS Kolejarz Katowice</v>
          </cell>
        </row>
        <row r="63">
          <cell r="A63" t="str">
            <v>B5405</v>
          </cell>
          <cell r="B63" t="str">
            <v>Marcin</v>
          </cell>
          <cell r="C63" t="str">
            <v>BEDRUNKA</v>
          </cell>
          <cell r="D63" t="str">
            <v>BKS Kolejarz Katowice</v>
          </cell>
        </row>
        <row r="64">
          <cell r="A64" t="str">
            <v>B5406</v>
          </cell>
          <cell r="B64" t="str">
            <v>Waldemar</v>
          </cell>
          <cell r="C64" t="str">
            <v>BEDRUNKA</v>
          </cell>
          <cell r="D64" t="str">
            <v>BKS Kolejarz Katowice</v>
          </cell>
        </row>
        <row r="65">
          <cell r="A65" t="str">
            <v>B5965</v>
          </cell>
          <cell r="B65" t="str">
            <v>Kacper</v>
          </cell>
          <cell r="C65" t="str">
            <v>BEKER</v>
          </cell>
          <cell r="D65" t="str">
            <v>UMKS Junis Szczucin</v>
          </cell>
        </row>
        <row r="66">
          <cell r="A66" t="str">
            <v>B5812</v>
          </cell>
          <cell r="B66" t="str">
            <v>Jakub</v>
          </cell>
          <cell r="C66" t="str">
            <v>BEKIER</v>
          </cell>
          <cell r="D66" t="str">
            <v>UKS Kiko Zamość</v>
          </cell>
        </row>
        <row r="67">
          <cell r="A67" t="str">
            <v>B3272</v>
          </cell>
          <cell r="B67" t="str">
            <v>Anna</v>
          </cell>
          <cell r="C67" t="str">
            <v>BELICKA</v>
          </cell>
          <cell r="D67" t="str">
            <v>MKS Orlicz Suchedniów</v>
          </cell>
        </row>
        <row r="68">
          <cell r="A68" t="str">
            <v>B3858</v>
          </cell>
          <cell r="B68" t="str">
            <v>Krzysztof</v>
          </cell>
          <cell r="C68" t="str">
            <v>BELICKI</v>
          </cell>
          <cell r="D68" t="str">
            <v>MKS Orlicz Suchedniów</v>
          </cell>
        </row>
        <row r="69">
          <cell r="A69" t="str">
            <v>B5342</v>
          </cell>
          <cell r="B69" t="str">
            <v>Alicja</v>
          </cell>
          <cell r="C69" t="str">
            <v>BELINA</v>
          </cell>
          <cell r="D69" t="str">
            <v>UKS Kiko Zamość</v>
          </cell>
        </row>
        <row r="70">
          <cell r="A70" t="str">
            <v>B1447</v>
          </cell>
          <cell r="B70" t="str">
            <v>Grażyna</v>
          </cell>
          <cell r="C70" t="str">
            <v>BEŁUS</v>
          </cell>
          <cell r="D70" t="str">
            <v>----</v>
          </cell>
        </row>
        <row r="71">
          <cell r="A71" t="str">
            <v>B1454</v>
          </cell>
          <cell r="B71" t="str">
            <v>Jacek</v>
          </cell>
          <cell r="C71" t="str">
            <v>BEŁUS</v>
          </cell>
          <cell r="D71" t="str">
            <v>----</v>
          </cell>
        </row>
        <row r="72">
          <cell r="A72" t="str">
            <v>B4564</v>
          </cell>
          <cell r="B72" t="str">
            <v>Laura</v>
          </cell>
          <cell r="C72" t="str">
            <v>BERESTECKA</v>
          </cell>
          <cell r="D72" t="str">
            <v>LKS Technik Głubczyce</v>
          </cell>
        </row>
        <row r="73">
          <cell r="A73" t="str">
            <v>B4750</v>
          </cell>
          <cell r="B73" t="str">
            <v>Jan</v>
          </cell>
          <cell r="C73" t="str">
            <v>BERGER</v>
          </cell>
          <cell r="D73" t="str">
            <v>UKS Unia Bieruń</v>
          </cell>
        </row>
        <row r="74">
          <cell r="A74" t="str">
            <v>B2412</v>
          </cell>
          <cell r="B74" t="str">
            <v>Justyna</v>
          </cell>
          <cell r="C74" t="str">
            <v>BERNADY</v>
          </cell>
          <cell r="D74" t="str">
            <v>UKS Hubal Białystok</v>
          </cell>
        </row>
        <row r="75">
          <cell r="A75" t="str">
            <v>B5625</v>
          </cell>
          <cell r="B75" t="str">
            <v>Damian</v>
          </cell>
          <cell r="C75" t="str">
            <v>BETLEJ</v>
          </cell>
          <cell r="D75" t="str">
            <v>UKS Arka Umieszcz</v>
          </cell>
        </row>
        <row r="76">
          <cell r="A76" t="str">
            <v>B3510</v>
          </cell>
          <cell r="B76" t="str">
            <v>Karol</v>
          </cell>
          <cell r="C76" t="str">
            <v>BĘBAS</v>
          </cell>
          <cell r="D76" t="str">
            <v>AZSWAT Warszawa</v>
          </cell>
        </row>
        <row r="77">
          <cell r="A77" t="str">
            <v>B4911</v>
          </cell>
          <cell r="B77" t="str">
            <v>Emilia</v>
          </cell>
          <cell r="C77" t="str">
            <v>BĘTKOWSKA</v>
          </cell>
          <cell r="D77" t="str">
            <v>MKSKSOS Kraków</v>
          </cell>
        </row>
        <row r="78">
          <cell r="A78" t="str">
            <v>B4380</v>
          </cell>
          <cell r="B78" t="str">
            <v>Weronika</v>
          </cell>
          <cell r="C78" t="str">
            <v>BIADAŁA</v>
          </cell>
          <cell r="D78" t="str">
            <v>OTB Lotka Ostrów Wlkp.</v>
          </cell>
        </row>
        <row r="79">
          <cell r="A79" t="str">
            <v>B5896</v>
          </cell>
          <cell r="B79" t="str">
            <v>Agnieszka</v>
          </cell>
          <cell r="C79" t="str">
            <v>BIAŁA</v>
          </cell>
          <cell r="D79" t="str">
            <v>Górnik Łęczna SA</v>
          </cell>
        </row>
        <row r="80">
          <cell r="A80" t="str">
            <v>B2558</v>
          </cell>
          <cell r="B80" t="str">
            <v>Anna</v>
          </cell>
          <cell r="C80" t="str">
            <v>BIAŁASIEWICZ</v>
          </cell>
          <cell r="D80" t="str">
            <v>----</v>
          </cell>
        </row>
        <row r="81">
          <cell r="A81" t="str">
            <v>B3862</v>
          </cell>
          <cell r="B81" t="str">
            <v>Aleksandra</v>
          </cell>
          <cell r="C81" t="str">
            <v>BIAŁEK</v>
          </cell>
          <cell r="D81" t="str">
            <v>UKS Start Widełka</v>
          </cell>
        </row>
        <row r="82">
          <cell r="A82" t="str">
            <v>B3419</v>
          </cell>
          <cell r="B82" t="str">
            <v>Beata</v>
          </cell>
          <cell r="C82" t="str">
            <v>BIAŁEK</v>
          </cell>
          <cell r="D82" t="str">
            <v>----</v>
          </cell>
        </row>
        <row r="83">
          <cell r="A83" t="str">
            <v>B2258</v>
          </cell>
          <cell r="B83" t="str">
            <v>Joanna</v>
          </cell>
          <cell r="C83" t="str">
            <v>BIAŁEK</v>
          </cell>
          <cell r="D83" t="str">
            <v>UKS Ostrówek</v>
          </cell>
        </row>
        <row r="84">
          <cell r="A84" t="str">
            <v>B5593</v>
          </cell>
          <cell r="B84" t="str">
            <v>Andzelika</v>
          </cell>
          <cell r="C84" t="str">
            <v>BIAŁKO</v>
          </cell>
          <cell r="D84" t="str">
            <v>LUKS Krokus Góralice</v>
          </cell>
        </row>
        <row r="85">
          <cell r="A85" t="str">
            <v>B5309</v>
          </cell>
          <cell r="B85" t="str">
            <v>Artur</v>
          </cell>
          <cell r="C85" t="str">
            <v>BIAŁOŃ</v>
          </cell>
          <cell r="D85" t="str">
            <v>UKS Plesbad Pszczyna</v>
          </cell>
        </row>
        <row r="86">
          <cell r="A86" t="str">
            <v>B5059</v>
          </cell>
          <cell r="B86" t="str">
            <v>Adam</v>
          </cell>
          <cell r="C86" t="str">
            <v>BIBIK</v>
          </cell>
          <cell r="D86" t="str">
            <v>KSR Wolant Łódź</v>
          </cell>
        </row>
        <row r="87">
          <cell r="A87" t="str">
            <v>B4769</v>
          </cell>
          <cell r="B87" t="str">
            <v>Paweł</v>
          </cell>
          <cell r="C87" t="str">
            <v>BIEGANOWSKI</v>
          </cell>
          <cell r="D87" t="str">
            <v>UKS Feniks Kędzierzyn-Koźle</v>
          </cell>
        </row>
        <row r="88">
          <cell r="A88" t="str">
            <v>B1495</v>
          </cell>
          <cell r="B88" t="str">
            <v>Robert</v>
          </cell>
          <cell r="C88" t="str">
            <v>BIEGANOWSKI</v>
          </cell>
          <cell r="D88" t="str">
            <v>----</v>
          </cell>
        </row>
        <row r="89">
          <cell r="A89" t="str">
            <v>B5220</v>
          </cell>
          <cell r="B89" t="str">
            <v>Arianna</v>
          </cell>
          <cell r="C89" t="str">
            <v>BIEL</v>
          </cell>
          <cell r="D89" t="str">
            <v>UKS Unia Bieruń</v>
          </cell>
        </row>
        <row r="90">
          <cell r="A90" t="str">
            <v>B1462</v>
          </cell>
          <cell r="B90" t="str">
            <v>Krzysztof</v>
          </cell>
          <cell r="C90" t="str">
            <v>BIELA</v>
          </cell>
          <cell r="D90" t="str">
            <v>AZSAGH Kraków</v>
          </cell>
        </row>
        <row r="91">
          <cell r="A91" t="str">
            <v>B4205</v>
          </cell>
          <cell r="B91" t="str">
            <v>Daniela</v>
          </cell>
          <cell r="C91" t="str">
            <v>BIELIŃSKA</v>
          </cell>
          <cell r="D91" t="str">
            <v>UKS Unia Bieruń</v>
          </cell>
        </row>
        <row r="92">
          <cell r="A92" t="str">
            <v>B5555</v>
          </cell>
          <cell r="B92" t="str">
            <v>Aleksandra</v>
          </cell>
          <cell r="C92" t="str">
            <v>BIELSKA</v>
          </cell>
          <cell r="D92" t="str">
            <v>ŚKBad Harcownik Warszawa</v>
          </cell>
        </row>
        <row r="93">
          <cell r="A93" t="str">
            <v>B5391</v>
          </cell>
          <cell r="B93" t="str">
            <v>Katarzyna</v>
          </cell>
          <cell r="C93" t="str">
            <v>BIELSKA</v>
          </cell>
          <cell r="D93" t="str">
            <v>AZSWAT Warszawa</v>
          </cell>
        </row>
        <row r="94">
          <cell r="A94" t="str">
            <v>B4431</v>
          </cell>
          <cell r="B94" t="str">
            <v>Michał</v>
          </cell>
          <cell r="C94" t="str">
            <v>BIENIA</v>
          </cell>
          <cell r="D94" t="str">
            <v>UKS Aktywna Piątka Przemyśl</v>
          </cell>
        </row>
        <row r="95">
          <cell r="A95" t="str">
            <v>B5792</v>
          </cell>
          <cell r="B95" t="str">
            <v>Kacper</v>
          </cell>
          <cell r="C95" t="str">
            <v>BIENIASZ</v>
          </cell>
          <cell r="D95" t="str">
            <v>UKS Orbitek Straszęcin</v>
          </cell>
        </row>
        <row r="96">
          <cell r="A96" t="str">
            <v>B5414</v>
          </cell>
          <cell r="B96" t="str">
            <v>Patryk</v>
          </cell>
          <cell r="C96" t="str">
            <v>BIENIOSZEK</v>
          </cell>
          <cell r="D96" t="str">
            <v>UKS Plesbad Pszczyna</v>
          </cell>
        </row>
        <row r="97">
          <cell r="A97" t="str">
            <v>B5061</v>
          </cell>
          <cell r="B97" t="str">
            <v>Klaudia</v>
          </cell>
          <cell r="C97" t="str">
            <v>BIEŃKOWSKA</v>
          </cell>
          <cell r="D97" t="str">
            <v>UKS 70 Płock</v>
          </cell>
        </row>
        <row r="98">
          <cell r="A98" t="str">
            <v>B0406</v>
          </cell>
          <cell r="B98" t="str">
            <v>Monika</v>
          </cell>
          <cell r="C98" t="str">
            <v>BIEŃKOWSKA</v>
          </cell>
          <cell r="D98" t="str">
            <v>SKB Suwałki</v>
          </cell>
        </row>
        <row r="99">
          <cell r="A99" t="str">
            <v>B3450</v>
          </cell>
          <cell r="B99" t="str">
            <v>Mateusz</v>
          </cell>
          <cell r="C99" t="str">
            <v>BIEŃKOWSKI</v>
          </cell>
          <cell r="D99" t="str">
            <v>UKS 70 Płock</v>
          </cell>
        </row>
        <row r="100">
          <cell r="A100" t="str">
            <v>B2621</v>
          </cell>
          <cell r="B100" t="str">
            <v>Mateusz</v>
          </cell>
          <cell r="C100" t="str">
            <v>BIERNACKI</v>
          </cell>
          <cell r="D100" t="str">
            <v>UKS Hubal Białystok</v>
          </cell>
        </row>
        <row r="101">
          <cell r="A101" t="str">
            <v>B5481</v>
          </cell>
          <cell r="B101" t="str">
            <v>Marek</v>
          </cell>
          <cell r="C101" t="str">
            <v>BIERNAT</v>
          </cell>
          <cell r="D101" t="str">
            <v>----</v>
          </cell>
        </row>
        <row r="102">
          <cell r="A102" t="str">
            <v>B4794</v>
          </cell>
          <cell r="B102" t="str">
            <v>Jakub</v>
          </cell>
          <cell r="C102" t="str">
            <v>BIESEK</v>
          </cell>
          <cell r="D102" t="str">
            <v>MMKS Gdańsk</v>
          </cell>
        </row>
        <row r="103">
          <cell r="A103" t="str">
            <v>B5881</v>
          </cell>
          <cell r="B103" t="str">
            <v>Agata</v>
          </cell>
          <cell r="C103" t="str">
            <v>BIGOŃ</v>
          </cell>
          <cell r="D103" t="str">
            <v>UKS Smecz Milicz</v>
          </cell>
        </row>
        <row r="104">
          <cell r="A104" t="str">
            <v>B4655</v>
          </cell>
          <cell r="B104" t="str">
            <v>Sebastian</v>
          </cell>
          <cell r="C104" t="str">
            <v>BILBIN</v>
          </cell>
          <cell r="D104" t="str">
            <v>SKB Suwałki</v>
          </cell>
        </row>
        <row r="105">
          <cell r="A105" t="str">
            <v>B5680</v>
          </cell>
          <cell r="B105" t="str">
            <v>Zuzanna</v>
          </cell>
          <cell r="C105" t="str">
            <v>BILIŃSKA</v>
          </cell>
          <cell r="D105" t="str">
            <v>UKS Smecz Bogatynia</v>
          </cell>
        </row>
        <row r="106">
          <cell r="A106" t="str">
            <v>B3322</v>
          </cell>
          <cell r="B106" t="str">
            <v>Mariusz</v>
          </cell>
          <cell r="C106" t="str">
            <v>BIŃKOWSKI</v>
          </cell>
          <cell r="D106" t="str">
            <v>KKS Ruch Piotrków Tryb.</v>
          </cell>
        </row>
        <row r="107">
          <cell r="A107" t="str">
            <v>B5288</v>
          </cell>
          <cell r="B107" t="str">
            <v>Andrzej</v>
          </cell>
          <cell r="C107" t="str">
            <v>BITTNER</v>
          </cell>
          <cell r="D107" t="str">
            <v>----</v>
          </cell>
        </row>
        <row r="108">
          <cell r="A108" t="str">
            <v>B4681</v>
          </cell>
          <cell r="B108" t="str">
            <v>Natalia</v>
          </cell>
          <cell r="C108" t="str">
            <v>BLEJWAS</v>
          </cell>
          <cell r="D108" t="str">
            <v>UKS Kopernik Słupca</v>
          </cell>
        </row>
        <row r="109">
          <cell r="A109" t="str">
            <v>B2468</v>
          </cell>
          <cell r="B109" t="str">
            <v>Aleksandra</v>
          </cell>
          <cell r="C109" t="str">
            <v>BŁASZCZYK</v>
          </cell>
          <cell r="D109" t="str">
            <v>ŚKBad Harcownik Warszawa</v>
          </cell>
        </row>
        <row r="110">
          <cell r="A110" t="str">
            <v>B5602</v>
          </cell>
          <cell r="B110" t="str">
            <v>Laura</v>
          </cell>
          <cell r="C110" t="str">
            <v>BŁASZCZYK</v>
          </cell>
          <cell r="D110" t="str">
            <v>UKS Hubal Białystok</v>
          </cell>
        </row>
        <row r="111">
          <cell r="A111" t="str">
            <v>B5638</v>
          </cell>
          <cell r="B111" t="str">
            <v>Jakub</v>
          </cell>
          <cell r="C111" t="str">
            <v>BŁOCH</v>
          </cell>
          <cell r="D111" t="str">
            <v>----</v>
          </cell>
        </row>
        <row r="112">
          <cell r="A112" t="str">
            <v>B5639</v>
          </cell>
          <cell r="B112" t="str">
            <v>Julia</v>
          </cell>
          <cell r="C112" t="str">
            <v>BŁOCH</v>
          </cell>
          <cell r="D112" t="str">
            <v>----</v>
          </cell>
        </row>
        <row r="113">
          <cell r="A113" t="str">
            <v>B1087</v>
          </cell>
          <cell r="B113" t="str">
            <v>Krzysztof</v>
          </cell>
          <cell r="C113" t="str">
            <v>BOBALA</v>
          </cell>
          <cell r="D113" t="str">
            <v>----</v>
          </cell>
        </row>
        <row r="114">
          <cell r="A114" t="str">
            <v>B4938</v>
          </cell>
          <cell r="B114" t="str">
            <v>Mirosław</v>
          </cell>
          <cell r="C114" t="str">
            <v>BOBCZUK</v>
          </cell>
          <cell r="D114" t="str">
            <v>UKS Kiko Zamość</v>
          </cell>
        </row>
        <row r="115">
          <cell r="A115" t="str">
            <v>B5170</v>
          </cell>
          <cell r="B115" t="str">
            <v>Mikołaj</v>
          </cell>
          <cell r="C115" t="str">
            <v>BOBER</v>
          </cell>
          <cell r="D115" t="str">
            <v>KS Wesoła Warszawa</v>
          </cell>
        </row>
        <row r="116">
          <cell r="A116" t="str">
            <v>B4694</v>
          </cell>
          <cell r="B116" t="str">
            <v>Szymon</v>
          </cell>
          <cell r="C116" t="str">
            <v>BOBER</v>
          </cell>
          <cell r="D116" t="str">
            <v>UKS Kometa Sianów</v>
          </cell>
        </row>
        <row r="117">
          <cell r="A117" t="str">
            <v>B4445</v>
          </cell>
          <cell r="B117" t="str">
            <v>Karol</v>
          </cell>
          <cell r="C117" t="str">
            <v>BOBRO</v>
          </cell>
          <cell r="D117" t="str">
            <v>AZSAGH Kraków</v>
          </cell>
        </row>
        <row r="118">
          <cell r="A118" t="str">
            <v>B2620</v>
          </cell>
          <cell r="B118" t="str">
            <v>Miłosz</v>
          </cell>
          <cell r="C118" t="str">
            <v>BOCHAT</v>
          </cell>
          <cell r="D118" t="str">
            <v>MLKS Solec Kuj.</v>
          </cell>
        </row>
        <row r="119">
          <cell r="A119" t="str">
            <v>B2813</v>
          </cell>
          <cell r="B119" t="str">
            <v>Zbigniew</v>
          </cell>
          <cell r="C119" t="str">
            <v>BOCHEN</v>
          </cell>
          <cell r="D119" t="str">
            <v>----</v>
          </cell>
        </row>
        <row r="120">
          <cell r="A120" t="str">
            <v>B4842</v>
          </cell>
          <cell r="B120" t="str">
            <v>Joanna</v>
          </cell>
          <cell r="C120" t="str">
            <v>BOCHENEK</v>
          </cell>
          <cell r="D120" t="str">
            <v>----</v>
          </cell>
        </row>
        <row r="121">
          <cell r="A121" t="str">
            <v>B5752</v>
          </cell>
          <cell r="B121" t="str">
            <v>Karol</v>
          </cell>
          <cell r="C121" t="str">
            <v>BOCHNIAK</v>
          </cell>
          <cell r="D121" t="str">
            <v>UKS Kiko Zamość</v>
          </cell>
        </row>
        <row r="122">
          <cell r="A122" t="str">
            <v>B4678</v>
          </cell>
          <cell r="B122" t="str">
            <v>Marek</v>
          </cell>
          <cell r="C122" t="str">
            <v>BOCZKOWSKI</v>
          </cell>
          <cell r="D122" t="str">
            <v>UKS Kiko Zamość</v>
          </cell>
        </row>
        <row r="123">
          <cell r="A123" t="str">
            <v>B5252</v>
          </cell>
          <cell r="B123" t="str">
            <v>Sebastian</v>
          </cell>
          <cell r="C123" t="str">
            <v>BOCZOŃ</v>
          </cell>
          <cell r="D123" t="str">
            <v>UKS Orliki Ropica Polska</v>
          </cell>
        </row>
        <row r="124">
          <cell r="A124" t="str">
            <v>B5740</v>
          </cell>
          <cell r="B124" t="str">
            <v>Klaudia</v>
          </cell>
          <cell r="C124" t="str">
            <v>BODYS</v>
          </cell>
          <cell r="D124" t="str">
            <v>UKS Kiko Zamość</v>
          </cell>
        </row>
        <row r="125">
          <cell r="A125" t="str">
            <v>B3514</v>
          </cell>
          <cell r="B125" t="str">
            <v>Małgorzata</v>
          </cell>
          <cell r="C125" t="str">
            <v>BOGACKA</v>
          </cell>
          <cell r="D125" t="str">
            <v>SKB Piast Słupsk</v>
          </cell>
        </row>
        <row r="126">
          <cell r="A126" t="str">
            <v>B5088</v>
          </cell>
          <cell r="B126" t="str">
            <v>Adam</v>
          </cell>
          <cell r="C126" t="str">
            <v>BOGACZ</v>
          </cell>
          <cell r="D126" t="str">
            <v>----</v>
          </cell>
        </row>
        <row r="127">
          <cell r="A127" t="str">
            <v>B5421</v>
          </cell>
          <cell r="B127" t="str">
            <v>Marian</v>
          </cell>
          <cell r="C127" t="str">
            <v>BOGACZ</v>
          </cell>
          <cell r="D127" t="str">
            <v>----</v>
          </cell>
        </row>
        <row r="128">
          <cell r="A128" t="str">
            <v>B3410</v>
          </cell>
          <cell r="B128" t="str">
            <v>Adrian</v>
          </cell>
          <cell r="C128" t="str">
            <v>BOGDAN</v>
          </cell>
          <cell r="D128" t="str">
            <v>MKS Stal Nowa Dęba</v>
          </cell>
        </row>
        <row r="129">
          <cell r="A129" t="str">
            <v>B0188</v>
          </cell>
          <cell r="B129" t="str">
            <v>Rafał</v>
          </cell>
          <cell r="C129" t="str">
            <v>BOGDAŃSKI</v>
          </cell>
          <cell r="D129" t="str">
            <v>----</v>
          </cell>
        </row>
        <row r="130">
          <cell r="A130" t="str">
            <v>B5178</v>
          </cell>
          <cell r="B130" t="str">
            <v>Krzysztof</v>
          </cell>
          <cell r="C130" t="str">
            <v>BOGUCKI</v>
          </cell>
          <cell r="D130" t="str">
            <v>----</v>
          </cell>
        </row>
        <row r="131">
          <cell r="A131" t="str">
            <v>B1558</v>
          </cell>
          <cell r="B131" t="str">
            <v>Andrzej</v>
          </cell>
          <cell r="C131" t="str">
            <v>BOGUTA</v>
          </cell>
          <cell r="D131" t="str">
            <v>KS Wesoła Warszawa</v>
          </cell>
        </row>
        <row r="132">
          <cell r="A132" t="str">
            <v>B5650</v>
          </cell>
          <cell r="B132" t="str">
            <v>Szymon</v>
          </cell>
          <cell r="C132" t="str">
            <v>BOJANOWSKI</v>
          </cell>
          <cell r="D132" t="str">
            <v>OTB Lotka Ostrów Wlkp.</v>
          </cell>
        </row>
        <row r="133">
          <cell r="A133" t="str">
            <v>B4793</v>
          </cell>
          <cell r="B133" t="str">
            <v>Julia</v>
          </cell>
          <cell r="C133" t="str">
            <v>BOLESTA</v>
          </cell>
          <cell r="D133" t="str">
            <v>UKSOSIR Badminton Sławno</v>
          </cell>
        </row>
        <row r="134">
          <cell r="A134" t="str">
            <v>B4448</v>
          </cell>
          <cell r="B134" t="str">
            <v>Łukasz</v>
          </cell>
          <cell r="C134" t="str">
            <v>BOLIŃSKI</v>
          </cell>
          <cell r="D134" t="str">
            <v>KS Stal Sulęcin</v>
          </cell>
        </row>
        <row r="135">
          <cell r="A135" t="str">
            <v>B5940</v>
          </cell>
          <cell r="B135" t="str">
            <v>Katarzyna</v>
          </cell>
          <cell r="C135" t="str">
            <v>BOMBA</v>
          </cell>
          <cell r="D135" t="str">
            <v>MMKS Kędzierzyn-Koźle</v>
          </cell>
        </row>
        <row r="136">
          <cell r="A136" t="str">
            <v>B5847</v>
          </cell>
          <cell r="B136" t="str">
            <v>Marta</v>
          </cell>
          <cell r="C136" t="str">
            <v>BOMBAŁA</v>
          </cell>
          <cell r="D136" t="str">
            <v>UKS 70 Płock</v>
          </cell>
        </row>
        <row r="137">
          <cell r="A137" t="str">
            <v>B5954</v>
          </cell>
          <cell r="B137" t="str">
            <v>Jagoda</v>
          </cell>
          <cell r="C137" t="str">
            <v>BONDAR</v>
          </cell>
          <cell r="D137" t="str">
            <v>OTB Lotka Ostrów Wlkp.</v>
          </cell>
        </row>
        <row r="138">
          <cell r="A138" t="str">
            <v>B4388</v>
          </cell>
          <cell r="B138" t="str">
            <v>Adrian</v>
          </cell>
          <cell r="C138" t="str">
            <v>BONDAROW</v>
          </cell>
          <cell r="D138" t="str">
            <v>SKB Suwałki</v>
          </cell>
        </row>
        <row r="139">
          <cell r="A139" t="str">
            <v>B4192</v>
          </cell>
          <cell r="B139" t="str">
            <v>Sebastian</v>
          </cell>
          <cell r="C139" t="str">
            <v>BOREK</v>
          </cell>
          <cell r="D139" t="str">
            <v>UKS Smecz Bogatynia</v>
          </cell>
        </row>
        <row r="140">
          <cell r="A140" t="str">
            <v>B5210</v>
          </cell>
          <cell r="B140" t="str">
            <v>Bartosz</v>
          </cell>
          <cell r="C140" t="str">
            <v>BORONIEC</v>
          </cell>
          <cell r="D140" t="str">
            <v>----</v>
          </cell>
        </row>
        <row r="141">
          <cell r="A141" t="str">
            <v>B5756</v>
          </cell>
          <cell r="B141" t="str">
            <v>Julia</v>
          </cell>
          <cell r="C141" t="str">
            <v>BOROWIEC</v>
          </cell>
          <cell r="D141" t="str">
            <v>UKSB Volant Mielec</v>
          </cell>
        </row>
        <row r="142">
          <cell r="A142" t="str">
            <v>B5798</v>
          </cell>
          <cell r="B142" t="str">
            <v>Karol</v>
          </cell>
          <cell r="C142" t="str">
            <v>BOROWSKI</v>
          </cell>
          <cell r="D142" t="str">
            <v>KS Stal Sulęcin</v>
          </cell>
        </row>
        <row r="143">
          <cell r="A143" t="str">
            <v>B3650</v>
          </cell>
          <cell r="B143" t="str">
            <v>Marcin</v>
          </cell>
          <cell r="C143" t="str">
            <v>BORUCIŃSKI</v>
          </cell>
          <cell r="D143" t="str">
            <v>UKS Badminton Stare Babice</v>
          </cell>
        </row>
        <row r="144">
          <cell r="A144" t="str">
            <v>B2442</v>
          </cell>
          <cell r="B144" t="str">
            <v>Katarzyna</v>
          </cell>
          <cell r="C144" t="str">
            <v>BORYS</v>
          </cell>
          <cell r="D144" t="str">
            <v>UKS Aktywna Piątka Przemyśl</v>
          </cell>
        </row>
        <row r="145">
          <cell r="A145" t="str">
            <v>B5005</v>
          </cell>
          <cell r="B145" t="str">
            <v>Wojciech</v>
          </cell>
          <cell r="C145" t="str">
            <v>BORZĘCKI</v>
          </cell>
          <cell r="D145" t="str">
            <v>STB Energia Lubliniec</v>
          </cell>
        </row>
        <row r="146">
          <cell r="A146" t="str">
            <v>B0711</v>
          </cell>
          <cell r="B146" t="str">
            <v>Angelika</v>
          </cell>
          <cell r="C146" t="str">
            <v>BOŻENTKA</v>
          </cell>
          <cell r="D146" t="str">
            <v>UKS 15 Kędzierzyn-Koźle</v>
          </cell>
        </row>
        <row r="147">
          <cell r="A147" t="str">
            <v>B3642</v>
          </cell>
          <cell r="B147" t="str">
            <v>Ewelina</v>
          </cell>
          <cell r="C147" t="str">
            <v>BRACHA</v>
          </cell>
          <cell r="D147" t="str">
            <v>----</v>
          </cell>
        </row>
        <row r="148">
          <cell r="A148" t="str">
            <v>B4668</v>
          </cell>
          <cell r="B148" t="str">
            <v>Agnieszka</v>
          </cell>
          <cell r="C148" t="str">
            <v>BROJEK</v>
          </cell>
          <cell r="D148" t="str">
            <v>MKS Garwolin</v>
          </cell>
        </row>
        <row r="149">
          <cell r="A149" t="str">
            <v>B2544</v>
          </cell>
          <cell r="B149" t="str">
            <v>Małgorzata</v>
          </cell>
          <cell r="C149" t="str">
            <v>BROJEK</v>
          </cell>
          <cell r="D149" t="str">
            <v>MKS Garwolin</v>
          </cell>
        </row>
        <row r="150">
          <cell r="A150" t="str">
            <v>B4945</v>
          </cell>
          <cell r="B150" t="str">
            <v>Iwona</v>
          </cell>
          <cell r="C150" t="str">
            <v>BROKIENDAL</v>
          </cell>
          <cell r="D150" t="str">
            <v>----</v>
          </cell>
        </row>
        <row r="151">
          <cell r="A151" t="str">
            <v>B3793</v>
          </cell>
          <cell r="B151" t="str">
            <v>Marta</v>
          </cell>
          <cell r="C151" t="str">
            <v>BROSZKO</v>
          </cell>
          <cell r="D151" t="str">
            <v>LKS Technik Głubczyce</v>
          </cell>
        </row>
        <row r="152">
          <cell r="A152" t="str">
            <v>B5111</v>
          </cell>
          <cell r="B152" t="str">
            <v>Jakub</v>
          </cell>
          <cell r="C152" t="str">
            <v>BRUDEK</v>
          </cell>
          <cell r="D152" t="str">
            <v>UKS Plesbad Pszczyna</v>
          </cell>
        </row>
        <row r="153">
          <cell r="A153" t="str">
            <v>B4991</v>
          </cell>
          <cell r="B153" t="str">
            <v>Wojciech</v>
          </cell>
          <cell r="C153" t="str">
            <v>BRUDEK</v>
          </cell>
          <cell r="D153" t="str">
            <v>UKS Plesbad Pszczyna</v>
          </cell>
        </row>
        <row r="154">
          <cell r="A154" t="str">
            <v>B5637</v>
          </cell>
          <cell r="B154" t="str">
            <v>Patryk</v>
          </cell>
          <cell r="C154" t="str">
            <v>BRUDER</v>
          </cell>
          <cell r="D154" t="str">
            <v>----</v>
          </cell>
        </row>
        <row r="155">
          <cell r="A155" t="str">
            <v>B4871</v>
          </cell>
          <cell r="B155" t="str">
            <v>Krzysztof</v>
          </cell>
          <cell r="C155" t="str">
            <v>BRUDNOWSKI</v>
          </cell>
          <cell r="D155" t="str">
            <v>MMKS Gdańsk</v>
          </cell>
        </row>
        <row r="156">
          <cell r="A156" t="str">
            <v>B5239</v>
          </cell>
          <cell r="B156" t="str">
            <v>Mateusz</v>
          </cell>
          <cell r="C156" t="str">
            <v>BRYCZ</v>
          </cell>
          <cell r="D156" t="str">
            <v>UKS Ząbkowice Dąbrowa Górn.</v>
          </cell>
        </row>
        <row r="157">
          <cell r="A157" t="str">
            <v>B4440</v>
          </cell>
          <cell r="B157" t="str">
            <v>Simone</v>
          </cell>
          <cell r="C157" t="str">
            <v>BRYG</v>
          </cell>
          <cell r="D157" t="str">
            <v>AZSAGH Kraków</v>
          </cell>
        </row>
        <row r="158">
          <cell r="A158" t="str">
            <v>B2747</v>
          </cell>
          <cell r="B158" t="str">
            <v>Iwona</v>
          </cell>
          <cell r="C158" t="str">
            <v>BRYK</v>
          </cell>
          <cell r="D158" t="str">
            <v>UKS Ostrówek</v>
          </cell>
        </row>
        <row r="159">
          <cell r="A159" t="str">
            <v>B 047</v>
          </cell>
          <cell r="B159" t="str">
            <v>Maria</v>
          </cell>
          <cell r="C159" t="str">
            <v>BRZEŹNICKA</v>
          </cell>
          <cell r="D159" t="str">
            <v>MKS Garwolin</v>
          </cell>
        </row>
        <row r="160">
          <cell r="A160" t="str">
            <v>B4961</v>
          </cell>
          <cell r="B160" t="str">
            <v>Anna</v>
          </cell>
          <cell r="C160" t="str">
            <v>BRZOSTEK</v>
          </cell>
          <cell r="D160" t="str">
            <v>UKS Iskra Babimost</v>
          </cell>
        </row>
        <row r="161">
          <cell r="A161" t="str">
            <v>B5641</v>
          </cell>
          <cell r="B161" t="str">
            <v>Karolina</v>
          </cell>
          <cell r="C161" t="str">
            <v>BRZYCKA</v>
          </cell>
          <cell r="D161" t="str">
            <v>UKS Sokół Ropczyce</v>
          </cell>
        </row>
        <row r="162">
          <cell r="A162" t="str">
            <v>B3274</v>
          </cell>
          <cell r="B162" t="str">
            <v>Ewelina</v>
          </cell>
          <cell r="C162" t="str">
            <v>BUBENKO</v>
          </cell>
          <cell r="D162" t="str">
            <v>UKS Aktywna Piątka Przemyśl</v>
          </cell>
        </row>
        <row r="163">
          <cell r="A163" t="str">
            <v>B5369</v>
          </cell>
          <cell r="B163" t="str">
            <v>Krystian</v>
          </cell>
          <cell r="C163" t="str">
            <v>BUCH</v>
          </cell>
          <cell r="D163" t="str">
            <v>UKS Ostrówek</v>
          </cell>
        </row>
        <row r="164">
          <cell r="A164" t="str">
            <v>B2025</v>
          </cell>
          <cell r="B164" t="str">
            <v>Karolina</v>
          </cell>
          <cell r="C164" t="str">
            <v>BUCZYŃSKA</v>
          </cell>
          <cell r="D164" t="str">
            <v>UKS Orbitek Straszęcin</v>
          </cell>
        </row>
        <row r="165">
          <cell r="A165" t="str">
            <v>B2515</v>
          </cell>
          <cell r="B165" t="str">
            <v>Wojciech</v>
          </cell>
          <cell r="C165" t="str">
            <v>BUCZYŃSKI</v>
          </cell>
          <cell r="D165" t="str">
            <v>UKS Orbitek Straszęcin</v>
          </cell>
        </row>
        <row r="166">
          <cell r="A166" t="str">
            <v>B5620</v>
          </cell>
          <cell r="B166" t="str">
            <v>Karol</v>
          </cell>
          <cell r="C166" t="str">
            <v>BUDNY</v>
          </cell>
          <cell r="D166" t="str">
            <v>UKS Feniks Kędzierzyn-Koźle</v>
          </cell>
        </row>
        <row r="167">
          <cell r="A167" t="str">
            <v>B4737</v>
          </cell>
          <cell r="B167" t="str">
            <v>Wiktoria</v>
          </cell>
          <cell r="C167" t="str">
            <v>BUDZISZEWSKA</v>
          </cell>
          <cell r="D167" t="str">
            <v>UKS Kiko Zamość</v>
          </cell>
        </row>
        <row r="168">
          <cell r="A168" t="str">
            <v>B4552</v>
          </cell>
          <cell r="B168" t="str">
            <v>Adam</v>
          </cell>
          <cell r="C168" t="str">
            <v>BUGNO</v>
          </cell>
          <cell r="D168" t="str">
            <v>UKS Orliki Ropica Polska</v>
          </cell>
        </row>
        <row r="169">
          <cell r="A169" t="str">
            <v>B3988</v>
          </cell>
          <cell r="B169" t="str">
            <v>Dariusz</v>
          </cell>
          <cell r="C169" t="str">
            <v>BUGNO</v>
          </cell>
          <cell r="D169" t="str">
            <v>UKS Badmin Gorlice</v>
          </cell>
        </row>
        <row r="170">
          <cell r="A170" t="str">
            <v>B4319</v>
          </cell>
          <cell r="B170" t="str">
            <v>Laura</v>
          </cell>
          <cell r="C170" t="str">
            <v>BUJAK</v>
          </cell>
          <cell r="D170" t="str">
            <v>ULKS U-2 Lotka Bytów</v>
          </cell>
        </row>
        <row r="171">
          <cell r="A171" t="str">
            <v>B4127</v>
          </cell>
          <cell r="B171" t="str">
            <v>Paweł</v>
          </cell>
          <cell r="C171" t="str">
            <v>BUJNIK</v>
          </cell>
          <cell r="D171" t="str">
            <v>ŚKBad Harcownik Warszawa</v>
          </cell>
        </row>
        <row r="172">
          <cell r="A172" t="str">
            <v>B5256</v>
          </cell>
          <cell r="B172" t="str">
            <v>Amelia</v>
          </cell>
          <cell r="C172" t="str">
            <v>BUKOWIŃSKA</v>
          </cell>
          <cell r="D172" t="str">
            <v>UMKS Dubiecko</v>
          </cell>
        </row>
        <row r="173">
          <cell r="A173" t="str">
            <v>B4244</v>
          </cell>
          <cell r="B173" t="str">
            <v>Klaudia</v>
          </cell>
          <cell r="C173" t="str">
            <v>BUKOWIŃSKA</v>
          </cell>
          <cell r="D173" t="str">
            <v>UMKS Dubiecko</v>
          </cell>
        </row>
        <row r="174">
          <cell r="A174" t="str">
            <v>B4237</v>
          </cell>
          <cell r="B174" t="str">
            <v>Marta</v>
          </cell>
          <cell r="C174" t="str">
            <v>BUKOWSKA</v>
          </cell>
          <cell r="D174" t="str">
            <v>UKSOSIR Badminton Sławno</v>
          </cell>
        </row>
        <row r="175">
          <cell r="A175" t="str">
            <v>B0110</v>
          </cell>
          <cell r="B175" t="str">
            <v>Adam</v>
          </cell>
          <cell r="C175" t="str">
            <v>BUNIO</v>
          </cell>
          <cell r="D175" t="str">
            <v>MKS Stal Nowa Dęba</v>
          </cell>
        </row>
        <row r="176">
          <cell r="A176" t="str">
            <v>B4050</v>
          </cell>
          <cell r="B176" t="str">
            <v>Marta</v>
          </cell>
          <cell r="C176" t="str">
            <v>BURAKOWSKA</v>
          </cell>
          <cell r="D176" t="str">
            <v>KKS Warmia Olsztyn</v>
          </cell>
        </row>
        <row r="177">
          <cell r="A177" t="str">
            <v>B3723</v>
          </cell>
          <cell r="B177" t="str">
            <v>Łukasz</v>
          </cell>
          <cell r="C177" t="str">
            <v>BURAKOWSKI</v>
          </cell>
          <cell r="D177" t="str">
            <v>KKS Warmia Olsztyn</v>
          </cell>
        </row>
        <row r="178">
          <cell r="A178" t="str">
            <v>B5723</v>
          </cell>
          <cell r="B178" t="str">
            <v>Jakub</v>
          </cell>
          <cell r="C178" t="str">
            <v>BUSZA</v>
          </cell>
          <cell r="D178" t="str">
            <v>UKS Kopernik Słupca</v>
          </cell>
        </row>
        <row r="179">
          <cell r="A179" t="str">
            <v>B5214</v>
          </cell>
          <cell r="B179" t="str">
            <v>Klaudia</v>
          </cell>
          <cell r="C179" t="str">
            <v>BUTKIEWICZ</v>
          </cell>
          <cell r="D179" t="str">
            <v>SKB Suwałki</v>
          </cell>
        </row>
        <row r="180">
          <cell r="A180" t="str">
            <v>B5816</v>
          </cell>
          <cell r="B180" t="str">
            <v>Tomasz</v>
          </cell>
          <cell r="C180" t="str">
            <v>BUZA</v>
          </cell>
          <cell r="D180" t="str">
            <v>UKSB Milenium Warszawa</v>
          </cell>
        </row>
        <row r="181">
          <cell r="A181" t="str">
            <v>B2628</v>
          </cell>
          <cell r="B181" t="str">
            <v>Mateusz</v>
          </cell>
          <cell r="C181" t="str">
            <v>BYCZUK</v>
          </cell>
          <cell r="D181" t="str">
            <v>AZSUWM Olsztyn</v>
          </cell>
        </row>
        <row r="182">
          <cell r="A182" t="str">
            <v>B3103</v>
          </cell>
          <cell r="B182" t="str">
            <v>Maciej</v>
          </cell>
          <cell r="C182" t="str">
            <v>BYSIKIEWICZ</v>
          </cell>
          <cell r="D182" t="str">
            <v>----</v>
          </cell>
        </row>
        <row r="183">
          <cell r="A183" t="str">
            <v>C4297</v>
          </cell>
          <cell r="B183" t="str">
            <v>Michał</v>
          </cell>
          <cell r="C183" t="str">
            <v>CABAŃSKI</v>
          </cell>
          <cell r="D183" t="str">
            <v>UKSOSIR Badminton Sławno</v>
          </cell>
        </row>
        <row r="184">
          <cell r="A184" t="str">
            <v>C5139</v>
          </cell>
          <cell r="B184" t="str">
            <v>Patryk</v>
          </cell>
          <cell r="C184" t="str">
            <v>CADER</v>
          </cell>
          <cell r="D184" t="str">
            <v>MKSKSOS Kraków</v>
          </cell>
        </row>
        <row r="185">
          <cell r="A185" t="str">
            <v>C3328</v>
          </cell>
          <cell r="B185" t="str">
            <v>Wojciech</v>
          </cell>
          <cell r="C185" t="str">
            <v>CERAZY</v>
          </cell>
          <cell r="D185" t="str">
            <v>KS Chojnik Jelenia Góra</v>
          </cell>
        </row>
        <row r="186">
          <cell r="A186" t="str">
            <v>C4878</v>
          </cell>
          <cell r="B186" t="str">
            <v>Michalina</v>
          </cell>
          <cell r="C186" t="str">
            <v>CHABINOWSKA</v>
          </cell>
          <cell r="D186" t="str">
            <v>KKS Warmia Olsztyn</v>
          </cell>
        </row>
        <row r="187">
          <cell r="A187" t="str">
            <v>C4483</v>
          </cell>
          <cell r="B187" t="str">
            <v>Marcelina</v>
          </cell>
          <cell r="C187" t="str">
            <v>CHACHUŁA</v>
          </cell>
          <cell r="D187" t="str">
            <v>UKS Kiko Zamość</v>
          </cell>
        </row>
        <row r="188">
          <cell r="A188" t="str">
            <v>C3075</v>
          </cell>
          <cell r="B188" t="str">
            <v>Wojciech</v>
          </cell>
          <cell r="C188" t="str">
            <v>CHAŁOTOWSKI</v>
          </cell>
          <cell r="D188" t="str">
            <v>----</v>
          </cell>
        </row>
        <row r="189">
          <cell r="A189" t="str">
            <v>C0262</v>
          </cell>
          <cell r="B189" t="str">
            <v>Tomasz</v>
          </cell>
          <cell r="C189" t="str">
            <v>CHARKIEWICZ</v>
          </cell>
          <cell r="D189" t="str">
            <v>----</v>
          </cell>
        </row>
        <row r="190">
          <cell r="A190" t="str">
            <v>C5273</v>
          </cell>
          <cell r="B190" t="str">
            <v>Mateusz</v>
          </cell>
          <cell r="C190" t="str">
            <v>CHĘĆ</v>
          </cell>
          <cell r="D190" t="str">
            <v>PMKS Chrobry Piotrowice</v>
          </cell>
        </row>
        <row r="191">
          <cell r="A191" t="str">
            <v>C5497</v>
          </cell>
          <cell r="B191" t="str">
            <v>Grzegorz</v>
          </cell>
          <cell r="C191" t="str">
            <v>CHMIELEWSKI</v>
          </cell>
          <cell r="D191" t="str">
            <v>----</v>
          </cell>
        </row>
        <row r="192">
          <cell r="A192" t="str">
            <v>C0589</v>
          </cell>
          <cell r="B192" t="str">
            <v>Grzegorz</v>
          </cell>
          <cell r="C192" t="str">
            <v>CHMIELEWSKI</v>
          </cell>
          <cell r="D192" t="str">
            <v>AZSUWM Olsztyn</v>
          </cell>
        </row>
        <row r="193">
          <cell r="A193" t="str">
            <v>C5000</v>
          </cell>
          <cell r="B193" t="str">
            <v>Witold</v>
          </cell>
          <cell r="C193" t="str">
            <v>CHMIELEWSKI</v>
          </cell>
          <cell r="D193" t="str">
            <v>----</v>
          </cell>
        </row>
        <row r="194">
          <cell r="A194" t="str">
            <v>C4789</v>
          </cell>
          <cell r="B194" t="str">
            <v>Piotr</v>
          </cell>
          <cell r="C194" t="str">
            <v>CHMIELOWSKI</v>
          </cell>
          <cell r="D194" t="str">
            <v>UKS 2 Sobótka</v>
          </cell>
        </row>
        <row r="195">
          <cell r="A195" t="str">
            <v>C5530</v>
          </cell>
          <cell r="B195" t="str">
            <v>Mateusz</v>
          </cell>
          <cell r="C195" t="str">
            <v>CHODOROWSKI</v>
          </cell>
          <cell r="D195" t="str">
            <v>SKB Suwałki</v>
          </cell>
        </row>
        <row r="196">
          <cell r="A196" t="str">
            <v>C5264</v>
          </cell>
          <cell r="B196" t="str">
            <v>Maciej</v>
          </cell>
          <cell r="C196" t="str">
            <v>CHOJNACKI</v>
          </cell>
          <cell r="D196" t="str">
            <v>KS Match Point Ślęza</v>
          </cell>
        </row>
        <row r="197">
          <cell r="A197" t="str">
            <v>C5928</v>
          </cell>
          <cell r="B197" t="str">
            <v>Natalia</v>
          </cell>
          <cell r="C197" t="str">
            <v>CHOMIUK</v>
          </cell>
          <cell r="D197" t="str">
            <v>Górnik Łęczna SA</v>
          </cell>
        </row>
        <row r="198">
          <cell r="A198" t="str">
            <v>C3337</v>
          </cell>
          <cell r="B198" t="str">
            <v>Jędrzej</v>
          </cell>
          <cell r="C198" t="str">
            <v>CHORĄŻYCZEWSKI</v>
          </cell>
          <cell r="D198" t="str">
            <v>UKS Siódemka Świebodzin</v>
          </cell>
        </row>
        <row r="199">
          <cell r="A199" t="str">
            <v>C5223</v>
          </cell>
          <cell r="B199" t="str">
            <v>Natalia</v>
          </cell>
          <cell r="C199" t="str">
            <v>CHORZEWSKA</v>
          </cell>
          <cell r="D199" t="str">
            <v>UKS Unia Bieruń</v>
          </cell>
        </row>
        <row r="200">
          <cell r="A200" t="str">
            <v>C5081</v>
          </cell>
          <cell r="B200" t="str">
            <v>Agnieszka</v>
          </cell>
          <cell r="C200" t="str">
            <v>CHRABĄSZCZ</v>
          </cell>
          <cell r="D200" t="str">
            <v>UMKS Junis Szczucin</v>
          </cell>
        </row>
        <row r="201">
          <cell r="A201" t="str">
            <v>C5082</v>
          </cell>
          <cell r="B201" t="str">
            <v>Anna</v>
          </cell>
          <cell r="C201" t="str">
            <v>CHRABĄSZCZ</v>
          </cell>
          <cell r="D201" t="str">
            <v>UMKS Junis Szczucin</v>
          </cell>
        </row>
        <row r="202">
          <cell r="A202" t="str">
            <v>C2306</v>
          </cell>
          <cell r="B202" t="str">
            <v>Katarzyna</v>
          </cell>
          <cell r="C202" t="str">
            <v>CHROMIK</v>
          </cell>
          <cell r="D202" t="str">
            <v>UKS Ostrówek</v>
          </cell>
        </row>
        <row r="203">
          <cell r="A203" t="str">
            <v>C3698</v>
          </cell>
          <cell r="B203" t="str">
            <v>Krystian</v>
          </cell>
          <cell r="C203" t="str">
            <v>CHRZĄŚCIK</v>
          </cell>
          <cell r="D203" t="str">
            <v>UKS Orliki Ropica Polska</v>
          </cell>
        </row>
        <row r="204">
          <cell r="A204" t="str">
            <v>C4268</v>
          </cell>
          <cell r="B204" t="str">
            <v>Karolina</v>
          </cell>
          <cell r="C204" t="str">
            <v>CHUDZIŃSKA</v>
          </cell>
          <cell r="D204" t="str">
            <v>STB Energia Lubliniec</v>
          </cell>
        </row>
        <row r="205">
          <cell r="A205" t="str">
            <v>C3516</v>
          </cell>
          <cell r="B205" t="str">
            <v>Aleksandra</v>
          </cell>
          <cell r="C205" t="str">
            <v>CHYŁA</v>
          </cell>
          <cell r="D205" t="str">
            <v>SKB Piast Słupsk</v>
          </cell>
        </row>
        <row r="206">
          <cell r="A206" t="str">
            <v>C3879</v>
          </cell>
          <cell r="B206" t="str">
            <v>Kamila</v>
          </cell>
          <cell r="C206" t="str">
            <v>CHYTROŚ</v>
          </cell>
          <cell r="D206" t="str">
            <v>MKS Spartakus Niepołomice</v>
          </cell>
        </row>
        <row r="207">
          <cell r="A207" t="str">
            <v>C1861</v>
          </cell>
          <cell r="B207" t="str">
            <v>Przemysław</v>
          </cell>
          <cell r="C207" t="str">
            <v>CIASTOŃ</v>
          </cell>
          <cell r="D207" t="str">
            <v>MLKS Solec Kuj.</v>
          </cell>
        </row>
        <row r="208">
          <cell r="A208" t="str">
            <v>C5714</v>
          </cell>
          <cell r="B208" t="str">
            <v>Tomasz</v>
          </cell>
          <cell r="C208" t="str">
            <v>CIBOROWSKI</v>
          </cell>
          <cell r="D208" t="str">
            <v>----</v>
          </cell>
        </row>
        <row r="209">
          <cell r="A209" t="str">
            <v>C5306</v>
          </cell>
          <cell r="B209" t="str">
            <v>Anna</v>
          </cell>
          <cell r="C209" t="str">
            <v>CICHOCKA</v>
          </cell>
          <cell r="D209" t="str">
            <v>----</v>
          </cell>
        </row>
        <row r="210">
          <cell r="A210" t="str">
            <v>C5327</v>
          </cell>
          <cell r="B210" t="str">
            <v>Walentyna</v>
          </cell>
          <cell r="C210" t="str">
            <v>CICHOCKA</v>
          </cell>
          <cell r="D210" t="str">
            <v>UKS Jagiellonka Medyka</v>
          </cell>
        </row>
        <row r="211">
          <cell r="A211" t="str">
            <v>C1463</v>
          </cell>
          <cell r="B211" t="str">
            <v>Bolesław</v>
          </cell>
          <cell r="C211" t="str">
            <v>CICHOCKI</v>
          </cell>
          <cell r="D211" t="str">
            <v>----</v>
          </cell>
        </row>
        <row r="212">
          <cell r="A212" t="str">
            <v>C3958</v>
          </cell>
          <cell r="B212" t="str">
            <v>Milena</v>
          </cell>
          <cell r="C212" t="str">
            <v>CICHOMSKA</v>
          </cell>
          <cell r="D212" t="str">
            <v>UKS Iskra Sarbice</v>
          </cell>
        </row>
        <row r="213">
          <cell r="A213" t="str">
            <v>C2812</v>
          </cell>
          <cell r="B213" t="str">
            <v>Krystyna</v>
          </cell>
          <cell r="C213" t="str">
            <v>CIELECKA</v>
          </cell>
          <cell r="D213" t="str">
            <v>----</v>
          </cell>
        </row>
        <row r="214">
          <cell r="A214" t="str">
            <v>C5112</v>
          </cell>
          <cell r="B214" t="str">
            <v>Marek</v>
          </cell>
          <cell r="C214" t="str">
            <v>CIELECKI</v>
          </cell>
          <cell r="D214" t="str">
            <v>----</v>
          </cell>
        </row>
        <row r="215">
          <cell r="A215" t="str">
            <v>C5534</v>
          </cell>
          <cell r="B215" t="str">
            <v>Pawł</v>
          </cell>
          <cell r="C215" t="str">
            <v>CIEPIELEWSKI</v>
          </cell>
          <cell r="D215" t="str">
            <v>SKB Suwałki</v>
          </cell>
        </row>
        <row r="216">
          <cell r="A216" t="str">
            <v>C4351</v>
          </cell>
          <cell r="B216" t="str">
            <v>Szymon</v>
          </cell>
          <cell r="C216" t="str">
            <v>CIEPLAK</v>
          </cell>
          <cell r="D216" t="str">
            <v>AZSWAT Warszawa</v>
          </cell>
        </row>
        <row r="217">
          <cell r="A217" t="str">
            <v>C3400</v>
          </cell>
          <cell r="B217" t="str">
            <v>Monika</v>
          </cell>
          <cell r="C217" t="str">
            <v>CIEPŁA</v>
          </cell>
          <cell r="D217" t="str">
            <v>UKS 2 Sobótka</v>
          </cell>
        </row>
        <row r="218">
          <cell r="A218" t="str">
            <v>C5063</v>
          </cell>
          <cell r="B218" t="str">
            <v>Karolina</v>
          </cell>
          <cell r="C218" t="str">
            <v>CIEŚLUK</v>
          </cell>
          <cell r="D218" t="str">
            <v>UKS Hubal Białystok</v>
          </cell>
        </row>
        <row r="219">
          <cell r="A219" t="str">
            <v>C0181</v>
          </cell>
          <cell r="B219" t="str">
            <v>Adam</v>
          </cell>
          <cell r="C219" t="str">
            <v>CIMOSZ</v>
          </cell>
          <cell r="D219" t="str">
            <v>KS Chojnik Jelenia Góra</v>
          </cell>
        </row>
        <row r="220">
          <cell r="A220" t="str">
            <v>C4406</v>
          </cell>
          <cell r="B220" t="str">
            <v>Łukasz</v>
          </cell>
          <cell r="C220" t="str">
            <v>CIMOSZ</v>
          </cell>
          <cell r="D220" t="str">
            <v>KS Chojnik Jelenia Góra</v>
          </cell>
        </row>
        <row r="221">
          <cell r="A221" t="str">
            <v>C2602</v>
          </cell>
          <cell r="B221" t="str">
            <v>Adam</v>
          </cell>
          <cell r="C221" t="str">
            <v>CIOK</v>
          </cell>
          <cell r="D221" t="str">
            <v>AZSUW Warszawa</v>
          </cell>
        </row>
        <row r="222">
          <cell r="A222" t="str">
            <v>C3688</v>
          </cell>
          <cell r="B222" t="str">
            <v>Marcin</v>
          </cell>
          <cell r="C222" t="str">
            <v>CIOK</v>
          </cell>
          <cell r="D222" t="str">
            <v>UKS Dwójka Wesoła</v>
          </cell>
        </row>
        <row r="223">
          <cell r="A223" t="str">
            <v>C5741</v>
          </cell>
          <cell r="B223" t="str">
            <v>Paulina</v>
          </cell>
          <cell r="C223" t="str">
            <v>CIOS</v>
          </cell>
          <cell r="D223" t="str">
            <v>UKS Kiko Zamość</v>
          </cell>
        </row>
        <row r="224">
          <cell r="A224" t="str">
            <v>C5337</v>
          </cell>
          <cell r="B224" t="str">
            <v>Karina</v>
          </cell>
          <cell r="C224" t="str">
            <v>CISOWSKA</v>
          </cell>
          <cell r="D224" t="str">
            <v>UKS 2 Sobótka</v>
          </cell>
        </row>
        <row r="225">
          <cell r="A225" t="str">
            <v>C5897</v>
          </cell>
          <cell r="B225" t="str">
            <v>Angelika</v>
          </cell>
          <cell r="C225" t="str">
            <v>CIUPAK</v>
          </cell>
          <cell r="D225" t="str">
            <v>Górnik Łęczna SA</v>
          </cell>
        </row>
        <row r="226">
          <cell r="A226" t="str">
            <v>C1352</v>
          </cell>
          <cell r="B226" t="str">
            <v>Mateusz</v>
          </cell>
          <cell r="C226" t="str">
            <v>CIURKOT</v>
          </cell>
          <cell r="D226" t="str">
            <v>UKS Orbitek Straszęcin</v>
          </cell>
        </row>
        <row r="227">
          <cell r="A227" t="str">
            <v>C2877</v>
          </cell>
          <cell r="B227" t="str">
            <v>Bartosz</v>
          </cell>
          <cell r="C227" t="str">
            <v>CURZYTEK</v>
          </cell>
          <cell r="D227" t="str">
            <v>UKS Sokół Ropczyce</v>
          </cell>
        </row>
        <row r="228">
          <cell r="A228" t="str">
            <v>C5791</v>
          </cell>
          <cell r="B228" t="str">
            <v>Kasper</v>
          </cell>
          <cell r="C228" t="str">
            <v>CURZYTEK</v>
          </cell>
          <cell r="D228" t="str">
            <v>UKS Sokół Ropczyce</v>
          </cell>
        </row>
        <row r="229">
          <cell r="A229" t="str">
            <v>C0171</v>
          </cell>
          <cell r="B229" t="str">
            <v>Adam</v>
          </cell>
          <cell r="C229" t="str">
            <v>CWALINA</v>
          </cell>
          <cell r="D229" t="str">
            <v>SKB Suwałki</v>
          </cell>
        </row>
        <row r="230">
          <cell r="A230" t="str">
            <v>C5357</v>
          </cell>
          <cell r="B230" t="str">
            <v>Natalia</v>
          </cell>
          <cell r="C230" t="str">
            <v>CYBULSKA</v>
          </cell>
          <cell r="D230" t="str">
            <v>UKS Iskra Babimost</v>
          </cell>
        </row>
        <row r="231">
          <cell r="A231" t="str">
            <v>C3670</v>
          </cell>
          <cell r="B231" t="str">
            <v>Robert</v>
          </cell>
          <cell r="C231" t="str">
            <v>CYBULSKI</v>
          </cell>
          <cell r="D231" t="str">
            <v>MKB Lednik Miastko</v>
          </cell>
        </row>
        <row r="232">
          <cell r="A232" t="str">
            <v>C4264</v>
          </cell>
          <cell r="B232" t="str">
            <v>Szymon</v>
          </cell>
          <cell r="C232" t="str">
            <v>CYBULSKI</v>
          </cell>
          <cell r="D232" t="str">
            <v>MKB Lednik Miastko</v>
          </cell>
        </row>
        <row r="233">
          <cell r="A233" t="str">
            <v>C 031</v>
          </cell>
          <cell r="B233" t="str">
            <v>Dominika</v>
          </cell>
          <cell r="C233" t="str">
            <v>CYGAN</v>
          </cell>
          <cell r="D233" t="str">
            <v>KKS Ruch Piotrków Tryb.</v>
          </cell>
        </row>
        <row r="234">
          <cell r="A234" t="str">
            <v>C4035</v>
          </cell>
          <cell r="B234" t="str">
            <v>Natalia</v>
          </cell>
          <cell r="C234" t="str">
            <v>CYGAN</v>
          </cell>
          <cell r="D234" t="str">
            <v>KKS Ruch Piotrków Tryb.</v>
          </cell>
        </row>
        <row r="235">
          <cell r="A235" t="str">
            <v>C5340</v>
          </cell>
          <cell r="B235" t="str">
            <v>Hubert</v>
          </cell>
          <cell r="C235" t="str">
            <v>CYMBALISTA</v>
          </cell>
          <cell r="D235" t="str">
            <v>UKS 2 Sobótka</v>
          </cell>
        </row>
        <row r="236">
          <cell r="A236" t="str">
            <v>C1202</v>
          </cell>
          <cell r="B236" t="str">
            <v>Mateusz</v>
          </cell>
          <cell r="C236" t="str">
            <v>CZACHOR</v>
          </cell>
          <cell r="D236" t="str">
            <v>MKS Stal Nowa Dęba</v>
          </cell>
        </row>
        <row r="237">
          <cell r="A237" t="str">
            <v>C0358</v>
          </cell>
          <cell r="B237" t="str">
            <v>Filip</v>
          </cell>
          <cell r="C237" t="str">
            <v>CZAJA</v>
          </cell>
          <cell r="D237" t="str">
            <v>UKS Kiko Zamość</v>
          </cell>
        </row>
        <row r="238">
          <cell r="A238" t="str">
            <v>C5397</v>
          </cell>
          <cell r="B238" t="str">
            <v>Igor</v>
          </cell>
          <cell r="C238" t="str">
            <v>CZAPKOWICZ</v>
          </cell>
          <cell r="D238" t="str">
            <v>PMKS Chrobry Piotrowice</v>
          </cell>
        </row>
        <row r="239">
          <cell r="A239" t="str">
            <v>C5991</v>
          </cell>
          <cell r="B239" t="str">
            <v>Gabriela</v>
          </cell>
          <cell r="C239" t="str">
            <v>CZARNECKA</v>
          </cell>
          <cell r="D239" t="str">
            <v>KSR Wolant Łódź</v>
          </cell>
        </row>
        <row r="240">
          <cell r="A240" t="str">
            <v>C4787</v>
          </cell>
          <cell r="B240" t="str">
            <v>Maciej</v>
          </cell>
          <cell r="C240" t="str">
            <v>CZARSKI</v>
          </cell>
          <cell r="D240" t="str">
            <v>AZSWAT Warszawa</v>
          </cell>
        </row>
        <row r="241">
          <cell r="A241" t="str">
            <v>C3953</v>
          </cell>
          <cell r="B241" t="str">
            <v>Mateusz</v>
          </cell>
          <cell r="C241" t="str">
            <v>CZECHOWICZ</v>
          </cell>
          <cell r="D241" t="str">
            <v>KS Chojnik Jelenia Góra</v>
          </cell>
        </row>
        <row r="242">
          <cell r="A242" t="str">
            <v>C4747</v>
          </cell>
          <cell r="B242" t="str">
            <v>Marcin</v>
          </cell>
          <cell r="C242" t="str">
            <v>CZEKAŁA</v>
          </cell>
          <cell r="D242" t="str">
            <v>UKSOSIR Badminton Sławno</v>
          </cell>
        </row>
        <row r="243">
          <cell r="A243" t="str">
            <v>C1712</v>
          </cell>
          <cell r="B243" t="str">
            <v>Robert</v>
          </cell>
          <cell r="C243" t="str">
            <v>CZEMBOR</v>
          </cell>
          <cell r="D243" t="str">
            <v>UKS Plesbad Pszczyna</v>
          </cell>
        </row>
        <row r="244">
          <cell r="A244" t="str">
            <v>C5596</v>
          </cell>
          <cell r="B244" t="str">
            <v>Anna</v>
          </cell>
          <cell r="C244" t="str">
            <v>CZEMPIK</v>
          </cell>
          <cell r="D244" t="str">
            <v>STB Energia Lubliniec</v>
          </cell>
        </row>
        <row r="245">
          <cell r="A245" t="str">
            <v>C5119</v>
          </cell>
          <cell r="B245" t="str">
            <v>Jacek</v>
          </cell>
          <cell r="C245" t="str">
            <v>CZERNECKI</v>
          </cell>
          <cell r="D245" t="str">
            <v>UKS Plesbad Pszczyna</v>
          </cell>
        </row>
        <row r="246">
          <cell r="A246" t="str">
            <v>C5118</v>
          </cell>
          <cell r="B246" t="str">
            <v>Maciej</v>
          </cell>
          <cell r="C246" t="str">
            <v>CZERNECKI</v>
          </cell>
          <cell r="D246" t="str">
            <v>UKS Plesbad Pszczyna</v>
          </cell>
        </row>
        <row r="247">
          <cell r="A247" t="str">
            <v>C5316</v>
          </cell>
          <cell r="B247" t="str">
            <v>Daria</v>
          </cell>
          <cell r="C247" t="str">
            <v>CZERNIAWSKA</v>
          </cell>
          <cell r="D247" t="str">
            <v>SKB Suwałki</v>
          </cell>
        </row>
        <row r="248">
          <cell r="A248" t="str">
            <v>C5783</v>
          </cell>
          <cell r="B248" t="str">
            <v>Filip</v>
          </cell>
          <cell r="C248" t="str">
            <v>CZERWIEC</v>
          </cell>
          <cell r="D248" t="str">
            <v>UKS Orbitek Straszęcin</v>
          </cell>
        </row>
        <row r="249">
          <cell r="A249" t="str">
            <v>C5328</v>
          </cell>
          <cell r="B249" t="str">
            <v>Ewelina</v>
          </cell>
          <cell r="C249" t="str">
            <v>CZERWIŃSKA</v>
          </cell>
          <cell r="D249" t="str">
            <v>UKS Jagiellonka Medyka</v>
          </cell>
        </row>
        <row r="250">
          <cell r="A250" t="str">
            <v>C3964</v>
          </cell>
          <cell r="B250" t="str">
            <v>Karolina</v>
          </cell>
          <cell r="C250" t="str">
            <v>CZERWIŃSKA</v>
          </cell>
          <cell r="D250" t="str">
            <v>UKS Kiko Zamość</v>
          </cell>
        </row>
        <row r="251">
          <cell r="A251" t="str">
            <v>C3008</v>
          </cell>
          <cell r="B251" t="str">
            <v>Kacper</v>
          </cell>
          <cell r="C251" t="str">
            <v>CZERWIŃSKI</v>
          </cell>
          <cell r="D251" t="str">
            <v>UKS Kiko Zamość</v>
          </cell>
        </row>
        <row r="252">
          <cell r="A252" t="str">
            <v>C4181</v>
          </cell>
          <cell r="B252" t="str">
            <v>Miłosz</v>
          </cell>
          <cell r="C252" t="str">
            <v>CZERWIŃSKI</v>
          </cell>
          <cell r="D252" t="str">
            <v>UKS Iskra Babimost</v>
          </cell>
        </row>
        <row r="253">
          <cell r="A253" t="str">
            <v>C4439</v>
          </cell>
          <cell r="B253" t="str">
            <v>Dawid</v>
          </cell>
          <cell r="C253" t="str">
            <v>CZOSNYKA</v>
          </cell>
          <cell r="D253" t="str">
            <v>UKS Sokół Ropczyce</v>
          </cell>
        </row>
        <row r="254">
          <cell r="A254" t="str">
            <v>C5904</v>
          </cell>
          <cell r="B254" t="str">
            <v>Agnieszka</v>
          </cell>
          <cell r="C254" t="str">
            <v>CZUCHRA</v>
          </cell>
          <cell r="D254" t="str">
            <v>BKS Kolejarz Katowice</v>
          </cell>
        </row>
        <row r="255">
          <cell r="A255" t="str">
            <v>C5905</v>
          </cell>
          <cell r="B255" t="str">
            <v>Anna</v>
          </cell>
          <cell r="C255" t="str">
            <v>CZUCHRA</v>
          </cell>
          <cell r="D255" t="str">
            <v>BKS Kolejarz Katowice</v>
          </cell>
        </row>
        <row r="256">
          <cell r="A256" t="str">
            <v>C5829</v>
          </cell>
          <cell r="B256" t="str">
            <v>Natalia</v>
          </cell>
          <cell r="C256" t="str">
            <v>CZUŁOWSKA</v>
          </cell>
          <cell r="D256" t="str">
            <v>KS Stal Sulęcin</v>
          </cell>
        </row>
        <row r="257">
          <cell r="A257" t="str">
            <v>C5828</v>
          </cell>
          <cell r="B257" t="str">
            <v>Wiktoria</v>
          </cell>
          <cell r="C257" t="str">
            <v>CZUŁOWSKA</v>
          </cell>
          <cell r="D257" t="str">
            <v>KS Stal Sulęcin</v>
          </cell>
        </row>
        <row r="258">
          <cell r="A258" t="str">
            <v>C4740</v>
          </cell>
          <cell r="B258" t="str">
            <v>Wiktoria</v>
          </cell>
          <cell r="C258" t="str">
            <v>CZUPAJŁO</v>
          </cell>
          <cell r="D258" t="str">
            <v>UKS Kometa Sianów</v>
          </cell>
        </row>
        <row r="259">
          <cell r="A259" t="str">
            <v>C1892</v>
          </cell>
          <cell r="B259" t="str">
            <v>Tymoteusz</v>
          </cell>
          <cell r="C259" t="str">
            <v>CZYSZ</v>
          </cell>
          <cell r="D259" t="str">
            <v>UKS Plesbad Pszczyna</v>
          </cell>
        </row>
        <row r="260">
          <cell r="A260" t="str">
            <v>Ć2294</v>
          </cell>
          <cell r="B260" t="str">
            <v>Paweł</v>
          </cell>
          <cell r="C260" t="str">
            <v>ĆWIEK</v>
          </cell>
          <cell r="D260" t="str">
            <v>ŚKBad Harcownik Warszawa</v>
          </cell>
        </row>
        <row r="261">
          <cell r="A261" t="str">
            <v>D2547</v>
          </cell>
          <cell r="B261" t="str">
            <v>Andrzej</v>
          </cell>
          <cell r="C261" t="str">
            <v>DADAS</v>
          </cell>
          <cell r="D261" t="str">
            <v>MKS Garwolin</v>
          </cell>
        </row>
        <row r="262">
          <cell r="A262" t="str">
            <v>D5571</v>
          </cell>
          <cell r="B262" t="str">
            <v>Dominik</v>
          </cell>
          <cell r="C262" t="str">
            <v>DADEJ</v>
          </cell>
          <cell r="D262" t="str">
            <v>PMKS Chrobry Piotrowice</v>
          </cell>
        </row>
        <row r="263">
          <cell r="A263" t="str">
            <v>D5860</v>
          </cell>
          <cell r="B263" t="str">
            <v>Kornel</v>
          </cell>
          <cell r="C263" t="str">
            <v>DAHLKE</v>
          </cell>
          <cell r="D263" t="str">
            <v>----</v>
          </cell>
        </row>
        <row r="264">
          <cell r="A264" t="str">
            <v>D0642</v>
          </cell>
          <cell r="B264" t="str">
            <v>Dorota</v>
          </cell>
          <cell r="C264" t="str">
            <v>DANIELAK</v>
          </cell>
          <cell r="D264" t="str">
            <v>KKS Ruch Piotrków Tryb.</v>
          </cell>
        </row>
        <row r="265">
          <cell r="A265" t="str">
            <v>D3323</v>
          </cell>
          <cell r="B265" t="str">
            <v>Mateusz</v>
          </cell>
          <cell r="C265" t="str">
            <v>DANIELAK</v>
          </cell>
          <cell r="D265" t="str">
            <v>KKS Ruch Piotrków Tryb.</v>
          </cell>
        </row>
        <row r="266">
          <cell r="A266" t="str">
            <v>D3427</v>
          </cell>
          <cell r="B266" t="str">
            <v>Wiktoria</v>
          </cell>
          <cell r="C266" t="str">
            <v>DĄBCZYŃSKA</v>
          </cell>
          <cell r="D266" t="str">
            <v>MKS Orlicz Suchedniów</v>
          </cell>
        </row>
        <row r="267">
          <cell r="A267" t="str">
            <v>D5251</v>
          </cell>
          <cell r="B267" t="str">
            <v>Tomasz</v>
          </cell>
          <cell r="C267" t="str">
            <v>DĄBEK</v>
          </cell>
          <cell r="D267" t="str">
            <v>----</v>
          </cell>
        </row>
        <row r="268">
          <cell r="A268" t="str">
            <v>D5078</v>
          </cell>
          <cell r="B268" t="str">
            <v>Kamila</v>
          </cell>
          <cell r="C268" t="str">
            <v>DĄBROWSKA</v>
          </cell>
          <cell r="D268" t="str">
            <v>UKS Badminton Stare Babice</v>
          </cell>
        </row>
        <row r="269">
          <cell r="A269" t="str">
            <v>D5491</v>
          </cell>
          <cell r="B269" t="str">
            <v>Grzegorz</v>
          </cell>
          <cell r="C269" t="str">
            <v>DĄBROWSKI</v>
          </cell>
          <cell r="D269" t="str">
            <v>----</v>
          </cell>
        </row>
        <row r="270">
          <cell r="A270" t="str">
            <v>D2367</v>
          </cell>
          <cell r="B270" t="str">
            <v>Maciej</v>
          </cell>
          <cell r="C270" t="str">
            <v>DĄBROWSKI</v>
          </cell>
          <cell r="D270" t="str">
            <v>UKS Hubal Białystok</v>
          </cell>
        </row>
        <row r="271">
          <cell r="A271" t="str">
            <v>D5914</v>
          </cell>
          <cell r="B271" t="str">
            <v>Jean-Sylvain</v>
          </cell>
          <cell r="C271" t="str">
            <v>DELEPAUT</v>
          </cell>
          <cell r="D271" t="str">
            <v>----</v>
          </cell>
        </row>
        <row r="272">
          <cell r="A272" t="str">
            <v>D5431</v>
          </cell>
          <cell r="B272" t="str">
            <v>Szymon</v>
          </cell>
          <cell r="C272" t="str">
            <v>DEMKÓW</v>
          </cell>
          <cell r="D272" t="str">
            <v>UKS 2 Sobótka</v>
          </cell>
        </row>
        <row r="273">
          <cell r="A273" t="str">
            <v>D5430</v>
          </cell>
          <cell r="B273" t="str">
            <v>Weronika</v>
          </cell>
          <cell r="C273" t="str">
            <v>DEMKÓW</v>
          </cell>
          <cell r="D273" t="str">
            <v>UKS 2 Sobótka</v>
          </cell>
        </row>
        <row r="274">
          <cell r="A274" t="str">
            <v>D5265</v>
          </cell>
          <cell r="B274" t="str">
            <v>Aleksandra</v>
          </cell>
          <cell r="C274" t="str">
            <v>DEMSKA</v>
          </cell>
          <cell r="D274" t="str">
            <v>KS Match Point Ślęza</v>
          </cell>
        </row>
        <row r="275">
          <cell r="A275" t="str">
            <v>D5371</v>
          </cell>
          <cell r="B275" t="str">
            <v>Szymon</v>
          </cell>
          <cell r="C275" t="str">
            <v>DENKIEWICZ</v>
          </cell>
          <cell r="D275" t="str">
            <v>UKS Kiko Zamość</v>
          </cell>
        </row>
        <row r="276">
          <cell r="A276" t="str">
            <v>D4252</v>
          </cell>
          <cell r="B276" t="str">
            <v>Klaudia</v>
          </cell>
          <cell r="C276" t="str">
            <v>DERDA</v>
          </cell>
          <cell r="D276" t="str">
            <v>----</v>
          </cell>
        </row>
        <row r="277">
          <cell r="A277" t="str">
            <v>D3918</v>
          </cell>
          <cell r="B277" t="str">
            <v>Patrycja</v>
          </cell>
          <cell r="C277" t="str">
            <v>DEREWIECKA</v>
          </cell>
          <cell r="D277" t="str">
            <v>UKS Kiko Zamość</v>
          </cell>
        </row>
        <row r="278">
          <cell r="A278" t="str">
            <v>D5343</v>
          </cell>
          <cell r="B278" t="str">
            <v>Jarosław</v>
          </cell>
          <cell r="C278" t="str">
            <v>DEREWIECKI</v>
          </cell>
          <cell r="D278" t="str">
            <v>UKS Kiko Zamość</v>
          </cell>
        </row>
        <row r="279">
          <cell r="A279" t="str">
            <v>D5753</v>
          </cell>
          <cell r="B279" t="str">
            <v>Dawid</v>
          </cell>
          <cell r="C279" t="str">
            <v>DĘBICKI</v>
          </cell>
          <cell r="D279" t="str">
            <v>UKS Kiko Zamość</v>
          </cell>
        </row>
        <row r="280">
          <cell r="A280" t="str">
            <v>D5587</v>
          </cell>
          <cell r="B280" t="str">
            <v>Dominik</v>
          </cell>
          <cell r="C280" t="str">
            <v>DĘBIŃSKI</v>
          </cell>
          <cell r="D280" t="str">
            <v>UKS Kiko Zamość</v>
          </cell>
        </row>
        <row r="281">
          <cell r="A281" t="str">
            <v>D3155</v>
          </cell>
          <cell r="B281" t="str">
            <v>Anna</v>
          </cell>
          <cell r="C281" t="str">
            <v>DĘBSKA</v>
          </cell>
          <cell r="D281" t="str">
            <v>UKSB Milenium Warszawa</v>
          </cell>
        </row>
        <row r="282">
          <cell r="A282" t="str">
            <v>D0758</v>
          </cell>
          <cell r="B282" t="str">
            <v>Jakub</v>
          </cell>
          <cell r="C282" t="str">
            <v>DĘBSKI</v>
          </cell>
          <cell r="D282" t="str">
            <v>ŚKBad Harcownik Warszawa</v>
          </cell>
        </row>
        <row r="283">
          <cell r="A283" t="str">
            <v>D2039</v>
          </cell>
          <cell r="B283" t="str">
            <v>Paweł</v>
          </cell>
          <cell r="C283" t="str">
            <v>DĘBSKI</v>
          </cell>
          <cell r="D283" t="str">
            <v>ŚKBad Harcownik Warszawa</v>
          </cell>
        </row>
        <row r="284">
          <cell r="A284" t="str">
            <v>D5802</v>
          </cell>
          <cell r="B284" t="str">
            <v>Katarzyna</v>
          </cell>
          <cell r="C284" t="str">
            <v>DŁUGOSZ</v>
          </cell>
          <cell r="D284" t="str">
            <v>UKS Iskra Babimost</v>
          </cell>
        </row>
        <row r="285">
          <cell r="A285" t="str">
            <v>D3428</v>
          </cell>
          <cell r="B285" t="str">
            <v>Adrian</v>
          </cell>
          <cell r="C285" t="str">
            <v>DOBOSIEWICZ</v>
          </cell>
          <cell r="D285" t="str">
            <v>ŚKBad Harcownik Warszawa</v>
          </cell>
        </row>
        <row r="286">
          <cell r="A286" t="str">
            <v>D0749</v>
          </cell>
          <cell r="B286" t="str">
            <v>Mateusz</v>
          </cell>
          <cell r="C286" t="str">
            <v>DOBROŃSKI</v>
          </cell>
          <cell r="D286" t="str">
            <v>AZSUWM Olsztyn</v>
          </cell>
        </row>
        <row r="287">
          <cell r="A287" t="str">
            <v>D5971</v>
          </cell>
          <cell r="B287" t="str">
            <v>Agata</v>
          </cell>
          <cell r="C287" t="str">
            <v>DOBROWOLSKA</v>
          </cell>
          <cell r="D287" t="str">
            <v>KS Chojnik Jelenia Góra</v>
          </cell>
        </row>
        <row r="288">
          <cell r="A288" t="str">
            <v>D4683</v>
          </cell>
          <cell r="B288" t="str">
            <v>Nadia</v>
          </cell>
          <cell r="C288" t="str">
            <v>DOBROWOLSKA</v>
          </cell>
          <cell r="D288" t="str">
            <v>UKS Kopernik Słupca</v>
          </cell>
        </row>
        <row r="289">
          <cell r="A289" t="str">
            <v>D5509</v>
          </cell>
          <cell r="B289" t="str">
            <v>Zbigniew</v>
          </cell>
          <cell r="C289" t="str">
            <v>DOLATA</v>
          </cell>
          <cell r="D289" t="str">
            <v>----</v>
          </cell>
        </row>
        <row r="290">
          <cell r="A290" t="str">
            <v>D5619</v>
          </cell>
          <cell r="B290" t="str">
            <v>Paweł</v>
          </cell>
          <cell r="C290" t="str">
            <v>DOLIBÓG</v>
          </cell>
          <cell r="D290" t="str">
            <v>----</v>
          </cell>
        </row>
        <row r="291">
          <cell r="A291" t="str">
            <v>D2843</v>
          </cell>
          <cell r="B291" t="str">
            <v>Emilia</v>
          </cell>
          <cell r="C291" t="str">
            <v>DOLNA</v>
          </cell>
          <cell r="D291" t="str">
            <v>SKB Piast Słupsk</v>
          </cell>
        </row>
        <row r="292">
          <cell r="A292" t="str">
            <v>D5992</v>
          </cell>
          <cell r="B292" t="str">
            <v>Marta</v>
          </cell>
          <cell r="C292" t="str">
            <v>DOLNIAK</v>
          </cell>
          <cell r="D292" t="str">
            <v>KSR Wolant Łódź</v>
          </cell>
        </row>
        <row r="293">
          <cell r="A293" t="str">
            <v>D 026</v>
          </cell>
          <cell r="B293" t="str">
            <v>Jerzy</v>
          </cell>
          <cell r="C293" t="str">
            <v>DOŁHAN</v>
          </cell>
          <cell r="D293" t="str">
            <v>SKB Suwałki</v>
          </cell>
        </row>
        <row r="294">
          <cell r="A294" t="str">
            <v>D5052</v>
          </cell>
          <cell r="B294" t="str">
            <v>Patrycja</v>
          </cell>
          <cell r="C294" t="str">
            <v>DOMAŃSKA</v>
          </cell>
          <cell r="D294" t="str">
            <v>----</v>
          </cell>
        </row>
        <row r="295">
          <cell r="A295" t="str">
            <v>D5547</v>
          </cell>
          <cell r="B295" t="str">
            <v>Weronika</v>
          </cell>
          <cell r="C295" t="str">
            <v>DOMAŃSKA</v>
          </cell>
          <cell r="D295" t="str">
            <v>AZSAGH Kraków</v>
          </cell>
        </row>
        <row r="296">
          <cell r="A296" t="str">
            <v>D4797</v>
          </cell>
          <cell r="B296" t="str">
            <v>Anna</v>
          </cell>
          <cell r="C296" t="str">
            <v>DOMŻALSKA</v>
          </cell>
          <cell r="D296" t="str">
            <v>SLKS Tramp Orneta</v>
          </cell>
        </row>
        <row r="297">
          <cell r="A297" t="str">
            <v>D4545</v>
          </cell>
          <cell r="B297" t="str">
            <v>Joanna</v>
          </cell>
          <cell r="C297" t="str">
            <v>DORAWA</v>
          </cell>
          <cell r="D297" t="str">
            <v>MKB Lednik Miastko</v>
          </cell>
        </row>
        <row r="298">
          <cell r="A298" t="str">
            <v>D1081</v>
          </cell>
          <cell r="B298" t="str">
            <v>Zbigniew</v>
          </cell>
          <cell r="C298" t="str">
            <v>DORNA</v>
          </cell>
          <cell r="D298" t="str">
            <v>----</v>
          </cell>
        </row>
        <row r="299">
          <cell r="A299" t="str">
            <v>D0591</v>
          </cell>
          <cell r="B299" t="str">
            <v>Agata</v>
          </cell>
          <cell r="C299" t="str">
            <v>DOROSZKIEWICZ</v>
          </cell>
          <cell r="D299" t="str">
            <v>----</v>
          </cell>
        </row>
        <row r="300">
          <cell r="A300" t="str">
            <v>D5803</v>
          </cell>
          <cell r="B300" t="str">
            <v>Amelia</v>
          </cell>
          <cell r="C300" t="str">
            <v>DRAGA</v>
          </cell>
          <cell r="D300" t="str">
            <v>UKS Iskra Babimost</v>
          </cell>
        </row>
        <row r="301">
          <cell r="A301" t="str">
            <v>D5143</v>
          </cell>
          <cell r="B301" t="str">
            <v>Wojciech</v>
          </cell>
          <cell r="C301" t="str">
            <v>DRANIKOWSKI</v>
          </cell>
          <cell r="D301" t="str">
            <v>UKS Kopernik Słupca</v>
          </cell>
        </row>
        <row r="302">
          <cell r="A302" t="str">
            <v>D5062</v>
          </cell>
          <cell r="B302" t="str">
            <v>Emilia</v>
          </cell>
          <cell r="C302" t="str">
            <v>DRĄGOWSKA</v>
          </cell>
          <cell r="D302" t="str">
            <v>UKS Hubal Białystok</v>
          </cell>
        </row>
        <row r="303">
          <cell r="A303" t="str">
            <v>D3423</v>
          </cell>
          <cell r="B303" t="str">
            <v>Ryszard</v>
          </cell>
          <cell r="C303" t="str">
            <v>DRĄŻKOWSKI</v>
          </cell>
          <cell r="D303" t="str">
            <v>----</v>
          </cell>
        </row>
        <row r="304">
          <cell r="A304" t="str">
            <v>D0119</v>
          </cell>
          <cell r="B304" t="str">
            <v>Wiesław</v>
          </cell>
          <cell r="C304" t="str">
            <v>DREWICZ</v>
          </cell>
          <cell r="D304" t="str">
            <v>----</v>
          </cell>
        </row>
        <row r="305">
          <cell r="A305" t="str">
            <v>D2976</v>
          </cell>
          <cell r="B305" t="str">
            <v>Krzysztof</v>
          </cell>
          <cell r="C305" t="str">
            <v>DROŃ</v>
          </cell>
          <cell r="D305" t="str">
            <v>UKS Hubal Białystok</v>
          </cell>
        </row>
        <row r="306">
          <cell r="A306" t="str">
            <v>D5718</v>
          </cell>
          <cell r="B306" t="str">
            <v>Wiktoria</v>
          </cell>
          <cell r="C306" t="str">
            <v>DROŃ</v>
          </cell>
          <cell r="D306" t="str">
            <v>LUKS Badminton Choroszcz</v>
          </cell>
        </row>
        <row r="307">
          <cell r="A307" t="str">
            <v>D5608</v>
          </cell>
          <cell r="B307" t="str">
            <v>Karolina</v>
          </cell>
          <cell r="C307" t="str">
            <v>DROZDOWSKA</v>
          </cell>
          <cell r="D307" t="str">
            <v>UKSB Volant Mielec</v>
          </cell>
        </row>
        <row r="308">
          <cell r="A308" t="str">
            <v>D5616</v>
          </cell>
          <cell r="B308" t="str">
            <v>Tomasz</v>
          </cell>
          <cell r="C308" t="str">
            <v>DROŻDŻAK</v>
          </cell>
          <cell r="D308" t="str">
            <v>AZSAGH Kraków</v>
          </cell>
        </row>
        <row r="309">
          <cell r="A309" t="str">
            <v>D5617</v>
          </cell>
          <cell r="B309" t="str">
            <v>Patryk</v>
          </cell>
          <cell r="C309" t="str">
            <v>DRUŚ</v>
          </cell>
          <cell r="D309" t="str">
            <v>UKS 70 Płock</v>
          </cell>
        </row>
        <row r="310">
          <cell r="A310" t="str">
            <v>D0593</v>
          </cell>
          <cell r="B310" t="str">
            <v>Lech</v>
          </cell>
          <cell r="C310" t="str">
            <v>DRYŻAŁOWSKI</v>
          </cell>
          <cell r="D310" t="str">
            <v>AZSUWM Olsztyn</v>
          </cell>
        </row>
        <row r="311">
          <cell r="A311" t="str">
            <v>D1898</v>
          </cell>
          <cell r="B311" t="str">
            <v>Mateusz</v>
          </cell>
          <cell r="C311" t="str">
            <v>DUBOWSKI</v>
          </cell>
          <cell r="D311" t="str">
            <v>UKS Hubal Białystok</v>
          </cell>
        </row>
        <row r="312">
          <cell r="A312" t="str">
            <v>D4628</v>
          </cell>
          <cell r="B312" t="str">
            <v>Anna</v>
          </cell>
          <cell r="C312" t="str">
            <v>DUDA</v>
          </cell>
          <cell r="D312" t="str">
            <v>ULKS U-2 Lotka Bytów</v>
          </cell>
        </row>
        <row r="313">
          <cell r="A313" t="str">
            <v>D3651</v>
          </cell>
          <cell r="B313" t="str">
            <v>Ewelina</v>
          </cell>
          <cell r="C313" t="str">
            <v>DUDEK</v>
          </cell>
          <cell r="D313" t="str">
            <v>UKS Ostrówek</v>
          </cell>
        </row>
        <row r="314">
          <cell r="A314" t="str">
            <v>D4699</v>
          </cell>
          <cell r="B314" t="str">
            <v>Wiktoria</v>
          </cell>
          <cell r="C314" t="str">
            <v>DUDEK</v>
          </cell>
          <cell r="D314" t="str">
            <v>----</v>
          </cell>
        </row>
        <row r="315">
          <cell r="A315" t="str">
            <v>D5258</v>
          </cell>
          <cell r="B315" t="str">
            <v>Aleksandra</v>
          </cell>
          <cell r="C315" t="str">
            <v>DUDZIAK</v>
          </cell>
          <cell r="D315" t="str">
            <v>UMKS Dubiecko</v>
          </cell>
        </row>
        <row r="316">
          <cell r="A316" t="str">
            <v>D5336</v>
          </cell>
          <cell r="B316" t="str">
            <v>Artur</v>
          </cell>
          <cell r="C316" t="str">
            <v>DUDZIAK</v>
          </cell>
          <cell r="D316" t="str">
            <v>UMKS Dubiecko</v>
          </cell>
        </row>
        <row r="317">
          <cell r="A317" t="str">
            <v>D5257</v>
          </cell>
          <cell r="B317" t="str">
            <v>Izabela</v>
          </cell>
          <cell r="C317" t="str">
            <v>DUDZIAK</v>
          </cell>
          <cell r="D317" t="str">
            <v>UMKS Dubiecko</v>
          </cell>
        </row>
        <row r="318">
          <cell r="A318" t="str">
            <v>D5865</v>
          </cell>
          <cell r="B318" t="str">
            <v>Jakub</v>
          </cell>
          <cell r="C318" t="str">
            <v>DUDZIAK</v>
          </cell>
          <cell r="D318" t="str">
            <v>UMKS Dubiecko</v>
          </cell>
        </row>
        <row r="319">
          <cell r="A319" t="str">
            <v>D5295</v>
          </cell>
          <cell r="B319" t="str">
            <v>Wiktoria</v>
          </cell>
          <cell r="C319" t="str">
            <v>DUDZIC</v>
          </cell>
          <cell r="D319" t="str">
            <v>UKS KSBad Kraków</v>
          </cell>
        </row>
        <row r="320">
          <cell r="A320" t="str">
            <v>D4912</v>
          </cell>
          <cell r="B320" t="str">
            <v>Magda</v>
          </cell>
          <cell r="C320" t="str">
            <v>DUDZIŃSKA</v>
          </cell>
          <cell r="D320" t="str">
            <v>KKS Ruch Piotrków Tryb.</v>
          </cell>
        </row>
        <row r="321">
          <cell r="A321" t="str">
            <v>D5085</v>
          </cell>
          <cell r="B321" t="str">
            <v>Karol</v>
          </cell>
          <cell r="C321" t="str">
            <v>DULAK</v>
          </cell>
          <cell r="D321" t="str">
            <v>UMKS Junis Szczucin</v>
          </cell>
        </row>
        <row r="322">
          <cell r="A322" t="str">
            <v>D5381</v>
          </cell>
          <cell r="B322" t="str">
            <v>Wojciech</v>
          </cell>
          <cell r="C322" t="str">
            <v>DULĘBA</v>
          </cell>
          <cell r="D322" t="str">
            <v>MKS Orlicz Suchedniów</v>
          </cell>
        </row>
        <row r="323">
          <cell r="A323" t="str">
            <v>D4915</v>
          </cell>
          <cell r="B323" t="str">
            <v>Kinga</v>
          </cell>
          <cell r="C323" t="str">
            <v>DULIŃSKA</v>
          </cell>
          <cell r="D323" t="str">
            <v>UKS 25 Kielce</v>
          </cell>
        </row>
        <row r="324">
          <cell r="A324" t="str">
            <v>D4918</v>
          </cell>
          <cell r="B324" t="str">
            <v>Wiktor</v>
          </cell>
          <cell r="C324" t="str">
            <v>DULIŃSKI</v>
          </cell>
          <cell r="D324" t="str">
            <v>UKS 25 Kielce</v>
          </cell>
        </row>
        <row r="325">
          <cell r="A325" t="str">
            <v>D5972</v>
          </cell>
          <cell r="B325" t="str">
            <v>Martin</v>
          </cell>
          <cell r="C325" t="str">
            <v>DUNIEC</v>
          </cell>
          <cell r="D325" t="str">
            <v>KS Chojnik Jelenia Góra</v>
          </cell>
        </row>
        <row r="326">
          <cell r="A326" t="str">
            <v>D3181</v>
          </cell>
          <cell r="B326" t="str">
            <v>Barbara</v>
          </cell>
          <cell r="C326" t="str">
            <v>DWORAKOWSKA</v>
          </cell>
          <cell r="D326" t="str">
            <v>UKSB Milenium Warszawa</v>
          </cell>
        </row>
        <row r="327">
          <cell r="A327" t="str">
            <v>D4088</v>
          </cell>
          <cell r="B327" t="str">
            <v>Julka</v>
          </cell>
          <cell r="C327" t="str">
            <v>DWORZYŃSKA</v>
          </cell>
          <cell r="D327" t="str">
            <v>KKS Ruch Piotrków Tryb.</v>
          </cell>
        </row>
        <row r="328">
          <cell r="A328" t="str">
            <v>D3178</v>
          </cell>
          <cell r="B328" t="str">
            <v>Dominika</v>
          </cell>
          <cell r="C328" t="str">
            <v>DYBAŁ</v>
          </cell>
          <cell r="D328" t="str">
            <v>AZSAGH Kraków</v>
          </cell>
        </row>
        <row r="329">
          <cell r="A329" t="str">
            <v>D1191</v>
          </cell>
          <cell r="B329" t="str">
            <v>Wiktor</v>
          </cell>
          <cell r="C329" t="str">
            <v>DYBUL</v>
          </cell>
          <cell r="D329" t="str">
            <v>KS Wesoła Warszawa</v>
          </cell>
        </row>
        <row r="330">
          <cell r="A330" t="str">
            <v>D2926</v>
          </cell>
          <cell r="B330" t="str">
            <v>Łukasz</v>
          </cell>
          <cell r="C330" t="str">
            <v>DYCHA</v>
          </cell>
          <cell r="D330" t="str">
            <v>MKS Stal Nowa Dęba</v>
          </cell>
        </row>
        <row r="331">
          <cell r="A331" t="str">
            <v>D5786</v>
          </cell>
          <cell r="B331" t="str">
            <v>Martin</v>
          </cell>
          <cell r="C331" t="str">
            <v>DYDO</v>
          </cell>
          <cell r="D331" t="str">
            <v>UKS Orbitek Straszęcin</v>
          </cell>
        </row>
        <row r="332">
          <cell r="A332" t="str">
            <v>D5782</v>
          </cell>
          <cell r="B332" t="str">
            <v>Arkadiusz</v>
          </cell>
          <cell r="C332" t="str">
            <v>DYDYŃSKI</v>
          </cell>
          <cell r="D332" t="str">
            <v>UKS Orbitek Straszęcin</v>
          </cell>
        </row>
        <row r="333">
          <cell r="A333" t="str">
            <v>D3989</v>
          </cell>
          <cell r="B333" t="str">
            <v>Tomasz</v>
          </cell>
          <cell r="C333" t="str">
            <v>DYLĄG</v>
          </cell>
          <cell r="D333" t="str">
            <v>UKS Badmin Gorlice</v>
          </cell>
        </row>
        <row r="334">
          <cell r="A334" t="str">
            <v>D4622</v>
          </cell>
          <cell r="B334" t="str">
            <v>Klaudia</v>
          </cell>
          <cell r="C334" t="str">
            <v>DYMEK</v>
          </cell>
          <cell r="D334" t="str">
            <v>UKS 70 Płock</v>
          </cell>
        </row>
        <row r="335">
          <cell r="A335" t="str">
            <v>D1636</v>
          </cell>
          <cell r="B335" t="str">
            <v>Mateusz</v>
          </cell>
          <cell r="C335" t="str">
            <v>DYNAK</v>
          </cell>
          <cell r="D335" t="str">
            <v>SKB Piast Słupsk</v>
          </cell>
        </row>
        <row r="336">
          <cell r="A336" t="str">
            <v>D4524</v>
          </cell>
          <cell r="B336" t="str">
            <v>Piotr</v>
          </cell>
          <cell r="C336" t="str">
            <v>DYNIA</v>
          </cell>
          <cell r="D336" t="str">
            <v>ŚKBad Harcownik Warszawa</v>
          </cell>
        </row>
        <row r="337">
          <cell r="A337" t="str">
            <v>D4892</v>
          </cell>
          <cell r="B337" t="str">
            <v>Jakub</v>
          </cell>
          <cell r="C337" t="str">
            <v>DYNIEWICZ</v>
          </cell>
          <cell r="D337" t="str">
            <v>UKSB Milenium Warszawa</v>
          </cell>
        </row>
        <row r="338">
          <cell r="A338" t="str">
            <v>D4893</v>
          </cell>
          <cell r="B338" t="str">
            <v>Karolina</v>
          </cell>
          <cell r="C338" t="str">
            <v>DYNIEWICZ</v>
          </cell>
          <cell r="D338" t="str">
            <v>UKSB Milenium Warszawa</v>
          </cell>
        </row>
        <row r="339">
          <cell r="A339" t="str">
            <v>D5432</v>
          </cell>
          <cell r="B339" t="str">
            <v>Barbara</v>
          </cell>
          <cell r="C339" t="str">
            <v>DYRCZ</v>
          </cell>
          <cell r="D339" t="str">
            <v>UKS 2 Sobótka</v>
          </cell>
        </row>
        <row r="340">
          <cell r="A340" t="str">
            <v>D5795</v>
          </cell>
          <cell r="B340" t="str">
            <v>Wiktor</v>
          </cell>
          <cell r="C340" t="str">
            <v>DYRCZ</v>
          </cell>
          <cell r="D340" t="str">
            <v>UKS 2 Sobótka</v>
          </cell>
        </row>
        <row r="341">
          <cell r="A341" t="str">
            <v>D4970</v>
          </cell>
          <cell r="B341" t="str">
            <v>Wojciech</v>
          </cell>
          <cell r="C341" t="str">
            <v>DYRCZ</v>
          </cell>
          <cell r="D341" t="str">
            <v>UKS Astra Wrocław</v>
          </cell>
        </row>
        <row r="342">
          <cell r="A342" t="str">
            <v>D4771</v>
          </cell>
          <cell r="B342" t="str">
            <v>Paulina</v>
          </cell>
          <cell r="C342" t="str">
            <v>DYSARZ</v>
          </cell>
          <cell r="D342" t="str">
            <v>----</v>
          </cell>
        </row>
        <row r="343">
          <cell r="A343" t="str">
            <v>D5217</v>
          </cell>
          <cell r="B343" t="str">
            <v>Dominika</v>
          </cell>
          <cell r="C343" t="str">
            <v>DZIDA</v>
          </cell>
          <cell r="D343" t="str">
            <v>SKB Suwałki</v>
          </cell>
        </row>
        <row r="344">
          <cell r="A344" t="str">
            <v>D5425</v>
          </cell>
          <cell r="B344" t="str">
            <v>Adam</v>
          </cell>
          <cell r="C344" t="str">
            <v>DZIEDZIC</v>
          </cell>
          <cell r="D344" t="str">
            <v>KS Chojnik Jelenia Góra</v>
          </cell>
        </row>
        <row r="345">
          <cell r="A345" t="str">
            <v>D5494</v>
          </cell>
          <cell r="B345" t="str">
            <v>Leszek</v>
          </cell>
          <cell r="C345" t="str">
            <v>DZIEDZIC</v>
          </cell>
          <cell r="D345" t="str">
            <v>KB Vol-Trick Kępno</v>
          </cell>
        </row>
        <row r="346">
          <cell r="A346" t="str">
            <v>D5642</v>
          </cell>
          <cell r="B346" t="str">
            <v>Maria</v>
          </cell>
          <cell r="C346" t="str">
            <v>DZIEDZIC</v>
          </cell>
          <cell r="D346" t="str">
            <v>UKS Sokół Ropczyce</v>
          </cell>
        </row>
        <row r="347">
          <cell r="A347" t="str">
            <v>D5927</v>
          </cell>
          <cell r="B347" t="str">
            <v>Agnieszka</v>
          </cell>
          <cell r="C347" t="str">
            <v>DZIEDZICKA</v>
          </cell>
          <cell r="D347" t="str">
            <v>Górnik Łęczna SA</v>
          </cell>
        </row>
        <row r="348">
          <cell r="A348" t="str">
            <v>D5611</v>
          </cell>
          <cell r="B348" t="str">
            <v>Agnieszka</v>
          </cell>
          <cell r="C348" t="str">
            <v>DZIEJARSKA</v>
          </cell>
          <cell r="D348" t="str">
            <v>UKS Dwójka Wesoła</v>
          </cell>
        </row>
        <row r="349">
          <cell r="A349" t="str">
            <v>D5646</v>
          </cell>
          <cell r="B349" t="str">
            <v>Adrian</v>
          </cell>
          <cell r="C349" t="str">
            <v>DZIEKAN</v>
          </cell>
          <cell r="D349" t="str">
            <v>UKSB Volant Mielec</v>
          </cell>
        </row>
        <row r="350">
          <cell r="A350" t="str">
            <v>D4266</v>
          </cell>
          <cell r="B350" t="str">
            <v>Karolina</v>
          </cell>
          <cell r="C350" t="str">
            <v>DZIEKAN</v>
          </cell>
          <cell r="D350" t="str">
            <v>UKSB Volant Mielec</v>
          </cell>
        </row>
        <row r="351">
          <cell r="A351" t="str">
            <v>D5240</v>
          </cell>
          <cell r="B351" t="str">
            <v>Jakub</v>
          </cell>
          <cell r="C351" t="str">
            <v>DZIENIS</v>
          </cell>
          <cell r="D351" t="str">
            <v>UKS Ząbkowice Dąbrowa Górn.</v>
          </cell>
        </row>
        <row r="352">
          <cell r="A352" t="str">
            <v>D5962</v>
          </cell>
          <cell r="B352" t="str">
            <v>Kinga</v>
          </cell>
          <cell r="C352" t="str">
            <v>DZIĘGIEL</v>
          </cell>
          <cell r="D352" t="str">
            <v>MUKS Junis Szczucin</v>
          </cell>
        </row>
        <row r="353">
          <cell r="A353" t="str">
            <v>D5963</v>
          </cell>
          <cell r="B353" t="str">
            <v>Marcelina</v>
          </cell>
          <cell r="C353" t="str">
            <v>DZIĘGIEL</v>
          </cell>
          <cell r="D353" t="str">
            <v>UMKS Junis Szczucin</v>
          </cell>
        </row>
        <row r="354">
          <cell r="A354" t="str">
            <v>D4415</v>
          </cell>
          <cell r="B354" t="str">
            <v>Adrian</v>
          </cell>
          <cell r="C354" t="str">
            <v>DZIKI</v>
          </cell>
          <cell r="D354" t="str">
            <v>UKS Orliki Ropica Polska</v>
          </cell>
        </row>
        <row r="355">
          <cell r="A355" t="str">
            <v>D4416</v>
          </cell>
          <cell r="B355" t="str">
            <v>Amadeusz</v>
          </cell>
          <cell r="C355" t="str">
            <v>DZIKI</v>
          </cell>
          <cell r="D355" t="str">
            <v>UKS Badmin Gorlice</v>
          </cell>
        </row>
        <row r="356">
          <cell r="A356" t="str">
            <v>D4868</v>
          </cell>
          <cell r="B356" t="str">
            <v>Karol</v>
          </cell>
          <cell r="C356" t="str">
            <v>DZIKI</v>
          </cell>
          <cell r="D356" t="str">
            <v>UKS Badmin Gorlice</v>
          </cell>
        </row>
        <row r="357">
          <cell r="A357" t="str">
            <v>D4724</v>
          </cell>
          <cell r="B357" t="str">
            <v>Wiktoria</v>
          </cell>
          <cell r="C357" t="str">
            <v>DZIKI</v>
          </cell>
          <cell r="D357" t="str">
            <v>LKS Technik Głubczyce</v>
          </cell>
        </row>
        <row r="358">
          <cell r="A358" t="str">
            <v>D1273</v>
          </cell>
          <cell r="B358" t="str">
            <v>Adrian</v>
          </cell>
          <cell r="C358" t="str">
            <v>DZIÓŁKO</v>
          </cell>
          <cell r="D358" t="str">
            <v>UKS Hubal Białystok</v>
          </cell>
        </row>
        <row r="359">
          <cell r="A359" t="str">
            <v>D5471</v>
          </cell>
          <cell r="B359" t="str">
            <v>Dawid</v>
          </cell>
          <cell r="C359" t="str">
            <v>DZIURSKI</v>
          </cell>
          <cell r="D359" t="str">
            <v>SLKS Tramp Orneta</v>
          </cell>
        </row>
        <row r="360">
          <cell r="A360" t="str">
            <v>E4320</v>
          </cell>
          <cell r="B360" t="str">
            <v>Franciszek</v>
          </cell>
          <cell r="C360" t="str">
            <v>EBERT</v>
          </cell>
          <cell r="D360" t="str">
            <v>KS Hubertus Zalesie Górne</v>
          </cell>
        </row>
        <row r="361">
          <cell r="A361" t="str">
            <v>E4898</v>
          </cell>
          <cell r="B361" t="str">
            <v>Dominik</v>
          </cell>
          <cell r="C361" t="str">
            <v>ESKA</v>
          </cell>
          <cell r="D361" t="str">
            <v>MUKBMDK Płock</v>
          </cell>
        </row>
        <row r="362">
          <cell r="A362" t="str">
            <v>F5212</v>
          </cell>
          <cell r="B362" t="str">
            <v>Gabriela</v>
          </cell>
          <cell r="C362" t="str">
            <v>FABER</v>
          </cell>
          <cell r="D362" t="str">
            <v>UKS Arka Umieszcz</v>
          </cell>
        </row>
        <row r="363">
          <cell r="A363" t="str">
            <v>F3716</v>
          </cell>
          <cell r="B363" t="str">
            <v>Wojciech</v>
          </cell>
          <cell r="C363" t="str">
            <v>FABISIAK</v>
          </cell>
          <cell r="D363" t="str">
            <v>ŚKBad Harcownik Warszawa</v>
          </cell>
        </row>
        <row r="364">
          <cell r="A364" t="str">
            <v>F5824</v>
          </cell>
          <cell r="B364" t="str">
            <v>Aleksandra</v>
          </cell>
          <cell r="C364" t="str">
            <v>FABRYCY</v>
          </cell>
          <cell r="D364" t="str">
            <v>UKSB Milenium Warszawa</v>
          </cell>
        </row>
        <row r="365">
          <cell r="A365" t="str">
            <v>F4130</v>
          </cell>
          <cell r="B365" t="str">
            <v>Fryderyka</v>
          </cell>
          <cell r="C365" t="str">
            <v>FALANDYSZ</v>
          </cell>
          <cell r="D365" t="str">
            <v>ŚKBad Harcownik Warszawa</v>
          </cell>
        </row>
        <row r="366">
          <cell r="A366" t="str">
            <v>F5086</v>
          </cell>
          <cell r="B366" t="str">
            <v>Adrian</v>
          </cell>
          <cell r="C366" t="str">
            <v>FALKIEWICZ</v>
          </cell>
          <cell r="D366" t="str">
            <v>UKS 70 Płock</v>
          </cell>
        </row>
        <row r="367">
          <cell r="A367" t="str">
            <v>F2400</v>
          </cell>
          <cell r="B367" t="str">
            <v>Marta</v>
          </cell>
          <cell r="C367" t="str">
            <v>FALKOWSKA</v>
          </cell>
          <cell r="D367" t="str">
            <v>SKB Piast Słupsk</v>
          </cell>
        </row>
        <row r="368">
          <cell r="A368" t="str">
            <v>F3613</v>
          </cell>
          <cell r="B368" t="str">
            <v>Sylwia</v>
          </cell>
          <cell r="C368" t="str">
            <v>FALKOWSKA</v>
          </cell>
          <cell r="D368" t="str">
            <v>UKS Kometa Sianów</v>
          </cell>
        </row>
        <row r="369">
          <cell r="A369" t="str">
            <v>F4879</v>
          </cell>
          <cell r="B369" t="str">
            <v>Filip</v>
          </cell>
          <cell r="C369" t="str">
            <v>FALTYNOWSKI</v>
          </cell>
          <cell r="D369" t="str">
            <v>KKS Warmia Olsztyn</v>
          </cell>
        </row>
        <row r="370">
          <cell r="A370" t="str">
            <v>F5436</v>
          </cell>
          <cell r="B370" t="str">
            <v>Damian</v>
          </cell>
          <cell r="C370" t="str">
            <v>FĄFARA</v>
          </cell>
          <cell r="D370" t="str">
            <v>ULKS Łączna</v>
          </cell>
        </row>
        <row r="371">
          <cell r="A371" t="str">
            <v>F5437</v>
          </cell>
          <cell r="B371" t="str">
            <v>Dawid</v>
          </cell>
          <cell r="C371" t="str">
            <v>FĄFARA</v>
          </cell>
          <cell r="D371" t="str">
            <v>ULKS Łączna</v>
          </cell>
        </row>
        <row r="372">
          <cell r="A372" t="str">
            <v>F5435</v>
          </cell>
          <cell r="B372" t="str">
            <v>Mateusz</v>
          </cell>
          <cell r="C372" t="str">
            <v>FĄFARA</v>
          </cell>
          <cell r="D372" t="str">
            <v>ULKS Łączna</v>
          </cell>
        </row>
        <row r="373">
          <cell r="A373" t="str">
            <v>F5838</v>
          </cell>
          <cell r="B373" t="str">
            <v>Mateusz</v>
          </cell>
          <cell r="C373" t="str">
            <v>FEDOROWICZ</v>
          </cell>
          <cell r="D373" t="str">
            <v>UKS Feniks Kędzierzyn-Koźle</v>
          </cell>
        </row>
        <row r="374">
          <cell r="A374" t="str">
            <v>F3777</v>
          </cell>
          <cell r="B374" t="str">
            <v>Aleksandra</v>
          </cell>
          <cell r="C374" t="str">
            <v>FELSKA</v>
          </cell>
          <cell r="D374" t="str">
            <v>UKS Orkan Przeźmierowo</v>
          </cell>
        </row>
        <row r="375">
          <cell r="A375" t="str">
            <v>F4888</v>
          </cell>
          <cell r="B375" t="str">
            <v>Jarosław</v>
          </cell>
          <cell r="C375" t="str">
            <v>FIJAŁKOWSKI</v>
          </cell>
          <cell r="D375" t="str">
            <v>UKSB Milenium Warszawa</v>
          </cell>
        </row>
        <row r="376">
          <cell r="A376" t="str">
            <v>F5060</v>
          </cell>
          <cell r="B376" t="str">
            <v>Kacper</v>
          </cell>
          <cell r="C376" t="str">
            <v>FILAS</v>
          </cell>
          <cell r="D376" t="str">
            <v>UKS 70 Płock</v>
          </cell>
        </row>
        <row r="377">
          <cell r="A377" t="str">
            <v>F5836</v>
          </cell>
          <cell r="B377" t="str">
            <v>Adam</v>
          </cell>
          <cell r="C377" t="str">
            <v>FILIPCZAK</v>
          </cell>
          <cell r="D377" t="str">
            <v>----</v>
          </cell>
        </row>
        <row r="378">
          <cell r="A378" t="str">
            <v>F4799</v>
          </cell>
          <cell r="B378" t="str">
            <v>Adrianna</v>
          </cell>
          <cell r="C378" t="str">
            <v>FILIPIAK</v>
          </cell>
          <cell r="D378" t="str">
            <v>MLKS Solec Kuj.</v>
          </cell>
        </row>
        <row r="379">
          <cell r="A379" t="str">
            <v>F4339</v>
          </cell>
          <cell r="B379" t="str">
            <v>Martyna</v>
          </cell>
          <cell r="C379" t="str">
            <v>FILIPIAK</v>
          </cell>
          <cell r="D379" t="str">
            <v>MLKS Solec Kuj.</v>
          </cell>
        </row>
        <row r="380">
          <cell r="A380" t="str">
            <v>F4827</v>
          </cell>
          <cell r="B380" t="str">
            <v>Jakub</v>
          </cell>
          <cell r="C380" t="str">
            <v>FIRLUS</v>
          </cell>
          <cell r="D380" t="str">
            <v>----</v>
          </cell>
        </row>
        <row r="381">
          <cell r="A381" t="str">
            <v>F5378</v>
          </cell>
          <cell r="B381" t="str">
            <v>Alicja</v>
          </cell>
          <cell r="C381" t="str">
            <v>FITAS</v>
          </cell>
          <cell r="D381" t="str">
            <v>MKS Orlicz Suchedniów</v>
          </cell>
        </row>
        <row r="382">
          <cell r="A382" t="str">
            <v>F5754</v>
          </cell>
          <cell r="B382" t="str">
            <v>Kacper</v>
          </cell>
          <cell r="C382" t="str">
            <v>FLAK</v>
          </cell>
          <cell r="D382" t="str">
            <v>UKS Kiko Zamość</v>
          </cell>
        </row>
        <row r="383">
          <cell r="A383" t="str">
            <v>F4774</v>
          </cell>
          <cell r="B383" t="str">
            <v>Dariusz</v>
          </cell>
          <cell r="C383" t="str">
            <v>FLASIŃSKI</v>
          </cell>
          <cell r="D383" t="str">
            <v>LUKS Jedynka Częstochowa</v>
          </cell>
        </row>
        <row r="384">
          <cell r="A384" t="str">
            <v>F0973</v>
          </cell>
          <cell r="B384" t="str">
            <v>Marlena</v>
          </cell>
          <cell r="C384" t="str">
            <v>FLIS</v>
          </cell>
          <cell r="D384" t="str">
            <v>SKB Piast Słupsk</v>
          </cell>
        </row>
        <row r="385">
          <cell r="A385" t="str">
            <v>F4107</v>
          </cell>
          <cell r="B385" t="str">
            <v>Karolina</v>
          </cell>
          <cell r="C385" t="str">
            <v>FORELLE</v>
          </cell>
          <cell r="D385" t="str">
            <v>UKS Iskra Babimost</v>
          </cell>
        </row>
        <row r="386">
          <cell r="A386" t="str">
            <v>F4890</v>
          </cell>
          <cell r="B386" t="str">
            <v>Adam</v>
          </cell>
          <cell r="C386" t="str">
            <v>FORNALCZYK</v>
          </cell>
          <cell r="D386" t="str">
            <v>KS Wesoła Warszawa</v>
          </cell>
        </row>
        <row r="387">
          <cell r="A387" t="str">
            <v>F0112</v>
          </cell>
          <cell r="B387" t="str">
            <v>Joanna</v>
          </cell>
          <cell r="C387" t="str">
            <v>FORYŚ</v>
          </cell>
          <cell r="D387" t="str">
            <v>----</v>
          </cell>
        </row>
        <row r="388">
          <cell r="A388" t="str">
            <v>F4371</v>
          </cell>
          <cell r="B388" t="str">
            <v>Agnieszka</v>
          </cell>
          <cell r="C388" t="str">
            <v>FORYTA</v>
          </cell>
          <cell r="D388" t="str">
            <v>STB Energia Lubliniec</v>
          </cell>
        </row>
        <row r="389">
          <cell r="A389" t="str">
            <v>F4959</v>
          </cell>
          <cell r="B389" t="str">
            <v>Danuta</v>
          </cell>
          <cell r="C389" t="str">
            <v>FORYTA</v>
          </cell>
          <cell r="D389" t="str">
            <v>STB Energia Lubliniec</v>
          </cell>
        </row>
        <row r="390">
          <cell r="A390" t="str">
            <v>F4870</v>
          </cell>
          <cell r="B390" t="str">
            <v>Marcelina</v>
          </cell>
          <cell r="C390" t="str">
            <v>FRANCZUK</v>
          </cell>
          <cell r="D390" t="str">
            <v>MMKS Gdańsk</v>
          </cell>
        </row>
        <row r="391">
          <cell r="A391" t="str">
            <v>F4869</v>
          </cell>
          <cell r="B391" t="str">
            <v>Maurycy</v>
          </cell>
          <cell r="C391" t="str">
            <v>FRANCZUK</v>
          </cell>
          <cell r="D391" t="str">
            <v>MMKS Gdańsk</v>
          </cell>
        </row>
        <row r="392">
          <cell r="A392" t="str">
            <v>F5989</v>
          </cell>
          <cell r="B392" t="str">
            <v>Jan</v>
          </cell>
          <cell r="C392" t="str">
            <v>FRAŃCZAK</v>
          </cell>
          <cell r="D392" t="str">
            <v>UKS 25 Kielce</v>
          </cell>
        </row>
        <row r="393">
          <cell r="A393" t="str">
            <v>F5987</v>
          </cell>
          <cell r="B393" t="str">
            <v>Mateusz</v>
          </cell>
          <cell r="C393" t="str">
            <v>FRAŃCZAK</v>
          </cell>
          <cell r="D393" t="str">
            <v>UKS 25 Kielce</v>
          </cell>
        </row>
        <row r="394">
          <cell r="A394" t="str">
            <v>F4551</v>
          </cell>
          <cell r="B394" t="str">
            <v>Grzegorz</v>
          </cell>
          <cell r="C394" t="str">
            <v>FRAŚ</v>
          </cell>
          <cell r="D394" t="str">
            <v>MKS Spartakus Niepołomice</v>
          </cell>
        </row>
        <row r="395">
          <cell r="A395" t="str">
            <v>F3305</v>
          </cell>
          <cell r="B395" t="str">
            <v>Tomasz</v>
          </cell>
          <cell r="C395" t="str">
            <v>FRAŚ</v>
          </cell>
          <cell r="D395" t="str">
            <v>MKS Spartakus Niepołomice</v>
          </cell>
        </row>
        <row r="396">
          <cell r="A396" t="str">
            <v>F4652</v>
          </cell>
          <cell r="B396" t="str">
            <v>Kamil</v>
          </cell>
          <cell r="C396" t="str">
            <v>FRĄTCZAK</v>
          </cell>
          <cell r="D396" t="str">
            <v>UKS Iskra Sarbice</v>
          </cell>
        </row>
        <row r="397">
          <cell r="A397" t="str">
            <v>F4048</v>
          </cell>
          <cell r="B397" t="str">
            <v>Konrad</v>
          </cell>
          <cell r="C397" t="str">
            <v>FRĄTCZAK</v>
          </cell>
          <cell r="D397" t="str">
            <v>UKS Iskra Sarbice</v>
          </cell>
        </row>
        <row r="398">
          <cell r="A398" t="str">
            <v>F5157</v>
          </cell>
          <cell r="B398" t="str">
            <v>Karolina</v>
          </cell>
          <cell r="C398" t="str">
            <v>FREY</v>
          </cell>
          <cell r="D398" t="str">
            <v>KS Wesoła Warszawa</v>
          </cell>
        </row>
        <row r="399">
          <cell r="A399" t="str">
            <v>F3775</v>
          </cell>
          <cell r="B399" t="str">
            <v>Bartosz</v>
          </cell>
          <cell r="C399" t="str">
            <v>FRONTCZAK</v>
          </cell>
          <cell r="D399" t="str">
            <v>UKS Orkan Przeźmierowo</v>
          </cell>
        </row>
        <row r="400">
          <cell r="A400" t="str">
            <v>F4865</v>
          </cell>
          <cell r="B400" t="str">
            <v>Kamila</v>
          </cell>
          <cell r="C400" t="str">
            <v>FRONTCZAK</v>
          </cell>
          <cell r="D400" t="str">
            <v>MKS Orlicz Suchedniów</v>
          </cell>
        </row>
        <row r="401">
          <cell r="A401" t="str">
            <v>F3973</v>
          </cell>
          <cell r="B401" t="str">
            <v>Przemysław</v>
          </cell>
          <cell r="C401" t="str">
            <v>FRONTCZAK</v>
          </cell>
          <cell r="D401" t="str">
            <v>KS Stal Sulęcin</v>
          </cell>
        </row>
        <row r="402">
          <cell r="A402" t="str">
            <v>F4256</v>
          </cell>
          <cell r="B402" t="str">
            <v>Kacper</v>
          </cell>
          <cell r="C402" t="str">
            <v>FRYSZCZYN</v>
          </cell>
          <cell r="D402" t="str">
            <v>KS Hubertus Zalesie Górne</v>
          </cell>
        </row>
        <row r="403">
          <cell r="A403" t="str">
            <v>F5785</v>
          </cell>
          <cell r="B403" t="str">
            <v>Małgorzata</v>
          </cell>
          <cell r="C403" t="str">
            <v>FURGAŁ</v>
          </cell>
          <cell r="D403" t="str">
            <v>UKS Orbitek Straszęcin</v>
          </cell>
        </row>
        <row r="404">
          <cell r="A404" t="str">
            <v>G4791</v>
          </cell>
          <cell r="B404" t="str">
            <v>Nestor</v>
          </cell>
          <cell r="C404" t="str">
            <v>GABRYSIAK</v>
          </cell>
          <cell r="D404" t="str">
            <v>UKSOSIR Badminton Sławno</v>
          </cell>
        </row>
        <row r="405">
          <cell r="A405" t="str">
            <v>G4180</v>
          </cell>
          <cell r="B405" t="str">
            <v>Paweł</v>
          </cell>
          <cell r="C405" t="str">
            <v>GACKOWSKI</v>
          </cell>
          <cell r="D405" t="str">
            <v>KS Chojnik Jelenia Góra</v>
          </cell>
        </row>
        <row r="406">
          <cell r="A406" t="str">
            <v>G5784</v>
          </cell>
          <cell r="B406" t="str">
            <v>Karol</v>
          </cell>
          <cell r="C406" t="str">
            <v>GACOŃ</v>
          </cell>
          <cell r="D406" t="str">
            <v>UKS Orbitek Straszęcin</v>
          </cell>
        </row>
        <row r="407">
          <cell r="A407" t="str">
            <v>G4680</v>
          </cell>
          <cell r="B407" t="str">
            <v>Aneta</v>
          </cell>
          <cell r="C407" t="str">
            <v>GADOMSKA</v>
          </cell>
          <cell r="D407" t="str">
            <v>UTS Akro-Bad Warszawa</v>
          </cell>
        </row>
        <row r="408">
          <cell r="A408" t="str">
            <v>G5945</v>
          </cell>
          <cell r="B408" t="str">
            <v>Dominika</v>
          </cell>
          <cell r="C408" t="str">
            <v>GAJDA</v>
          </cell>
          <cell r="D408" t="str">
            <v>UKS Feniks Kędzierzyn-Koźle</v>
          </cell>
        </row>
        <row r="409">
          <cell r="A409" t="str">
            <v>G4178</v>
          </cell>
          <cell r="B409" t="str">
            <v>Piotr</v>
          </cell>
          <cell r="C409" t="str">
            <v>GAJDA</v>
          </cell>
          <cell r="D409" t="str">
            <v>KS Chojnik Jelenia Góra</v>
          </cell>
        </row>
        <row r="410">
          <cell r="A410" t="str">
            <v>G5944</v>
          </cell>
          <cell r="B410" t="str">
            <v>Przemysław</v>
          </cell>
          <cell r="C410" t="str">
            <v>GAJDA</v>
          </cell>
          <cell r="D410" t="str">
            <v>UKS Feniks Kędzierzyn-Koźle</v>
          </cell>
        </row>
        <row r="411">
          <cell r="A411" t="str">
            <v>G5317</v>
          </cell>
          <cell r="B411" t="str">
            <v>Patrycja</v>
          </cell>
          <cell r="C411" t="str">
            <v>GAJEWSKA</v>
          </cell>
          <cell r="D411" t="str">
            <v>SKB Suwałki</v>
          </cell>
        </row>
        <row r="412">
          <cell r="A412" t="str">
            <v>G0612</v>
          </cell>
          <cell r="B412" t="str">
            <v>Andrzej</v>
          </cell>
          <cell r="C412" t="str">
            <v>GAJEWSKI</v>
          </cell>
          <cell r="D412" t="str">
            <v>----</v>
          </cell>
        </row>
        <row r="413">
          <cell r="A413" t="str">
            <v>G5026</v>
          </cell>
          <cell r="B413" t="str">
            <v>Maciej</v>
          </cell>
          <cell r="C413" t="str">
            <v>GAJEWSKI</v>
          </cell>
          <cell r="D413" t="str">
            <v>MKS Strzelce Opolskie</v>
          </cell>
        </row>
        <row r="414">
          <cell r="A414" t="str">
            <v>G2737</v>
          </cell>
          <cell r="B414" t="str">
            <v>Karolina</v>
          </cell>
          <cell r="C414" t="str">
            <v>GAJOS</v>
          </cell>
          <cell r="D414" t="str">
            <v>MKS Dwójka Blachownia</v>
          </cell>
        </row>
        <row r="415">
          <cell r="A415" t="str">
            <v>G1072</v>
          </cell>
          <cell r="B415" t="str">
            <v>Paulina</v>
          </cell>
          <cell r="C415" t="str">
            <v>GAJOS</v>
          </cell>
          <cell r="D415" t="str">
            <v>MKS Dwójka Blachownia</v>
          </cell>
        </row>
        <row r="416">
          <cell r="A416" t="str">
            <v>G1828</v>
          </cell>
          <cell r="B416" t="str">
            <v>Łukasz</v>
          </cell>
          <cell r="C416" t="str">
            <v>GAJOWNICZEK</v>
          </cell>
          <cell r="D416" t="str">
            <v>AZSOŚ Łódź</v>
          </cell>
        </row>
        <row r="417">
          <cell r="A417" t="str">
            <v>G4395</v>
          </cell>
          <cell r="B417" t="str">
            <v>Karolina</v>
          </cell>
          <cell r="C417" t="str">
            <v>GALAS</v>
          </cell>
          <cell r="D417" t="str">
            <v>UKS Siódemka Świebodzin</v>
          </cell>
        </row>
        <row r="418">
          <cell r="A418" t="str">
            <v>G4818</v>
          </cell>
          <cell r="B418" t="str">
            <v>Karol</v>
          </cell>
          <cell r="C418" t="str">
            <v>GAŁAN</v>
          </cell>
          <cell r="D418" t="str">
            <v>MKS Spartakus Niepołomice</v>
          </cell>
        </row>
        <row r="419">
          <cell r="A419" t="str">
            <v>G4725</v>
          </cell>
          <cell r="B419" t="str">
            <v>Bartosz</v>
          </cell>
          <cell r="C419" t="str">
            <v>GAŁĄZKA</v>
          </cell>
          <cell r="D419" t="str">
            <v>LKS Technik Głubczyce</v>
          </cell>
        </row>
        <row r="420">
          <cell r="A420" t="str">
            <v>G5315</v>
          </cell>
          <cell r="B420" t="str">
            <v>Jakub</v>
          </cell>
          <cell r="C420" t="str">
            <v>GAŁĄZKA</v>
          </cell>
          <cell r="D420" t="str">
            <v>MMKS Gdańsk</v>
          </cell>
        </row>
        <row r="421">
          <cell r="A421" t="str">
            <v>G4459</v>
          </cell>
          <cell r="B421" t="str">
            <v>Karol</v>
          </cell>
          <cell r="C421" t="str">
            <v>GAŁCZYŃSKI</v>
          </cell>
          <cell r="D421" t="str">
            <v>MKS Orlicz Suchedniów</v>
          </cell>
        </row>
        <row r="422">
          <cell r="A422" t="str">
            <v>G0209</v>
          </cell>
          <cell r="B422" t="str">
            <v>Marek</v>
          </cell>
          <cell r="C422" t="str">
            <v>GAŁCZYŃSKI</v>
          </cell>
          <cell r="D422" t="str">
            <v>----</v>
          </cell>
        </row>
        <row r="423">
          <cell r="A423" t="str">
            <v>G2179</v>
          </cell>
          <cell r="B423" t="str">
            <v>Magdalena</v>
          </cell>
          <cell r="C423" t="str">
            <v>GAŁEK</v>
          </cell>
          <cell r="D423" t="str">
            <v>MKS Orlicz Suchedniów</v>
          </cell>
        </row>
        <row r="424">
          <cell r="A424" t="str">
            <v>G1652</v>
          </cell>
          <cell r="B424" t="str">
            <v>Robert</v>
          </cell>
          <cell r="C424" t="str">
            <v>GAŁEK</v>
          </cell>
          <cell r="D424" t="str">
            <v>AZSAGH Kraków</v>
          </cell>
        </row>
        <row r="425">
          <cell r="A425" t="str">
            <v>G5122</v>
          </cell>
          <cell r="B425" t="str">
            <v>Weronika</v>
          </cell>
          <cell r="C425" t="str">
            <v>GAPIŃSKA</v>
          </cell>
          <cell r="D425" t="str">
            <v>MLKS Solec Kuj.</v>
          </cell>
        </row>
        <row r="426">
          <cell r="A426" t="str">
            <v>G4344</v>
          </cell>
          <cell r="B426" t="str">
            <v>Szymon</v>
          </cell>
          <cell r="C426" t="str">
            <v>GAPIŃSKI</v>
          </cell>
          <cell r="D426" t="str">
            <v>UKS 70 Płock</v>
          </cell>
        </row>
        <row r="427">
          <cell r="A427" t="str">
            <v>G5478</v>
          </cell>
          <cell r="B427" t="str">
            <v>Paulina</v>
          </cell>
          <cell r="C427" t="str">
            <v>GAPSA</v>
          </cell>
          <cell r="D427" t="str">
            <v>UKS Iskra Sarbice</v>
          </cell>
        </row>
        <row r="428">
          <cell r="A428" t="str">
            <v>G  06</v>
          </cell>
          <cell r="B428" t="str">
            <v>Katarzyna</v>
          </cell>
          <cell r="C428" t="str">
            <v>GARBACKA</v>
          </cell>
          <cell r="D428" t="str">
            <v>UKSB Milenium Warszawa</v>
          </cell>
        </row>
        <row r="429">
          <cell r="A429" t="str">
            <v>G4584</v>
          </cell>
          <cell r="B429" t="str">
            <v>Adam</v>
          </cell>
          <cell r="C429" t="str">
            <v>GARBALA</v>
          </cell>
          <cell r="D429" t="str">
            <v>MKS Orlicz Suchedniów</v>
          </cell>
        </row>
        <row r="430">
          <cell r="A430" t="str">
            <v>G5668</v>
          </cell>
          <cell r="B430" t="str">
            <v>Agnieszka</v>
          </cell>
          <cell r="C430" t="str">
            <v>GARBOWSKA</v>
          </cell>
          <cell r="D430" t="str">
            <v>LUKS Badminton Choroszcz</v>
          </cell>
        </row>
        <row r="431">
          <cell r="A431" t="str">
            <v>G3485</v>
          </cell>
          <cell r="B431" t="str">
            <v>Damian</v>
          </cell>
          <cell r="C431" t="str">
            <v>GARBOWSKI</v>
          </cell>
          <cell r="D431" t="str">
            <v>LUKS Badminton Choroszcz</v>
          </cell>
        </row>
        <row r="432">
          <cell r="A432" t="str">
            <v>G4859</v>
          </cell>
          <cell r="B432" t="str">
            <v>Daniel</v>
          </cell>
          <cell r="C432" t="str">
            <v>GARBOWSKI</v>
          </cell>
          <cell r="D432" t="str">
            <v>LUKS Badminton Choroszcz</v>
          </cell>
        </row>
        <row r="433">
          <cell r="A433" t="str">
            <v>G0172</v>
          </cell>
          <cell r="B433" t="str">
            <v>Leszek</v>
          </cell>
          <cell r="C433" t="str">
            <v>GASIK</v>
          </cell>
          <cell r="D433" t="str">
            <v>BKS Kolejarz Częstochowa</v>
          </cell>
        </row>
        <row r="434">
          <cell r="A434" t="str">
            <v>G3395</v>
          </cell>
          <cell r="B434" t="str">
            <v>Bolesław</v>
          </cell>
          <cell r="C434" t="str">
            <v>GASIŃSKI</v>
          </cell>
          <cell r="D434" t="str">
            <v>----</v>
          </cell>
        </row>
        <row r="435">
          <cell r="A435" t="str">
            <v>G0524</v>
          </cell>
          <cell r="B435" t="str">
            <v>Paweł</v>
          </cell>
          <cell r="C435" t="str">
            <v>GASZ</v>
          </cell>
          <cell r="D435" t="str">
            <v>----</v>
          </cell>
        </row>
        <row r="436">
          <cell r="A436" t="str">
            <v>G4025</v>
          </cell>
          <cell r="B436" t="str">
            <v>Damian</v>
          </cell>
          <cell r="C436" t="str">
            <v>GASZTYK</v>
          </cell>
          <cell r="D436" t="str">
            <v>UKS Iskra Babimost</v>
          </cell>
        </row>
        <row r="437">
          <cell r="A437" t="str">
            <v>G4987</v>
          </cell>
          <cell r="B437" t="str">
            <v>Damian</v>
          </cell>
          <cell r="C437" t="str">
            <v>GAUZA</v>
          </cell>
          <cell r="D437" t="str">
            <v>UKSMTB Smecz Konin</v>
          </cell>
        </row>
        <row r="438">
          <cell r="A438" t="str">
            <v>G5711</v>
          </cell>
          <cell r="B438" t="str">
            <v>Jan</v>
          </cell>
          <cell r="C438" t="str">
            <v>GAWOR</v>
          </cell>
          <cell r="D438" t="str">
            <v>MKS Dwójka Blachownia</v>
          </cell>
        </row>
        <row r="439">
          <cell r="A439" t="str">
            <v>G5759</v>
          </cell>
          <cell r="B439" t="str">
            <v>Dorota</v>
          </cell>
          <cell r="C439" t="str">
            <v>GAWROŃSKA-POPA</v>
          </cell>
          <cell r="D439" t="str">
            <v>UKS Korona Pabianice</v>
          </cell>
        </row>
        <row r="440">
          <cell r="A440" t="str">
            <v>G5906</v>
          </cell>
          <cell r="B440" t="str">
            <v>Liliana</v>
          </cell>
          <cell r="C440" t="str">
            <v>GAWRYSIAK</v>
          </cell>
          <cell r="D440" t="str">
            <v>BKS Kolejarz Katowice</v>
          </cell>
        </row>
        <row r="441">
          <cell r="A441" t="str">
            <v>G5231</v>
          </cell>
          <cell r="B441" t="str">
            <v>Sebastian</v>
          </cell>
          <cell r="C441" t="str">
            <v>GĄSIOR</v>
          </cell>
          <cell r="D441" t="str">
            <v>UKS Orbitek Straszęcin</v>
          </cell>
        </row>
        <row r="442">
          <cell r="A442" t="str">
            <v>G5183</v>
          </cell>
          <cell r="B442" t="str">
            <v>Szymon</v>
          </cell>
          <cell r="C442" t="str">
            <v>GĄSKA</v>
          </cell>
          <cell r="D442" t="str">
            <v>UKS Kiko Zamość</v>
          </cell>
        </row>
        <row r="443">
          <cell r="A443" t="str">
            <v>G5155</v>
          </cell>
          <cell r="B443" t="str">
            <v>Dawid</v>
          </cell>
          <cell r="C443" t="str">
            <v>GEMZICKI</v>
          </cell>
          <cell r="D443" t="str">
            <v>----</v>
          </cell>
        </row>
        <row r="444">
          <cell r="A444" t="str">
            <v>G4020</v>
          </cell>
          <cell r="B444" t="str">
            <v>Dominik</v>
          </cell>
          <cell r="C444" t="str">
            <v>GERLACH</v>
          </cell>
          <cell r="D444" t="str">
            <v>KS Chojnik Jelenia Góra</v>
          </cell>
        </row>
        <row r="445">
          <cell r="A445" t="str">
            <v>G5360</v>
          </cell>
          <cell r="B445" t="str">
            <v>Cyprian</v>
          </cell>
          <cell r="C445" t="str">
            <v>GERWATOWSKI</v>
          </cell>
          <cell r="D445" t="str">
            <v>----</v>
          </cell>
        </row>
        <row r="446">
          <cell r="A446" t="str">
            <v>G3854</v>
          </cell>
          <cell r="B446" t="str">
            <v>Katarzyna</v>
          </cell>
          <cell r="C446" t="str">
            <v>GĘSICKA</v>
          </cell>
          <cell r="D446" t="str">
            <v>KS Hubertus Zalesie Górne</v>
          </cell>
        </row>
        <row r="447">
          <cell r="A447" t="str">
            <v>G4468</v>
          </cell>
          <cell r="B447" t="str">
            <v>Szymon</v>
          </cell>
          <cell r="C447" t="str">
            <v>GIBAŁA</v>
          </cell>
          <cell r="D447" t="str">
            <v>UKS Plesbad Pszczyna</v>
          </cell>
        </row>
        <row r="448">
          <cell r="A448" t="str">
            <v>G4333</v>
          </cell>
          <cell r="B448" t="str">
            <v>Michał</v>
          </cell>
          <cell r="C448" t="str">
            <v>GIELECKI</v>
          </cell>
          <cell r="D448" t="str">
            <v>UKS Kiko Zamość</v>
          </cell>
        </row>
        <row r="449">
          <cell r="A449" t="str">
            <v>G4054</v>
          </cell>
          <cell r="B449" t="str">
            <v>Mateusz</v>
          </cell>
          <cell r="C449" t="str">
            <v>GIEŁAŻYN</v>
          </cell>
          <cell r="D449" t="str">
            <v>MUKS 5 Chełm</v>
          </cell>
        </row>
        <row r="450">
          <cell r="A450" t="str">
            <v>G4055</v>
          </cell>
          <cell r="B450" t="str">
            <v>Paweł</v>
          </cell>
          <cell r="C450" t="str">
            <v>GIEŁAŻYN</v>
          </cell>
          <cell r="D450" t="str">
            <v>MUKS 5 Chełm</v>
          </cell>
        </row>
        <row r="451">
          <cell r="A451" t="str">
            <v>G5664</v>
          </cell>
          <cell r="B451" t="str">
            <v>Agnieszka</v>
          </cell>
          <cell r="C451" t="str">
            <v>GIERLACH</v>
          </cell>
          <cell r="D451" t="str">
            <v>UKS Jagiellonka Medyka</v>
          </cell>
        </row>
        <row r="452">
          <cell r="A452" t="str">
            <v>G5227</v>
          </cell>
          <cell r="B452" t="str">
            <v>Tomasz</v>
          </cell>
          <cell r="C452" t="str">
            <v>GIERMATA</v>
          </cell>
          <cell r="D452" t="str">
            <v>UKS Orbitek Straszęcin</v>
          </cell>
        </row>
        <row r="453">
          <cell r="A453" t="str">
            <v>G1083</v>
          </cell>
          <cell r="B453" t="str">
            <v>Kazimierz</v>
          </cell>
          <cell r="C453" t="str">
            <v>GIERYSZEWSKI</v>
          </cell>
          <cell r="D453" t="str">
            <v>----</v>
          </cell>
        </row>
        <row r="454">
          <cell r="A454" t="str">
            <v>G4577</v>
          </cell>
          <cell r="B454" t="str">
            <v>Jakub</v>
          </cell>
          <cell r="C454" t="str">
            <v>GIREŃ</v>
          </cell>
          <cell r="D454" t="str">
            <v>MKS Strzelce Opolskie</v>
          </cell>
        </row>
        <row r="455">
          <cell r="A455" t="str">
            <v>G4338</v>
          </cell>
          <cell r="B455" t="str">
            <v>Dawid</v>
          </cell>
          <cell r="C455" t="str">
            <v>GIRTLER</v>
          </cell>
          <cell r="D455" t="str">
            <v>KKS Ruch Piotrków Tryb.</v>
          </cell>
        </row>
        <row r="456">
          <cell r="A456" t="str">
            <v>G5967</v>
          </cell>
          <cell r="B456" t="str">
            <v>Damian</v>
          </cell>
          <cell r="C456" t="str">
            <v>GIZA</v>
          </cell>
          <cell r="D456" t="str">
            <v>UMKS Junis Szczucin</v>
          </cell>
        </row>
        <row r="457">
          <cell r="A457" t="str">
            <v>G2180</v>
          </cell>
          <cell r="B457" t="str">
            <v>Krzysztof</v>
          </cell>
          <cell r="C457" t="str">
            <v>GLIJER</v>
          </cell>
          <cell r="D457" t="str">
            <v>MKS Orlicz Suchedniów</v>
          </cell>
        </row>
        <row r="458">
          <cell r="A458" t="str">
            <v>G3273</v>
          </cell>
          <cell r="B458" t="str">
            <v>Zuzanna</v>
          </cell>
          <cell r="C458" t="str">
            <v>GLIJER</v>
          </cell>
          <cell r="D458" t="str">
            <v>MKS Orlicz Suchedniów</v>
          </cell>
        </row>
        <row r="459">
          <cell r="A459" t="str">
            <v>G1456</v>
          </cell>
          <cell r="B459" t="str">
            <v>Robert</v>
          </cell>
          <cell r="C459" t="str">
            <v>GŁADYCH</v>
          </cell>
          <cell r="D459" t="str">
            <v>----</v>
          </cell>
        </row>
        <row r="460">
          <cell r="A460" t="str">
            <v>G3817</v>
          </cell>
          <cell r="B460" t="str">
            <v>Iwona</v>
          </cell>
          <cell r="C460" t="str">
            <v>GŁADYSZ</v>
          </cell>
          <cell r="D460" t="str">
            <v>UMKS Junis Szczucin</v>
          </cell>
        </row>
        <row r="461">
          <cell r="A461" t="str">
            <v>G4511</v>
          </cell>
          <cell r="B461" t="str">
            <v>Paweł</v>
          </cell>
          <cell r="C461" t="str">
            <v>GŁAŻEWSKI</v>
          </cell>
          <cell r="D461" t="str">
            <v>----</v>
          </cell>
        </row>
        <row r="462">
          <cell r="A462" t="str">
            <v>G3894</v>
          </cell>
          <cell r="B462" t="str">
            <v>Arkadiusz</v>
          </cell>
          <cell r="C462" t="str">
            <v>GŁĄB</v>
          </cell>
          <cell r="D462" t="str">
            <v>UKS Ostrówek</v>
          </cell>
        </row>
        <row r="463">
          <cell r="A463" t="str">
            <v>G2269</v>
          </cell>
          <cell r="B463" t="str">
            <v>Anna</v>
          </cell>
          <cell r="C463" t="str">
            <v>GŁĘBOCKA</v>
          </cell>
          <cell r="D463" t="str">
            <v>UKS Kiko Zamość</v>
          </cell>
        </row>
        <row r="464">
          <cell r="A464" t="str">
            <v>G2270</v>
          </cell>
          <cell r="B464" t="str">
            <v>Maciej</v>
          </cell>
          <cell r="C464" t="str">
            <v>GŁĘBOCKI</v>
          </cell>
          <cell r="D464" t="str">
            <v>UKS Kiko Zamość</v>
          </cell>
        </row>
        <row r="465">
          <cell r="A465" t="str">
            <v>G4436</v>
          </cell>
          <cell r="B465" t="str">
            <v>Zofia</v>
          </cell>
          <cell r="C465" t="str">
            <v>GŁODOWSKA</v>
          </cell>
          <cell r="D465" t="str">
            <v>AZSWAT Warszawa</v>
          </cell>
        </row>
        <row r="466">
          <cell r="A466" t="str">
            <v>G5628</v>
          </cell>
          <cell r="B466" t="str">
            <v>Maciej</v>
          </cell>
          <cell r="C466" t="str">
            <v>GŁOŚNY</v>
          </cell>
          <cell r="D466" t="str">
            <v>KS Match Point Ślęza</v>
          </cell>
        </row>
        <row r="467">
          <cell r="A467" t="str">
            <v>G2661</v>
          </cell>
          <cell r="B467" t="str">
            <v>Diana</v>
          </cell>
          <cell r="C467" t="str">
            <v>GŁOWACKA</v>
          </cell>
          <cell r="D467" t="str">
            <v>LUKS Księżyno</v>
          </cell>
        </row>
        <row r="468">
          <cell r="A468" t="str">
            <v>G3902</v>
          </cell>
          <cell r="B468" t="str">
            <v>Klaudia</v>
          </cell>
          <cell r="C468" t="str">
            <v>GŁOWACKA</v>
          </cell>
          <cell r="D468" t="str">
            <v>LUKS Księżyno</v>
          </cell>
        </row>
        <row r="469">
          <cell r="A469" t="str">
            <v>G5677</v>
          </cell>
          <cell r="B469" t="str">
            <v>Eryk</v>
          </cell>
          <cell r="C469" t="str">
            <v>GŁOWACKI</v>
          </cell>
          <cell r="D469" t="str">
            <v>UKS MixTeam Tarnowiec</v>
          </cell>
        </row>
        <row r="470">
          <cell r="A470" t="str">
            <v>G5613</v>
          </cell>
          <cell r="B470" t="str">
            <v>Michał</v>
          </cell>
          <cell r="C470" t="str">
            <v>GMYZ</v>
          </cell>
          <cell r="D470" t="str">
            <v>UKS Kiko Zamość</v>
          </cell>
        </row>
        <row r="471">
          <cell r="A471" t="str">
            <v>G3205</v>
          </cell>
          <cell r="B471" t="str">
            <v>Anna</v>
          </cell>
          <cell r="C471" t="str">
            <v>GOC</v>
          </cell>
          <cell r="D471" t="str">
            <v>UKS Plesbad Pszczyna</v>
          </cell>
        </row>
        <row r="472">
          <cell r="A472" t="str">
            <v>G3672</v>
          </cell>
          <cell r="B472" t="str">
            <v>Kamil</v>
          </cell>
          <cell r="C472" t="str">
            <v>GOCAN</v>
          </cell>
          <cell r="D472" t="str">
            <v>MKB Lednik Miastko</v>
          </cell>
        </row>
        <row r="473">
          <cell r="A473" t="str">
            <v>G5469</v>
          </cell>
          <cell r="B473" t="str">
            <v>Paulina</v>
          </cell>
          <cell r="C473" t="str">
            <v>GOLA</v>
          </cell>
          <cell r="D473" t="str">
            <v>KS Chojnik Jelenia Góra</v>
          </cell>
        </row>
        <row r="474">
          <cell r="A474" t="str">
            <v>G3068</v>
          </cell>
          <cell r="B474" t="str">
            <v>Ewa</v>
          </cell>
          <cell r="C474" t="str">
            <v>GOLAŃSKA</v>
          </cell>
          <cell r="D474" t="str">
            <v>----</v>
          </cell>
        </row>
        <row r="475">
          <cell r="A475" t="str">
            <v>G1054</v>
          </cell>
          <cell r="B475" t="str">
            <v>Emilia</v>
          </cell>
          <cell r="C475" t="str">
            <v>GOLDWASSER</v>
          </cell>
          <cell r="D475" t="str">
            <v>UKS 2 Sobótka</v>
          </cell>
        </row>
        <row r="476">
          <cell r="A476" t="str">
            <v>G3508</v>
          </cell>
          <cell r="B476" t="str">
            <v>Jagoda</v>
          </cell>
          <cell r="C476" t="str">
            <v>GOLDWASSER</v>
          </cell>
          <cell r="D476" t="str">
            <v>UKS 2 Sobótka</v>
          </cell>
        </row>
        <row r="477">
          <cell r="A477" t="str">
            <v>G5319</v>
          </cell>
          <cell r="B477" t="str">
            <v>Magdalena</v>
          </cell>
          <cell r="C477" t="str">
            <v>GOLDWASSER</v>
          </cell>
          <cell r="D477" t="str">
            <v>UKS Astra Wrocław</v>
          </cell>
        </row>
        <row r="478">
          <cell r="A478" t="str">
            <v>G5320</v>
          </cell>
          <cell r="B478" t="str">
            <v>Maja</v>
          </cell>
          <cell r="C478" t="str">
            <v>GOLEMIEC</v>
          </cell>
          <cell r="D478" t="str">
            <v>UKS Astra Wrocław</v>
          </cell>
        </row>
        <row r="479">
          <cell r="A479" t="str">
            <v>G3113</v>
          </cell>
          <cell r="B479" t="str">
            <v>Karolina</v>
          </cell>
          <cell r="C479" t="str">
            <v>GOLENIA</v>
          </cell>
          <cell r="D479" t="str">
            <v>UKS Sokół Ropczyce</v>
          </cell>
        </row>
        <row r="480">
          <cell r="A480" t="str">
            <v>G3411</v>
          </cell>
          <cell r="B480" t="str">
            <v>Magdalena</v>
          </cell>
          <cell r="C480" t="str">
            <v>GOLENIA</v>
          </cell>
          <cell r="D480" t="str">
            <v>UKS Sokół Ropczyce</v>
          </cell>
        </row>
        <row r="481">
          <cell r="A481" t="str">
            <v>G5610</v>
          </cell>
          <cell r="B481" t="str">
            <v>Szymon</v>
          </cell>
          <cell r="C481" t="str">
            <v>GOLISZEWSKI</v>
          </cell>
          <cell r="D481" t="str">
            <v>UKS Dwójka Wesoła</v>
          </cell>
        </row>
        <row r="482">
          <cell r="A482" t="str">
            <v>G4108</v>
          </cell>
          <cell r="B482" t="str">
            <v>Katarzyna</v>
          </cell>
          <cell r="C482" t="str">
            <v>GOLUSIK</v>
          </cell>
          <cell r="D482" t="str">
            <v>UKS Iskra Babimost</v>
          </cell>
        </row>
        <row r="483">
          <cell r="A483" t="str">
            <v>G5543</v>
          </cell>
          <cell r="B483" t="str">
            <v>Katarzyna</v>
          </cell>
          <cell r="C483" t="str">
            <v>GOŁĄBEK</v>
          </cell>
          <cell r="D483" t="str">
            <v>MMKS Kędzierzyn-Koźle</v>
          </cell>
        </row>
        <row r="484">
          <cell r="A484" t="str">
            <v>G3449</v>
          </cell>
          <cell r="B484" t="str">
            <v>Arkadiusz</v>
          </cell>
          <cell r="C484" t="str">
            <v>GOŁĘBIEWSKI</v>
          </cell>
          <cell r="D484" t="str">
            <v>UKS 70 Płock</v>
          </cell>
        </row>
        <row r="485">
          <cell r="A485" t="str">
            <v>G1142</v>
          </cell>
          <cell r="B485" t="str">
            <v>Damian</v>
          </cell>
          <cell r="C485" t="str">
            <v>GOŁĘBIEWSKI</v>
          </cell>
          <cell r="D485" t="str">
            <v>AZSUWM Olsztyn</v>
          </cell>
        </row>
        <row r="486">
          <cell r="A486" t="str">
            <v>G1413</v>
          </cell>
          <cell r="B486" t="str">
            <v>Małgorzata</v>
          </cell>
          <cell r="C486" t="str">
            <v>GOŁĘBIOWSKA</v>
          </cell>
          <cell r="D486" t="str">
            <v>KS Wesoła Warszawa</v>
          </cell>
        </row>
        <row r="487">
          <cell r="A487" t="str">
            <v>G4559</v>
          </cell>
          <cell r="B487" t="str">
            <v>Maciej</v>
          </cell>
          <cell r="C487" t="str">
            <v>GOMOŁA</v>
          </cell>
          <cell r="D487" t="str">
            <v>KS Masovia Płock</v>
          </cell>
        </row>
        <row r="488">
          <cell r="A488" t="str">
            <v>G4560</v>
          </cell>
          <cell r="B488" t="str">
            <v>Michał</v>
          </cell>
          <cell r="C488" t="str">
            <v>GOMOŁA</v>
          </cell>
          <cell r="D488" t="str">
            <v>KS Masovia Płock</v>
          </cell>
        </row>
        <row r="489">
          <cell r="A489" t="str">
            <v>G1337</v>
          </cell>
          <cell r="B489" t="str">
            <v>Krzysztof</v>
          </cell>
          <cell r="C489" t="str">
            <v>GONTARSKI</v>
          </cell>
          <cell r="D489" t="str">
            <v>KS Wesoła Warszawa</v>
          </cell>
        </row>
        <row r="490">
          <cell r="A490" t="str">
            <v>G4454</v>
          </cell>
          <cell r="B490" t="str">
            <v>Karol</v>
          </cell>
          <cell r="C490" t="str">
            <v>GONTARZ</v>
          </cell>
          <cell r="D490" t="str">
            <v>LUKS Krokus Góralice</v>
          </cell>
        </row>
        <row r="491">
          <cell r="A491" t="str">
            <v>G2375</v>
          </cell>
          <cell r="B491" t="str">
            <v>Paweł</v>
          </cell>
          <cell r="C491" t="str">
            <v>GONTARZ</v>
          </cell>
          <cell r="D491" t="str">
            <v>----</v>
          </cell>
        </row>
        <row r="492">
          <cell r="A492" t="str">
            <v>G4816</v>
          </cell>
          <cell r="B492" t="str">
            <v>Dobromir</v>
          </cell>
          <cell r="C492" t="str">
            <v>GORDIĆ</v>
          </cell>
          <cell r="D492" t="str">
            <v>UKS Hubal Białystok</v>
          </cell>
        </row>
        <row r="493">
          <cell r="A493" t="str">
            <v>G5275</v>
          </cell>
          <cell r="B493" t="str">
            <v>Konrad</v>
          </cell>
          <cell r="C493" t="str">
            <v>GORGOL</v>
          </cell>
          <cell r="D493" t="str">
            <v>PMKS Chrobry Piotrowice</v>
          </cell>
        </row>
        <row r="494">
          <cell r="A494" t="str">
            <v>G4305</v>
          </cell>
          <cell r="B494" t="str">
            <v>Jakub</v>
          </cell>
          <cell r="C494" t="str">
            <v>GORZKOWSKI</v>
          </cell>
          <cell r="D494" t="str">
            <v>UKS 15 Kędzierzyn-Koźle</v>
          </cell>
        </row>
        <row r="495">
          <cell r="A495" t="str">
            <v>G3752</v>
          </cell>
          <cell r="B495" t="str">
            <v>Martyna</v>
          </cell>
          <cell r="C495" t="str">
            <v>GOSTOMCZYK</v>
          </cell>
          <cell r="D495" t="str">
            <v>UKSOSIR Badminton Sławno</v>
          </cell>
        </row>
        <row r="496">
          <cell r="A496" t="str">
            <v>G4208</v>
          </cell>
          <cell r="B496" t="str">
            <v>Aleksandra</v>
          </cell>
          <cell r="C496" t="str">
            <v>GOSZCZYŃSKA</v>
          </cell>
          <cell r="D496" t="str">
            <v>UKSB Milenium Warszawa</v>
          </cell>
        </row>
        <row r="497">
          <cell r="A497" t="str">
            <v>G3976</v>
          </cell>
          <cell r="B497" t="str">
            <v>Agata</v>
          </cell>
          <cell r="C497" t="str">
            <v>GOŚCIŁO</v>
          </cell>
          <cell r="D497" t="str">
            <v>KS Stal Sulęcin</v>
          </cell>
        </row>
        <row r="498">
          <cell r="A498" t="str">
            <v>G3966</v>
          </cell>
          <cell r="B498" t="str">
            <v>Daniel</v>
          </cell>
          <cell r="C498" t="str">
            <v>GOŚCIŁO</v>
          </cell>
          <cell r="D498" t="str">
            <v>KS Stal Sulęcin</v>
          </cell>
        </row>
        <row r="499">
          <cell r="A499" t="str">
            <v>G5363</v>
          </cell>
          <cell r="B499" t="str">
            <v>Łukasz</v>
          </cell>
          <cell r="C499" t="str">
            <v>GÓRA</v>
          </cell>
          <cell r="D499" t="str">
            <v>PMKS Chrobry Piotrowice</v>
          </cell>
        </row>
        <row r="500">
          <cell r="A500" t="str">
            <v>G5848</v>
          </cell>
          <cell r="B500" t="str">
            <v>Hanna</v>
          </cell>
          <cell r="C500" t="str">
            <v>GÓRGÓL</v>
          </cell>
          <cell r="D500" t="str">
            <v>UKS Astra Wrocław</v>
          </cell>
        </row>
        <row r="501">
          <cell r="A501" t="str">
            <v>G5451</v>
          </cell>
          <cell r="B501" t="str">
            <v>Kacper</v>
          </cell>
          <cell r="C501" t="str">
            <v>GÓRNIAK</v>
          </cell>
          <cell r="D501" t="str">
            <v>KS Chojnik Jelenia Góra</v>
          </cell>
        </row>
        <row r="502">
          <cell r="A502" t="str">
            <v>G5614</v>
          </cell>
          <cell r="B502" t="str">
            <v>Weronika</v>
          </cell>
          <cell r="C502" t="str">
            <v>GÓRNIAK</v>
          </cell>
          <cell r="D502" t="str">
            <v>UKSB Milenium Warszawa</v>
          </cell>
        </row>
        <row r="503">
          <cell r="A503" t="str">
            <v>G4812</v>
          </cell>
          <cell r="B503" t="str">
            <v>Klaudia</v>
          </cell>
          <cell r="C503" t="str">
            <v>GÓRSKA</v>
          </cell>
          <cell r="D503" t="str">
            <v>UKS Hubal Białystok</v>
          </cell>
        </row>
        <row r="504">
          <cell r="A504" t="str">
            <v>G5799</v>
          </cell>
          <cell r="B504" t="str">
            <v>Jakub</v>
          </cell>
          <cell r="C504" t="str">
            <v>GÓRSKI</v>
          </cell>
          <cell r="D504" t="str">
            <v>KS Stal Sulęcin</v>
          </cell>
        </row>
        <row r="505">
          <cell r="A505" t="str">
            <v>G5755</v>
          </cell>
          <cell r="B505" t="str">
            <v>Szymon</v>
          </cell>
          <cell r="C505" t="str">
            <v>GÓSKI</v>
          </cell>
          <cell r="D505" t="str">
            <v>UKS Kiko Zamość</v>
          </cell>
        </row>
        <row r="506">
          <cell r="A506" t="str">
            <v>G4310</v>
          </cell>
          <cell r="B506" t="str">
            <v>Klaudia</v>
          </cell>
          <cell r="C506" t="str">
            <v>GRABANIA</v>
          </cell>
          <cell r="D506" t="str">
            <v>UKS Bursztyn Gdańsk</v>
          </cell>
        </row>
        <row r="507">
          <cell r="A507" t="str">
            <v>G3565</v>
          </cell>
          <cell r="B507" t="str">
            <v>Ewa</v>
          </cell>
          <cell r="C507" t="str">
            <v>GRABEK</v>
          </cell>
          <cell r="D507" t="str">
            <v>UKS Hubal Białystok</v>
          </cell>
        </row>
        <row r="508">
          <cell r="A508" t="str">
            <v>G5511</v>
          </cell>
          <cell r="B508" t="str">
            <v>Krzysztof</v>
          </cell>
          <cell r="C508" t="str">
            <v>GRABEK</v>
          </cell>
          <cell r="D508" t="str">
            <v>----</v>
          </cell>
        </row>
        <row r="509">
          <cell r="A509" t="str">
            <v>G4784</v>
          </cell>
          <cell r="B509" t="str">
            <v>Andrzej</v>
          </cell>
          <cell r="C509" t="str">
            <v>GRABIŃSKI</v>
          </cell>
          <cell r="D509" t="str">
            <v>----</v>
          </cell>
        </row>
        <row r="510">
          <cell r="A510" t="str">
            <v>G4455</v>
          </cell>
          <cell r="B510" t="str">
            <v>Katarzyna</v>
          </cell>
          <cell r="C510" t="str">
            <v>GRABOWICZ</v>
          </cell>
          <cell r="D510" t="str">
            <v>LUKS Krokus Góralice</v>
          </cell>
        </row>
        <row r="511">
          <cell r="A511" t="str">
            <v>G5536</v>
          </cell>
          <cell r="B511" t="str">
            <v>Filip</v>
          </cell>
          <cell r="C511" t="str">
            <v>GRABOWSKI</v>
          </cell>
          <cell r="D511" t="str">
            <v>SKB Suwałki</v>
          </cell>
        </row>
        <row r="512">
          <cell r="A512" t="str">
            <v>G3385</v>
          </cell>
          <cell r="B512" t="str">
            <v>Michał</v>
          </cell>
          <cell r="C512" t="str">
            <v>GRABOWSKI</v>
          </cell>
          <cell r="D512" t="str">
            <v>MKB Lednik Miastko</v>
          </cell>
        </row>
        <row r="513">
          <cell r="A513" t="str">
            <v>G4904</v>
          </cell>
          <cell r="B513" t="str">
            <v>Paweł</v>
          </cell>
          <cell r="C513" t="str">
            <v>GRABOWSKI</v>
          </cell>
          <cell r="D513" t="str">
            <v>----</v>
          </cell>
        </row>
        <row r="514">
          <cell r="A514" t="str">
            <v>G5717</v>
          </cell>
          <cell r="B514" t="str">
            <v>Katarzyna</v>
          </cell>
          <cell r="C514" t="str">
            <v>GRADZIŃSKA</v>
          </cell>
          <cell r="D514" t="str">
            <v>----</v>
          </cell>
        </row>
        <row r="515">
          <cell r="A515" t="str">
            <v>G4097</v>
          </cell>
          <cell r="B515" t="str">
            <v>Adam</v>
          </cell>
          <cell r="C515" t="str">
            <v>GRALA</v>
          </cell>
          <cell r="D515" t="str">
            <v>----</v>
          </cell>
        </row>
        <row r="516">
          <cell r="A516" t="str">
            <v>G5649</v>
          </cell>
          <cell r="B516" t="str">
            <v>Wiktoria</v>
          </cell>
          <cell r="C516" t="str">
            <v>GRĄDZKA</v>
          </cell>
          <cell r="D516" t="str">
            <v>UKSB Volant Mielec</v>
          </cell>
        </row>
        <row r="517">
          <cell r="A517" t="str">
            <v>G5727</v>
          </cell>
          <cell r="B517" t="str">
            <v>Marlena</v>
          </cell>
          <cell r="C517" t="str">
            <v>GREGOR</v>
          </cell>
          <cell r="D517" t="str">
            <v>MKS Strzelce Opolskie</v>
          </cell>
        </row>
        <row r="518">
          <cell r="A518" t="str">
            <v>G5130</v>
          </cell>
          <cell r="B518" t="str">
            <v>Julia</v>
          </cell>
          <cell r="C518" t="str">
            <v>GRENDA</v>
          </cell>
          <cell r="D518" t="str">
            <v>UKS Korona Pabianice</v>
          </cell>
        </row>
        <row r="519">
          <cell r="A519" t="str">
            <v>G5809</v>
          </cell>
          <cell r="B519" t="str">
            <v>Rafał</v>
          </cell>
          <cell r="C519" t="str">
            <v>GRENDA</v>
          </cell>
          <cell r="D519" t="str">
            <v>UKS Korona Pabianice</v>
          </cell>
        </row>
        <row r="520">
          <cell r="A520" t="str">
            <v>G4479</v>
          </cell>
          <cell r="B520" t="str">
            <v>Kamila</v>
          </cell>
          <cell r="C520" t="str">
            <v>GRESZTA</v>
          </cell>
          <cell r="D520" t="str">
            <v>UKS Kiko Zamość</v>
          </cell>
        </row>
        <row r="521">
          <cell r="A521" t="str">
            <v>G5125</v>
          </cell>
          <cell r="B521" t="str">
            <v>Natalia</v>
          </cell>
          <cell r="C521" t="str">
            <v>GROBELNA</v>
          </cell>
          <cell r="D521" t="str">
            <v>UKS Korona Pabianice</v>
          </cell>
        </row>
        <row r="522">
          <cell r="A522" t="str">
            <v>G5557</v>
          </cell>
          <cell r="B522" t="str">
            <v>Bartosz</v>
          </cell>
          <cell r="C522" t="str">
            <v>GROCHOCKI</v>
          </cell>
          <cell r="D522" t="str">
            <v>UKSB Volant Mielec</v>
          </cell>
        </row>
        <row r="523">
          <cell r="A523" t="str">
            <v>G4749</v>
          </cell>
          <cell r="B523" t="str">
            <v>Mikołaj</v>
          </cell>
          <cell r="C523" t="str">
            <v>GROCHOWALSKI</v>
          </cell>
          <cell r="D523" t="str">
            <v>UKSOSIR Badminton Sławno</v>
          </cell>
        </row>
        <row r="524">
          <cell r="A524" t="str">
            <v>G5445</v>
          </cell>
          <cell r="B524" t="str">
            <v>Bartosz</v>
          </cell>
          <cell r="C524" t="str">
            <v>GROCHOWSKI</v>
          </cell>
          <cell r="D524" t="str">
            <v>MMKS Gdańsk</v>
          </cell>
        </row>
        <row r="525">
          <cell r="A525" t="str">
            <v>G4348</v>
          </cell>
          <cell r="B525" t="str">
            <v>Jakub</v>
          </cell>
          <cell r="C525" t="str">
            <v>GROCHOWSKI</v>
          </cell>
          <cell r="D525" t="str">
            <v>ŚKBad Harcownik Warszawa</v>
          </cell>
        </row>
        <row r="526">
          <cell r="A526" t="str">
            <v>G5951</v>
          </cell>
          <cell r="B526" t="str">
            <v>Laura</v>
          </cell>
          <cell r="C526" t="str">
            <v>GRONKIEWICZ</v>
          </cell>
          <cell r="D526" t="str">
            <v>KS Masovia Płock</v>
          </cell>
        </row>
        <row r="527">
          <cell r="A527" t="str">
            <v>G5457</v>
          </cell>
          <cell r="B527" t="str">
            <v>Mateusz</v>
          </cell>
          <cell r="C527" t="str">
            <v>GRUBA</v>
          </cell>
          <cell r="D527" t="str">
            <v>MKB Lednik Miastko</v>
          </cell>
        </row>
        <row r="528">
          <cell r="A528" t="str">
            <v>G3906</v>
          </cell>
          <cell r="B528" t="str">
            <v>Szymon</v>
          </cell>
          <cell r="C528" t="str">
            <v>GRUBSKI</v>
          </cell>
          <cell r="D528" t="str">
            <v>----</v>
          </cell>
        </row>
        <row r="529">
          <cell r="A529" t="str">
            <v>G2324</v>
          </cell>
          <cell r="B529" t="str">
            <v>Weronika</v>
          </cell>
          <cell r="C529" t="str">
            <v>GRUDZINA</v>
          </cell>
          <cell r="D529" t="str">
            <v>MLKS Solec Kuj.</v>
          </cell>
        </row>
        <row r="530">
          <cell r="A530" t="str">
            <v>G5028</v>
          </cell>
          <cell r="B530" t="str">
            <v>Magdalena</v>
          </cell>
          <cell r="C530" t="str">
            <v>GRUNTKOWSKA</v>
          </cell>
          <cell r="D530" t="str">
            <v>MKS Strzelce Opolskie</v>
          </cell>
        </row>
        <row r="531">
          <cell r="A531" t="str">
            <v>G5299</v>
          </cell>
          <cell r="B531" t="str">
            <v>Stanisława</v>
          </cell>
          <cell r="C531" t="str">
            <v>GRUSZCZYŃSKA</v>
          </cell>
          <cell r="D531" t="str">
            <v>UKS KSBad Kraków</v>
          </cell>
        </row>
        <row r="532">
          <cell r="A532" t="str">
            <v>G5907</v>
          </cell>
          <cell r="B532" t="str">
            <v>Marcel</v>
          </cell>
          <cell r="C532" t="str">
            <v>GRUSZCZYŃSKI</v>
          </cell>
          <cell r="D532" t="str">
            <v>BKS Kolejarz Katowice</v>
          </cell>
        </row>
        <row r="533">
          <cell r="A533" t="str">
            <v>G5908</v>
          </cell>
          <cell r="B533" t="str">
            <v>Marcin</v>
          </cell>
          <cell r="C533" t="str">
            <v>GRUSZCZYŃSKI</v>
          </cell>
          <cell r="D533" t="str">
            <v>BKS Kolejarz Katowice</v>
          </cell>
        </row>
        <row r="534">
          <cell r="A534" t="str">
            <v>G5298</v>
          </cell>
          <cell r="B534" t="str">
            <v>Piotr</v>
          </cell>
          <cell r="C534" t="str">
            <v>GRUSZCZYŃSKI</v>
          </cell>
          <cell r="D534" t="str">
            <v>UKS KSBad Kraków</v>
          </cell>
        </row>
        <row r="535">
          <cell r="A535" t="str">
            <v>G5589</v>
          </cell>
          <cell r="B535" t="str">
            <v>Adam</v>
          </cell>
          <cell r="C535" t="str">
            <v>GRUSZKA</v>
          </cell>
          <cell r="D535" t="str">
            <v>OTB Lotka Ostrów Wlkp.</v>
          </cell>
        </row>
        <row r="536">
          <cell r="A536" t="str">
            <v>G3134</v>
          </cell>
          <cell r="B536" t="str">
            <v>Katarzyna</v>
          </cell>
          <cell r="C536" t="str">
            <v>GRUSZKA</v>
          </cell>
          <cell r="D536" t="str">
            <v>UKS Orbitek Straszęcin</v>
          </cell>
        </row>
        <row r="537">
          <cell r="A537" t="str">
            <v>G4488</v>
          </cell>
          <cell r="B537" t="str">
            <v>Piotr</v>
          </cell>
          <cell r="C537" t="str">
            <v>GRUSZKA</v>
          </cell>
          <cell r="D537" t="str">
            <v>AZSWAT Warszawa</v>
          </cell>
        </row>
        <row r="538">
          <cell r="A538" t="str">
            <v>G5504</v>
          </cell>
          <cell r="B538" t="str">
            <v>Amelia</v>
          </cell>
          <cell r="C538" t="str">
            <v>GRYGUŁA</v>
          </cell>
          <cell r="D538" t="str">
            <v>ZKB Maced Polanów</v>
          </cell>
        </row>
        <row r="539">
          <cell r="A539" t="str">
            <v>G5503</v>
          </cell>
          <cell r="B539" t="str">
            <v>Filip</v>
          </cell>
          <cell r="C539" t="str">
            <v>GRYGUŁA</v>
          </cell>
          <cell r="D539" t="str">
            <v>ZKB Maced Polanów</v>
          </cell>
        </row>
        <row r="540">
          <cell r="A540" t="str">
            <v>G4932</v>
          </cell>
          <cell r="B540" t="str">
            <v>Łukasz</v>
          </cell>
          <cell r="C540" t="str">
            <v>GRYKO</v>
          </cell>
          <cell r="D540" t="str">
            <v>UKS Hubal Białystok</v>
          </cell>
        </row>
        <row r="541">
          <cell r="A541" t="str">
            <v>G0976</v>
          </cell>
          <cell r="B541" t="str">
            <v>Mariola</v>
          </cell>
          <cell r="C541" t="str">
            <v>GRZĄDZIELSKA</v>
          </cell>
          <cell r="D541" t="str">
            <v>SKB Piast Słupsk</v>
          </cell>
        </row>
        <row r="542">
          <cell r="A542" t="str">
            <v>G4515</v>
          </cell>
          <cell r="B542" t="str">
            <v>Andrzej</v>
          </cell>
          <cell r="C542" t="str">
            <v>GRZECHNIK</v>
          </cell>
          <cell r="D542" t="str">
            <v>----</v>
          </cell>
        </row>
        <row r="543">
          <cell r="A543" t="str">
            <v>G2683</v>
          </cell>
          <cell r="B543" t="str">
            <v>Dawid</v>
          </cell>
          <cell r="C543" t="str">
            <v>GRZEGORZAK</v>
          </cell>
          <cell r="D543" t="str">
            <v>LKS Technik Głubczyce</v>
          </cell>
        </row>
        <row r="544">
          <cell r="A544" t="str">
            <v>G0471</v>
          </cell>
          <cell r="B544" t="str">
            <v>Julita</v>
          </cell>
          <cell r="C544" t="str">
            <v>GRZEGORZEWSKA</v>
          </cell>
          <cell r="D544" t="str">
            <v>UKS Hubal Białystok</v>
          </cell>
        </row>
        <row r="545">
          <cell r="A545" t="str">
            <v>G0113</v>
          </cell>
          <cell r="B545" t="str">
            <v>Dorota</v>
          </cell>
          <cell r="C545" t="str">
            <v>GRZEJDAK</v>
          </cell>
          <cell r="D545" t="str">
            <v>UKS Kometa Sianów</v>
          </cell>
        </row>
        <row r="546">
          <cell r="A546" t="str">
            <v>G5570</v>
          </cell>
          <cell r="B546" t="str">
            <v>Paulina</v>
          </cell>
          <cell r="C546" t="str">
            <v>GRZELAK</v>
          </cell>
          <cell r="D546" t="str">
            <v>MMKS Kędzierzyn-Koźle</v>
          </cell>
        </row>
        <row r="547">
          <cell r="A547" t="str">
            <v>G4142</v>
          </cell>
          <cell r="B547" t="str">
            <v>Agnieszka</v>
          </cell>
          <cell r="C547" t="str">
            <v>GRZEMPA</v>
          </cell>
          <cell r="D547" t="str">
            <v>UKS Lotka Lubiewo</v>
          </cell>
        </row>
        <row r="548">
          <cell r="A548" t="str">
            <v>G0263</v>
          </cell>
          <cell r="B548" t="str">
            <v>Adam</v>
          </cell>
          <cell r="C548" t="str">
            <v>GRZESIAK</v>
          </cell>
          <cell r="D548" t="str">
            <v>OTB Lotka Ostrów Wlkp.</v>
          </cell>
        </row>
        <row r="549">
          <cell r="A549" t="str">
            <v>G4422</v>
          </cell>
          <cell r="B549" t="str">
            <v>Klaudia</v>
          </cell>
          <cell r="C549" t="str">
            <v>GRZESIAK</v>
          </cell>
          <cell r="D549" t="str">
            <v>OTB Lotka Ostrów Wlkp.</v>
          </cell>
        </row>
        <row r="550">
          <cell r="A550" t="str">
            <v>G4423</v>
          </cell>
          <cell r="B550" t="str">
            <v>Maja</v>
          </cell>
          <cell r="C550" t="str">
            <v>GRZESIAK</v>
          </cell>
          <cell r="D550" t="str">
            <v>OTB Lotka Ostrów Wlkp.</v>
          </cell>
        </row>
        <row r="551">
          <cell r="A551" t="str">
            <v>G2278</v>
          </cell>
          <cell r="B551" t="str">
            <v>Przemysław</v>
          </cell>
          <cell r="C551" t="str">
            <v>GRZESZKOWIAK</v>
          </cell>
          <cell r="D551" t="str">
            <v>----</v>
          </cell>
        </row>
        <row r="552">
          <cell r="A552" t="str">
            <v>G5489</v>
          </cell>
          <cell r="B552" t="str">
            <v>Gabriel</v>
          </cell>
          <cell r="C552" t="str">
            <v>GRZYB</v>
          </cell>
          <cell r="D552" t="str">
            <v>UKS Orbitek Straszęcin</v>
          </cell>
        </row>
        <row r="553">
          <cell r="A553" t="str">
            <v>G5058</v>
          </cell>
          <cell r="B553" t="str">
            <v>Wiktor</v>
          </cell>
          <cell r="C553" t="str">
            <v>GRZYB</v>
          </cell>
          <cell r="D553" t="str">
            <v>UKS Orbitek Straszęcin</v>
          </cell>
        </row>
        <row r="554">
          <cell r="A554" t="str">
            <v>G5514</v>
          </cell>
          <cell r="B554" t="str">
            <v>Wiktoria</v>
          </cell>
          <cell r="C554" t="str">
            <v>GRZYBEK</v>
          </cell>
          <cell r="D554" t="str">
            <v>UKS Plesbad Pszczyna</v>
          </cell>
        </row>
        <row r="555">
          <cell r="A555" t="str">
            <v>G1808</v>
          </cell>
          <cell r="B555" t="str">
            <v>Jerzy</v>
          </cell>
          <cell r="C555" t="str">
            <v>GRZYBOWSKI</v>
          </cell>
          <cell r="D555" t="str">
            <v>----</v>
          </cell>
        </row>
        <row r="556">
          <cell r="A556" t="str">
            <v>G5660</v>
          </cell>
          <cell r="B556" t="str">
            <v>Maciej</v>
          </cell>
          <cell r="C556" t="str">
            <v>GRZYBOWSKI</v>
          </cell>
          <cell r="D556" t="str">
            <v>----</v>
          </cell>
        </row>
        <row r="557">
          <cell r="A557" t="str">
            <v>G4692</v>
          </cell>
          <cell r="B557" t="str">
            <v>Katarzyna</v>
          </cell>
          <cell r="C557" t="str">
            <v>GRZYWACZ</v>
          </cell>
          <cell r="D557" t="str">
            <v>UKS Kometa Sianów</v>
          </cell>
        </row>
        <row r="558">
          <cell r="A558" t="str">
            <v>G5920</v>
          </cell>
          <cell r="B558" t="str">
            <v>Marcin</v>
          </cell>
          <cell r="C558" t="str">
            <v>GRZYWACZ</v>
          </cell>
          <cell r="D558" t="str">
            <v>UKS Kometa Sianów</v>
          </cell>
        </row>
        <row r="559">
          <cell r="A559" t="str">
            <v>G5572</v>
          </cell>
          <cell r="B559" t="str">
            <v>Łukasz</v>
          </cell>
          <cell r="C559" t="str">
            <v>GRZYWNA</v>
          </cell>
          <cell r="D559" t="str">
            <v>PMKS Chrobry Piotrowice</v>
          </cell>
        </row>
        <row r="560">
          <cell r="A560" t="str">
            <v>G4414</v>
          </cell>
          <cell r="B560" t="str">
            <v>Kacper</v>
          </cell>
          <cell r="C560" t="str">
            <v>GUBAŁA</v>
          </cell>
          <cell r="D560" t="str">
            <v>UKS Badmin Gorlice</v>
          </cell>
        </row>
        <row r="561">
          <cell r="A561" t="str">
            <v>G4413</v>
          </cell>
          <cell r="B561" t="str">
            <v>Szymon</v>
          </cell>
          <cell r="C561" t="str">
            <v>GUBAŁA</v>
          </cell>
          <cell r="D561" t="str">
            <v>UKS Badmin Gorlice</v>
          </cell>
        </row>
        <row r="562">
          <cell r="A562" t="str">
            <v>G3560</v>
          </cell>
          <cell r="B562" t="str">
            <v>Daria</v>
          </cell>
          <cell r="C562" t="str">
            <v>GUJSKA</v>
          </cell>
          <cell r="D562" t="str">
            <v>UKS Kiko Zamość</v>
          </cell>
        </row>
        <row r="563">
          <cell r="A563" t="str">
            <v>G2476</v>
          </cell>
          <cell r="B563" t="str">
            <v>Daniel</v>
          </cell>
          <cell r="C563" t="str">
            <v>GUJSKI</v>
          </cell>
          <cell r="D563" t="str">
            <v>UKS Kiko Zamość</v>
          </cell>
        </row>
        <row r="564">
          <cell r="A564" t="str">
            <v>G5304</v>
          </cell>
          <cell r="B564" t="str">
            <v>Piotr</v>
          </cell>
          <cell r="C564" t="str">
            <v>GULAK</v>
          </cell>
          <cell r="D564" t="str">
            <v>----</v>
          </cell>
        </row>
        <row r="565">
          <cell r="A565" t="str">
            <v>G5736</v>
          </cell>
          <cell r="B565" t="str">
            <v>Robert</v>
          </cell>
          <cell r="C565" t="str">
            <v>GUŃKA</v>
          </cell>
          <cell r="D565" t="str">
            <v>MKS Spartakus Niepołomice</v>
          </cell>
        </row>
        <row r="566">
          <cell r="A566" t="str">
            <v>G3659</v>
          </cell>
          <cell r="B566" t="str">
            <v>Rafał</v>
          </cell>
          <cell r="C566" t="str">
            <v>GURGA</v>
          </cell>
          <cell r="D566" t="str">
            <v>UKS Orbitek Straszęcin</v>
          </cell>
        </row>
        <row r="567">
          <cell r="A567" t="str">
            <v>G5662</v>
          </cell>
          <cell r="B567" t="str">
            <v>Jakub</v>
          </cell>
          <cell r="C567" t="str">
            <v>GURGUL</v>
          </cell>
          <cell r="D567" t="str">
            <v>KS Match Point Ślęza</v>
          </cell>
        </row>
        <row r="568">
          <cell r="A568" t="str">
            <v>G5797</v>
          </cell>
          <cell r="B568" t="str">
            <v>Wojciech</v>
          </cell>
          <cell r="C568" t="str">
            <v>GURGUL</v>
          </cell>
          <cell r="D568" t="str">
            <v>KS Match Point Ślęza</v>
          </cell>
        </row>
        <row r="569">
          <cell r="A569" t="str">
            <v>G4721</v>
          </cell>
          <cell r="B569" t="str">
            <v>Kinga</v>
          </cell>
          <cell r="C569" t="str">
            <v>GURZ</v>
          </cell>
          <cell r="D569" t="str">
            <v>UKS Sokół Ropczyce</v>
          </cell>
        </row>
        <row r="570">
          <cell r="A570" t="str">
            <v>G1158</v>
          </cell>
          <cell r="B570" t="str">
            <v>Cezary</v>
          </cell>
          <cell r="C570" t="str">
            <v>GUTOWSKI</v>
          </cell>
          <cell r="D570" t="str">
            <v>KS Wesoła Warszawa</v>
          </cell>
        </row>
        <row r="571">
          <cell r="A571" t="str">
            <v>G3457</v>
          </cell>
          <cell r="B571" t="str">
            <v>Patrycja</v>
          </cell>
          <cell r="C571" t="str">
            <v>GUZEWICZ</v>
          </cell>
          <cell r="D571" t="str">
            <v>LUKS Księżyno</v>
          </cell>
        </row>
        <row r="572">
          <cell r="A572" t="str">
            <v>G0114</v>
          </cell>
          <cell r="B572" t="str">
            <v>Dominika</v>
          </cell>
          <cell r="C572" t="str">
            <v>GUZIK-PŁUCHOWSKA</v>
          </cell>
          <cell r="D572" t="str">
            <v>AZSAGH Kraków</v>
          </cell>
        </row>
        <row r="573">
          <cell r="A573" t="str">
            <v>G1774</v>
          </cell>
          <cell r="B573" t="str">
            <v>Czesław</v>
          </cell>
          <cell r="C573" t="str">
            <v>GWIAZDA</v>
          </cell>
          <cell r="D573" t="str">
            <v>----</v>
          </cell>
        </row>
        <row r="574">
          <cell r="A574" t="str">
            <v>G5128</v>
          </cell>
          <cell r="B574" t="str">
            <v>Artur</v>
          </cell>
          <cell r="C574" t="str">
            <v>GWIAZDOWSKI</v>
          </cell>
          <cell r="D574" t="str">
            <v>UKS Korona Pabianice</v>
          </cell>
        </row>
        <row r="575">
          <cell r="A575" t="str">
            <v>H3276</v>
          </cell>
          <cell r="B575" t="str">
            <v>Marek</v>
          </cell>
          <cell r="C575" t="str">
            <v>HAASE</v>
          </cell>
          <cell r="D575" t="str">
            <v>----</v>
          </cell>
        </row>
        <row r="576">
          <cell r="A576" t="str">
            <v>H4610</v>
          </cell>
          <cell r="B576" t="str">
            <v>Agata</v>
          </cell>
          <cell r="C576" t="str">
            <v>HABER</v>
          </cell>
          <cell r="D576" t="str">
            <v>BKS Kolejarz Katowice</v>
          </cell>
        </row>
        <row r="577">
          <cell r="A577" t="str">
            <v>H5728</v>
          </cell>
          <cell r="B577" t="str">
            <v>Maciej</v>
          </cell>
          <cell r="C577" t="str">
            <v>HABER</v>
          </cell>
          <cell r="D577" t="str">
            <v>UKS Orkan Przeźmierowo</v>
          </cell>
        </row>
        <row r="578">
          <cell r="A578" t="str">
            <v>H5856</v>
          </cell>
          <cell r="B578" t="str">
            <v>Adam</v>
          </cell>
          <cell r="C578" t="str">
            <v>HABRYCH</v>
          </cell>
          <cell r="D578" t="str">
            <v>UKS Astra Wrocław</v>
          </cell>
        </row>
        <row r="579">
          <cell r="A579" t="str">
            <v>H3013</v>
          </cell>
          <cell r="B579" t="str">
            <v>Marcin</v>
          </cell>
          <cell r="C579" t="str">
            <v>HAŁASA</v>
          </cell>
          <cell r="D579" t="str">
            <v>UKS Kiko Zamość</v>
          </cell>
        </row>
        <row r="580">
          <cell r="A580" t="str">
            <v>H5344</v>
          </cell>
          <cell r="B580" t="str">
            <v>Mateusz</v>
          </cell>
          <cell r="C580" t="str">
            <v>HAŁASA</v>
          </cell>
          <cell r="D580" t="str">
            <v>UKS Kiko Zamość</v>
          </cell>
        </row>
        <row r="581">
          <cell r="A581" t="str">
            <v>H3554</v>
          </cell>
          <cell r="B581" t="str">
            <v>Szymon</v>
          </cell>
          <cell r="C581" t="str">
            <v>HAŁASA</v>
          </cell>
          <cell r="D581" t="str">
            <v>UKS Kiko Zamość</v>
          </cell>
        </row>
        <row r="582">
          <cell r="A582" t="str">
            <v>H5558</v>
          </cell>
          <cell r="B582" t="str">
            <v>Natalia</v>
          </cell>
          <cell r="C582" t="str">
            <v>HAŁATA</v>
          </cell>
          <cell r="D582" t="str">
            <v>UKSB Volant Mielec</v>
          </cell>
        </row>
        <row r="583">
          <cell r="A583" t="str">
            <v>H2658</v>
          </cell>
          <cell r="B583" t="str">
            <v>Maria</v>
          </cell>
          <cell r="C583" t="str">
            <v>HAŁKA</v>
          </cell>
          <cell r="D583" t="str">
            <v>MKS Stal Nowa Dęba</v>
          </cell>
        </row>
        <row r="584">
          <cell r="A584" t="str">
            <v>H4903</v>
          </cell>
          <cell r="B584" t="str">
            <v>Paweł</v>
          </cell>
          <cell r="C584" t="str">
            <v>HAŁUBEK</v>
          </cell>
          <cell r="D584" t="str">
            <v>----</v>
          </cell>
        </row>
        <row r="585">
          <cell r="A585" t="str">
            <v>H 073</v>
          </cell>
          <cell r="B585" t="str">
            <v>Jacek</v>
          </cell>
          <cell r="C585" t="str">
            <v>HANKIEWICZ</v>
          </cell>
          <cell r="D585" t="str">
            <v>----</v>
          </cell>
        </row>
        <row r="586">
          <cell r="A586" t="str">
            <v>H5946</v>
          </cell>
          <cell r="B586" t="str">
            <v>Paulina</v>
          </cell>
          <cell r="C586" t="str">
            <v>HANKIEWICZ</v>
          </cell>
          <cell r="D586" t="str">
            <v>UKSB Milenium Warszawa</v>
          </cell>
        </row>
        <row r="587">
          <cell r="A587" t="str">
            <v>H2477</v>
          </cell>
          <cell r="B587" t="str">
            <v>Kinga</v>
          </cell>
          <cell r="C587" t="str">
            <v>HARACZ</v>
          </cell>
          <cell r="D587" t="str">
            <v>LKS Technik Głubczyce</v>
          </cell>
        </row>
        <row r="588">
          <cell r="A588" t="str">
            <v>H5742</v>
          </cell>
          <cell r="B588" t="str">
            <v>Julia</v>
          </cell>
          <cell r="C588" t="str">
            <v>HARKOT</v>
          </cell>
          <cell r="D588" t="str">
            <v>UKS Kiko Zamość</v>
          </cell>
        </row>
        <row r="589">
          <cell r="A589" t="str">
            <v>H0147</v>
          </cell>
          <cell r="B589" t="str">
            <v>Rafał</v>
          </cell>
          <cell r="C589" t="str">
            <v>HAWEL</v>
          </cell>
          <cell r="D589" t="str">
            <v>SKB Piast Słupsk</v>
          </cell>
        </row>
        <row r="590">
          <cell r="A590" t="str">
            <v>H4578</v>
          </cell>
          <cell r="B590" t="str">
            <v>Joanna</v>
          </cell>
          <cell r="C590" t="str">
            <v>HEINKE</v>
          </cell>
          <cell r="D590" t="str">
            <v>KS Chojnik Jelenia Góra</v>
          </cell>
        </row>
        <row r="591">
          <cell r="A591" t="str">
            <v>H4176</v>
          </cell>
          <cell r="B591" t="str">
            <v>Bartosz</v>
          </cell>
          <cell r="C591" t="str">
            <v>HEJDUK</v>
          </cell>
          <cell r="D591" t="str">
            <v>UKS Orkan Przeźmierowo</v>
          </cell>
        </row>
        <row r="592">
          <cell r="A592" t="str">
            <v>H5129</v>
          </cell>
          <cell r="B592" t="str">
            <v>Natan</v>
          </cell>
          <cell r="C592" t="str">
            <v>HEMER</v>
          </cell>
          <cell r="D592" t="str">
            <v>UKS Korona Pabianice</v>
          </cell>
        </row>
        <row r="593">
          <cell r="A593" t="str">
            <v>H5882</v>
          </cell>
          <cell r="B593" t="str">
            <v>Cyprian</v>
          </cell>
          <cell r="C593" t="str">
            <v>HERL</v>
          </cell>
          <cell r="D593" t="str">
            <v>UKS Smecz Milicz</v>
          </cell>
        </row>
        <row r="594">
          <cell r="A594" t="str">
            <v>H0699</v>
          </cell>
          <cell r="B594" t="str">
            <v>Krzysztof</v>
          </cell>
          <cell r="C594" t="str">
            <v>HODUR</v>
          </cell>
          <cell r="D594" t="str">
            <v>AZSAGH Kraków</v>
          </cell>
        </row>
        <row r="595">
          <cell r="A595" t="str">
            <v>H5156</v>
          </cell>
          <cell r="B595" t="str">
            <v>Bartosz</v>
          </cell>
          <cell r="C595" t="str">
            <v>HOFFMANN</v>
          </cell>
          <cell r="D595" t="str">
            <v>KS Wesoła Warszawa</v>
          </cell>
        </row>
        <row r="596">
          <cell r="A596" t="str">
            <v>H3873</v>
          </cell>
          <cell r="B596" t="str">
            <v>Filip</v>
          </cell>
          <cell r="C596" t="str">
            <v>HOŁOWICKI</v>
          </cell>
          <cell r="D596" t="str">
            <v>UKSB Volant Mielec</v>
          </cell>
        </row>
        <row r="597">
          <cell r="A597" t="str">
            <v>H5537</v>
          </cell>
          <cell r="B597" t="str">
            <v>Grzegorz</v>
          </cell>
          <cell r="C597" t="str">
            <v>HOŁUB</v>
          </cell>
          <cell r="D597" t="str">
            <v>SKB Suwałki</v>
          </cell>
        </row>
        <row r="598">
          <cell r="A598" t="str">
            <v>H5407</v>
          </cell>
          <cell r="B598" t="str">
            <v>Łukasz</v>
          </cell>
          <cell r="C598" t="str">
            <v>HOMEL</v>
          </cell>
          <cell r="D598" t="str">
            <v>BKS Kolejarz Katowice</v>
          </cell>
        </row>
        <row r="599">
          <cell r="A599" t="str">
            <v>H5408</v>
          </cell>
          <cell r="B599" t="str">
            <v>Rafał</v>
          </cell>
          <cell r="C599" t="str">
            <v>HOMEL</v>
          </cell>
          <cell r="D599" t="str">
            <v>BKS Kolejarz Katowice</v>
          </cell>
        </row>
        <row r="600">
          <cell r="A600" t="str">
            <v>H5921</v>
          </cell>
          <cell r="B600" t="str">
            <v>Marek</v>
          </cell>
          <cell r="C600" t="str">
            <v>HOPPE</v>
          </cell>
          <cell r="D600" t="str">
            <v>UKS Kometa Sianów</v>
          </cell>
        </row>
        <row r="601">
          <cell r="A601" t="str">
            <v>H1435</v>
          </cell>
          <cell r="B601" t="str">
            <v>Piotr</v>
          </cell>
          <cell r="C601" t="str">
            <v>HORODECKI</v>
          </cell>
          <cell r="D601" t="str">
            <v>----</v>
          </cell>
        </row>
        <row r="602">
          <cell r="A602" t="str">
            <v>H5238</v>
          </cell>
          <cell r="B602" t="str">
            <v>Krystian</v>
          </cell>
          <cell r="C602" t="str">
            <v>HRABIK</v>
          </cell>
          <cell r="D602" t="str">
            <v>UKS Ząbkowice Dąbrowa Górn.</v>
          </cell>
        </row>
        <row r="603">
          <cell r="A603" t="str">
            <v>H3339</v>
          </cell>
          <cell r="B603" t="str">
            <v>Sylwester</v>
          </cell>
          <cell r="C603" t="str">
            <v>HRYCAK</v>
          </cell>
          <cell r="D603" t="str">
            <v>UKS Siódemka Świebodzin</v>
          </cell>
        </row>
        <row r="604">
          <cell r="A604" t="str">
            <v>H5925</v>
          </cell>
          <cell r="B604" t="str">
            <v>Cezary</v>
          </cell>
          <cell r="C604" t="str">
            <v>HRYCIUK</v>
          </cell>
          <cell r="D604" t="str">
            <v>----</v>
          </cell>
        </row>
        <row r="605">
          <cell r="A605" t="str">
            <v>H5529</v>
          </cell>
          <cell r="B605" t="str">
            <v>Mateusz</v>
          </cell>
          <cell r="C605" t="str">
            <v>HUŁUB</v>
          </cell>
          <cell r="D605" t="str">
            <v>SKB Suwałki</v>
          </cell>
        </row>
        <row r="606">
          <cell r="A606" t="str">
            <v>I2500</v>
          </cell>
          <cell r="B606" t="str">
            <v>Marek</v>
          </cell>
          <cell r="C606" t="str">
            <v>IDZIKOWSKI</v>
          </cell>
          <cell r="D606" t="str">
            <v>----</v>
          </cell>
        </row>
        <row r="607">
          <cell r="A607" t="str">
            <v>I4365</v>
          </cell>
          <cell r="B607" t="str">
            <v>Patryk</v>
          </cell>
          <cell r="C607" t="str">
            <v>IDZIKOWSKI</v>
          </cell>
          <cell r="D607" t="str">
            <v>STB Energia Lubliniec</v>
          </cell>
        </row>
        <row r="608">
          <cell r="A608" t="str">
            <v>I5982</v>
          </cell>
          <cell r="B608" t="str">
            <v>Filip</v>
          </cell>
          <cell r="C608" t="str">
            <v>IMIELSKI</v>
          </cell>
          <cell r="D608" t="str">
            <v>AZSAGH Kraków</v>
          </cell>
        </row>
        <row r="609">
          <cell r="A609" t="str">
            <v>I5606</v>
          </cell>
          <cell r="B609" t="str">
            <v>Jakub</v>
          </cell>
          <cell r="C609" t="str">
            <v>IMIELSKI</v>
          </cell>
          <cell r="D609" t="str">
            <v>AZSAGH Kraków</v>
          </cell>
        </row>
        <row r="610">
          <cell r="A610" t="str">
            <v>I4204</v>
          </cell>
          <cell r="B610" t="str">
            <v>Agata</v>
          </cell>
          <cell r="C610" t="str">
            <v>ISKRA</v>
          </cell>
          <cell r="D610" t="str">
            <v>UKS Unia Bieruń</v>
          </cell>
        </row>
        <row r="611">
          <cell r="A611" t="str">
            <v>I3301</v>
          </cell>
          <cell r="B611" t="str">
            <v>Igor</v>
          </cell>
          <cell r="C611" t="str">
            <v>IWAŃSKI</v>
          </cell>
          <cell r="D611" t="str">
            <v>UKSB Volant Mielec</v>
          </cell>
        </row>
        <row r="612">
          <cell r="A612" t="str">
            <v>I3877</v>
          </cell>
          <cell r="B612" t="str">
            <v>Karol</v>
          </cell>
          <cell r="C612" t="str">
            <v>IWULSKI</v>
          </cell>
          <cell r="D612" t="str">
            <v>MKS Spartakus Niepołomice</v>
          </cell>
        </row>
        <row r="613">
          <cell r="A613" t="str">
            <v>J0107</v>
          </cell>
          <cell r="B613" t="str">
            <v>Katarzyna</v>
          </cell>
          <cell r="C613" t="str">
            <v>JABCZYŃSKA</v>
          </cell>
          <cell r="D613" t="str">
            <v>KB Vol-Trick Kępno</v>
          </cell>
        </row>
        <row r="614">
          <cell r="A614" t="str">
            <v>J4919</v>
          </cell>
          <cell r="B614" t="str">
            <v>Natalia</v>
          </cell>
          <cell r="C614" t="str">
            <v>JABŁOŃSKA</v>
          </cell>
          <cell r="D614" t="str">
            <v>UKS 25 Kielce</v>
          </cell>
        </row>
        <row r="615">
          <cell r="A615" t="str">
            <v>J3715</v>
          </cell>
          <cell r="B615" t="str">
            <v>Paulina</v>
          </cell>
          <cell r="C615" t="str">
            <v>JABŁOŃSKA</v>
          </cell>
          <cell r="D615" t="str">
            <v>UKS Hubal Białystok</v>
          </cell>
        </row>
        <row r="616">
          <cell r="A616" t="str">
            <v>J2970</v>
          </cell>
          <cell r="B616" t="str">
            <v>Aleksander</v>
          </cell>
          <cell r="C616" t="str">
            <v>JABŁOŃSKI</v>
          </cell>
          <cell r="D616" t="str">
            <v>UKS Hubal Białystok</v>
          </cell>
        </row>
        <row r="617">
          <cell r="A617" t="str">
            <v>J5591</v>
          </cell>
          <cell r="B617" t="str">
            <v>Łukasz</v>
          </cell>
          <cell r="C617" t="str">
            <v>JABŁOŃSKI</v>
          </cell>
          <cell r="D617" t="str">
            <v>KSR Wolant Łódź</v>
          </cell>
        </row>
        <row r="618">
          <cell r="A618" t="str">
            <v>J2345</v>
          </cell>
          <cell r="B618" t="str">
            <v>Przemysław</v>
          </cell>
          <cell r="C618" t="str">
            <v>JABŁOŃSKI</v>
          </cell>
          <cell r="D618" t="str">
            <v>UKS Hubal Białystok</v>
          </cell>
        </row>
        <row r="619">
          <cell r="A619" t="str">
            <v>J5268</v>
          </cell>
          <cell r="B619" t="str">
            <v>Maksymilian</v>
          </cell>
          <cell r="C619" t="str">
            <v>JACHIMOWICZ</v>
          </cell>
          <cell r="D619" t="str">
            <v>UKS Badminton Stare Babice</v>
          </cell>
        </row>
        <row r="620">
          <cell r="A620" t="str">
            <v>J4980</v>
          </cell>
          <cell r="B620" t="str">
            <v>Julia</v>
          </cell>
          <cell r="C620" t="str">
            <v>JACKOWSKA</v>
          </cell>
          <cell r="D620" t="str">
            <v>UKS Junior Wrzosowa</v>
          </cell>
        </row>
        <row r="621">
          <cell r="A621" t="str">
            <v>J4935</v>
          </cell>
          <cell r="B621" t="str">
            <v>Tomasz</v>
          </cell>
          <cell r="C621" t="str">
            <v>JACKOWSKI</v>
          </cell>
          <cell r="D621" t="str">
            <v>----</v>
          </cell>
        </row>
        <row r="622">
          <cell r="A622" t="str">
            <v>J2144</v>
          </cell>
          <cell r="B622" t="str">
            <v>Aleksandra</v>
          </cell>
          <cell r="C622" t="str">
            <v>JACZEWSKA</v>
          </cell>
          <cell r="D622" t="str">
            <v>AZSUWM Olsztyn</v>
          </cell>
        </row>
        <row r="623">
          <cell r="A623" t="str">
            <v>J4677</v>
          </cell>
          <cell r="B623" t="str">
            <v>Adam</v>
          </cell>
          <cell r="C623" t="str">
            <v>JAGODA</v>
          </cell>
          <cell r="D623" t="str">
            <v>UKS Kiko Zamość</v>
          </cell>
        </row>
        <row r="624">
          <cell r="A624" t="str">
            <v>J5015</v>
          </cell>
          <cell r="B624" t="str">
            <v>Jakub</v>
          </cell>
          <cell r="C624" t="str">
            <v>JAGODZIŃSKI</v>
          </cell>
          <cell r="D624" t="str">
            <v>UKSB Milenium Warszawa</v>
          </cell>
        </row>
        <row r="625">
          <cell r="A625" t="str">
            <v>J4555</v>
          </cell>
          <cell r="B625" t="str">
            <v>Izabela</v>
          </cell>
          <cell r="C625" t="str">
            <v>JAJKO</v>
          </cell>
          <cell r="D625" t="str">
            <v>UKS Orliki Ropica Polska</v>
          </cell>
        </row>
        <row r="626">
          <cell r="A626" t="str">
            <v>J5191</v>
          </cell>
          <cell r="B626" t="str">
            <v>Rafał</v>
          </cell>
          <cell r="C626" t="str">
            <v>JAKIEL</v>
          </cell>
          <cell r="D626" t="str">
            <v>UKS Smecz Bogatynia</v>
          </cell>
        </row>
        <row r="627">
          <cell r="A627" t="str">
            <v>J5938</v>
          </cell>
          <cell r="B627" t="str">
            <v>Natalia</v>
          </cell>
          <cell r="C627" t="str">
            <v>JAKIEŁA</v>
          </cell>
          <cell r="D627" t="str">
            <v>UKS MixTeam Tarnowiec</v>
          </cell>
        </row>
        <row r="628">
          <cell r="A628" t="str">
            <v>J3112</v>
          </cell>
          <cell r="B628" t="str">
            <v>Krzysztof</v>
          </cell>
          <cell r="C628" t="str">
            <v>JAKOWCZUK</v>
          </cell>
          <cell r="D628" t="str">
            <v>UKS Hubal Białystok</v>
          </cell>
        </row>
        <row r="629">
          <cell r="A629" t="str">
            <v>J5893</v>
          </cell>
          <cell r="B629" t="str">
            <v>Katarzyna</v>
          </cell>
          <cell r="C629" t="str">
            <v>JAKUBOWSKA</v>
          </cell>
          <cell r="D629" t="str">
            <v>Górnik Łęczna SA</v>
          </cell>
        </row>
        <row r="630">
          <cell r="A630" t="str">
            <v>J2017</v>
          </cell>
          <cell r="B630" t="str">
            <v>Artur</v>
          </cell>
          <cell r="C630" t="str">
            <v>JAKUBOWSKI</v>
          </cell>
          <cell r="D630" t="str">
            <v>AZSUWM Olsztyn</v>
          </cell>
        </row>
        <row r="631">
          <cell r="A631" t="str">
            <v>J1617</v>
          </cell>
          <cell r="B631" t="str">
            <v>Jacek</v>
          </cell>
          <cell r="C631" t="str">
            <v>JAKUBOWSKI</v>
          </cell>
          <cell r="D631" t="str">
            <v>AZSWAT Warszawa</v>
          </cell>
        </row>
        <row r="632">
          <cell r="A632" t="str">
            <v>J5883</v>
          </cell>
          <cell r="B632" t="str">
            <v>Krystian</v>
          </cell>
          <cell r="C632" t="str">
            <v>JAKUBOWSKI</v>
          </cell>
          <cell r="D632" t="str">
            <v>UKS Smecz Milicz</v>
          </cell>
        </row>
        <row r="633">
          <cell r="A633" t="str">
            <v>J0134</v>
          </cell>
          <cell r="B633" t="str">
            <v>Jakub</v>
          </cell>
          <cell r="C633" t="str">
            <v>JANASZEK</v>
          </cell>
          <cell r="D633" t="str">
            <v>PTS Puszczykowo</v>
          </cell>
        </row>
        <row r="634">
          <cell r="A634" t="str">
            <v>J 067</v>
          </cell>
          <cell r="B634" t="str">
            <v>Monika</v>
          </cell>
          <cell r="C634" t="str">
            <v>JANDUŁA</v>
          </cell>
          <cell r="D634" t="str">
            <v>----</v>
          </cell>
        </row>
        <row r="635">
          <cell r="A635" t="str">
            <v>J1466</v>
          </cell>
          <cell r="B635" t="str">
            <v>Andrzej</v>
          </cell>
          <cell r="C635" t="str">
            <v>JANECKI</v>
          </cell>
          <cell r="D635" t="str">
            <v>UKS Dwójka Wesoła</v>
          </cell>
        </row>
        <row r="636">
          <cell r="A636" t="str">
            <v>J 014</v>
          </cell>
          <cell r="B636" t="str">
            <v>Małgorzata</v>
          </cell>
          <cell r="C636" t="str">
            <v>JANIACZYK</v>
          </cell>
          <cell r="D636" t="str">
            <v>AZSUW Warszawa</v>
          </cell>
        </row>
        <row r="637">
          <cell r="A637" t="str">
            <v>J4899</v>
          </cell>
          <cell r="B637" t="str">
            <v>Dawid</v>
          </cell>
          <cell r="C637" t="str">
            <v>JANIAK</v>
          </cell>
          <cell r="D637" t="str">
            <v>MUKBMDK Płock</v>
          </cell>
        </row>
        <row r="638">
          <cell r="A638" t="str">
            <v>J4900</v>
          </cell>
          <cell r="B638" t="str">
            <v>Rafał</v>
          </cell>
          <cell r="C638" t="str">
            <v>JANIAK</v>
          </cell>
          <cell r="D638" t="str">
            <v>MUKBMDK Płock</v>
          </cell>
        </row>
        <row r="639">
          <cell r="A639" t="str">
            <v>J3841</v>
          </cell>
          <cell r="B639" t="str">
            <v>Dominika</v>
          </cell>
          <cell r="C639" t="str">
            <v>JANICKA</v>
          </cell>
          <cell r="D639" t="str">
            <v>UKS 70 Płock</v>
          </cell>
        </row>
        <row r="640">
          <cell r="A640" t="str">
            <v>J5955</v>
          </cell>
          <cell r="B640" t="str">
            <v>Zuzanna</v>
          </cell>
          <cell r="C640" t="str">
            <v>JANICKA</v>
          </cell>
          <cell r="D640" t="str">
            <v>OTB Lotka Ostrów Wlkp.</v>
          </cell>
        </row>
        <row r="641">
          <cell r="A641" t="str">
            <v>J5455</v>
          </cell>
          <cell r="B641" t="str">
            <v>Patryk</v>
          </cell>
          <cell r="C641" t="str">
            <v>JANICZEK</v>
          </cell>
          <cell r="D641" t="str">
            <v>UKS Korona Pabianice</v>
          </cell>
        </row>
        <row r="642">
          <cell r="A642" t="str">
            <v>J1567</v>
          </cell>
          <cell r="B642" t="str">
            <v>Dariusz</v>
          </cell>
          <cell r="C642" t="str">
            <v>JANIK</v>
          </cell>
          <cell r="D642" t="str">
            <v>AZSAGH Kraków</v>
          </cell>
        </row>
        <row r="643">
          <cell r="A643" t="str">
            <v>J5253</v>
          </cell>
          <cell r="B643" t="str">
            <v>Remigiusz</v>
          </cell>
          <cell r="C643" t="str">
            <v>JANISZEWSKI</v>
          </cell>
          <cell r="D643" t="str">
            <v>----</v>
          </cell>
        </row>
        <row r="644">
          <cell r="A644" t="str">
            <v>J5922</v>
          </cell>
          <cell r="B644" t="str">
            <v>Karolina</v>
          </cell>
          <cell r="C644" t="str">
            <v>JANKOWSKA</v>
          </cell>
          <cell r="D644" t="str">
            <v>UKS Kometa Sianów</v>
          </cell>
        </row>
        <row r="645">
          <cell r="A645" t="str">
            <v>J5024</v>
          </cell>
          <cell r="B645" t="str">
            <v>Zuzanna</v>
          </cell>
          <cell r="C645" t="str">
            <v>JANKOWSKA</v>
          </cell>
          <cell r="D645" t="str">
            <v>MKS Strzelce Opolskie</v>
          </cell>
        </row>
        <row r="646">
          <cell r="A646" t="str">
            <v>J5849</v>
          </cell>
          <cell r="B646" t="str">
            <v>Tymon</v>
          </cell>
          <cell r="C646" t="str">
            <v>JANOWICZ</v>
          </cell>
          <cell r="D646" t="str">
            <v>UKS Astra Wrocław</v>
          </cell>
        </row>
        <row r="647">
          <cell r="A647" t="str">
            <v>J2971</v>
          </cell>
          <cell r="B647" t="str">
            <v>Karolina</v>
          </cell>
          <cell r="C647" t="str">
            <v>JANOWSKA</v>
          </cell>
          <cell r="D647" t="str">
            <v>UKS Hubal Białystok</v>
          </cell>
        </row>
        <row r="648">
          <cell r="A648" t="str">
            <v>J5174</v>
          </cell>
          <cell r="B648" t="str">
            <v>Paweł</v>
          </cell>
          <cell r="C648" t="str">
            <v>JANUCHOWSKI</v>
          </cell>
          <cell r="D648" t="str">
            <v>----</v>
          </cell>
        </row>
        <row r="649">
          <cell r="A649" t="str">
            <v>J4728</v>
          </cell>
          <cell r="B649" t="str">
            <v>Paulina</v>
          </cell>
          <cell r="C649" t="str">
            <v>JANUS</v>
          </cell>
          <cell r="D649" t="str">
            <v>UKSB Volant Mielec</v>
          </cell>
        </row>
        <row r="650">
          <cell r="A650" t="str">
            <v>J4123</v>
          </cell>
          <cell r="B650" t="str">
            <v>Michał</v>
          </cell>
          <cell r="C650" t="str">
            <v>JANUSZEWSKI</v>
          </cell>
          <cell r="D650" t="str">
            <v>ŚKBad Harcownik Warszawa</v>
          </cell>
        </row>
        <row r="651">
          <cell r="A651" t="str">
            <v>J5880</v>
          </cell>
          <cell r="B651" t="str">
            <v>Agnieszka</v>
          </cell>
          <cell r="C651" t="str">
            <v>JARECKA</v>
          </cell>
          <cell r="D651" t="str">
            <v>UKS Smecz Milicz</v>
          </cell>
        </row>
        <row r="652">
          <cell r="A652" t="str">
            <v>J4356</v>
          </cell>
          <cell r="B652" t="str">
            <v>Jakub</v>
          </cell>
          <cell r="C652" t="str">
            <v>JARECKI</v>
          </cell>
          <cell r="D652" t="str">
            <v>----</v>
          </cell>
        </row>
        <row r="653">
          <cell r="A653" t="str">
            <v>J4664</v>
          </cell>
          <cell r="B653" t="str">
            <v>Krzysztof</v>
          </cell>
          <cell r="C653" t="str">
            <v>JARMOŁOWICZ</v>
          </cell>
          <cell r="D653" t="str">
            <v>----</v>
          </cell>
        </row>
        <row r="654">
          <cell r="A654" t="str">
            <v>J0876</v>
          </cell>
          <cell r="B654" t="str">
            <v>Ewa</v>
          </cell>
          <cell r="C654" t="str">
            <v>JAROCKA-BURNIEWICZ</v>
          </cell>
          <cell r="D654" t="str">
            <v>UKS Hubal Białystok</v>
          </cell>
        </row>
        <row r="655">
          <cell r="A655" t="str">
            <v>J5964</v>
          </cell>
          <cell r="B655" t="str">
            <v>Kacper</v>
          </cell>
          <cell r="C655" t="str">
            <v>JAROSZ</v>
          </cell>
          <cell r="D655" t="str">
            <v>UMKS Junis Szczucin</v>
          </cell>
        </row>
        <row r="656">
          <cell r="A656" t="str">
            <v>J5219</v>
          </cell>
          <cell r="B656" t="str">
            <v>Sebastian</v>
          </cell>
          <cell r="C656" t="str">
            <v>JAROSZCZUK</v>
          </cell>
          <cell r="D656" t="str">
            <v>SKB Suwałki</v>
          </cell>
        </row>
        <row r="657">
          <cell r="A657" t="str">
            <v>J3436</v>
          </cell>
          <cell r="B657" t="str">
            <v>Patryk</v>
          </cell>
          <cell r="C657" t="str">
            <v>JAS</v>
          </cell>
          <cell r="D657" t="str">
            <v>UKS Kometa Sianów</v>
          </cell>
        </row>
        <row r="658">
          <cell r="A658" t="str">
            <v>J5291</v>
          </cell>
          <cell r="B658" t="str">
            <v>Karolina</v>
          </cell>
          <cell r="C658" t="str">
            <v>JASIELSKA</v>
          </cell>
          <cell r="D658" t="str">
            <v>UKS Ostrówek</v>
          </cell>
        </row>
        <row r="659">
          <cell r="A659" t="str">
            <v>J5977</v>
          </cell>
          <cell r="B659" t="str">
            <v>Mikołaj</v>
          </cell>
          <cell r="C659" t="str">
            <v>JASINIAK</v>
          </cell>
          <cell r="D659" t="str">
            <v>UKS Badminton Stare Babice</v>
          </cell>
        </row>
        <row r="660">
          <cell r="A660" t="str">
            <v>J4200</v>
          </cell>
          <cell r="B660" t="str">
            <v>Mateusz</v>
          </cell>
          <cell r="C660" t="str">
            <v>JASIŃSKI</v>
          </cell>
          <cell r="D660" t="str">
            <v>UKS Unia Bieruń</v>
          </cell>
        </row>
        <row r="661">
          <cell r="A661" t="str">
            <v>J5142</v>
          </cell>
          <cell r="B661" t="str">
            <v>Szymon</v>
          </cell>
          <cell r="C661" t="str">
            <v>JASIŃSKI</v>
          </cell>
          <cell r="D661" t="str">
            <v>MLKS Solec Kuj.</v>
          </cell>
        </row>
        <row r="662">
          <cell r="A662" t="str">
            <v>J 096</v>
          </cell>
          <cell r="B662" t="str">
            <v>Zbigniew</v>
          </cell>
          <cell r="C662" t="str">
            <v>JASIULEWICZ</v>
          </cell>
          <cell r="D662" t="str">
            <v>AZSAGH Kraków</v>
          </cell>
        </row>
        <row r="663">
          <cell r="A663" t="str">
            <v>J4950</v>
          </cell>
          <cell r="B663" t="str">
            <v>Barbara</v>
          </cell>
          <cell r="C663" t="str">
            <v>JASKÓLSKA</v>
          </cell>
          <cell r="D663" t="str">
            <v>STB Energia Lubliniec</v>
          </cell>
        </row>
        <row r="664">
          <cell r="A664" t="str">
            <v>J4666</v>
          </cell>
          <cell r="B664" t="str">
            <v>Oskar</v>
          </cell>
          <cell r="C664" t="str">
            <v>JASS</v>
          </cell>
          <cell r="D664" t="str">
            <v>----</v>
          </cell>
        </row>
        <row r="665">
          <cell r="A665" t="str">
            <v>J4624</v>
          </cell>
          <cell r="B665" t="str">
            <v>Mikołaj</v>
          </cell>
          <cell r="C665" t="str">
            <v>JASTRZĘBSKI</v>
          </cell>
          <cell r="D665" t="str">
            <v>UKS 70 Płock</v>
          </cell>
        </row>
        <row r="666">
          <cell r="A666" t="str">
            <v>J5839</v>
          </cell>
          <cell r="B666" t="str">
            <v>Dawid</v>
          </cell>
          <cell r="C666" t="str">
            <v>JASZKIEWICZ</v>
          </cell>
          <cell r="D666" t="str">
            <v>UKS Feniks Kędzierzyn-Koźle</v>
          </cell>
        </row>
        <row r="667">
          <cell r="A667" t="str">
            <v>J5837</v>
          </cell>
          <cell r="B667" t="str">
            <v>Sebastian</v>
          </cell>
          <cell r="C667" t="str">
            <v>JASZKIEWICZ</v>
          </cell>
          <cell r="D667" t="str">
            <v>UKS Feniks Kędzierzyn-Koźle</v>
          </cell>
        </row>
        <row r="668">
          <cell r="A668" t="str">
            <v>J5013</v>
          </cell>
          <cell r="B668" t="str">
            <v>Anna</v>
          </cell>
          <cell r="C668" t="str">
            <v>JASZUK</v>
          </cell>
          <cell r="D668" t="str">
            <v>UKS Ostrówek</v>
          </cell>
        </row>
        <row r="669">
          <cell r="A669" t="str">
            <v>J3781</v>
          </cell>
          <cell r="B669" t="str">
            <v>Adrian</v>
          </cell>
          <cell r="C669" t="str">
            <v>JAŚKOWIAK</v>
          </cell>
          <cell r="D669" t="str">
            <v>UKS Orkan Przeźmierowo</v>
          </cell>
        </row>
        <row r="670">
          <cell r="A670" t="str">
            <v>J3774</v>
          </cell>
          <cell r="B670" t="str">
            <v>Damian</v>
          </cell>
          <cell r="C670" t="str">
            <v>JAŚKOWIAK</v>
          </cell>
          <cell r="D670" t="str">
            <v>UKS Orkan Przeźmierowo</v>
          </cell>
        </row>
        <row r="671">
          <cell r="A671" t="str">
            <v>J5518</v>
          </cell>
          <cell r="B671" t="str">
            <v>Nikodem</v>
          </cell>
          <cell r="C671" t="str">
            <v>JAŚKOWIAK</v>
          </cell>
          <cell r="D671" t="str">
            <v>UKS Orkan Przeźmierowo</v>
          </cell>
        </row>
        <row r="672">
          <cell r="A672" t="str">
            <v>J0969</v>
          </cell>
          <cell r="B672" t="str">
            <v>Magdalena</v>
          </cell>
          <cell r="C672" t="str">
            <v>JAWOREK</v>
          </cell>
          <cell r="D672" t="str">
            <v>AZSUWM Olsztyn</v>
          </cell>
        </row>
        <row r="673">
          <cell r="A673" t="str">
            <v>J3652</v>
          </cell>
          <cell r="B673" t="str">
            <v>Beata</v>
          </cell>
          <cell r="C673" t="str">
            <v>JAWORSKA</v>
          </cell>
          <cell r="D673" t="str">
            <v>----</v>
          </cell>
        </row>
        <row r="674">
          <cell r="A674" t="str">
            <v>J3786</v>
          </cell>
          <cell r="B674" t="str">
            <v>Emilia</v>
          </cell>
          <cell r="C674" t="str">
            <v>JAWORSKA</v>
          </cell>
          <cell r="D674" t="str">
            <v>MKS Spartakus Niepołomice</v>
          </cell>
        </row>
        <row r="675">
          <cell r="A675" t="str">
            <v>J4343</v>
          </cell>
          <cell r="B675" t="str">
            <v>Marta</v>
          </cell>
          <cell r="C675" t="str">
            <v>JAWORSKA</v>
          </cell>
          <cell r="D675" t="str">
            <v>BKS Kolejarz Częstochowa</v>
          </cell>
        </row>
        <row r="676">
          <cell r="A676" t="str">
            <v>J1120</v>
          </cell>
          <cell r="B676" t="str">
            <v>Hubert</v>
          </cell>
          <cell r="C676" t="str">
            <v>JAWORSKI</v>
          </cell>
          <cell r="D676" t="str">
            <v>AZSUWM Olsztyn</v>
          </cell>
        </row>
        <row r="677">
          <cell r="A677" t="str">
            <v>J4557</v>
          </cell>
          <cell r="B677" t="str">
            <v>Michał</v>
          </cell>
          <cell r="C677" t="str">
            <v>JEDLECKI</v>
          </cell>
          <cell r="D677" t="str">
            <v>UKS Orliki Ropica Polska</v>
          </cell>
        </row>
        <row r="678">
          <cell r="A678" t="str">
            <v>J5632</v>
          </cell>
          <cell r="B678" t="str">
            <v>Oskar</v>
          </cell>
          <cell r="C678" t="str">
            <v>JEMIOŁO</v>
          </cell>
          <cell r="D678" t="str">
            <v>UKSB Volant Mielec</v>
          </cell>
        </row>
        <row r="679">
          <cell r="A679" t="str">
            <v>J4233</v>
          </cell>
          <cell r="B679" t="str">
            <v>Mateusz</v>
          </cell>
          <cell r="C679" t="str">
            <v>JENDERNAL</v>
          </cell>
          <cell r="D679" t="str">
            <v>ULKS U-2 Lotka Bytów</v>
          </cell>
        </row>
        <row r="680">
          <cell r="A680" t="str">
            <v>J5758</v>
          </cell>
          <cell r="B680" t="str">
            <v>Alicja</v>
          </cell>
          <cell r="C680" t="str">
            <v>JENERALCZYK</v>
          </cell>
          <cell r="D680" t="str">
            <v>KSR Wolant Łódź</v>
          </cell>
        </row>
        <row r="681">
          <cell r="A681" t="str">
            <v>J5465</v>
          </cell>
          <cell r="B681" t="str">
            <v>Kasper</v>
          </cell>
          <cell r="C681" t="str">
            <v>JERECZEK</v>
          </cell>
          <cell r="D681" t="str">
            <v>MKB Lednik Miastko</v>
          </cell>
        </row>
        <row r="682">
          <cell r="A682" t="str">
            <v>J2457</v>
          </cell>
          <cell r="B682" t="str">
            <v>Marta</v>
          </cell>
          <cell r="C682" t="str">
            <v>JEWTUCH</v>
          </cell>
          <cell r="D682" t="str">
            <v>----</v>
          </cell>
        </row>
        <row r="683">
          <cell r="A683" t="str">
            <v>J3807</v>
          </cell>
          <cell r="B683" t="str">
            <v>Adam</v>
          </cell>
          <cell r="C683" t="str">
            <v>JEŻ</v>
          </cell>
          <cell r="D683" t="str">
            <v>UKS Iskra Babimost</v>
          </cell>
        </row>
        <row r="684">
          <cell r="A684" t="str">
            <v>J2321</v>
          </cell>
          <cell r="B684" t="str">
            <v>Kamil</v>
          </cell>
          <cell r="C684" t="str">
            <v>JĘDRYS</v>
          </cell>
          <cell r="D684" t="str">
            <v>AZSWAT Warszawa</v>
          </cell>
        </row>
        <row r="685">
          <cell r="A685" t="str">
            <v>J2102</v>
          </cell>
          <cell r="B685" t="str">
            <v>Łukasz</v>
          </cell>
          <cell r="C685" t="str">
            <v>JĘDRZEJAK</v>
          </cell>
          <cell r="D685" t="str">
            <v>UKS 70 Płock</v>
          </cell>
        </row>
        <row r="686">
          <cell r="A686" t="str">
            <v>J5645</v>
          </cell>
          <cell r="B686" t="str">
            <v>Aleksandra</v>
          </cell>
          <cell r="C686" t="str">
            <v>JODŁOWSKA</v>
          </cell>
          <cell r="D686" t="str">
            <v>UKS Sokół Ropczyce</v>
          </cell>
        </row>
        <row r="687">
          <cell r="A687" t="str">
            <v>J4598</v>
          </cell>
          <cell r="B687" t="str">
            <v>Karolina</v>
          </cell>
          <cell r="C687" t="str">
            <v>JODZIO</v>
          </cell>
          <cell r="D687" t="str">
            <v>SKB Suwałki</v>
          </cell>
        </row>
        <row r="688">
          <cell r="A688" t="str">
            <v>J3081</v>
          </cell>
          <cell r="B688" t="str">
            <v>Agata</v>
          </cell>
          <cell r="C688" t="str">
            <v>JOHN</v>
          </cell>
          <cell r="D688" t="str">
            <v>LKS Technik Głubczyce</v>
          </cell>
        </row>
        <row r="689">
          <cell r="A689" t="str">
            <v>J3109</v>
          </cell>
          <cell r="B689" t="str">
            <v>Monika</v>
          </cell>
          <cell r="C689" t="str">
            <v>JONAK</v>
          </cell>
          <cell r="D689" t="str">
            <v>MLKS Solec Kuj.</v>
          </cell>
        </row>
        <row r="690">
          <cell r="A690" t="str">
            <v>J5515</v>
          </cell>
          <cell r="B690" t="str">
            <v>Daniel</v>
          </cell>
          <cell r="C690" t="str">
            <v>JONDERKO</v>
          </cell>
          <cell r="D690" t="str">
            <v>UKS Plesbad Pszczyna</v>
          </cell>
        </row>
        <row r="691">
          <cell r="A691" t="str">
            <v>J5365</v>
          </cell>
          <cell r="B691" t="str">
            <v>Patrycja</v>
          </cell>
          <cell r="C691" t="str">
            <v>JONDERKO</v>
          </cell>
          <cell r="D691" t="str">
            <v>UKS Plesbad Pszczyna</v>
          </cell>
        </row>
        <row r="692">
          <cell r="A692" t="str">
            <v>J4467</v>
          </cell>
          <cell r="B692" t="str">
            <v>Wojciech</v>
          </cell>
          <cell r="C692" t="str">
            <v>JONDERKO</v>
          </cell>
          <cell r="D692" t="str">
            <v>UKS Plesbad Pszczyna</v>
          </cell>
        </row>
        <row r="693">
          <cell r="A693" t="str">
            <v>J0230</v>
          </cell>
          <cell r="B693" t="str">
            <v>Łukasz</v>
          </cell>
          <cell r="C693" t="str">
            <v>JOŃCZYK</v>
          </cell>
          <cell r="D693" t="str">
            <v>SKB Piast Słupsk</v>
          </cell>
        </row>
        <row r="694">
          <cell r="A694" t="str">
            <v>J4754</v>
          </cell>
          <cell r="B694" t="str">
            <v>Kamil</v>
          </cell>
          <cell r="C694" t="str">
            <v>JORGEL</v>
          </cell>
          <cell r="D694" t="str">
            <v>MMKS Kędzierzyn-Koźle</v>
          </cell>
        </row>
        <row r="695">
          <cell r="A695" t="str">
            <v>J1445</v>
          </cell>
          <cell r="B695" t="str">
            <v>Stanisław</v>
          </cell>
          <cell r="C695" t="str">
            <v>JÓZWIK</v>
          </cell>
          <cell r="D695" t="str">
            <v>----</v>
          </cell>
        </row>
        <row r="696">
          <cell r="A696" t="str">
            <v>J5338</v>
          </cell>
          <cell r="B696" t="str">
            <v>Anna</v>
          </cell>
          <cell r="C696" t="str">
            <v>JÓŹWIAK</v>
          </cell>
          <cell r="D696" t="str">
            <v>UKS 2 Sobótka</v>
          </cell>
        </row>
        <row r="697">
          <cell r="A697" t="str">
            <v>J4722</v>
          </cell>
          <cell r="B697" t="str">
            <v>Mikołaj</v>
          </cell>
          <cell r="C697" t="str">
            <v>JÓŹWIAK</v>
          </cell>
          <cell r="D697" t="str">
            <v>KS Hubertus Zalesie Górne</v>
          </cell>
        </row>
        <row r="698">
          <cell r="A698" t="str">
            <v>J5433</v>
          </cell>
          <cell r="B698" t="str">
            <v>Rafał</v>
          </cell>
          <cell r="C698" t="str">
            <v>JÓŹWIAK</v>
          </cell>
          <cell r="D698" t="str">
            <v>UKS 2 Sobótka</v>
          </cell>
        </row>
        <row r="699">
          <cell r="A699" t="str">
            <v>J4764</v>
          </cell>
          <cell r="B699" t="str">
            <v>Mateusz</v>
          </cell>
          <cell r="C699" t="str">
            <v>JUDA</v>
          </cell>
          <cell r="D699" t="str">
            <v>MMKS Kędzierzyn-Koźle</v>
          </cell>
        </row>
        <row r="700">
          <cell r="A700" t="str">
            <v>J5821</v>
          </cell>
          <cell r="B700" t="str">
            <v>Maria</v>
          </cell>
          <cell r="C700" t="str">
            <v>JUNCZEWSKA</v>
          </cell>
          <cell r="D700" t="str">
            <v>UKSB Milenium Warszawa</v>
          </cell>
        </row>
        <row r="701">
          <cell r="A701" t="str">
            <v>J5822</v>
          </cell>
          <cell r="B701" t="str">
            <v>Zofia</v>
          </cell>
          <cell r="C701" t="str">
            <v>JUNCZEWSKA</v>
          </cell>
          <cell r="D701" t="str">
            <v>UKSB Milenium Warszawa</v>
          </cell>
        </row>
        <row r="702">
          <cell r="A702" t="str">
            <v>J5011</v>
          </cell>
          <cell r="B702" t="str">
            <v>Aleksander</v>
          </cell>
          <cell r="C702" t="str">
            <v>JURCZAK</v>
          </cell>
          <cell r="D702" t="str">
            <v>BKS Kolejarz Katowice</v>
          </cell>
        </row>
        <row r="703">
          <cell r="A703" t="str">
            <v>J4075</v>
          </cell>
          <cell r="B703" t="str">
            <v>Konrad</v>
          </cell>
          <cell r="C703" t="str">
            <v>JURCZAK</v>
          </cell>
          <cell r="D703" t="str">
            <v>----</v>
          </cell>
        </row>
        <row r="704">
          <cell r="A704" t="str">
            <v>J5691</v>
          </cell>
          <cell r="B704" t="str">
            <v>Wiktoria</v>
          </cell>
          <cell r="C704" t="str">
            <v>JURKOWSKA</v>
          </cell>
          <cell r="D704" t="str">
            <v>UKS Kiko Zamość</v>
          </cell>
        </row>
        <row r="705">
          <cell r="A705" t="str">
            <v>J5624</v>
          </cell>
          <cell r="B705" t="str">
            <v>Mariola</v>
          </cell>
          <cell r="C705" t="str">
            <v>JURUSIK</v>
          </cell>
          <cell r="D705" t="str">
            <v>UKS Arka Umieszcz</v>
          </cell>
        </row>
        <row r="706">
          <cell r="A706" t="str">
            <v>J4505</v>
          </cell>
          <cell r="B706" t="str">
            <v>Wiktoria</v>
          </cell>
          <cell r="C706" t="str">
            <v>JUSZCZAK</v>
          </cell>
          <cell r="D706" t="str">
            <v>MMKS Gdańsk</v>
          </cell>
        </row>
        <row r="707">
          <cell r="A707" t="str">
            <v>J5123</v>
          </cell>
          <cell r="B707" t="str">
            <v>Livia</v>
          </cell>
          <cell r="C707" t="str">
            <v>JUSZTIN-MAJERCSIK</v>
          </cell>
          <cell r="D707" t="str">
            <v>MLKS Solec Kuj.</v>
          </cell>
        </row>
        <row r="708">
          <cell r="A708" t="str">
            <v>J5175</v>
          </cell>
          <cell r="B708" t="str">
            <v>Peter</v>
          </cell>
          <cell r="C708" t="str">
            <v>JUSZTIN-MAJERCSIK</v>
          </cell>
          <cell r="D708" t="str">
            <v>MLKS Solec Kuj.</v>
          </cell>
        </row>
        <row r="709">
          <cell r="A709" t="str">
            <v>J5640</v>
          </cell>
          <cell r="B709" t="str">
            <v>Franciszek</v>
          </cell>
          <cell r="C709" t="str">
            <v>JUŹKÓW</v>
          </cell>
          <cell r="D709" t="str">
            <v>UKS Dwójka Wesoła</v>
          </cell>
        </row>
        <row r="710">
          <cell r="A710" t="str">
            <v>K3058</v>
          </cell>
          <cell r="B710" t="str">
            <v>Mariusz</v>
          </cell>
          <cell r="C710" t="str">
            <v>KABAT</v>
          </cell>
          <cell r="D710" t="str">
            <v>AZSAGH Kraków</v>
          </cell>
        </row>
        <row r="711">
          <cell r="A711" t="str">
            <v>K2123</v>
          </cell>
          <cell r="B711" t="str">
            <v>Piotr</v>
          </cell>
          <cell r="C711" t="str">
            <v>KABATA</v>
          </cell>
          <cell r="D711" t="str">
            <v>UKS Kometa Sianów</v>
          </cell>
        </row>
        <row r="712">
          <cell r="A712" t="str">
            <v>K3241</v>
          </cell>
          <cell r="B712" t="str">
            <v>Jakub</v>
          </cell>
          <cell r="C712" t="str">
            <v>KACHNIARZ</v>
          </cell>
          <cell r="D712" t="str">
            <v>UKS Ząbkowice Dąbrowa Górn.</v>
          </cell>
        </row>
        <row r="713">
          <cell r="A713" t="str">
            <v>K5345</v>
          </cell>
          <cell r="B713" t="str">
            <v>Daniel</v>
          </cell>
          <cell r="C713" t="str">
            <v>KACZMARA</v>
          </cell>
          <cell r="D713" t="str">
            <v>UKS Kiko Zamość</v>
          </cell>
        </row>
        <row r="714">
          <cell r="A714" t="str">
            <v>K4949</v>
          </cell>
          <cell r="B714" t="str">
            <v>Jan</v>
          </cell>
          <cell r="C714" t="str">
            <v>KACZMARCZYK</v>
          </cell>
          <cell r="D714" t="str">
            <v>STB Energia Lubliniec</v>
          </cell>
        </row>
        <row r="715">
          <cell r="A715" t="str">
            <v>K5843</v>
          </cell>
          <cell r="B715" t="str">
            <v>Aleksandra</v>
          </cell>
          <cell r="C715" t="str">
            <v>KACZMAREK</v>
          </cell>
          <cell r="D715" t="str">
            <v>SLKS Tramp Orneta</v>
          </cell>
        </row>
        <row r="716">
          <cell r="A716" t="str">
            <v>K4839</v>
          </cell>
          <cell r="B716" t="str">
            <v>Wojciech</v>
          </cell>
          <cell r="C716" t="str">
            <v>KACZMAREK</v>
          </cell>
          <cell r="D716" t="str">
            <v>MMKS Gdańsk</v>
          </cell>
        </row>
        <row r="717">
          <cell r="A717" t="str">
            <v>K5631</v>
          </cell>
          <cell r="B717" t="str">
            <v>Sara</v>
          </cell>
          <cell r="C717" t="str">
            <v>KACZMARZYK</v>
          </cell>
          <cell r="D717" t="str">
            <v>UKS Jagiellonka Medyka</v>
          </cell>
        </row>
        <row r="718">
          <cell r="A718" t="str">
            <v>K0727</v>
          </cell>
          <cell r="B718" t="str">
            <v>Krzysztof</v>
          </cell>
          <cell r="C718" t="str">
            <v>KACZOR</v>
          </cell>
          <cell r="D718" t="str">
            <v>MKS Stal Nowa Dęba</v>
          </cell>
        </row>
        <row r="719">
          <cell r="A719" t="str">
            <v>K3351</v>
          </cell>
          <cell r="B719" t="str">
            <v>Paulina</v>
          </cell>
          <cell r="C719" t="str">
            <v>KACZOROWSKA</v>
          </cell>
          <cell r="D719" t="str">
            <v>KS Chojnik Jelenia Góra</v>
          </cell>
        </row>
        <row r="720">
          <cell r="A720" t="str">
            <v>K5926</v>
          </cell>
          <cell r="B720" t="str">
            <v>Paweł</v>
          </cell>
          <cell r="C720" t="str">
            <v>KAFARSKI</v>
          </cell>
          <cell r="D720" t="str">
            <v>----</v>
          </cell>
        </row>
        <row r="721">
          <cell r="A721" t="str">
            <v>K1442</v>
          </cell>
          <cell r="B721" t="str">
            <v>Andrzej</v>
          </cell>
          <cell r="C721" t="str">
            <v>KAFTAŃSKI</v>
          </cell>
          <cell r="D721" t="str">
            <v>UKS Hubal Białystok</v>
          </cell>
        </row>
        <row r="722">
          <cell r="A722" t="str">
            <v>K4579</v>
          </cell>
          <cell r="B722" t="str">
            <v>Miłosz</v>
          </cell>
          <cell r="C722" t="str">
            <v>KAIM</v>
          </cell>
          <cell r="D722" t="str">
            <v>KS Masovia Płock</v>
          </cell>
        </row>
        <row r="723">
          <cell r="A723" t="str">
            <v>K1499</v>
          </cell>
          <cell r="B723" t="str">
            <v>Piotr</v>
          </cell>
          <cell r="C723" t="str">
            <v>KALINKOWSKI</v>
          </cell>
          <cell r="D723" t="str">
            <v>----</v>
          </cell>
        </row>
        <row r="724">
          <cell r="A724" t="str">
            <v>K3059</v>
          </cell>
          <cell r="B724" t="str">
            <v>Marcin</v>
          </cell>
          <cell r="C724" t="str">
            <v>KALITKA</v>
          </cell>
          <cell r="D724" t="str">
            <v>AZSAGH Kraków</v>
          </cell>
        </row>
        <row r="725">
          <cell r="A725" t="str">
            <v>K4997</v>
          </cell>
          <cell r="B725" t="str">
            <v>Marek</v>
          </cell>
          <cell r="C725" t="str">
            <v>KALLAS</v>
          </cell>
          <cell r="D725" t="str">
            <v>----</v>
          </cell>
        </row>
        <row r="726">
          <cell r="A726" t="str">
            <v>K4840</v>
          </cell>
          <cell r="B726" t="str">
            <v>Mateusz</v>
          </cell>
          <cell r="C726" t="str">
            <v>KALLAS</v>
          </cell>
          <cell r="D726" t="str">
            <v>MMKS Gdańsk</v>
          </cell>
        </row>
        <row r="727">
          <cell r="A727" t="str">
            <v>K5869</v>
          </cell>
          <cell r="B727" t="str">
            <v>Szymon</v>
          </cell>
          <cell r="C727" t="str">
            <v>KALLAS</v>
          </cell>
          <cell r="D727" t="str">
            <v>MMKS Gdańsk</v>
          </cell>
        </row>
        <row r="728">
          <cell r="A728" t="str">
            <v>K3605</v>
          </cell>
          <cell r="B728" t="str">
            <v>Marcin</v>
          </cell>
          <cell r="C728" t="str">
            <v>KALTENBERG</v>
          </cell>
          <cell r="D728" t="str">
            <v>UKS Trójka Tarnobrzeg</v>
          </cell>
        </row>
        <row r="729">
          <cell r="A729" t="str">
            <v>K3343</v>
          </cell>
          <cell r="B729" t="str">
            <v>Arkadiusz</v>
          </cell>
          <cell r="C729" t="str">
            <v>KAŁUŻNY</v>
          </cell>
          <cell r="D729" t="str">
            <v>UKS Siódemka Świebodzin</v>
          </cell>
        </row>
        <row r="730">
          <cell r="A730" t="str">
            <v>K3344</v>
          </cell>
          <cell r="B730" t="str">
            <v>Paweł</v>
          </cell>
          <cell r="C730" t="str">
            <v>KAŁUŻNY</v>
          </cell>
          <cell r="D730" t="str">
            <v>UKS Siódemka Świebodzin</v>
          </cell>
        </row>
        <row r="731">
          <cell r="A731" t="str">
            <v>K5636</v>
          </cell>
          <cell r="B731" t="str">
            <v>Norbert</v>
          </cell>
          <cell r="C731" t="str">
            <v>KAŁWIŃSKI</v>
          </cell>
          <cell r="D731" t="str">
            <v>----</v>
          </cell>
        </row>
        <row r="732">
          <cell r="A732" t="str">
            <v>K5278</v>
          </cell>
          <cell r="B732" t="str">
            <v>Anna</v>
          </cell>
          <cell r="C732" t="str">
            <v>KAMIŃSKA</v>
          </cell>
          <cell r="D732" t="str">
            <v>----</v>
          </cell>
        </row>
        <row r="733">
          <cell r="A733" t="str">
            <v>K1746</v>
          </cell>
          <cell r="B733" t="str">
            <v>Łukasz</v>
          </cell>
          <cell r="C733" t="str">
            <v>KAMIŃSKI</v>
          </cell>
          <cell r="D733" t="str">
            <v>UKS Ostrówek</v>
          </cell>
        </row>
        <row r="734">
          <cell r="A734" t="str">
            <v>K 087</v>
          </cell>
          <cell r="B734" t="str">
            <v>Marek</v>
          </cell>
          <cell r="C734" t="str">
            <v>KAMIŃSKI</v>
          </cell>
          <cell r="D734" t="str">
            <v>MKS Stal Nowa Dęba</v>
          </cell>
        </row>
        <row r="735">
          <cell r="A735" t="str">
            <v>K2787</v>
          </cell>
          <cell r="B735" t="str">
            <v>Mateusz</v>
          </cell>
          <cell r="C735" t="str">
            <v>KAMIŃSKI</v>
          </cell>
          <cell r="D735" t="str">
            <v>SLKS Tramp Orneta</v>
          </cell>
        </row>
        <row r="736">
          <cell r="A736" t="str">
            <v>K5815</v>
          </cell>
          <cell r="B736" t="str">
            <v>Wojciech</v>
          </cell>
          <cell r="C736" t="str">
            <v>KAMIŃSKI</v>
          </cell>
          <cell r="D736" t="str">
            <v>MMKS Gdańsk</v>
          </cell>
        </row>
        <row r="737">
          <cell r="A737" t="str">
            <v>K5975</v>
          </cell>
          <cell r="B737" t="str">
            <v>Izabella</v>
          </cell>
          <cell r="C737" t="str">
            <v>KAMOLA</v>
          </cell>
          <cell r="D737" t="str">
            <v>UKS Badminton Stare Babice</v>
          </cell>
        </row>
        <row r="738">
          <cell r="A738" t="str">
            <v>K5410</v>
          </cell>
          <cell r="B738" t="str">
            <v>Harald</v>
          </cell>
          <cell r="C738" t="str">
            <v>KANIA</v>
          </cell>
          <cell r="D738" t="str">
            <v>BKS Kolejarz Katowice</v>
          </cell>
        </row>
        <row r="739">
          <cell r="A739" t="str">
            <v>K5409</v>
          </cell>
          <cell r="B739" t="str">
            <v>Michał</v>
          </cell>
          <cell r="C739" t="str">
            <v>KANIA</v>
          </cell>
          <cell r="D739" t="str">
            <v>BKS Kolejarz Katowice</v>
          </cell>
        </row>
        <row r="740">
          <cell r="A740" t="str">
            <v>K5213</v>
          </cell>
          <cell r="B740" t="str">
            <v>Monika</v>
          </cell>
          <cell r="C740" t="str">
            <v>KANIA</v>
          </cell>
          <cell r="D740" t="str">
            <v>UKS Arka Umieszcz</v>
          </cell>
        </row>
        <row r="741">
          <cell r="A741" t="str">
            <v>K5756</v>
          </cell>
          <cell r="B741" t="str">
            <v>Piotr</v>
          </cell>
          <cell r="C741" t="str">
            <v>KANIUK</v>
          </cell>
          <cell r="D741" t="str">
            <v>UKS Kiko Zamość</v>
          </cell>
        </row>
        <row r="742">
          <cell r="A742" t="str">
            <v>K4601</v>
          </cell>
          <cell r="B742" t="str">
            <v>Wiktoria</v>
          </cell>
          <cell r="C742" t="str">
            <v>KAPINOS</v>
          </cell>
          <cell r="D742" t="str">
            <v>UKSB Volant Mielec</v>
          </cell>
        </row>
        <row r="743">
          <cell r="A743" t="str">
            <v>K5743</v>
          </cell>
          <cell r="B743" t="str">
            <v>Weronika</v>
          </cell>
          <cell r="C743" t="str">
            <v>KAPUŚNIAK</v>
          </cell>
          <cell r="D743" t="str">
            <v>UKS Kiko Zamość</v>
          </cell>
        </row>
        <row r="744">
          <cell r="A744" t="str">
            <v>K5476</v>
          </cell>
          <cell r="B744" t="str">
            <v>Marcin</v>
          </cell>
          <cell r="C744" t="str">
            <v>KARBOWY</v>
          </cell>
          <cell r="D744" t="str">
            <v>UKS Iskra Sarbice</v>
          </cell>
        </row>
        <row r="745">
          <cell r="A745" t="str">
            <v>K5176</v>
          </cell>
          <cell r="B745" t="str">
            <v>Andrzej</v>
          </cell>
          <cell r="C745" t="str">
            <v>KARCZEWSKI</v>
          </cell>
          <cell r="D745" t="str">
            <v>----</v>
          </cell>
        </row>
        <row r="746">
          <cell r="A746" t="str">
            <v>K5377</v>
          </cell>
          <cell r="B746" t="str">
            <v>Filip</v>
          </cell>
          <cell r="C746" t="str">
            <v>KARLIKOWSKI</v>
          </cell>
          <cell r="D746" t="str">
            <v>MKS Orlicz Suchedniów</v>
          </cell>
        </row>
        <row r="747">
          <cell r="A747" t="str">
            <v>K4646</v>
          </cell>
          <cell r="B747" t="str">
            <v>Agata</v>
          </cell>
          <cell r="C747" t="str">
            <v>KAROLAK</v>
          </cell>
          <cell r="D747" t="str">
            <v>ZKB Maced Polanów</v>
          </cell>
        </row>
        <row r="748">
          <cell r="A748" t="str">
            <v>K5019</v>
          </cell>
          <cell r="B748" t="str">
            <v>Joanna</v>
          </cell>
          <cell r="C748" t="str">
            <v>KARP</v>
          </cell>
          <cell r="D748" t="str">
            <v>KKS Ruch Piotrków Tryb.</v>
          </cell>
        </row>
        <row r="749">
          <cell r="A749" t="str">
            <v>K5733</v>
          </cell>
          <cell r="B749" t="str">
            <v>Paulina</v>
          </cell>
          <cell r="C749" t="str">
            <v>KARSKA</v>
          </cell>
          <cell r="D749" t="str">
            <v>UKS Lotka Łódź</v>
          </cell>
        </row>
        <row r="750">
          <cell r="A750" t="str">
            <v>K4153</v>
          </cell>
          <cell r="B750" t="str">
            <v>Paulina</v>
          </cell>
          <cell r="C750" t="str">
            <v>KARWASZ</v>
          </cell>
          <cell r="D750" t="str">
            <v>UKS Lotka Lubiewo</v>
          </cell>
        </row>
        <row r="751">
          <cell r="A751" t="str">
            <v>K4207</v>
          </cell>
          <cell r="B751" t="str">
            <v>Urszula</v>
          </cell>
          <cell r="C751" t="str">
            <v>KARWOWSKA</v>
          </cell>
          <cell r="D751" t="str">
            <v>UKSB Milenium Warszawa</v>
          </cell>
        </row>
        <row r="752">
          <cell r="A752" t="str">
            <v>K3480</v>
          </cell>
          <cell r="B752" t="str">
            <v>Bartosz</v>
          </cell>
          <cell r="C752" t="str">
            <v>KASICA</v>
          </cell>
          <cell r="D752" t="str">
            <v>UKSB Milenium Warszawa</v>
          </cell>
        </row>
        <row r="753">
          <cell r="A753" t="str">
            <v>K3153</v>
          </cell>
          <cell r="B753" t="str">
            <v>Mateusz</v>
          </cell>
          <cell r="C753" t="str">
            <v>KASICA</v>
          </cell>
          <cell r="D753" t="str">
            <v>UKSB Milenium Warszawa</v>
          </cell>
        </row>
        <row r="754">
          <cell r="A754" t="str">
            <v>K5744</v>
          </cell>
          <cell r="B754" t="str">
            <v>Magdalena</v>
          </cell>
          <cell r="C754" t="str">
            <v>KASPERSKA</v>
          </cell>
          <cell r="D754" t="str">
            <v>UKS Kiko Zamość</v>
          </cell>
        </row>
        <row r="755">
          <cell r="A755" t="str">
            <v>K4676</v>
          </cell>
          <cell r="B755" t="str">
            <v>Damian</v>
          </cell>
          <cell r="C755" t="str">
            <v>KASPERSKI</v>
          </cell>
          <cell r="D755" t="str">
            <v>UKS Kiko Zamość</v>
          </cell>
        </row>
        <row r="756">
          <cell r="A756" t="str">
            <v>K0184</v>
          </cell>
          <cell r="B756" t="str">
            <v>Rafał</v>
          </cell>
          <cell r="C756" t="str">
            <v>KASPRÓW</v>
          </cell>
          <cell r="D756" t="str">
            <v>KS Chojnik Jelenia Góra</v>
          </cell>
        </row>
        <row r="757">
          <cell r="A757" t="str">
            <v>K5757</v>
          </cell>
          <cell r="B757" t="str">
            <v>Adam</v>
          </cell>
          <cell r="C757" t="str">
            <v>KASPRZAK</v>
          </cell>
          <cell r="D757" t="str">
            <v>UKS Kiko Zamość</v>
          </cell>
        </row>
        <row r="758">
          <cell r="A758" t="str">
            <v>K5262</v>
          </cell>
          <cell r="B758" t="str">
            <v>Wiktoria</v>
          </cell>
          <cell r="C758" t="str">
            <v>KASPRZAK</v>
          </cell>
          <cell r="D758" t="str">
            <v>UKS Kiko Zamość</v>
          </cell>
        </row>
        <row r="759">
          <cell r="A759" t="str">
            <v>K5870</v>
          </cell>
          <cell r="B759" t="str">
            <v>Natalia</v>
          </cell>
          <cell r="C759" t="str">
            <v>KASZEWSKA</v>
          </cell>
          <cell r="D759" t="str">
            <v>ULKS U-2 Lotka Bytów</v>
          </cell>
        </row>
        <row r="760">
          <cell r="A760" t="str">
            <v>K4586</v>
          </cell>
          <cell r="B760" t="str">
            <v>Joanna</v>
          </cell>
          <cell r="C760" t="str">
            <v>KASZUBA</v>
          </cell>
          <cell r="D760" t="str">
            <v>AZSOŚ Łódź</v>
          </cell>
        </row>
        <row r="761">
          <cell r="A761" t="str">
            <v>K4645</v>
          </cell>
          <cell r="B761" t="str">
            <v>Adrian</v>
          </cell>
          <cell r="C761" t="str">
            <v>KASZUBOWSKI</v>
          </cell>
          <cell r="D761" t="str">
            <v>ZKB Maced Polanów</v>
          </cell>
        </row>
        <row r="762">
          <cell r="A762" t="str">
            <v>K5166</v>
          </cell>
          <cell r="B762" t="str">
            <v>Zofia</v>
          </cell>
          <cell r="C762" t="str">
            <v>KAŚKIEWICZ</v>
          </cell>
          <cell r="D762" t="str">
            <v>KS Wesoła Warszawa</v>
          </cell>
        </row>
        <row r="763">
          <cell r="A763" t="str">
            <v>K0122</v>
          </cell>
          <cell r="B763" t="str">
            <v>Tomasz</v>
          </cell>
          <cell r="C763" t="str">
            <v>KAWAŁKOWSKI</v>
          </cell>
          <cell r="D763" t="str">
            <v>SKB Piast Słupsk</v>
          </cell>
        </row>
        <row r="764">
          <cell r="A764" t="str">
            <v>K4536</v>
          </cell>
          <cell r="B764" t="str">
            <v>Anna</v>
          </cell>
          <cell r="C764" t="str">
            <v>KAWCZYŃSKA</v>
          </cell>
          <cell r="D764" t="str">
            <v>UKS Iskra Sarbice</v>
          </cell>
        </row>
        <row r="765">
          <cell r="A765" t="str">
            <v>K4570</v>
          </cell>
          <cell r="B765" t="str">
            <v>Rafał</v>
          </cell>
          <cell r="C765" t="str">
            <v>KAZIMIERSKI</v>
          </cell>
          <cell r="D765" t="str">
            <v>UKS Smecz Bogatynia</v>
          </cell>
        </row>
        <row r="766">
          <cell r="A766" t="str">
            <v>K4719</v>
          </cell>
          <cell r="B766" t="str">
            <v>Michał</v>
          </cell>
          <cell r="C766" t="str">
            <v>KAZUSEK</v>
          </cell>
          <cell r="D766" t="str">
            <v>UKSOSIR Badminton Sławno</v>
          </cell>
        </row>
        <row r="767">
          <cell r="A767" t="str">
            <v>K3935</v>
          </cell>
          <cell r="B767" t="str">
            <v>Michał</v>
          </cell>
          <cell r="C767" t="str">
            <v>KAŹMIERCZAK</v>
          </cell>
          <cell r="D767" t="str">
            <v>UKS Feniks Kędzierzyn-Koźle</v>
          </cell>
        </row>
        <row r="768">
          <cell r="A768" t="str">
            <v>K4239</v>
          </cell>
          <cell r="B768" t="str">
            <v>Paweł</v>
          </cell>
          <cell r="C768" t="str">
            <v>KAŹMIERCZYK</v>
          </cell>
          <cell r="D768" t="str">
            <v>UKSB Milenium Warszawa</v>
          </cell>
        </row>
        <row r="769">
          <cell r="A769" t="str">
            <v>K5303</v>
          </cell>
          <cell r="B769" t="str">
            <v>Anna</v>
          </cell>
          <cell r="C769" t="str">
            <v>KAŹMIERKOWSKA</v>
          </cell>
          <cell r="D769" t="str">
            <v>----</v>
          </cell>
        </row>
        <row r="770">
          <cell r="A770" t="str">
            <v>K5825</v>
          </cell>
          <cell r="B770" t="str">
            <v>Adam</v>
          </cell>
          <cell r="C770" t="str">
            <v>KEKLAK</v>
          </cell>
          <cell r="D770" t="str">
            <v>KS Stal Sulęcin</v>
          </cell>
        </row>
        <row r="771">
          <cell r="A771" t="str">
            <v>K5168</v>
          </cell>
          <cell r="B771" t="str">
            <v>Erik</v>
          </cell>
          <cell r="C771" t="str">
            <v>KELLER</v>
          </cell>
          <cell r="D771" t="str">
            <v>KS Match Point Ślęza</v>
          </cell>
        </row>
        <row r="772">
          <cell r="A772" t="str">
            <v>K5953</v>
          </cell>
          <cell r="B772" t="str">
            <v>Zofia</v>
          </cell>
          <cell r="C772" t="str">
            <v>KEMPIŃSKA</v>
          </cell>
          <cell r="D772" t="str">
            <v>OTB Lotka Ostrów Wlkp.</v>
          </cell>
        </row>
        <row r="773">
          <cell r="A773" t="str">
            <v>K4526</v>
          </cell>
          <cell r="B773" t="str">
            <v>Łukasz</v>
          </cell>
          <cell r="C773" t="str">
            <v>KENDZIOR</v>
          </cell>
          <cell r="D773" t="str">
            <v>ŚKBad Harcownik Warszawa</v>
          </cell>
        </row>
        <row r="774">
          <cell r="A774" t="str">
            <v>K4841</v>
          </cell>
          <cell r="B774" t="str">
            <v>Mateusz</v>
          </cell>
          <cell r="C774" t="str">
            <v>KĘDZIORA</v>
          </cell>
          <cell r="D774" t="str">
            <v>PTS Puszczykowo</v>
          </cell>
        </row>
        <row r="775">
          <cell r="A775" t="str">
            <v>K5043</v>
          </cell>
          <cell r="B775" t="str">
            <v>Olga</v>
          </cell>
          <cell r="C775" t="str">
            <v>KĘDZIORA</v>
          </cell>
          <cell r="D775" t="str">
            <v>OTB Lotka Ostrów Wlkp.</v>
          </cell>
        </row>
        <row r="776">
          <cell r="A776" t="str">
            <v>K4620</v>
          </cell>
          <cell r="B776" t="str">
            <v>Aleksandra</v>
          </cell>
          <cell r="C776" t="str">
            <v>KICH</v>
          </cell>
          <cell r="D776" t="str">
            <v>SLKS Tramp Orneta</v>
          </cell>
        </row>
        <row r="777">
          <cell r="A777" t="str">
            <v>K5232</v>
          </cell>
          <cell r="B777" t="str">
            <v>Paweł</v>
          </cell>
          <cell r="C777" t="str">
            <v>KIELAR</v>
          </cell>
          <cell r="D777" t="str">
            <v>UKS Orbitek Straszęcin</v>
          </cell>
        </row>
        <row r="778">
          <cell r="A778" t="str">
            <v>K1231</v>
          </cell>
          <cell r="B778" t="str">
            <v>Dawid</v>
          </cell>
          <cell r="C778" t="str">
            <v>KIELOCH</v>
          </cell>
          <cell r="D778" t="str">
            <v>UKS Plesbad Pszczyna</v>
          </cell>
        </row>
        <row r="779">
          <cell r="A779" t="str">
            <v>K4463</v>
          </cell>
          <cell r="B779" t="str">
            <v>Justyna</v>
          </cell>
          <cell r="C779" t="str">
            <v>KIEŁBASA</v>
          </cell>
          <cell r="D779" t="str">
            <v>UKSB Volant Mielec</v>
          </cell>
        </row>
        <row r="780">
          <cell r="A780" t="str">
            <v>K5394</v>
          </cell>
          <cell r="B780" t="str">
            <v>Jakub</v>
          </cell>
          <cell r="C780" t="str">
            <v>KIERZKOWSKI</v>
          </cell>
          <cell r="D780" t="str">
            <v>UKS 70 Płock</v>
          </cell>
        </row>
        <row r="781">
          <cell r="A781" t="str">
            <v>K4428</v>
          </cell>
          <cell r="B781" t="str">
            <v>Marcin</v>
          </cell>
          <cell r="C781" t="str">
            <v>KIETLA</v>
          </cell>
          <cell r="D781" t="str">
            <v>UKS Dwójka Wesoła</v>
          </cell>
        </row>
        <row r="782">
          <cell r="A782" t="str">
            <v>K3161</v>
          </cell>
          <cell r="B782" t="str">
            <v>Izabela</v>
          </cell>
          <cell r="C782" t="str">
            <v>KIEŻEL</v>
          </cell>
          <cell r="D782" t="str">
            <v>UKS Hubal Białystok</v>
          </cell>
        </row>
        <row r="783">
          <cell r="A783" t="str">
            <v>K4248</v>
          </cell>
          <cell r="B783" t="str">
            <v>Michał</v>
          </cell>
          <cell r="C783" t="str">
            <v>KIKOSICKI</v>
          </cell>
          <cell r="D783" t="str">
            <v>KSR Wolant Łódź</v>
          </cell>
        </row>
        <row r="784">
          <cell r="A784" t="str">
            <v>K4905</v>
          </cell>
          <cell r="B784" t="str">
            <v>Alicja</v>
          </cell>
          <cell r="C784" t="str">
            <v>KIMSO</v>
          </cell>
          <cell r="D784" t="str">
            <v>SLKS Tramp Orneta</v>
          </cell>
        </row>
        <row r="785">
          <cell r="A785" t="str">
            <v>K3888</v>
          </cell>
          <cell r="B785" t="str">
            <v>Sebastian</v>
          </cell>
          <cell r="C785" t="str">
            <v>KIMSO</v>
          </cell>
          <cell r="D785" t="str">
            <v>SLKS Tramp Orneta</v>
          </cell>
        </row>
        <row r="786">
          <cell r="A786" t="str">
            <v>K1530</v>
          </cell>
          <cell r="B786" t="str">
            <v>Katarzyna</v>
          </cell>
          <cell r="C786" t="str">
            <v>KISTOWSKA</v>
          </cell>
          <cell r="D786" t="str">
            <v>PTS Puszczykowo</v>
          </cell>
        </row>
        <row r="787">
          <cell r="A787" t="str">
            <v>K4966</v>
          </cell>
          <cell r="B787" t="str">
            <v>Marta</v>
          </cell>
          <cell r="C787" t="str">
            <v>KLASA</v>
          </cell>
          <cell r="D787" t="str">
            <v>ULKS U-2 Lotka Bytów</v>
          </cell>
        </row>
        <row r="788">
          <cell r="A788" t="str">
            <v>K2363</v>
          </cell>
          <cell r="B788" t="str">
            <v>Ewa</v>
          </cell>
          <cell r="C788" t="str">
            <v>KLEPACKA</v>
          </cell>
          <cell r="D788" t="str">
            <v>UKS Hubal Białystok</v>
          </cell>
        </row>
        <row r="789">
          <cell r="A789" t="str">
            <v>K3750</v>
          </cell>
          <cell r="B789" t="str">
            <v>Marta</v>
          </cell>
          <cell r="C789" t="str">
            <v>KLEPEK</v>
          </cell>
          <cell r="D789" t="str">
            <v>UKS Plesbad Pszczyna</v>
          </cell>
        </row>
        <row r="790">
          <cell r="A790" t="str">
            <v>K3808</v>
          </cell>
          <cell r="B790" t="str">
            <v>Tomasz</v>
          </cell>
          <cell r="C790" t="str">
            <v>KLEPEK</v>
          </cell>
          <cell r="D790" t="str">
            <v>UKS Plesbad Pszczyna</v>
          </cell>
        </row>
        <row r="791">
          <cell r="A791" t="str">
            <v>K5949</v>
          </cell>
          <cell r="B791" t="str">
            <v>Joanna</v>
          </cell>
          <cell r="C791" t="str">
            <v>KLIMCZAK</v>
          </cell>
          <cell r="D791" t="str">
            <v>UKS Korona Pabianice</v>
          </cell>
        </row>
        <row r="792">
          <cell r="A792" t="str">
            <v>K5868</v>
          </cell>
          <cell r="B792" t="str">
            <v>Piotr</v>
          </cell>
          <cell r="C792" t="str">
            <v>KLIMCZAK</v>
          </cell>
          <cell r="D792" t="str">
            <v>UKS 25 Kielce</v>
          </cell>
        </row>
        <row r="793">
          <cell r="A793" t="str">
            <v>K4576</v>
          </cell>
          <cell r="B793" t="str">
            <v>Paulina</v>
          </cell>
          <cell r="C793" t="str">
            <v>KLIMEK</v>
          </cell>
          <cell r="D793" t="str">
            <v>MKS Strzelce Opolskie</v>
          </cell>
        </row>
        <row r="794">
          <cell r="A794" t="str">
            <v>K5652</v>
          </cell>
          <cell r="B794" t="str">
            <v>Wiktoria</v>
          </cell>
          <cell r="C794" t="str">
            <v>KLIMEK</v>
          </cell>
          <cell r="D794" t="str">
            <v>PMKS Chrobry Piotrowice</v>
          </cell>
        </row>
        <row r="795">
          <cell r="A795" t="str">
            <v>K5069</v>
          </cell>
          <cell r="B795" t="str">
            <v>Jędrzej</v>
          </cell>
          <cell r="C795" t="str">
            <v>KLIMKO</v>
          </cell>
          <cell r="D795" t="str">
            <v>----</v>
          </cell>
        </row>
        <row r="796">
          <cell r="A796" t="str">
            <v>K2358</v>
          </cell>
          <cell r="B796" t="str">
            <v>Bartosz</v>
          </cell>
          <cell r="C796" t="str">
            <v>KLIMOWICZ</v>
          </cell>
          <cell r="D796" t="str">
            <v>UKS Hubal Białystok</v>
          </cell>
        </row>
        <row r="797">
          <cell r="A797" t="str">
            <v>K5246</v>
          </cell>
          <cell r="B797" t="str">
            <v>Daniel</v>
          </cell>
          <cell r="C797" t="str">
            <v>KLIMOWSKI</v>
          </cell>
          <cell r="D797" t="str">
            <v>----</v>
          </cell>
        </row>
        <row r="798">
          <cell r="A798" t="str">
            <v>K5719</v>
          </cell>
          <cell r="B798" t="str">
            <v>Izabela</v>
          </cell>
          <cell r="C798" t="str">
            <v>KLIS</v>
          </cell>
          <cell r="D798" t="str">
            <v>LUKS Badminton Choroszcz</v>
          </cell>
        </row>
        <row r="799">
          <cell r="A799" t="str">
            <v>K5134</v>
          </cell>
          <cell r="B799" t="str">
            <v>Maciej</v>
          </cell>
          <cell r="C799" t="str">
            <v>KLUCZYK</v>
          </cell>
          <cell r="D799" t="str">
            <v>UKS Hubal Białystok</v>
          </cell>
        </row>
        <row r="800">
          <cell r="A800" t="str">
            <v>K4554</v>
          </cell>
          <cell r="B800" t="str">
            <v>Albert</v>
          </cell>
          <cell r="C800" t="str">
            <v>KLUK</v>
          </cell>
          <cell r="D800" t="str">
            <v>UKS Orliki Ropica Polska</v>
          </cell>
        </row>
        <row r="801">
          <cell r="A801" t="str">
            <v>K5563</v>
          </cell>
          <cell r="B801" t="str">
            <v>Dawid</v>
          </cell>
          <cell r="C801" t="str">
            <v>KLUK</v>
          </cell>
          <cell r="D801" t="str">
            <v>UKS Orliki Ropica Polska</v>
          </cell>
        </row>
        <row r="802">
          <cell r="A802" t="str">
            <v>K2788</v>
          </cell>
          <cell r="B802" t="str">
            <v>Bartłomiej</v>
          </cell>
          <cell r="C802" t="str">
            <v>KLUTH</v>
          </cell>
          <cell r="D802" t="str">
            <v>SLKS Tramp Orneta</v>
          </cell>
        </row>
        <row r="803">
          <cell r="A803" t="str">
            <v>K5221</v>
          </cell>
          <cell r="B803" t="str">
            <v>Dominik</v>
          </cell>
          <cell r="C803" t="str">
            <v>KŁAPUT</v>
          </cell>
          <cell r="D803" t="str">
            <v>UKS Unia Bieruń</v>
          </cell>
        </row>
        <row r="804">
          <cell r="A804" t="str">
            <v>K5084</v>
          </cell>
          <cell r="B804" t="str">
            <v>Agnieszka</v>
          </cell>
          <cell r="C804" t="str">
            <v>KMIECIK</v>
          </cell>
          <cell r="D804" t="str">
            <v>UMKS Junis Szczucin</v>
          </cell>
        </row>
        <row r="805">
          <cell r="A805" t="str">
            <v>K5164</v>
          </cell>
          <cell r="B805" t="str">
            <v>Konrad</v>
          </cell>
          <cell r="C805" t="str">
            <v>KMIECIŃSKI</v>
          </cell>
          <cell r="D805" t="str">
            <v>KS Wesoła Warszawa</v>
          </cell>
        </row>
        <row r="806">
          <cell r="A806" t="str">
            <v>K5163</v>
          </cell>
          <cell r="B806" t="str">
            <v>Piotr</v>
          </cell>
          <cell r="C806" t="str">
            <v>KMIECIŃSKI</v>
          </cell>
          <cell r="D806" t="str">
            <v>KS Wesoła Warszawa</v>
          </cell>
        </row>
        <row r="807">
          <cell r="A807" t="str">
            <v>K4217</v>
          </cell>
          <cell r="B807" t="str">
            <v>Zuzanna</v>
          </cell>
          <cell r="C807" t="str">
            <v>KMIEĆ</v>
          </cell>
          <cell r="D807" t="str">
            <v>MUKS 5 Chełm</v>
          </cell>
        </row>
        <row r="808">
          <cell r="A808" t="str">
            <v>K4432</v>
          </cell>
          <cell r="B808" t="str">
            <v>Daniel</v>
          </cell>
          <cell r="C808" t="str">
            <v>KNAP</v>
          </cell>
          <cell r="D808" t="str">
            <v>UKS Aktywna Piątka Przemyśl</v>
          </cell>
        </row>
        <row r="809">
          <cell r="A809" t="str">
            <v>K2606</v>
          </cell>
          <cell r="B809" t="str">
            <v>Sławomir</v>
          </cell>
          <cell r="C809" t="str">
            <v>KNAP</v>
          </cell>
          <cell r="D809" t="str">
            <v>----</v>
          </cell>
        </row>
        <row r="810">
          <cell r="A810" t="str">
            <v>K5037</v>
          </cell>
          <cell r="B810" t="str">
            <v>Barbara</v>
          </cell>
          <cell r="C810" t="str">
            <v>KNOPEK</v>
          </cell>
          <cell r="D810" t="str">
            <v>UKS Unia Bieruń</v>
          </cell>
        </row>
        <row r="811">
          <cell r="A811" t="str">
            <v>K2360</v>
          </cell>
          <cell r="B811" t="str">
            <v>Tomasz</v>
          </cell>
          <cell r="C811" t="str">
            <v>KNOPEK</v>
          </cell>
          <cell r="D811" t="str">
            <v>UKS KSBad Kraków</v>
          </cell>
        </row>
        <row r="812">
          <cell r="A812" t="str">
            <v>K1849</v>
          </cell>
          <cell r="B812" t="str">
            <v>Magdalena</v>
          </cell>
          <cell r="C812" t="str">
            <v>KOBA</v>
          </cell>
          <cell r="D812" t="str">
            <v>KS Masovia Płock</v>
          </cell>
        </row>
        <row r="813">
          <cell r="A813" t="str">
            <v>K1326</v>
          </cell>
          <cell r="B813" t="str">
            <v>Sebastian</v>
          </cell>
          <cell r="C813" t="str">
            <v>KOBA</v>
          </cell>
          <cell r="D813" t="str">
            <v>KS Masovia Płock</v>
          </cell>
        </row>
        <row r="814">
          <cell r="A814" t="str">
            <v>K2189</v>
          </cell>
          <cell r="B814" t="str">
            <v>Daniela</v>
          </cell>
          <cell r="C814" t="str">
            <v>KOBELUCH</v>
          </cell>
          <cell r="D814" t="str">
            <v>LKS Technik Głubczyce</v>
          </cell>
        </row>
        <row r="815">
          <cell r="A815" t="str">
            <v>K4603</v>
          </cell>
          <cell r="B815" t="str">
            <v>Patryk</v>
          </cell>
          <cell r="C815" t="str">
            <v>KOBELUCH</v>
          </cell>
          <cell r="D815" t="str">
            <v>LKS Technik Głubczyce</v>
          </cell>
        </row>
        <row r="816">
          <cell r="A816" t="str">
            <v>K5089</v>
          </cell>
          <cell r="B816" t="str">
            <v>Ganna</v>
          </cell>
          <cell r="C816" t="str">
            <v>KOBTSEVA</v>
          </cell>
          <cell r="D816" t="str">
            <v>SKB Suwałki</v>
          </cell>
        </row>
        <row r="817">
          <cell r="A817" t="str">
            <v>K4563</v>
          </cell>
          <cell r="B817" t="str">
            <v>Kordian</v>
          </cell>
          <cell r="C817" t="str">
            <v>KOBYLNIK</v>
          </cell>
          <cell r="D817" t="str">
            <v>LKS Technik Głubczyce</v>
          </cell>
        </row>
        <row r="818">
          <cell r="A818" t="str">
            <v>K3194</v>
          </cell>
          <cell r="B818" t="str">
            <v>Michał</v>
          </cell>
          <cell r="C818" t="str">
            <v>KOBYŁECKI</v>
          </cell>
          <cell r="D818" t="str">
            <v>SKB Piast Słupsk</v>
          </cell>
        </row>
        <row r="819">
          <cell r="A819" t="str">
            <v>K5968</v>
          </cell>
          <cell r="B819" t="str">
            <v>Adrian</v>
          </cell>
          <cell r="C819" t="str">
            <v>KOC</v>
          </cell>
          <cell r="D819" t="str">
            <v>WWL Badminton Club Marki</v>
          </cell>
        </row>
        <row r="820">
          <cell r="A820" t="str">
            <v>K5417</v>
          </cell>
          <cell r="B820" t="str">
            <v>Anna</v>
          </cell>
          <cell r="C820" t="str">
            <v>KOCZUR</v>
          </cell>
          <cell r="D820" t="str">
            <v>----</v>
          </cell>
        </row>
        <row r="821">
          <cell r="A821" t="str">
            <v>K4735</v>
          </cell>
          <cell r="B821" t="str">
            <v>Oktawia</v>
          </cell>
          <cell r="C821" t="str">
            <v>KOISZ</v>
          </cell>
          <cell r="D821" t="str">
            <v>UKS Kiko Zamość</v>
          </cell>
        </row>
        <row r="822">
          <cell r="A822" t="str">
            <v>K4838</v>
          </cell>
          <cell r="B822" t="str">
            <v>Magdalena</v>
          </cell>
          <cell r="C822" t="str">
            <v>KOJDER</v>
          </cell>
          <cell r="D822" t="str">
            <v>----</v>
          </cell>
        </row>
        <row r="823">
          <cell r="A823" t="str">
            <v>K3218</v>
          </cell>
          <cell r="B823" t="str">
            <v>Joanna</v>
          </cell>
          <cell r="C823" t="str">
            <v>KOKOSZKA</v>
          </cell>
          <cell r="D823" t="str">
            <v>UMKS Junis Szczucin</v>
          </cell>
        </row>
        <row r="824">
          <cell r="A824" t="str">
            <v>K4084</v>
          </cell>
          <cell r="B824" t="str">
            <v>Magdalena</v>
          </cell>
          <cell r="C824" t="str">
            <v>KOKOSZKA</v>
          </cell>
          <cell r="D824" t="str">
            <v>AZSWAT Warszawa</v>
          </cell>
        </row>
        <row r="825">
          <cell r="A825" t="str">
            <v>K5973</v>
          </cell>
          <cell r="B825" t="str">
            <v>Olaf</v>
          </cell>
          <cell r="C825" t="str">
            <v>KOLEŚNIKOW</v>
          </cell>
          <cell r="D825" t="str">
            <v>UKSOSIR Badminton Sławno</v>
          </cell>
        </row>
        <row r="826">
          <cell r="A826" t="str">
            <v>K5041</v>
          </cell>
          <cell r="B826" t="str">
            <v>Aleksandra</v>
          </cell>
          <cell r="C826" t="str">
            <v>KOŁODZIEJ</v>
          </cell>
          <cell r="D826" t="str">
            <v>KSR Wolant Łódź</v>
          </cell>
        </row>
        <row r="827">
          <cell r="A827" t="str">
            <v>K1194</v>
          </cell>
          <cell r="B827" t="str">
            <v>Andrzej</v>
          </cell>
          <cell r="C827" t="str">
            <v>KOŁODZIEJ</v>
          </cell>
          <cell r="D827" t="str">
            <v>----</v>
          </cell>
        </row>
        <row r="828">
          <cell r="A828" t="str">
            <v>K5321</v>
          </cell>
          <cell r="B828" t="str">
            <v>Karolina</v>
          </cell>
          <cell r="C828" t="str">
            <v>KOŁODZIEJ</v>
          </cell>
          <cell r="D828" t="str">
            <v>UKS Astra Wrocław</v>
          </cell>
        </row>
        <row r="829">
          <cell r="A829" t="str">
            <v>K0264</v>
          </cell>
          <cell r="B829" t="str">
            <v>Witold</v>
          </cell>
          <cell r="C829" t="str">
            <v>KOŁODZIEJ</v>
          </cell>
          <cell r="D829" t="str">
            <v>KB Vol-Trick Kępno</v>
          </cell>
        </row>
        <row r="830">
          <cell r="A830" t="str">
            <v>K4510</v>
          </cell>
          <cell r="B830" t="str">
            <v>Jadwiga</v>
          </cell>
          <cell r="C830" t="str">
            <v>KOŁODZIEJCZYK</v>
          </cell>
          <cell r="D830" t="str">
            <v>----</v>
          </cell>
        </row>
        <row r="831">
          <cell r="A831" t="str">
            <v>K4712</v>
          </cell>
          <cell r="B831" t="str">
            <v>Zbigniew</v>
          </cell>
          <cell r="C831" t="str">
            <v>KOŁODZIEJCZYK</v>
          </cell>
          <cell r="D831" t="str">
            <v>----</v>
          </cell>
        </row>
        <row r="832">
          <cell r="A832" t="str">
            <v>K2392</v>
          </cell>
          <cell r="B832" t="str">
            <v>Marcin</v>
          </cell>
          <cell r="C832" t="str">
            <v>KOŁODZIEJEK</v>
          </cell>
          <cell r="D832" t="str">
            <v>AZSUW Warszawa</v>
          </cell>
        </row>
        <row r="833">
          <cell r="A833" t="str">
            <v>K1963</v>
          </cell>
          <cell r="B833" t="str">
            <v>Jacek</v>
          </cell>
          <cell r="C833" t="str">
            <v>KOŁUMBAJEW</v>
          </cell>
          <cell r="D833" t="str">
            <v>AZSUW Warszawa</v>
          </cell>
        </row>
        <row r="834">
          <cell r="A834" t="str">
            <v>K0497</v>
          </cell>
          <cell r="B834" t="str">
            <v>Łukasz</v>
          </cell>
          <cell r="C834" t="str">
            <v>KOMAR</v>
          </cell>
          <cell r="D834" t="str">
            <v>----</v>
          </cell>
        </row>
        <row r="835">
          <cell r="A835" t="str">
            <v>K5841</v>
          </cell>
          <cell r="B835" t="str">
            <v>Martyna</v>
          </cell>
          <cell r="C835" t="str">
            <v>KONICKA</v>
          </cell>
          <cell r="D835" t="str">
            <v>SLKS Tramp Orneta</v>
          </cell>
        </row>
        <row r="836">
          <cell r="A836" t="str">
            <v>K5429</v>
          </cell>
          <cell r="B836" t="str">
            <v>Aleksandra</v>
          </cell>
          <cell r="C836" t="str">
            <v>KONIECZNA</v>
          </cell>
          <cell r="D836" t="str">
            <v>UKS Ząbkowice Dąbrowa Górn.</v>
          </cell>
        </row>
        <row r="837">
          <cell r="A837" t="str">
            <v>K3115</v>
          </cell>
          <cell r="B837" t="str">
            <v>Magda</v>
          </cell>
          <cell r="C837" t="str">
            <v>KONIECZNA</v>
          </cell>
          <cell r="D837" t="str">
            <v>UKS Hubal Białystok</v>
          </cell>
        </row>
        <row r="838">
          <cell r="A838" t="str">
            <v>K5548</v>
          </cell>
          <cell r="B838" t="str">
            <v>Zuzanna</v>
          </cell>
          <cell r="C838" t="str">
            <v>KONIECZNA</v>
          </cell>
          <cell r="D838" t="str">
            <v>AZSAGH Kraków</v>
          </cell>
        </row>
        <row r="839">
          <cell r="A839" t="str">
            <v>K4755</v>
          </cell>
          <cell r="B839" t="str">
            <v>Kacper</v>
          </cell>
          <cell r="C839" t="str">
            <v>KONIECZNY</v>
          </cell>
          <cell r="D839" t="str">
            <v>MMKS Kędzierzyn-Koźle</v>
          </cell>
        </row>
        <row r="840">
          <cell r="A840" t="str">
            <v>K0734</v>
          </cell>
          <cell r="B840" t="str">
            <v>Olga</v>
          </cell>
          <cell r="C840" t="str">
            <v>KONIUCH</v>
          </cell>
          <cell r="D840" t="str">
            <v>KSR Wolant Łódź</v>
          </cell>
        </row>
        <row r="841">
          <cell r="A841" t="str">
            <v>K3568</v>
          </cell>
          <cell r="B841" t="str">
            <v>Michał</v>
          </cell>
          <cell r="C841" t="str">
            <v>KONOPCZYŃSKI</v>
          </cell>
          <cell r="D841" t="str">
            <v>UKS Dwójka Wesoła</v>
          </cell>
        </row>
        <row r="842">
          <cell r="A842" t="str">
            <v>K5186</v>
          </cell>
          <cell r="B842" t="str">
            <v>Konrad</v>
          </cell>
          <cell r="C842" t="str">
            <v>KONWALIK</v>
          </cell>
          <cell r="D842" t="str">
            <v>UKS Kiko Zamość</v>
          </cell>
        </row>
        <row r="843">
          <cell r="A843" t="str">
            <v>K4702</v>
          </cell>
          <cell r="B843" t="str">
            <v>Kacper</v>
          </cell>
          <cell r="C843" t="str">
            <v>KOPACZ</v>
          </cell>
          <cell r="D843" t="str">
            <v>UTS Akro-Bad Warszawa</v>
          </cell>
        </row>
        <row r="844">
          <cell r="A844" t="str">
            <v>K2551</v>
          </cell>
          <cell r="B844" t="str">
            <v>Piotr</v>
          </cell>
          <cell r="C844" t="str">
            <v>KOPACZ</v>
          </cell>
          <cell r="D844" t="str">
            <v>----</v>
          </cell>
        </row>
        <row r="845">
          <cell r="A845" t="str">
            <v>K4882</v>
          </cell>
          <cell r="B845" t="str">
            <v>Adrianna</v>
          </cell>
          <cell r="C845" t="str">
            <v>KOPACZYŃSKA</v>
          </cell>
          <cell r="D845" t="str">
            <v>UKS Smecz Bogatynia</v>
          </cell>
        </row>
        <row r="846">
          <cell r="A846" t="str">
            <v>K4133</v>
          </cell>
          <cell r="B846" t="str">
            <v>Paweł</v>
          </cell>
          <cell r="C846" t="str">
            <v>KOPAŃSKI</v>
          </cell>
          <cell r="D846" t="str">
            <v>UKS Start Widełka</v>
          </cell>
        </row>
        <row r="847">
          <cell r="A847" t="str">
            <v>K5248</v>
          </cell>
          <cell r="B847" t="str">
            <v>Magdalena</v>
          </cell>
          <cell r="C847" t="str">
            <v>KOPCZYŃSKA</v>
          </cell>
          <cell r="D847" t="str">
            <v>UKS Kiko Zamość</v>
          </cell>
        </row>
        <row r="848">
          <cell r="A848" t="str">
            <v>K4299</v>
          </cell>
          <cell r="B848" t="str">
            <v>Weronika</v>
          </cell>
          <cell r="C848" t="str">
            <v>KOPCZYŃSKA</v>
          </cell>
          <cell r="D848" t="str">
            <v>UKS Kiko Zamość</v>
          </cell>
        </row>
        <row r="849">
          <cell r="A849" t="str">
            <v>K3899</v>
          </cell>
          <cell r="B849" t="str">
            <v>Piotr</v>
          </cell>
          <cell r="C849" t="str">
            <v>KOPCZYŃSKI</v>
          </cell>
          <cell r="D849" t="str">
            <v>ŚKBad Harcownik Warszawa</v>
          </cell>
        </row>
        <row r="850">
          <cell r="A850" t="str">
            <v>K4763</v>
          </cell>
          <cell r="B850" t="str">
            <v>Dominika</v>
          </cell>
          <cell r="C850" t="str">
            <v>KOPEĆ</v>
          </cell>
          <cell r="D850" t="str">
            <v>MMKS Kędzierzyn-Koźle</v>
          </cell>
        </row>
        <row r="851">
          <cell r="A851" t="str">
            <v>K3867</v>
          </cell>
          <cell r="B851" t="str">
            <v>Patryk</v>
          </cell>
          <cell r="C851" t="str">
            <v>KOPEĆ</v>
          </cell>
          <cell r="D851" t="str">
            <v>MKS Stal Nowa Dęba</v>
          </cell>
        </row>
        <row r="852">
          <cell r="A852" t="str">
            <v>K4023</v>
          </cell>
          <cell r="B852" t="str">
            <v>Agnieszka</v>
          </cell>
          <cell r="C852" t="str">
            <v>KOPER</v>
          </cell>
          <cell r="D852" t="str">
            <v>KKS Warmia Olsztyn</v>
          </cell>
        </row>
        <row r="853">
          <cell r="A853" t="str">
            <v>K5933</v>
          </cell>
          <cell r="B853" t="str">
            <v>Monika</v>
          </cell>
          <cell r="C853" t="str">
            <v>KOPKA</v>
          </cell>
          <cell r="D853" t="str">
            <v>----</v>
          </cell>
        </row>
        <row r="854">
          <cell r="A854" t="str">
            <v>K3646</v>
          </cell>
          <cell r="B854" t="str">
            <v>Kornelia</v>
          </cell>
          <cell r="C854" t="str">
            <v>KOPTOŃ</v>
          </cell>
          <cell r="D854" t="str">
            <v>UKS Unia Bieruń</v>
          </cell>
        </row>
        <row r="855">
          <cell r="A855" t="str">
            <v>K4776</v>
          </cell>
          <cell r="B855" t="str">
            <v>Korneliusz</v>
          </cell>
          <cell r="C855" t="str">
            <v>KOPTOŃ</v>
          </cell>
          <cell r="D855" t="str">
            <v>BKS Kolejarz Katowice</v>
          </cell>
        </row>
        <row r="856">
          <cell r="A856" t="str">
            <v>K3647</v>
          </cell>
          <cell r="B856" t="str">
            <v>Paulina</v>
          </cell>
          <cell r="C856" t="str">
            <v>KOPTOŃ</v>
          </cell>
          <cell r="D856" t="str">
            <v>UKS Unia Bieruń</v>
          </cell>
        </row>
        <row r="857">
          <cell r="A857" t="str">
            <v>K5653</v>
          </cell>
          <cell r="B857" t="str">
            <v>Łukasz</v>
          </cell>
          <cell r="C857" t="str">
            <v>KOPUT</v>
          </cell>
          <cell r="D857" t="str">
            <v>PMKS Chrobry Piotrowice</v>
          </cell>
        </row>
        <row r="858">
          <cell r="A858" t="str">
            <v>K3151</v>
          </cell>
          <cell r="B858" t="str">
            <v>Maria</v>
          </cell>
          <cell r="C858" t="str">
            <v>KOPYT</v>
          </cell>
          <cell r="D858" t="str">
            <v>UKSB Milenium Warszawa</v>
          </cell>
        </row>
        <row r="859">
          <cell r="A859" t="str">
            <v>K3783</v>
          </cell>
          <cell r="B859" t="str">
            <v>Anna</v>
          </cell>
          <cell r="C859" t="str">
            <v>KORBAŚ</v>
          </cell>
          <cell r="D859" t="str">
            <v>UMKS Junis Szczucin</v>
          </cell>
        </row>
        <row r="860">
          <cell r="A860" t="str">
            <v>K2772</v>
          </cell>
          <cell r="B860" t="str">
            <v>Kamil</v>
          </cell>
          <cell r="C860" t="str">
            <v>KORBEL</v>
          </cell>
          <cell r="D860" t="str">
            <v>MKS Dwójka Blachownia</v>
          </cell>
        </row>
        <row r="861">
          <cell r="A861" t="str">
            <v>K2014</v>
          </cell>
          <cell r="B861" t="str">
            <v>Magdalena</v>
          </cell>
          <cell r="C861" t="str">
            <v>KORDALEWSKA</v>
          </cell>
          <cell r="D861" t="str">
            <v>ŚKBad Harcownik Warszawa</v>
          </cell>
        </row>
        <row r="862">
          <cell r="A862" t="str">
            <v>K5205</v>
          </cell>
          <cell r="B862" t="str">
            <v>Jakub</v>
          </cell>
          <cell r="C862" t="str">
            <v>KORDEK</v>
          </cell>
          <cell r="D862" t="str">
            <v>UKS Jagiellonka Medyka</v>
          </cell>
        </row>
        <row r="863">
          <cell r="A863" t="str">
            <v>K5206</v>
          </cell>
          <cell r="B863" t="str">
            <v>Klaudia</v>
          </cell>
          <cell r="C863" t="str">
            <v>KORDEK</v>
          </cell>
          <cell r="D863" t="str">
            <v>UKS Jagiellonka Medyka</v>
          </cell>
        </row>
        <row r="864">
          <cell r="A864" t="str">
            <v>K5180</v>
          </cell>
          <cell r="B864" t="str">
            <v>Patryk</v>
          </cell>
          <cell r="C864" t="str">
            <v>KORDEK</v>
          </cell>
          <cell r="D864" t="str">
            <v>UKS Aktywna Piątka Przemyśl</v>
          </cell>
        </row>
        <row r="865">
          <cell r="A865" t="str">
            <v>K3431</v>
          </cell>
          <cell r="B865" t="str">
            <v>Magdalena</v>
          </cell>
          <cell r="C865" t="str">
            <v>KOREJBA</v>
          </cell>
          <cell r="D865" t="str">
            <v>MMKS Kędzierzyn-Koźle</v>
          </cell>
        </row>
        <row r="866">
          <cell r="A866" t="str">
            <v>K5768</v>
          </cell>
          <cell r="B866" t="str">
            <v>Jakub</v>
          </cell>
          <cell r="C866" t="str">
            <v>KORGA</v>
          </cell>
          <cell r="D866" t="str">
            <v>UKS Kiko Zamość</v>
          </cell>
        </row>
        <row r="867">
          <cell r="A867" t="str">
            <v>K5171</v>
          </cell>
          <cell r="B867" t="str">
            <v>Nikola</v>
          </cell>
          <cell r="C867" t="str">
            <v>KORNACKA</v>
          </cell>
          <cell r="D867" t="str">
            <v>UKS Kometa Sianów</v>
          </cell>
        </row>
        <row r="868">
          <cell r="A868" t="str">
            <v>K3223</v>
          </cell>
          <cell r="B868" t="str">
            <v>Oskar</v>
          </cell>
          <cell r="C868" t="str">
            <v>KORNAFEL</v>
          </cell>
          <cell r="D868" t="str">
            <v>KKS Warmia Olsztyn</v>
          </cell>
        </row>
        <row r="869">
          <cell r="A869" t="str">
            <v>K4913</v>
          </cell>
          <cell r="B869" t="str">
            <v>Kamila</v>
          </cell>
          <cell r="C869" t="str">
            <v>KORPAS</v>
          </cell>
          <cell r="D869" t="str">
            <v>KKS Ruch Piotrków Tryb.</v>
          </cell>
        </row>
        <row r="870">
          <cell r="A870" t="str">
            <v>K2325</v>
          </cell>
          <cell r="B870" t="str">
            <v>Emilia</v>
          </cell>
          <cell r="C870" t="str">
            <v>KORPUS</v>
          </cell>
          <cell r="D870" t="str">
            <v>MLKS Solec Kuj.</v>
          </cell>
        </row>
        <row r="871">
          <cell r="A871" t="str">
            <v>K5658</v>
          </cell>
          <cell r="B871" t="str">
            <v>Bartosz</v>
          </cell>
          <cell r="C871" t="str">
            <v>KORYCKI</v>
          </cell>
          <cell r="D871" t="str">
            <v>LUKS Krokus Góralice</v>
          </cell>
        </row>
        <row r="872">
          <cell r="A872" t="str">
            <v>K5777</v>
          </cell>
          <cell r="B872" t="str">
            <v>Tomasz</v>
          </cell>
          <cell r="C872" t="str">
            <v>KORYL</v>
          </cell>
          <cell r="D872" t="str">
            <v>----</v>
          </cell>
        </row>
        <row r="873">
          <cell r="A873" t="str">
            <v>K5282</v>
          </cell>
          <cell r="B873" t="str">
            <v>Jakub</v>
          </cell>
          <cell r="C873" t="str">
            <v>KOS</v>
          </cell>
          <cell r="D873" t="str">
            <v>UKS 25 Kielce</v>
          </cell>
        </row>
        <row r="874">
          <cell r="A874" t="str">
            <v>K4920</v>
          </cell>
          <cell r="B874" t="str">
            <v>Jakub</v>
          </cell>
          <cell r="C874" t="str">
            <v>KOSAŁKA</v>
          </cell>
          <cell r="D874" t="str">
            <v>UKS 25 Kielce</v>
          </cell>
        </row>
        <row r="875">
          <cell r="A875" t="str">
            <v>K5323</v>
          </cell>
          <cell r="B875" t="str">
            <v>Wiktor</v>
          </cell>
          <cell r="C875" t="str">
            <v>KOSAŁKA</v>
          </cell>
          <cell r="D875" t="str">
            <v>UKS 25 Kielce</v>
          </cell>
        </row>
        <row r="876">
          <cell r="A876" t="str">
            <v>K5461</v>
          </cell>
          <cell r="B876" t="str">
            <v>Joanna</v>
          </cell>
          <cell r="C876" t="str">
            <v>KOSARZYCKA</v>
          </cell>
          <cell r="D876" t="str">
            <v>MKB Lednik Miastko</v>
          </cell>
        </row>
        <row r="877">
          <cell r="A877" t="str">
            <v>K4522</v>
          </cell>
          <cell r="B877" t="str">
            <v>Marcin</v>
          </cell>
          <cell r="C877" t="str">
            <v>KOSIŃSKI</v>
          </cell>
          <cell r="D877" t="str">
            <v>KKS Ruch Piotrków Tryb.</v>
          </cell>
        </row>
        <row r="878">
          <cell r="A878" t="str">
            <v>K3620</v>
          </cell>
          <cell r="B878" t="str">
            <v>Piotr</v>
          </cell>
          <cell r="C878" t="str">
            <v>KOSIŃSKI</v>
          </cell>
          <cell r="D878" t="str">
            <v>ŚKBad Harcownik Warszawa</v>
          </cell>
        </row>
        <row r="879">
          <cell r="A879" t="str">
            <v>K5399</v>
          </cell>
          <cell r="B879" t="str">
            <v>Klaudia</v>
          </cell>
          <cell r="C879" t="str">
            <v>KOSOBUCKA</v>
          </cell>
          <cell r="D879" t="str">
            <v>PMKS Chrobry Piotrowice</v>
          </cell>
        </row>
        <row r="880">
          <cell r="A880" t="str">
            <v>K4685</v>
          </cell>
          <cell r="B880" t="str">
            <v>Patryk</v>
          </cell>
          <cell r="C880" t="str">
            <v>KOSTRZEWSKI</v>
          </cell>
          <cell r="D880" t="str">
            <v>KSR Wolant Łódź</v>
          </cell>
        </row>
        <row r="881">
          <cell r="A881" t="str">
            <v>K5780</v>
          </cell>
          <cell r="B881" t="str">
            <v>Klaudia</v>
          </cell>
          <cell r="C881" t="str">
            <v>KOSTRZYCKA</v>
          </cell>
          <cell r="D881" t="str">
            <v>MKS Stal Nowa Dęba</v>
          </cell>
        </row>
        <row r="882">
          <cell r="A882" t="str">
            <v>K0806</v>
          </cell>
          <cell r="B882" t="str">
            <v>Adam</v>
          </cell>
          <cell r="C882" t="str">
            <v>KOSZ</v>
          </cell>
          <cell r="D882" t="str">
            <v>KS Masovia Płock</v>
          </cell>
        </row>
        <row r="883">
          <cell r="A883" t="str">
            <v>K5403</v>
          </cell>
          <cell r="B883" t="str">
            <v>Joanna</v>
          </cell>
          <cell r="C883" t="str">
            <v>KOSZEWSKA</v>
          </cell>
          <cell r="D883" t="str">
            <v>KKS Warmia Olsztyn</v>
          </cell>
        </row>
        <row r="884">
          <cell r="A884" t="str">
            <v>K3257</v>
          </cell>
          <cell r="B884" t="str">
            <v>Nikola</v>
          </cell>
          <cell r="C884" t="str">
            <v>KOSZMIDER</v>
          </cell>
          <cell r="D884" t="str">
            <v>UKS Feniks Kędzierzyn-Koźle</v>
          </cell>
        </row>
        <row r="885">
          <cell r="A885" t="str">
            <v>K4981</v>
          </cell>
          <cell r="B885" t="str">
            <v>Michał</v>
          </cell>
          <cell r="C885" t="str">
            <v>KOSZTYŁO</v>
          </cell>
          <cell r="D885" t="str">
            <v>UKS Orbitek Straszęcin</v>
          </cell>
        </row>
        <row r="886">
          <cell r="A886" t="str">
            <v>K4136</v>
          </cell>
          <cell r="B886" t="str">
            <v>Weronika</v>
          </cell>
          <cell r="C886" t="str">
            <v>KOŚCIÓŁEK</v>
          </cell>
          <cell r="D886" t="str">
            <v>LKS Technik Głubczyce</v>
          </cell>
        </row>
        <row r="887">
          <cell r="A887" t="str">
            <v>K5368</v>
          </cell>
          <cell r="B887" t="str">
            <v>Alicja</v>
          </cell>
          <cell r="C887" t="str">
            <v>KOT</v>
          </cell>
          <cell r="D887" t="str">
            <v>UKS Ostrówek</v>
          </cell>
        </row>
        <row r="888">
          <cell r="A888" t="str">
            <v>K5367</v>
          </cell>
          <cell r="B888" t="str">
            <v>Jakub</v>
          </cell>
          <cell r="C888" t="str">
            <v>KOT</v>
          </cell>
          <cell r="D888" t="str">
            <v>UKS Ostrówek</v>
          </cell>
        </row>
        <row r="889">
          <cell r="A889" t="str">
            <v>K3618</v>
          </cell>
          <cell r="B889" t="str">
            <v>Kamil</v>
          </cell>
          <cell r="C889" t="str">
            <v>KOT</v>
          </cell>
          <cell r="D889" t="str">
            <v>UKS Ostrówek</v>
          </cell>
        </row>
        <row r="890">
          <cell r="A890" t="str">
            <v>K5703</v>
          </cell>
          <cell r="B890" t="str">
            <v>Rafał</v>
          </cell>
          <cell r="C890" t="str">
            <v>KOT</v>
          </cell>
          <cell r="D890" t="str">
            <v>UKS Ostrówek</v>
          </cell>
        </row>
        <row r="891">
          <cell r="A891" t="str">
            <v>K3684</v>
          </cell>
          <cell r="B891" t="str">
            <v>Tomasz</v>
          </cell>
          <cell r="C891" t="str">
            <v>KOTNIEWICZ</v>
          </cell>
          <cell r="D891" t="str">
            <v>KS Wesoła Warszawa</v>
          </cell>
        </row>
        <row r="892">
          <cell r="A892" t="str">
            <v>K4862</v>
          </cell>
          <cell r="B892" t="str">
            <v>Agnieszka</v>
          </cell>
          <cell r="C892" t="str">
            <v>KOWALCZYK</v>
          </cell>
          <cell r="D892" t="str">
            <v>KS Wesoła Warszawa</v>
          </cell>
        </row>
        <row r="893">
          <cell r="A893" t="str">
            <v>K4486</v>
          </cell>
          <cell r="B893" t="str">
            <v>Amanda</v>
          </cell>
          <cell r="C893" t="str">
            <v>KOWALCZYK</v>
          </cell>
          <cell r="D893" t="str">
            <v>UKS Bursztyn Gdańsk</v>
          </cell>
        </row>
        <row r="894">
          <cell r="A894" t="str">
            <v>K3150</v>
          </cell>
          <cell r="B894" t="str">
            <v>Damian</v>
          </cell>
          <cell r="C894" t="str">
            <v>KOWALCZYK</v>
          </cell>
          <cell r="D894" t="str">
            <v>UKSB Milenium Warszawa</v>
          </cell>
        </row>
        <row r="895">
          <cell r="A895" t="str">
            <v>K3437</v>
          </cell>
          <cell r="B895" t="str">
            <v>Kornelia</v>
          </cell>
          <cell r="C895" t="str">
            <v>KOWALCZYK</v>
          </cell>
          <cell r="D895" t="str">
            <v>UKS Kometa Sianów</v>
          </cell>
        </row>
        <row r="896">
          <cell r="A896" t="str">
            <v>K4485</v>
          </cell>
          <cell r="B896" t="str">
            <v>Marlena</v>
          </cell>
          <cell r="C896" t="str">
            <v>KOWALCZYK</v>
          </cell>
          <cell r="D896" t="str">
            <v>UKS Bursztyn Gdańsk</v>
          </cell>
        </row>
        <row r="897">
          <cell r="A897" t="str">
            <v>K5172</v>
          </cell>
          <cell r="B897" t="str">
            <v>Martyna</v>
          </cell>
          <cell r="C897" t="str">
            <v>KOWALCZYK</v>
          </cell>
          <cell r="D897" t="str">
            <v>UKS Kometa Sianów</v>
          </cell>
        </row>
        <row r="898">
          <cell r="A898" t="str">
            <v>K 032</v>
          </cell>
          <cell r="B898" t="str">
            <v>Robert</v>
          </cell>
          <cell r="C898" t="str">
            <v>KOWALCZYK</v>
          </cell>
          <cell r="D898" t="str">
            <v>UKS Hubal Białystok</v>
          </cell>
        </row>
        <row r="899">
          <cell r="A899" t="str">
            <v>K4811</v>
          </cell>
          <cell r="B899" t="str">
            <v>Dominik</v>
          </cell>
          <cell r="C899" t="str">
            <v>KOWALEWSKI</v>
          </cell>
          <cell r="D899" t="str">
            <v>UKS Hubal Białystok</v>
          </cell>
        </row>
        <row r="900">
          <cell r="A900" t="str">
            <v>K0979</v>
          </cell>
          <cell r="B900" t="str">
            <v>Maciej</v>
          </cell>
          <cell r="C900" t="str">
            <v>KOWALIK</v>
          </cell>
          <cell r="D900" t="str">
            <v>SKB Piast Słupsk</v>
          </cell>
        </row>
        <row r="901">
          <cell r="A901" t="str">
            <v>K2501</v>
          </cell>
          <cell r="B901" t="str">
            <v>Agnieszka</v>
          </cell>
          <cell r="C901" t="str">
            <v>KOWALSKA</v>
          </cell>
          <cell r="D901" t="str">
            <v>UKS Kiko Zamość</v>
          </cell>
        </row>
        <row r="902">
          <cell r="A902" t="str">
            <v>K3226</v>
          </cell>
          <cell r="B902" t="str">
            <v>Karolina</v>
          </cell>
          <cell r="C902" t="str">
            <v>KOWALSKA</v>
          </cell>
          <cell r="D902" t="str">
            <v>AZSWAT Warszawa</v>
          </cell>
        </row>
        <row r="903">
          <cell r="A903" t="str">
            <v>K1450</v>
          </cell>
          <cell r="B903" t="str">
            <v>Andrzej</v>
          </cell>
          <cell r="C903" t="str">
            <v>KOWALSKI</v>
          </cell>
          <cell r="D903" t="str">
            <v>----</v>
          </cell>
        </row>
        <row r="904">
          <cell r="A904" t="str">
            <v>K2859</v>
          </cell>
          <cell r="B904" t="str">
            <v>Piotr</v>
          </cell>
          <cell r="C904" t="str">
            <v>KOWALSKI</v>
          </cell>
          <cell r="D904" t="str">
            <v>----</v>
          </cell>
        </row>
        <row r="905">
          <cell r="A905" t="str">
            <v>K5510</v>
          </cell>
          <cell r="B905" t="str">
            <v>Sławomir</v>
          </cell>
          <cell r="C905" t="str">
            <v>KOWALSKI</v>
          </cell>
          <cell r="D905" t="str">
            <v>KS Chojnik Jelenia Góra</v>
          </cell>
        </row>
        <row r="906">
          <cell r="A906" t="str">
            <v>K4785</v>
          </cell>
          <cell r="B906" t="str">
            <v>Szymon</v>
          </cell>
          <cell r="C906" t="str">
            <v>KOWALSKI</v>
          </cell>
          <cell r="D906" t="str">
            <v>KS Chojnik Jelenia Góra</v>
          </cell>
        </row>
        <row r="907">
          <cell r="A907" t="str">
            <v>K0613</v>
          </cell>
          <cell r="B907" t="str">
            <v>Piotr</v>
          </cell>
          <cell r="C907" t="str">
            <v>KOWENICKI</v>
          </cell>
          <cell r="D907" t="str">
            <v>AZSUWM Olsztyn</v>
          </cell>
        </row>
        <row r="908">
          <cell r="A908" t="str">
            <v>K5670</v>
          </cell>
          <cell r="B908" t="str">
            <v>Michał</v>
          </cell>
          <cell r="C908" t="str">
            <v>KOWYNIA</v>
          </cell>
          <cell r="D908" t="str">
            <v>UKS Ząbkowice Dąbrowa Górn.</v>
          </cell>
        </row>
        <row r="909">
          <cell r="A909" t="str">
            <v>K4532</v>
          </cell>
          <cell r="B909" t="str">
            <v>Daniel</v>
          </cell>
          <cell r="C909" t="str">
            <v>KOZAKIEWICZ</v>
          </cell>
          <cell r="D909" t="str">
            <v>LUKS Krokus Góralice</v>
          </cell>
        </row>
        <row r="910">
          <cell r="A910" t="str">
            <v>K3979</v>
          </cell>
          <cell r="B910" t="str">
            <v>Jagoda</v>
          </cell>
          <cell r="C910" t="str">
            <v>KOZDEMBA</v>
          </cell>
          <cell r="D910" t="str">
            <v>UKS Bursztyn Gdańsk</v>
          </cell>
        </row>
        <row r="911">
          <cell r="A911" t="str">
            <v>K3244</v>
          </cell>
          <cell r="B911" t="str">
            <v>Melania</v>
          </cell>
          <cell r="C911" t="str">
            <v>KOZDRA</v>
          </cell>
          <cell r="D911" t="str">
            <v>KS Chojnik Jelenia Góra</v>
          </cell>
        </row>
        <row r="912">
          <cell r="A912" t="str">
            <v>K4670</v>
          </cell>
          <cell r="B912" t="str">
            <v>Kamil</v>
          </cell>
          <cell r="C912" t="str">
            <v>KOZERA</v>
          </cell>
          <cell r="D912" t="str">
            <v>UKSMTB Smecz Konin</v>
          </cell>
        </row>
        <row r="913">
          <cell r="A913" t="str">
            <v>K1491</v>
          </cell>
          <cell r="B913" t="str">
            <v>Maciej</v>
          </cell>
          <cell r="C913" t="str">
            <v>KOZIEŁ</v>
          </cell>
          <cell r="D913" t="str">
            <v>----</v>
          </cell>
        </row>
        <row r="914">
          <cell r="A914" t="str">
            <v>K5440</v>
          </cell>
          <cell r="B914" t="str">
            <v>Wiktor</v>
          </cell>
          <cell r="C914" t="str">
            <v>KOZIEŁ</v>
          </cell>
          <cell r="D914" t="str">
            <v>ULKS Łączna</v>
          </cell>
        </row>
        <row r="915">
          <cell r="A915" t="str">
            <v>K5245</v>
          </cell>
          <cell r="B915" t="str">
            <v>Agnieszka</v>
          </cell>
          <cell r="C915" t="str">
            <v>KOZIK</v>
          </cell>
          <cell r="D915" t="str">
            <v>UKS Ostrówek</v>
          </cell>
        </row>
        <row r="916">
          <cell r="A916" t="str">
            <v>K5931</v>
          </cell>
          <cell r="B916" t="str">
            <v>Łukasz</v>
          </cell>
          <cell r="C916" t="str">
            <v>KOZIK</v>
          </cell>
          <cell r="D916" t="str">
            <v>Górnik Łęczna SA</v>
          </cell>
        </row>
        <row r="917">
          <cell r="A917" t="str">
            <v>K5244</v>
          </cell>
          <cell r="B917" t="str">
            <v>Wojciech</v>
          </cell>
          <cell r="C917" t="str">
            <v>KOZIK</v>
          </cell>
          <cell r="D917" t="str">
            <v>UKS Ostrówek</v>
          </cell>
        </row>
        <row r="918">
          <cell r="A918" t="str">
            <v>K5098</v>
          </cell>
          <cell r="B918" t="str">
            <v>Barbara</v>
          </cell>
          <cell r="C918" t="str">
            <v>KOZŁOWSKA</v>
          </cell>
          <cell r="D918" t="str">
            <v>----</v>
          </cell>
        </row>
        <row r="919">
          <cell r="A919" t="str">
            <v>K5745</v>
          </cell>
          <cell r="B919" t="str">
            <v>Dominika</v>
          </cell>
          <cell r="C919" t="str">
            <v>KOZŁOWSKA</v>
          </cell>
          <cell r="D919" t="str">
            <v>UKS Kiko Zamość</v>
          </cell>
        </row>
        <row r="920">
          <cell r="A920" t="str">
            <v>K4813</v>
          </cell>
          <cell r="B920" t="str">
            <v>Kamila</v>
          </cell>
          <cell r="C920" t="str">
            <v>KOZŁOWSKA</v>
          </cell>
          <cell r="D920" t="str">
            <v>UKS Hubal Białystok</v>
          </cell>
        </row>
        <row r="921">
          <cell r="A921" t="str">
            <v>K3169</v>
          </cell>
          <cell r="B921" t="str">
            <v>Katarzyna</v>
          </cell>
          <cell r="C921" t="str">
            <v>KOZŁOWSKA</v>
          </cell>
          <cell r="D921" t="str">
            <v>UKS 70 Płock</v>
          </cell>
        </row>
        <row r="922">
          <cell r="A922" t="str">
            <v>K3168</v>
          </cell>
          <cell r="B922" t="str">
            <v>Paulina</v>
          </cell>
          <cell r="C922" t="str">
            <v>KOZŁOWSKA</v>
          </cell>
          <cell r="D922" t="str">
            <v>UKS 70 Płock</v>
          </cell>
        </row>
        <row r="923">
          <cell r="A923" t="str">
            <v>K5516</v>
          </cell>
          <cell r="B923" t="str">
            <v>Aleksander</v>
          </cell>
          <cell r="C923" t="str">
            <v>KOZŁOWSKI</v>
          </cell>
          <cell r="D923" t="str">
            <v>ŚKBad Harcownik Warszawa</v>
          </cell>
        </row>
        <row r="924">
          <cell r="A924" t="str">
            <v>K5889</v>
          </cell>
          <cell r="B924" t="str">
            <v>Grzegorz</v>
          </cell>
          <cell r="C924" t="str">
            <v>KOZŁOWSKI</v>
          </cell>
          <cell r="D924" t="str">
            <v>MMKS Gdańsk</v>
          </cell>
        </row>
        <row r="925">
          <cell r="A925" t="str">
            <v>K2413</v>
          </cell>
          <cell r="B925" t="str">
            <v>Michał</v>
          </cell>
          <cell r="C925" t="str">
            <v>KOZŁOWSKI</v>
          </cell>
          <cell r="D925" t="str">
            <v>LUKS Księżyno</v>
          </cell>
        </row>
        <row r="926">
          <cell r="A926" t="str">
            <v>K0596</v>
          </cell>
          <cell r="B926" t="str">
            <v>Tomasz</v>
          </cell>
          <cell r="C926" t="str">
            <v>KOZŁOWSKI</v>
          </cell>
          <cell r="D926" t="str">
            <v>AZSUWM Olsztyn</v>
          </cell>
        </row>
        <row r="927">
          <cell r="A927" t="str">
            <v>K4658</v>
          </cell>
          <cell r="B927" t="str">
            <v>Zdzisław</v>
          </cell>
          <cell r="C927" t="str">
            <v>KOZŁOWSKI</v>
          </cell>
          <cell r="D927" t="str">
            <v>LUKS Księżyno</v>
          </cell>
        </row>
        <row r="928">
          <cell r="A928" t="str">
            <v>K2302</v>
          </cell>
          <cell r="B928" t="str">
            <v>Bartosz</v>
          </cell>
          <cell r="C928" t="str">
            <v>KOŹMIŃSKI</v>
          </cell>
          <cell r="D928" t="str">
            <v>UKSMTB Smecz Konin</v>
          </cell>
        </row>
        <row r="929">
          <cell r="A929" t="str">
            <v>K1807</v>
          </cell>
          <cell r="B929" t="str">
            <v>Marek</v>
          </cell>
          <cell r="C929" t="str">
            <v>KRAJEWSKI</v>
          </cell>
          <cell r="D929" t="str">
            <v>----</v>
          </cell>
        </row>
        <row r="930">
          <cell r="A930" t="str">
            <v>K5132</v>
          </cell>
          <cell r="B930" t="str">
            <v>Piotr</v>
          </cell>
          <cell r="C930" t="str">
            <v>KRAJEWSKI</v>
          </cell>
          <cell r="D930" t="str">
            <v>UKSB Milenium Warszawa</v>
          </cell>
        </row>
        <row r="931">
          <cell r="A931" t="str">
            <v>K5858</v>
          </cell>
          <cell r="B931" t="str">
            <v>Alan</v>
          </cell>
          <cell r="C931" t="str">
            <v>KRAJNA</v>
          </cell>
          <cell r="D931" t="str">
            <v>----</v>
          </cell>
        </row>
        <row r="932">
          <cell r="A932" t="str">
            <v>K1915</v>
          </cell>
          <cell r="B932" t="str">
            <v>Karol</v>
          </cell>
          <cell r="C932" t="str">
            <v>KRAKOWSKI</v>
          </cell>
          <cell r="D932" t="str">
            <v>UKS Kometa Sianów</v>
          </cell>
        </row>
        <row r="933">
          <cell r="A933" t="str">
            <v>K5101</v>
          </cell>
          <cell r="B933" t="str">
            <v>Maciej</v>
          </cell>
          <cell r="C933" t="str">
            <v>KRAKOWSKI</v>
          </cell>
          <cell r="D933" t="str">
            <v>UKS 70 Płock</v>
          </cell>
        </row>
        <row r="934">
          <cell r="A934" t="str">
            <v>K5895</v>
          </cell>
          <cell r="B934" t="str">
            <v>Magdalena</v>
          </cell>
          <cell r="C934" t="str">
            <v>KRASOWSKA</v>
          </cell>
          <cell r="D934" t="str">
            <v>Górnik Łęczna SA</v>
          </cell>
        </row>
        <row r="935">
          <cell r="A935" t="str">
            <v>K1271</v>
          </cell>
          <cell r="B935" t="str">
            <v>Dariusz</v>
          </cell>
          <cell r="C935" t="str">
            <v>KRASZEWSKI</v>
          </cell>
          <cell r="D935" t="str">
            <v>----</v>
          </cell>
        </row>
        <row r="936">
          <cell r="A936" t="str">
            <v>K4206</v>
          </cell>
          <cell r="B936" t="str">
            <v>Andrzej</v>
          </cell>
          <cell r="C936" t="str">
            <v>KRAWCZYK</v>
          </cell>
          <cell r="D936" t="str">
            <v>UKS Unia Bieruń</v>
          </cell>
        </row>
        <row r="937">
          <cell r="A937" t="str">
            <v>K5618</v>
          </cell>
          <cell r="B937" t="str">
            <v>Marcin</v>
          </cell>
          <cell r="C937" t="str">
            <v>KRAWCZYK</v>
          </cell>
          <cell r="D937" t="str">
            <v>ŚKBad Harcownik Warszawa</v>
          </cell>
        </row>
        <row r="938">
          <cell r="A938" t="str">
            <v>K4230</v>
          </cell>
          <cell r="B938" t="str">
            <v>Wiktor</v>
          </cell>
          <cell r="C938" t="str">
            <v>KRAWCZYK</v>
          </cell>
          <cell r="D938" t="str">
            <v>UKSB Milenium Warszawa</v>
          </cell>
        </row>
        <row r="939">
          <cell r="A939" t="str">
            <v>K0151</v>
          </cell>
          <cell r="B939" t="str">
            <v>Przemysław</v>
          </cell>
          <cell r="C939" t="str">
            <v>KRAWIEC</v>
          </cell>
          <cell r="D939" t="str">
            <v>LKS Technik Głubczyce</v>
          </cell>
        </row>
        <row r="940">
          <cell r="A940" t="str">
            <v>K4690</v>
          </cell>
          <cell r="B940" t="str">
            <v>Jakub</v>
          </cell>
          <cell r="C940" t="str">
            <v>KROK</v>
          </cell>
          <cell r="D940" t="str">
            <v>UKS Kometa Sianów</v>
          </cell>
        </row>
        <row r="941">
          <cell r="A941" t="str">
            <v>K4691</v>
          </cell>
          <cell r="B941" t="str">
            <v>Michał</v>
          </cell>
          <cell r="C941" t="str">
            <v>KROK</v>
          </cell>
          <cell r="D941" t="str">
            <v>UKS Kometa Sianów</v>
          </cell>
        </row>
        <row r="942">
          <cell r="A942" t="str">
            <v>K4211</v>
          </cell>
          <cell r="B942" t="str">
            <v>Magdalena</v>
          </cell>
          <cell r="C942" t="str">
            <v>KROP</v>
          </cell>
          <cell r="D942" t="str">
            <v>MUKS 5 Chełm</v>
          </cell>
        </row>
        <row r="943">
          <cell r="A943" t="str">
            <v>K4964</v>
          </cell>
          <cell r="B943" t="str">
            <v>Alicja</v>
          </cell>
          <cell r="C943" t="str">
            <v>KRÓL</v>
          </cell>
          <cell r="D943" t="str">
            <v>UKS Iskra Babimost</v>
          </cell>
        </row>
        <row r="944">
          <cell r="A944" t="str">
            <v>K2378</v>
          </cell>
          <cell r="B944" t="str">
            <v>Ewelina</v>
          </cell>
          <cell r="C944" t="str">
            <v>KRÓL</v>
          </cell>
          <cell r="D944" t="str">
            <v>MKSKSOS Kraków</v>
          </cell>
        </row>
        <row r="945">
          <cell r="A945" t="str">
            <v>K5622</v>
          </cell>
          <cell r="B945" t="str">
            <v>Kamila</v>
          </cell>
          <cell r="C945" t="str">
            <v>KRÓL</v>
          </cell>
          <cell r="D945" t="str">
            <v>UKS Feniks Kędzierzyn-Koźle</v>
          </cell>
        </row>
        <row r="946">
          <cell r="A946" t="str">
            <v>K2336</v>
          </cell>
          <cell r="B946" t="str">
            <v>Jakub</v>
          </cell>
          <cell r="C946" t="str">
            <v>KRÓLAK</v>
          </cell>
          <cell r="D946" t="str">
            <v>AZSWAT Warszawa</v>
          </cell>
        </row>
        <row r="947">
          <cell r="A947" t="str">
            <v>K1618</v>
          </cell>
          <cell r="B947" t="str">
            <v>Maciej</v>
          </cell>
          <cell r="C947" t="str">
            <v>KRÓLAK</v>
          </cell>
          <cell r="D947" t="str">
            <v>AZSWAT Warszawa</v>
          </cell>
        </row>
        <row r="948">
          <cell r="A948" t="str">
            <v>K1468</v>
          </cell>
          <cell r="B948" t="str">
            <v>Iwona</v>
          </cell>
          <cell r="C948" t="str">
            <v>KRUK</v>
          </cell>
          <cell r="D948" t="str">
            <v>UKS Sokół Ropczyce</v>
          </cell>
        </row>
        <row r="949">
          <cell r="A949" t="str">
            <v>K2635</v>
          </cell>
          <cell r="B949" t="str">
            <v>Karolina</v>
          </cell>
          <cell r="C949" t="str">
            <v>KRUK</v>
          </cell>
          <cell r="D949" t="str">
            <v>UKS Sokół Ropczyce</v>
          </cell>
        </row>
        <row r="950">
          <cell r="A950" t="str">
            <v>K4854</v>
          </cell>
          <cell r="B950" t="str">
            <v>Mateusz</v>
          </cell>
          <cell r="C950" t="str">
            <v>KRUK</v>
          </cell>
          <cell r="D950" t="str">
            <v>UKS Astra Wrocław</v>
          </cell>
        </row>
        <row r="951">
          <cell r="A951" t="str">
            <v>K2636</v>
          </cell>
          <cell r="B951" t="str">
            <v>Paulina</v>
          </cell>
          <cell r="C951" t="str">
            <v>KRUK</v>
          </cell>
          <cell r="D951" t="str">
            <v>UKS Sokół Ropczyce</v>
          </cell>
        </row>
        <row r="952">
          <cell r="A952" t="str">
            <v>K5579</v>
          </cell>
          <cell r="B952" t="str">
            <v>Maja</v>
          </cell>
          <cell r="C952" t="str">
            <v>KRUKOWSKA</v>
          </cell>
          <cell r="D952" t="str">
            <v>UKS Kiko Zamość</v>
          </cell>
        </row>
        <row r="953">
          <cell r="A953" t="str">
            <v>K4283</v>
          </cell>
          <cell r="B953" t="str">
            <v>Filip</v>
          </cell>
          <cell r="C953" t="str">
            <v>KRUKOWSKI</v>
          </cell>
          <cell r="D953" t="str">
            <v>SKB Suwałki</v>
          </cell>
        </row>
        <row r="954">
          <cell r="A954" t="str">
            <v>K5075</v>
          </cell>
          <cell r="B954" t="str">
            <v>Mateusz</v>
          </cell>
          <cell r="C954" t="str">
            <v>KRUPA</v>
          </cell>
          <cell r="D954" t="str">
            <v>UKSB Volant Mielec</v>
          </cell>
        </row>
        <row r="955">
          <cell r="A955" t="str">
            <v>K5204</v>
          </cell>
          <cell r="B955" t="str">
            <v>Patryk</v>
          </cell>
          <cell r="C955" t="str">
            <v>KRUPCZAK</v>
          </cell>
          <cell r="D955" t="str">
            <v>UKS Jagiellonka Medyka</v>
          </cell>
        </row>
        <row r="956">
          <cell r="A956" t="str">
            <v>K4734</v>
          </cell>
          <cell r="B956" t="str">
            <v>Martyna</v>
          </cell>
          <cell r="C956" t="str">
            <v>KRUPIŃSKA</v>
          </cell>
          <cell r="D956" t="str">
            <v>UKS 70 Płock</v>
          </cell>
        </row>
        <row r="957">
          <cell r="A957" t="str">
            <v>K5900</v>
          </cell>
          <cell r="B957" t="str">
            <v>Krystian</v>
          </cell>
          <cell r="C957" t="str">
            <v>KRUPIŃSKI</v>
          </cell>
          <cell r="D957" t="str">
            <v>KKS Ruch Piotrków Tryb.</v>
          </cell>
        </row>
        <row r="958">
          <cell r="A958" t="str">
            <v>K5561</v>
          </cell>
          <cell r="B958" t="str">
            <v>Konrad</v>
          </cell>
          <cell r="C958" t="str">
            <v>KRUSZAKIN</v>
          </cell>
          <cell r="D958" t="str">
            <v>KS Stal Sulęcin</v>
          </cell>
        </row>
        <row r="959">
          <cell r="A959" t="str">
            <v>K5505</v>
          </cell>
          <cell r="B959" t="str">
            <v>Maciej</v>
          </cell>
          <cell r="C959" t="str">
            <v>KRUSZYŃSKI</v>
          </cell>
          <cell r="D959" t="str">
            <v>ZKB Maced Polanów</v>
          </cell>
        </row>
        <row r="960">
          <cell r="A960" t="str">
            <v>K5621</v>
          </cell>
          <cell r="B960" t="str">
            <v>Karol</v>
          </cell>
          <cell r="C960" t="str">
            <v>KRUŻYŃSKI</v>
          </cell>
          <cell r="D960" t="str">
            <v>UKS 70 Płock</v>
          </cell>
        </row>
        <row r="961">
          <cell r="A961" t="str">
            <v>K4766</v>
          </cell>
          <cell r="B961" t="str">
            <v>Mateusz</v>
          </cell>
          <cell r="C961" t="str">
            <v>KRYSA</v>
          </cell>
          <cell r="D961" t="str">
            <v>MLKS Solec Kuj.</v>
          </cell>
        </row>
        <row r="962">
          <cell r="A962" t="str">
            <v>K3474</v>
          </cell>
          <cell r="B962" t="str">
            <v>Joanna</v>
          </cell>
          <cell r="C962" t="str">
            <v>KRYSIAK</v>
          </cell>
          <cell r="D962" t="str">
            <v>SKB Suwałki</v>
          </cell>
        </row>
        <row r="963">
          <cell r="A963" t="str">
            <v>K3475</v>
          </cell>
          <cell r="B963" t="str">
            <v>Sebastian</v>
          </cell>
          <cell r="C963" t="str">
            <v>KRYSIAK</v>
          </cell>
          <cell r="D963" t="str">
            <v>SKB Suwałki</v>
          </cell>
        </row>
        <row r="964">
          <cell r="A964" t="str">
            <v>K3484</v>
          </cell>
          <cell r="B964" t="str">
            <v>Kamil</v>
          </cell>
          <cell r="C964" t="str">
            <v>KRYSIUK</v>
          </cell>
          <cell r="D964" t="str">
            <v>LUKS Badminton Choroszcz</v>
          </cell>
        </row>
        <row r="965">
          <cell r="A965" t="str">
            <v>K5228</v>
          </cell>
          <cell r="B965" t="str">
            <v>Konrad</v>
          </cell>
          <cell r="C965" t="str">
            <v>KRYSTEK</v>
          </cell>
          <cell r="D965" t="str">
            <v>UKS Orbitek Straszęcin</v>
          </cell>
        </row>
        <row r="966">
          <cell r="A966" t="str">
            <v>K4679</v>
          </cell>
          <cell r="B966" t="str">
            <v>Anna</v>
          </cell>
          <cell r="C966" t="str">
            <v>KRYSZTOFORSKA</v>
          </cell>
          <cell r="D966" t="str">
            <v>MUKBMDK Płock</v>
          </cell>
        </row>
        <row r="967">
          <cell r="A967" t="str">
            <v>K5950</v>
          </cell>
          <cell r="B967" t="str">
            <v>Olga</v>
          </cell>
          <cell r="C967" t="str">
            <v>KRZEMIŃSKA</v>
          </cell>
          <cell r="D967" t="str">
            <v>KS Masovia Płock</v>
          </cell>
        </row>
        <row r="968">
          <cell r="A968" t="str">
            <v>K5322</v>
          </cell>
          <cell r="B968" t="str">
            <v>Piotr</v>
          </cell>
          <cell r="C968" t="str">
            <v>KRZEMIŃSKI</v>
          </cell>
          <cell r="D968" t="str">
            <v>UKS Astra Wrocław</v>
          </cell>
        </row>
        <row r="969">
          <cell r="A969" t="str">
            <v>K3149</v>
          </cell>
          <cell r="B969" t="str">
            <v>Dominik</v>
          </cell>
          <cell r="C969" t="str">
            <v>KRZĘCIO</v>
          </cell>
          <cell r="D969" t="str">
            <v>AZSWAT Warszawa</v>
          </cell>
        </row>
        <row r="970">
          <cell r="A970" t="str">
            <v>K4124</v>
          </cell>
          <cell r="B970" t="str">
            <v>Adam</v>
          </cell>
          <cell r="C970" t="str">
            <v>KRZYMOWSKI</v>
          </cell>
          <cell r="D970" t="str">
            <v>ŚKBad Harcownik Warszawa</v>
          </cell>
        </row>
        <row r="971">
          <cell r="A971" t="str">
            <v>K5867</v>
          </cell>
          <cell r="B971" t="str">
            <v>Ida</v>
          </cell>
          <cell r="C971" t="str">
            <v>KRZYWICKA</v>
          </cell>
          <cell r="D971" t="str">
            <v>MMKS Gdańsk</v>
          </cell>
        </row>
        <row r="972">
          <cell r="A972" t="str">
            <v>K4316</v>
          </cell>
          <cell r="B972" t="str">
            <v>Emilia</v>
          </cell>
          <cell r="C972" t="str">
            <v>KRZYŻANOWSKA</v>
          </cell>
          <cell r="D972" t="str">
            <v>UKS Kiko Zamość</v>
          </cell>
        </row>
        <row r="973">
          <cell r="A973" t="str">
            <v>K5826</v>
          </cell>
          <cell r="B973" t="str">
            <v>Ines</v>
          </cell>
          <cell r="C973" t="str">
            <v>KSIĄŻYK</v>
          </cell>
          <cell r="D973" t="str">
            <v>KS Stal Sulęcin</v>
          </cell>
        </row>
        <row r="974">
          <cell r="A974" t="str">
            <v>K1483</v>
          </cell>
          <cell r="B974" t="str">
            <v>Władysław</v>
          </cell>
          <cell r="C974" t="str">
            <v>KSIĘŻYK</v>
          </cell>
          <cell r="D974" t="str">
            <v>----</v>
          </cell>
        </row>
        <row r="975">
          <cell r="A975" t="str">
            <v>K5833</v>
          </cell>
          <cell r="B975" t="str">
            <v>Natan</v>
          </cell>
          <cell r="C975" t="str">
            <v>KUBAS</v>
          </cell>
          <cell r="D975" t="str">
            <v>UKS Hubal Białystok</v>
          </cell>
        </row>
        <row r="976">
          <cell r="A976" t="str">
            <v>K0950</v>
          </cell>
          <cell r="B976" t="str">
            <v>Anna</v>
          </cell>
          <cell r="C976" t="str">
            <v>KUBEC</v>
          </cell>
          <cell r="D976" t="str">
            <v>----</v>
          </cell>
        </row>
        <row r="977">
          <cell r="A977" t="str">
            <v>K5891</v>
          </cell>
          <cell r="B977" t="str">
            <v>Natalia</v>
          </cell>
          <cell r="C977" t="str">
            <v>KUBERA</v>
          </cell>
          <cell r="D977" t="str">
            <v>Górnik Łęczna SA</v>
          </cell>
        </row>
        <row r="978">
          <cell r="A978" t="str">
            <v>K5706</v>
          </cell>
          <cell r="B978" t="str">
            <v>Anna</v>
          </cell>
          <cell r="C978" t="str">
            <v>KUBIAK</v>
          </cell>
          <cell r="D978" t="str">
            <v>----</v>
          </cell>
        </row>
        <row r="979">
          <cell r="A979" t="str">
            <v>K5866</v>
          </cell>
          <cell r="B979" t="str">
            <v>Marta</v>
          </cell>
          <cell r="C979" t="str">
            <v>KUBIAK</v>
          </cell>
          <cell r="D979" t="str">
            <v>AZSOŚ Łódź</v>
          </cell>
        </row>
        <row r="980">
          <cell r="A980" t="str">
            <v>K5712</v>
          </cell>
          <cell r="B980" t="str">
            <v>Ryszard</v>
          </cell>
          <cell r="C980" t="str">
            <v>KUBIAK</v>
          </cell>
          <cell r="D980" t="str">
            <v>----</v>
          </cell>
        </row>
        <row r="981">
          <cell r="A981" t="str">
            <v>K5820</v>
          </cell>
          <cell r="B981" t="str">
            <v>Małgorzata</v>
          </cell>
          <cell r="C981" t="str">
            <v>KUBLIN</v>
          </cell>
          <cell r="D981" t="str">
            <v>UKSB Milenium Warszawa</v>
          </cell>
        </row>
        <row r="982">
          <cell r="A982" t="str">
            <v>K5333</v>
          </cell>
          <cell r="B982" t="str">
            <v>Małgorzata</v>
          </cell>
          <cell r="C982" t="str">
            <v>KUCAJ</v>
          </cell>
          <cell r="D982" t="str">
            <v>UMKS Dubiecko</v>
          </cell>
        </row>
        <row r="983">
          <cell r="A983" t="str">
            <v>K5446</v>
          </cell>
          <cell r="B983" t="str">
            <v>Bartłomiej</v>
          </cell>
          <cell r="C983" t="str">
            <v>KUCHARCZYK</v>
          </cell>
          <cell r="D983" t="str">
            <v>UKSOSIR Badminton Sławno</v>
          </cell>
        </row>
        <row r="984">
          <cell r="A984" t="str">
            <v>K4815</v>
          </cell>
          <cell r="B984" t="str">
            <v>Joanna</v>
          </cell>
          <cell r="C984" t="str">
            <v>KUCHAREWICZ</v>
          </cell>
          <cell r="D984" t="str">
            <v>UKS Hubal Białystok</v>
          </cell>
        </row>
        <row r="985">
          <cell r="A985" t="str">
            <v>K5189</v>
          </cell>
          <cell r="B985" t="str">
            <v>Bartosz</v>
          </cell>
          <cell r="C985" t="str">
            <v>KUCHARSKI</v>
          </cell>
          <cell r="D985" t="str">
            <v>UKS Kiko Zamość</v>
          </cell>
        </row>
        <row r="986">
          <cell r="A986" t="str">
            <v>K5934</v>
          </cell>
          <cell r="B986" t="str">
            <v>Tomasz</v>
          </cell>
          <cell r="C986" t="str">
            <v>KUCIEJCZYK</v>
          </cell>
          <cell r="D986" t="str">
            <v>----</v>
          </cell>
        </row>
        <row r="987">
          <cell r="A987" t="str">
            <v>K5346</v>
          </cell>
          <cell r="B987" t="str">
            <v>Daniel</v>
          </cell>
          <cell r="C987" t="str">
            <v>KUCYK</v>
          </cell>
          <cell r="D987" t="str">
            <v>UKS Kiko Zamość</v>
          </cell>
        </row>
        <row r="988">
          <cell r="A988" t="str">
            <v>K4317</v>
          </cell>
          <cell r="B988" t="str">
            <v>Filip</v>
          </cell>
          <cell r="C988" t="str">
            <v>KUCZKOWSKI</v>
          </cell>
          <cell r="D988" t="str">
            <v>ULKS U-2 Lotka Bytów</v>
          </cell>
        </row>
        <row r="989">
          <cell r="A989" t="str">
            <v>K5788</v>
          </cell>
          <cell r="B989" t="str">
            <v>Oskar</v>
          </cell>
          <cell r="C989" t="str">
            <v>KUDROŃ</v>
          </cell>
          <cell r="D989" t="str">
            <v>UKS Orbitek Straszęcin</v>
          </cell>
        </row>
        <row r="990">
          <cell r="A990" t="str">
            <v>K3864</v>
          </cell>
          <cell r="B990" t="str">
            <v>Patryk</v>
          </cell>
          <cell r="C990" t="str">
            <v>KUDYK</v>
          </cell>
          <cell r="D990" t="str">
            <v>UKS Kiko Zamość</v>
          </cell>
        </row>
        <row r="991">
          <cell r="A991" t="str">
            <v>K3764</v>
          </cell>
          <cell r="B991" t="str">
            <v>Sandra</v>
          </cell>
          <cell r="C991" t="str">
            <v>KUDYK</v>
          </cell>
          <cell r="D991" t="str">
            <v>UKS Kiko Zamość</v>
          </cell>
        </row>
        <row r="992">
          <cell r="A992" t="str">
            <v>K4613</v>
          </cell>
          <cell r="B992" t="str">
            <v>Jakub</v>
          </cell>
          <cell r="C992" t="str">
            <v>KUFEL</v>
          </cell>
          <cell r="D992" t="str">
            <v>UKS Orbitek Straszęcin</v>
          </cell>
        </row>
        <row r="993">
          <cell r="A993" t="str">
            <v>K4877</v>
          </cell>
          <cell r="B993" t="str">
            <v>Bartosz</v>
          </cell>
          <cell r="C993" t="str">
            <v>KUK</v>
          </cell>
          <cell r="D993" t="str">
            <v>KKS Warmia Olsztyn</v>
          </cell>
        </row>
        <row r="994">
          <cell r="A994" t="str">
            <v>K5656</v>
          </cell>
          <cell r="B994" t="str">
            <v>Joanna</v>
          </cell>
          <cell r="C994" t="str">
            <v>KUKLIŃSKA</v>
          </cell>
          <cell r="D994" t="str">
            <v>UKSB Volant Mielec</v>
          </cell>
        </row>
        <row r="995">
          <cell r="A995" t="str">
            <v>K4556</v>
          </cell>
          <cell r="B995" t="str">
            <v>Piotr</v>
          </cell>
          <cell r="C995" t="str">
            <v>KUKUŁA</v>
          </cell>
          <cell r="D995" t="str">
            <v>UKS Orliki Ropica Polska</v>
          </cell>
        </row>
        <row r="996">
          <cell r="A996" t="str">
            <v>K5667</v>
          </cell>
          <cell r="B996" t="str">
            <v>Nikolas</v>
          </cell>
          <cell r="C996" t="str">
            <v>KULA</v>
          </cell>
          <cell r="D996" t="str">
            <v>UKS Feniks Kędzierzyn-Koźle</v>
          </cell>
        </row>
        <row r="997">
          <cell r="A997" t="str">
            <v>K0635</v>
          </cell>
          <cell r="B997" t="str">
            <v>Barbara</v>
          </cell>
          <cell r="C997" t="str">
            <v>KULANTY</v>
          </cell>
          <cell r="D997" t="str">
            <v>AZSAGH Kraków</v>
          </cell>
        </row>
        <row r="998">
          <cell r="A998" t="str">
            <v>K5032</v>
          </cell>
          <cell r="B998" t="str">
            <v>Konrad</v>
          </cell>
          <cell r="C998" t="str">
            <v>KULAWIK</v>
          </cell>
          <cell r="D998" t="str">
            <v>UKS Unia Bieruń</v>
          </cell>
        </row>
        <row r="999">
          <cell r="A999" t="str">
            <v>K4034</v>
          </cell>
          <cell r="B999" t="str">
            <v>Mikołaj</v>
          </cell>
          <cell r="C999" t="str">
            <v>KULBAT</v>
          </cell>
          <cell r="D999" t="str">
            <v>KKS Ruch Piotrków Tryb.</v>
          </cell>
        </row>
        <row r="1000">
          <cell r="A1000" t="str">
            <v>K4314</v>
          </cell>
          <cell r="B1000" t="str">
            <v>Natalia</v>
          </cell>
          <cell r="C1000" t="str">
            <v>KULCZYŃSKA</v>
          </cell>
          <cell r="D1000" t="str">
            <v>MLKS Solec Kuj.</v>
          </cell>
        </row>
        <row r="1001">
          <cell r="A1001" t="str">
            <v>K0467</v>
          </cell>
          <cell r="B1001" t="str">
            <v>Grzegorz</v>
          </cell>
          <cell r="C1001" t="str">
            <v>KULESZA</v>
          </cell>
          <cell r="D1001" t="str">
            <v>----</v>
          </cell>
        </row>
        <row r="1002">
          <cell r="A1002" t="str">
            <v>K4453</v>
          </cell>
          <cell r="B1002" t="str">
            <v>Maksymilian</v>
          </cell>
          <cell r="C1002" t="str">
            <v>KULIGOWSKI</v>
          </cell>
          <cell r="D1002" t="str">
            <v>MLKS Solec Kuj.</v>
          </cell>
        </row>
        <row r="1003">
          <cell r="A1003" t="str">
            <v>K5549</v>
          </cell>
          <cell r="B1003" t="str">
            <v>Julia</v>
          </cell>
          <cell r="C1003" t="str">
            <v>KULIK</v>
          </cell>
          <cell r="D1003" t="str">
            <v>AZSAGH Kraków</v>
          </cell>
        </row>
        <row r="1004">
          <cell r="A1004" t="str">
            <v>K5184</v>
          </cell>
          <cell r="B1004" t="str">
            <v>Jakub</v>
          </cell>
          <cell r="C1004" t="str">
            <v>KULIŃSKI</v>
          </cell>
          <cell r="D1004" t="str">
            <v>UKS Kiko Zamość</v>
          </cell>
        </row>
        <row r="1005">
          <cell r="A1005" t="str">
            <v>K5033</v>
          </cell>
          <cell r="B1005" t="str">
            <v>Magdalena</v>
          </cell>
          <cell r="C1005" t="str">
            <v>KULSKA</v>
          </cell>
          <cell r="D1005" t="str">
            <v>UKS Unia Bieruń</v>
          </cell>
        </row>
        <row r="1006">
          <cell r="A1006" t="str">
            <v>K5038</v>
          </cell>
          <cell r="B1006" t="str">
            <v>Kamil</v>
          </cell>
          <cell r="C1006" t="str">
            <v>KULSKI</v>
          </cell>
          <cell r="D1006" t="str">
            <v>UKS Unia Bieruń</v>
          </cell>
        </row>
        <row r="1007">
          <cell r="A1007" t="str">
            <v>K5600</v>
          </cell>
          <cell r="B1007" t="str">
            <v>Gabriela</v>
          </cell>
          <cell r="C1007" t="str">
            <v>KUŁAKOWSKA</v>
          </cell>
          <cell r="D1007" t="str">
            <v>UKS Hubal Białystok</v>
          </cell>
        </row>
        <row r="1008">
          <cell r="A1008" t="str">
            <v>K4332</v>
          </cell>
          <cell r="B1008" t="str">
            <v>Klaudia</v>
          </cell>
          <cell r="C1008" t="str">
            <v>KUPIEC</v>
          </cell>
          <cell r="D1008" t="str">
            <v>UKS Kiko Zamość</v>
          </cell>
        </row>
        <row r="1009">
          <cell r="A1009" t="str">
            <v>K5746</v>
          </cell>
          <cell r="B1009" t="str">
            <v>Wiktoria</v>
          </cell>
          <cell r="C1009" t="str">
            <v>KUPIEC</v>
          </cell>
          <cell r="D1009" t="str">
            <v>UKS Kiko Zamość</v>
          </cell>
        </row>
        <row r="1010">
          <cell r="A1010" t="str">
            <v>K5022</v>
          </cell>
          <cell r="B1010" t="str">
            <v>Korneliusz</v>
          </cell>
          <cell r="C1010" t="str">
            <v>KUPIS</v>
          </cell>
          <cell r="D1010" t="str">
            <v>ULKS Łączna</v>
          </cell>
        </row>
        <row r="1011">
          <cell r="A1011" t="str">
            <v>K5581</v>
          </cell>
          <cell r="B1011" t="str">
            <v>Ilona</v>
          </cell>
          <cell r="C1011" t="str">
            <v>KUPREWICZ</v>
          </cell>
          <cell r="D1011" t="str">
            <v>SKB Suwałki</v>
          </cell>
        </row>
        <row r="1012">
          <cell r="A1012" t="str">
            <v>K5874</v>
          </cell>
          <cell r="B1012" t="str">
            <v>Maciej</v>
          </cell>
          <cell r="C1012" t="str">
            <v>KURAN</v>
          </cell>
          <cell r="D1012" t="str">
            <v>----</v>
          </cell>
        </row>
        <row r="1013">
          <cell r="A1013" t="str">
            <v>K4923</v>
          </cell>
          <cell r="B1013" t="str">
            <v>Filip</v>
          </cell>
          <cell r="C1013" t="str">
            <v>KURANDA</v>
          </cell>
          <cell r="D1013" t="str">
            <v>UKS 25 Kielce</v>
          </cell>
        </row>
        <row r="1014">
          <cell r="A1014" t="str">
            <v>K4704</v>
          </cell>
          <cell r="B1014" t="str">
            <v>Jarosław</v>
          </cell>
          <cell r="C1014" t="str">
            <v>KURKOWSKI</v>
          </cell>
          <cell r="D1014" t="str">
            <v>MLKS Solec Kuj.</v>
          </cell>
        </row>
        <row r="1015">
          <cell r="A1015" t="str">
            <v>K3375</v>
          </cell>
          <cell r="B1015" t="str">
            <v>Wojciech</v>
          </cell>
          <cell r="C1015" t="str">
            <v>KURZYŃSKI</v>
          </cell>
          <cell r="D1015" t="str">
            <v>UKS Trójka Tarnobrzeg</v>
          </cell>
        </row>
        <row r="1016">
          <cell r="A1016" t="str">
            <v>K5387</v>
          </cell>
          <cell r="B1016" t="str">
            <v>Klaudia</v>
          </cell>
          <cell r="C1016" t="str">
            <v>KUSIAK</v>
          </cell>
          <cell r="D1016" t="str">
            <v>UKS Orliki Ropica Polska</v>
          </cell>
        </row>
        <row r="1017">
          <cell r="A1017" t="str">
            <v>K5233</v>
          </cell>
          <cell r="B1017" t="str">
            <v>Jakub</v>
          </cell>
          <cell r="C1017" t="str">
            <v>KUSZA</v>
          </cell>
          <cell r="D1017" t="str">
            <v>UKS Orbitek Straszęcin</v>
          </cell>
        </row>
        <row r="1018">
          <cell r="A1018" t="str">
            <v>K5173</v>
          </cell>
          <cell r="B1018" t="str">
            <v>Patrycja</v>
          </cell>
          <cell r="C1018" t="str">
            <v>KUSZMAR</v>
          </cell>
          <cell r="D1018" t="str">
            <v>UKS Kometa Sianów</v>
          </cell>
        </row>
        <row r="1019">
          <cell r="A1019" t="str">
            <v>K5470</v>
          </cell>
          <cell r="B1019" t="str">
            <v>Maciej</v>
          </cell>
          <cell r="C1019" t="str">
            <v>KUSZTELAK</v>
          </cell>
          <cell r="D1019" t="str">
            <v>KS Chojnik Jelenia Góra</v>
          </cell>
        </row>
        <row r="1020">
          <cell r="A1020" t="str">
            <v>K5713</v>
          </cell>
          <cell r="B1020" t="str">
            <v>Tomasz</v>
          </cell>
          <cell r="C1020" t="str">
            <v>KUŚMIEREK</v>
          </cell>
          <cell r="D1020" t="str">
            <v>----</v>
          </cell>
        </row>
        <row r="1021">
          <cell r="A1021" t="str">
            <v>K3863</v>
          </cell>
          <cell r="B1021" t="str">
            <v>Katarzyna</v>
          </cell>
          <cell r="C1021" t="str">
            <v>KUTACHA</v>
          </cell>
          <cell r="D1021" t="str">
            <v>UKS Start Widełka</v>
          </cell>
        </row>
        <row r="1022">
          <cell r="A1022" t="str">
            <v>K4929</v>
          </cell>
          <cell r="B1022" t="str">
            <v>Jakub</v>
          </cell>
          <cell r="C1022" t="str">
            <v>KUTYŁA</v>
          </cell>
          <cell r="D1022" t="str">
            <v>AZSAGH Kraków</v>
          </cell>
        </row>
        <row r="1023">
          <cell r="A1023" t="str">
            <v>K3842</v>
          </cell>
          <cell r="B1023" t="str">
            <v>Tomasz</v>
          </cell>
          <cell r="C1023" t="str">
            <v>KUTYŁA</v>
          </cell>
          <cell r="D1023" t="str">
            <v>AZSAGH Kraków</v>
          </cell>
        </row>
        <row r="1024">
          <cell r="A1024" t="str">
            <v>K5722</v>
          </cell>
          <cell r="B1024" t="str">
            <v>Sebastian</v>
          </cell>
          <cell r="C1024" t="str">
            <v>KUZIOŁA</v>
          </cell>
          <cell r="D1024" t="str">
            <v>----</v>
          </cell>
        </row>
        <row r="1025">
          <cell r="A1025" t="str">
            <v>K5910</v>
          </cell>
          <cell r="B1025" t="str">
            <v>Kevin</v>
          </cell>
          <cell r="C1025" t="str">
            <v>KUZIOROWICZ</v>
          </cell>
          <cell r="D1025" t="str">
            <v>UKS Junior Wrzosowa</v>
          </cell>
        </row>
        <row r="1026">
          <cell r="A1026" t="str">
            <v>K4273</v>
          </cell>
          <cell r="B1026" t="str">
            <v>Maksymilian</v>
          </cell>
          <cell r="C1026" t="str">
            <v>KWARCIŃSKI</v>
          </cell>
          <cell r="D1026" t="str">
            <v>UKSOSIR Badminton Sławno</v>
          </cell>
        </row>
        <row r="1027">
          <cell r="A1027" t="str">
            <v>K3503</v>
          </cell>
          <cell r="B1027" t="str">
            <v>Kamil</v>
          </cell>
          <cell r="C1027" t="str">
            <v>KWAŚNIEWSKI</v>
          </cell>
          <cell r="D1027" t="str">
            <v>MKS Orlicz Suchedniów</v>
          </cell>
        </row>
        <row r="1028">
          <cell r="A1028" t="str">
            <v>K3504</v>
          </cell>
          <cell r="B1028" t="str">
            <v>Patryk</v>
          </cell>
          <cell r="C1028" t="str">
            <v>KWAŚNIEWSKI</v>
          </cell>
          <cell r="D1028" t="str">
            <v>MKS Orlicz Suchedniów</v>
          </cell>
        </row>
        <row r="1029">
          <cell r="A1029" t="str">
            <v>K5208</v>
          </cell>
          <cell r="B1029" t="str">
            <v>Dominika</v>
          </cell>
          <cell r="C1029" t="str">
            <v>KWAŚNIK</v>
          </cell>
          <cell r="D1029" t="str">
            <v>UKS Feniks Kędzierzyn-Koźle</v>
          </cell>
        </row>
        <row r="1030">
          <cell r="A1030" t="str">
            <v>K5929</v>
          </cell>
          <cell r="B1030" t="str">
            <v>Klaudia</v>
          </cell>
          <cell r="C1030" t="str">
            <v>KWAŚNIK</v>
          </cell>
          <cell r="D1030" t="str">
            <v>Górnik Łęczna SA</v>
          </cell>
        </row>
        <row r="1031">
          <cell r="A1031" t="str">
            <v>K4682</v>
          </cell>
          <cell r="B1031" t="str">
            <v>Olga</v>
          </cell>
          <cell r="C1031" t="str">
            <v>KWAŚNY</v>
          </cell>
          <cell r="D1031" t="str">
            <v>UKS Kopernik Słupca</v>
          </cell>
        </row>
        <row r="1032">
          <cell r="A1032" t="str">
            <v>K5598</v>
          </cell>
          <cell r="B1032" t="str">
            <v>Eliza</v>
          </cell>
          <cell r="C1032" t="str">
            <v>KWIATKOWSKA</v>
          </cell>
          <cell r="D1032" t="str">
            <v>STB Energia Lubliniec</v>
          </cell>
        </row>
        <row r="1033">
          <cell r="A1033" t="str">
            <v>K4667</v>
          </cell>
          <cell r="B1033" t="str">
            <v>Piotr</v>
          </cell>
          <cell r="C1033" t="str">
            <v>KWIECIŃSKI</v>
          </cell>
          <cell r="D1033" t="str">
            <v>----</v>
          </cell>
        </row>
        <row r="1034">
          <cell r="A1034" t="str">
            <v>L0527</v>
          </cell>
          <cell r="B1034" t="str">
            <v>Ryszard</v>
          </cell>
          <cell r="C1034" t="str">
            <v>LACHMAN</v>
          </cell>
          <cell r="D1034" t="str">
            <v>----</v>
          </cell>
        </row>
        <row r="1035">
          <cell r="A1035" t="str">
            <v>L4807</v>
          </cell>
          <cell r="B1035" t="str">
            <v>Weronika</v>
          </cell>
          <cell r="C1035" t="str">
            <v>LANCMAN</v>
          </cell>
          <cell r="D1035" t="str">
            <v>UKS 2 Sobótka</v>
          </cell>
        </row>
        <row r="1036">
          <cell r="A1036" t="str">
            <v>L2035</v>
          </cell>
          <cell r="B1036" t="str">
            <v>Jakub</v>
          </cell>
          <cell r="C1036" t="str">
            <v>LANG</v>
          </cell>
          <cell r="D1036" t="str">
            <v>AZSWAT Warszawa</v>
          </cell>
        </row>
        <row r="1037">
          <cell r="A1037" t="str">
            <v>L5550</v>
          </cell>
          <cell r="B1037" t="str">
            <v>Jan</v>
          </cell>
          <cell r="C1037" t="str">
            <v>LARYSZ</v>
          </cell>
          <cell r="D1037" t="str">
            <v>AZSAGH Kraków</v>
          </cell>
        </row>
        <row r="1038">
          <cell r="A1038" t="str">
            <v>L5958</v>
          </cell>
          <cell r="B1038" t="str">
            <v>Joanna</v>
          </cell>
          <cell r="C1038" t="str">
            <v>LASECKA</v>
          </cell>
          <cell r="D1038" t="str">
            <v>OTB Lotka Ostrów Wlkp.</v>
          </cell>
        </row>
        <row r="1039">
          <cell r="A1039" t="str">
            <v>L5480</v>
          </cell>
          <cell r="B1039" t="str">
            <v>Sebastian</v>
          </cell>
          <cell r="C1039" t="str">
            <v>LASECKI</v>
          </cell>
          <cell r="D1039" t="str">
            <v>----</v>
          </cell>
        </row>
        <row r="1040">
          <cell r="A1040" t="str">
            <v>L5359</v>
          </cell>
          <cell r="B1040" t="str">
            <v>Aleksandra</v>
          </cell>
          <cell r="C1040" t="str">
            <v>LASKOWSKA</v>
          </cell>
          <cell r="D1040" t="str">
            <v>UKS Kiko Zamość</v>
          </cell>
        </row>
        <row r="1041">
          <cell r="A1041" t="str">
            <v>L5747</v>
          </cell>
          <cell r="B1041" t="str">
            <v>Karolina</v>
          </cell>
          <cell r="C1041" t="str">
            <v>LASKOWSKA</v>
          </cell>
          <cell r="D1041" t="str">
            <v>UKS Kiko Zamość</v>
          </cell>
        </row>
        <row r="1042">
          <cell r="A1042" t="str">
            <v>L5661</v>
          </cell>
          <cell r="B1042" t="str">
            <v>Marcin</v>
          </cell>
          <cell r="C1042" t="str">
            <v>LASOTA</v>
          </cell>
          <cell r="D1042" t="str">
            <v>----</v>
          </cell>
        </row>
        <row r="1043">
          <cell r="A1043" t="str">
            <v>L1461</v>
          </cell>
          <cell r="B1043" t="str">
            <v>Krzysztof</v>
          </cell>
          <cell r="C1043" t="str">
            <v>LATAWSKI</v>
          </cell>
          <cell r="D1043" t="str">
            <v>----</v>
          </cell>
        </row>
        <row r="1044">
          <cell r="A1044" t="str">
            <v>L4255</v>
          </cell>
          <cell r="B1044" t="str">
            <v>Natalia</v>
          </cell>
          <cell r="C1044" t="str">
            <v>LAUKS</v>
          </cell>
          <cell r="D1044" t="str">
            <v>KKS Ruch Piotrków Tryb.</v>
          </cell>
        </row>
        <row r="1045">
          <cell r="A1045" t="str">
            <v>L5398</v>
          </cell>
          <cell r="B1045" t="str">
            <v>Dominika</v>
          </cell>
          <cell r="C1045" t="str">
            <v>LĄKOCY</v>
          </cell>
          <cell r="D1045" t="str">
            <v>PMKS Chrobry Piotrowice</v>
          </cell>
        </row>
        <row r="1046">
          <cell r="A1046" t="str">
            <v>L4078</v>
          </cell>
          <cell r="B1046" t="str">
            <v>Norbert</v>
          </cell>
          <cell r="C1046" t="str">
            <v>LECH</v>
          </cell>
          <cell r="D1046" t="str">
            <v>UKS Ząbkowice Dąbrowa Górn.</v>
          </cell>
        </row>
        <row r="1047">
          <cell r="A1047" t="str">
            <v>L4928</v>
          </cell>
          <cell r="B1047" t="str">
            <v>Weronika</v>
          </cell>
          <cell r="C1047" t="str">
            <v>LECH</v>
          </cell>
          <cell r="D1047" t="str">
            <v>AZSAGH Kraków</v>
          </cell>
        </row>
        <row r="1048">
          <cell r="A1048" t="str">
            <v>L4434</v>
          </cell>
          <cell r="B1048" t="str">
            <v>Bazyli</v>
          </cell>
          <cell r="C1048" t="str">
            <v>LECZKOWSKI</v>
          </cell>
          <cell r="D1048" t="str">
            <v>----</v>
          </cell>
        </row>
        <row r="1049">
          <cell r="A1049" t="str">
            <v>L5911</v>
          </cell>
          <cell r="B1049" t="str">
            <v>Artur</v>
          </cell>
          <cell r="C1049" t="str">
            <v>LEDWOŃ</v>
          </cell>
          <cell r="D1049" t="str">
            <v>UKS Plesbad Pszczyna</v>
          </cell>
        </row>
        <row r="1050">
          <cell r="A1050" t="str">
            <v>L4574</v>
          </cell>
          <cell r="B1050" t="str">
            <v>Aleksandra</v>
          </cell>
          <cell r="C1050" t="str">
            <v>LEGIĘĆ</v>
          </cell>
          <cell r="D1050" t="str">
            <v>UKS Smecz Bogatynia</v>
          </cell>
        </row>
        <row r="1051">
          <cell r="A1051" t="str">
            <v>L5686</v>
          </cell>
          <cell r="B1051" t="str">
            <v>Jan</v>
          </cell>
          <cell r="C1051" t="str">
            <v>LEGIĘĆ</v>
          </cell>
          <cell r="D1051" t="str">
            <v>UKS Smecz Bogatynia</v>
          </cell>
        </row>
        <row r="1052">
          <cell r="A1052" t="str">
            <v>L4716</v>
          </cell>
          <cell r="B1052" t="str">
            <v>Rafał</v>
          </cell>
          <cell r="C1052" t="str">
            <v>LEJKO</v>
          </cell>
          <cell r="D1052" t="str">
            <v>MKS Stal Nowa Dęba</v>
          </cell>
        </row>
        <row r="1053">
          <cell r="A1053" t="str">
            <v>L4706</v>
          </cell>
          <cell r="B1053" t="str">
            <v>Marek</v>
          </cell>
          <cell r="C1053" t="str">
            <v>LENARTOWICZ</v>
          </cell>
          <cell r="D1053" t="str">
            <v>----</v>
          </cell>
        </row>
        <row r="1054">
          <cell r="A1054" t="str">
            <v>L3116</v>
          </cell>
          <cell r="B1054" t="str">
            <v>Justyna</v>
          </cell>
          <cell r="C1054" t="str">
            <v>LENCZEWSKA</v>
          </cell>
          <cell r="D1054" t="str">
            <v>UKS Hubal Białystok</v>
          </cell>
        </row>
        <row r="1055">
          <cell r="A1055" t="str">
            <v>L5523</v>
          </cell>
          <cell r="B1055" t="str">
            <v>Sebastian</v>
          </cell>
          <cell r="C1055" t="str">
            <v>LENCZEWSKI</v>
          </cell>
          <cell r="D1055" t="str">
            <v>SKB Suwałki</v>
          </cell>
        </row>
        <row r="1056">
          <cell r="A1056" t="str">
            <v>L5532</v>
          </cell>
          <cell r="B1056" t="str">
            <v>Izabela</v>
          </cell>
          <cell r="C1056" t="str">
            <v>LENKIEWICZ</v>
          </cell>
          <cell r="D1056" t="str">
            <v>SKB Suwałki</v>
          </cell>
        </row>
        <row r="1057">
          <cell r="A1057" t="str">
            <v>L5533</v>
          </cell>
          <cell r="B1057" t="str">
            <v>Karolina</v>
          </cell>
          <cell r="C1057" t="str">
            <v>LENKIEWICZ</v>
          </cell>
          <cell r="D1057" t="str">
            <v>SKB Suwałki</v>
          </cell>
        </row>
        <row r="1058">
          <cell r="A1058" t="str">
            <v>L4037</v>
          </cell>
          <cell r="B1058" t="str">
            <v>Patryk</v>
          </cell>
          <cell r="C1058" t="str">
            <v>LEPIANKA</v>
          </cell>
          <cell r="D1058" t="str">
            <v>UKS Kiko Zamość</v>
          </cell>
        </row>
        <row r="1059">
          <cell r="A1059" t="str">
            <v>L3566</v>
          </cell>
          <cell r="B1059" t="str">
            <v>Paweł</v>
          </cell>
          <cell r="C1059" t="str">
            <v>LEPIANKA</v>
          </cell>
          <cell r="D1059" t="str">
            <v>UKS Kiko Zamość</v>
          </cell>
        </row>
        <row r="1060">
          <cell r="A1060" t="str">
            <v>L5767</v>
          </cell>
          <cell r="B1060" t="str">
            <v>Piotr</v>
          </cell>
          <cell r="C1060" t="str">
            <v>LEPIANKA</v>
          </cell>
          <cell r="D1060" t="str">
            <v>UKS Kiko Zamość</v>
          </cell>
        </row>
        <row r="1061">
          <cell r="A1061" t="str">
            <v>L5135</v>
          </cell>
          <cell r="B1061" t="str">
            <v>Filip</v>
          </cell>
          <cell r="C1061" t="str">
            <v>LEPIARSKI</v>
          </cell>
          <cell r="D1061" t="str">
            <v>----</v>
          </cell>
        </row>
        <row r="1062">
          <cell r="A1062" t="str">
            <v>L5012</v>
          </cell>
          <cell r="B1062" t="str">
            <v>Tomasz</v>
          </cell>
          <cell r="C1062" t="str">
            <v>LESIAK</v>
          </cell>
          <cell r="D1062" t="str">
            <v>MKSKSOS Kraków</v>
          </cell>
        </row>
        <row r="1063">
          <cell r="A1063" t="str">
            <v>L0571</v>
          </cell>
          <cell r="B1063" t="str">
            <v>Ewa</v>
          </cell>
          <cell r="C1063" t="str">
            <v>LESIUK</v>
          </cell>
          <cell r="D1063" t="str">
            <v>----</v>
          </cell>
        </row>
        <row r="1064">
          <cell r="A1064" t="str">
            <v>L5501</v>
          </cell>
          <cell r="B1064" t="str">
            <v>Paweł</v>
          </cell>
          <cell r="C1064" t="str">
            <v>LESNER</v>
          </cell>
          <cell r="D1064" t="str">
            <v>ZKB Maced Polanów</v>
          </cell>
        </row>
        <row r="1065">
          <cell r="A1065" t="str">
            <v>L5277</v>
          </cell>
          <cell r="B1065" t="str">
            <v>Dorota</v>
          </cell>
          <cell r="C1065" t="str">
            <v>LEWANDOWSKA</v>
          </cell>
          <cell r="D1065" t="str">
            <v>----</v>
          </cell>
        </row>
        <row r="1066">
          <cell r="A1066" t="str">
            <v>L4926</v>
          </cell>
          <cell r="B1066" t="str">
            <v>Wiktoria</v>
          </cell>
          <cell r="C1066" t="str">
            <v>LEWANDOWSKA</v>
          </cell>
          <cell r="D1066" t="str">
            <v>UKS 25 Kielce</v>
          </cell>
        </row>
        <row r="1067">
          <cell r="A1067" t="str">
            <v>L5734</v>
          </cell>
          <cell r="B1067" t="str">
            <v>Bartosz</v>
          </cell>
          <cell r="C1067" t="str">
            <v>LEWANDOWSKI</v>
          </cell>
          <cell r="D1067" t="str">
            <v>UKS Lotka Łódź</v>
          </cell>
        </row>
        <row r="1068">
          <cell r="A1068" t="str">
            <v>L4659</v>
          </cell>
          <cell r="B1068" t="str">
            <v>Jacek</v>
          </cell>
          <cell r="C1068" t="str">
            <v>LEWANDOWSKI</v>
          </cell>
          <cell r="D1068" t="str">
            <v>----</v>
          </cell>
        </row>
        <row r="1069">
          <cell r="A1069" t="str">
            <v>L4473</v>
          </cell>
          <cell r="B1069" t="str">
            <v>Jan</v>
          </cell>
          <cell r="C1069" t="str">
            <v>LEWANDOWSKI</v>
          </cell>
          <cell r="D1069" t="str">
            <v>BKS Kolejarz Częstochowa</v>
          </cell>
        </row>
        <row r="1070">
          <cell r="A1070" t="str">
            <v>L3893</v>
          </cell>
          <cell r="B1070" t="str">
            <v>Kacper</v>
          </cell>
          <cell r="C1070" t="str">
            <v>LEWANDOWSKI</v>
          </cell>
          <cell r="D1070" t="str">
            <v>SLKS Tramp Orneta</v>
          </cell>
        </row>
        <row r="1071">
          <cell r="A1071" t="str">
            <v>L3415</v>
          </cell>
          <cell r="B1071" t="str">
            <v>Paweł</v>
          </cell>
          <cell r="C1071" t="str">
            <v>LEWANDOWSKI</v>
          </cell>
          <cell r="D1071" t="str">
            <v>UKS Kometa Sianów</v>
          </cell>
        </row>
        <row r="1072">
          <cell r="A1072" t="str">
            <v>L5835</v>
          </cell>
          <cell r="B1072" t="str">
            <v>Jan</v>
          </cell>
          <cell r="C1072" t="str">
            <v>LEWSZUK</v>
          </cell>
          <cell r="D1072" t="str">
            <v>UKS Hubal Białystok</v>
          </cell>
        </row>
        <row r="1073">
          <cell r="A1073" t="str">
            <v>L5045</v>
          </cell>
          <cell r="B1073" t="str">
            <v>Eliza</v>
          </cell>
          <cell r="C1073" t="str">
            <v>LIBUDZIC</v>
          </cell>
          <cell r="D1073" t="str">
            <v>OTB Lotka Ostrów Wlkp.</v>
          </cell>
        </row>
        <row r="1074">
          <cell r="A1074" t="str">
            <v>L3681</v>
          </cell>
          <cell r="B1074" t="str">
            <v>Klaudia</v>
          </cell>
          <cell r="C1074" t="str">
            <v>LICZBIŃSKA</v>
          </cell>
          <cell r="D1074" t="str">
            <v>UKS Kopernik Słupca</v>
          </cell>
        </row>
        <row r="1075">
          <cell r="A1075" t="str">
            <v>L4492</v>
          </cell>
          <cell r="B1075" t="str">
            <v>Kacper</v>
          </cell>
          <cell r="C1075" t="str">
            <v>LINKE</v>
          </cell>
          <cell r="D1075" t="str">
            <v>UTS Akro-Bad Warszawa</v>
          </cell>
        </row>
        <row r="1076">
          <cell r="A1076" t="str">
            <v>L5811</v>
          </cell>
          <cell r="B1076" t="str">
            <v>Julia</v>
          </cell>
          <cell r="C1076" t="str">
            <v>LIPIEC</v>
          </cell>
          <cell r="D1076" t="str">
            <v>UKS Kiko Zamość</v>
          </cell>
        </row>
        <row r="1077">
          <cell r="A1077" t="str">
            <v>L0702</v>
          </cell>
          <cell r="B1077" t="str">
            <v>Agata</v>
          </cell>
          <cell r="C1077" t="str">
            <v>LIPOWSKA</v>
          </cell>
          <cell r="D1077" t="str">
            <v>AZSWAT Warszawa</v>
          </cell>
        </row>
        <row r="1078">
          <cell r="A1078" t="str">
            <v>L3105</v>
          </cell>
          <cell r="B1078" t="str">
            <v>Marcin</v>
          </cell>
          <cell r="C1078" t="str">
            <v>LIPOWSKI</v>
          </cell>
          <cell r="D1078" t="str">
            <v>AZSWAT Warszawa</v>
          </cell>
        </row>
        <row r="1079">
          <cell r="A1079" t="str">
            <v>L0354</v>
          </cell>
          <cell r="B1079" t="str">
            <v>Tomasz</v>
          </cell>
          <cell r="C1079" t="str">
            <v>LIPSKI</v>
          </cell>
          <cell r="D1079" t="str">
            <v>ŚKBad Harcownik Warszawa</v>
          </cell>
        </row>
        <row r="1080">
          <cell r="A1080" t="str">
            <v>L5335</v>
          </cell>
          <cell r="B1080" t="str">
            <v>Jakub</v>
          </cell>
          <cell r="C1080" t="str">
            <v>LIS</v>
          </cell>
          <cell r="D1080" t="str">
            <v>UMKS Dubiecko</v>
          </cell>
        </row>
        <row r="1081">
          <cell r="A1081" t="str">
            <v>L5182</v>
          </cell>
          <cell r="B1081" t="str">
            <v>Kacper</v>
          </cell>
          <cell r="C1081" t="str">
            <v>LIS</v>
          </cell>
          <cell r="D1081" t="str">
            <v>UKS Kiko Zamość</v>
          </cell>
        </row>
        <row r="1082">
          <cell r="A1082" t="str">
            <v>L5685</v>
          </cell>
          <cell r="B1082" t="str">
            <v>Magdalena</v>
          </cell>
          <cell r="C1082" t="str">
            <v>LISEK</v>
          </cell>
          <cell r="D1082" t="str">
            <v>STB Energia Lubliniec</v>
          </cell>
        </row>
        <row r="1083">
          <cell r="A1083" t="str">
            <v>L5678</v>
          </cell>
          <cell r="B1083" t="str">
            <v>Wiktoria</v>
          </cell>
          <cell r="C1083" t="str">
            <v>LISOWSKA</v>
          </cell>
          <cell r="D1083" t="str">
            <v>UKS Dwójka Wesoła</v>
          </cell>
        </row>
        <row r="1084">
          <cell r="A1084" t="str">
            <v>L3990</v>
          </cell>
          <cell r="B1084" t="str">
            <v>Marcin</v>
          </cell>
          <cell r="C1084" t="str">
            <v>LISZKA</v>
          </cell>
          <cell r="D1084" t="str">
            <v>UKS Orliki Ropica Polska</v>
          </cell>
        </row>
        <row r="1085">
          <cell r="A1085" t="str">
            <v>L5819</v>
          </cell>
          <cell r="B1085" t="str">
            <v>Maciej</v>
          </cell>
          <cell r="C1085" t="str">
            <v>LITEWSKI</v>
          </cell>
          <cell r="D1085" t="str">
            <v>UKSB Milenium Warszawa</v>
          </cell>
        </row>
        <row r="1086">
          <cell r="A1086" t="str">
            <v>L4800</v>
          </cell>
          <cell r="B1086" t="str">
            <v>Jakub</v>
          </cell>
          <cell r="C1086" t="str">
            <v>LIU</v>
          </cell>
          <cell r="D1086" t="str">
            <v>KS Match Point Ślęza</v>
          </cell>
        </row>
        <row r="1087">
          <cell r="A1087" t="str">
            <v>L4927</v>
          </cell>
          <cell r="B1087" t="str">
            <v>Gabriel</v>
          </cell>
          <cell r="C1087" t="str">
            <v>LOREK</v>
          </cell>
          <cell r="D1087" t="str">
            <v>UKS Smecz Bogatynia</v>
          </cell>
        </row>
        <row r="1088">
          <cell r="A1088" t="str">
            <v>L2865</v>
          </cell>
          <cell r="B1088" t="str">
            <v>Filip</v>
          </cell>
          <cell r="C1088" t="str">
            <v>LOTARSKI</v>
          </cell>
          <cell r="D1088" t="str">
            <v>KKS Warmia Olsztyn</v>
          </cell>
        </row>
        <row r="1089">
          <cell r="A1089" t="str">
            <v>L3032</v>
          </cell>
          <cell r="B1089" t="str">
            <v>Kacper</v>
          </cell>
          <cell r="C1089" t="str">
            <v>LOTARSKI</v>
          </cell>
          <cell r="D1089" t="str">
            <v>AZSUWM Olsztyn</v>
          </cell>
        </row>
        <row r="1090">
          <cell r="A1090" t="str">
            <v>L5597</v>
          </cell>
          <cell r="B1090" t="str">
            <v>Zuzanna</v>
          </cell>
          <cell r="C1090" t="str">
            <v>LUBAN</v>
          </cell>
          <cell r="D1090" t="str">
            <v>STB Energia Lubliniec</v>
          </cell>
        </row>
        <row r="1091">
          <cell r="A1091" t="str">
            <v>L5696</v>
          </cell>
          <cell r="B1091" t="str">
            <v>Kinga</v>
          </cell>
          <cell r="C1091" t="str">
            <v>LUBIENIECKA</v>
          </cell>
          <cell r="D1091" t="str">
            <v>UKS 2 Sobótka</v>
          </cell>
        </row>
        <row r="1092">
          <cell r="A1092" t="str">
            <v>L5259</v>
          </cell>
          <cell r="B1092" t="str">
            <v>Dominika</v>
          </cell>
          <cell r="C1092" t="str">
            <v>LUBOCH</v>
          </cell>
          <cell r="D1092" t="str">
            <v>MKS Stal Nowa Dęba</v>
          </cell>
        </row>
        <row r="1093">
          <cell r="A1093" t="str">
            <v>L5283</v>
          </cell>
          <cell r="B1093" t="str">
            <v>Bartosz</v>
          </cell>
          <cell r="C1093" t="str">
            <v>LURZYŃSKI</v>
          </cell>
          <cell r="D1093" t="str">
            <v>UKS 25 Kielce</v>
          </cell>
        </row>
        <row r="1094">
          <cell r="A1094" t="str">
            <v>L5281</v>
          </cell>
          <cell r="B1094" t="str">
            <v>Wojciech</v>
          </cell>
          <cell r="C1094" t="str">
            <v>LURZYŃSKI</v>
          </cell>
          <cell r="D1094" t="str">
            <v>UKS 25 Kielce</v>
          </cell>
        </row>
        <row r="1095">
          <cell r="A1095" t="str">
            <v>L5708</v>
          </cell>
          <cell r="B1095" t="str">
            <v>Tobiasz</v>
          </cell>
          <cell r="C1095" t="str">
            <v>LUTY</v>
          </cell>
          <cell r="D1095" t="str">
            <v>SKB Suwałki</v>
          </cell>
        </row>
        <row r="1096">
          <cell r="A1096" t="str">
            <v>Ł1509</v>
          </cell>
          <cell r="B1096" t="str">
            <v>Ewelina</v>
          </cell>
          <cell r="C1096" t="str">
            <v>ŁACH</v>
          </cell>
          <cell r="D1096" t="str">
            <v>AZSAGH Kraków</v>
          </cell>
        </row>
        <row r="1097">
          <cell r="A1097" t="str">
            <v>Ł5873</v>
          </cell>
          <cell r="B1097" t="str">
            <v>Klaudia</v>
          </cell>
          <cell r="C1097" t="str">
            <v>ŁAKOMA</v>
          </cell>
          <cell r="D1097" t="str">
            <v>UKS Iskra Babimost</v>
          </cell>
        </row>
        <row r="1098">
          <cell r="A1098" t="str">
            <v>Ł3294</v>
          </cell>
          <cell r="B1098" t="str">
            <v>Paweł</v>
          </cell>
          <cell r="C1098" t="str">
            <v>ŁANIEC</v>
          </cell>
          <cell r="D1098" t="str">
            <v>KS Stal Sulęcin</v>
          </cell>
        </row>
        <row r="1099">
          <cell r="A1099" t="str">
            <v>Ł4803</v>
          </cell>
          <cell r="B1099" t="str">
            <v>Jan</v>
          </cell>
          <cell r="C1099" t="str">
            <v>ŁAPIŃSKI</v>
          </cell>
          <cell r="D1099" t="str">
            <v>UKS Astra Wrocław</v>
          </cell>
        </row>
        <row r="1100">
          <cell r="A1100" t="str">
            <v>Ł2728</v>
          </cell>
          <cell r="B1100" t="str">
            <v>Anna</v>
          </cell>
          <cell r="C1100" t="str">
            <v>ŁAZARCZYK</v>
          </cell>
          <cell r="D1100" t="str">
            <v>AZSUWM Olsztyn</v>
          </cell>
        </row>
        <row r="1101">
          <cell r="A1101" t="str">
            <v>Ł5108</v>
          </cell>
          <cell r="B1101" t="str">
            <v>Mateusz</v>
          </cell>
          <cell r="C1101" t="str">
            <v>ŁĄPIEŚ</v>
          </cell>
          <cell r="D1101" t="str">
            <v>AZSWAT Warszawa</v>
          </cell>
        </row>
        <row r="1102">
          <cell r="A1102" t="str">
            <v>Ł5687</v>
          </cell>
          <cell r="B1102" t="str">
            <v>Mateusz</v>
          </cell>
          <cell r="C1102" t="str">
            <v>ŁEBEK</v>
          </cell>
          <cell r="D1102" t="str">
            <v>STB Energia Lubliniec</v>
          </cell>
        </row>
        <row r="1103">
          <cell r="A1103" t="str">
            <v>Ł5260</v>
          </cell>
          <cell r="B1103" t="str">
            <v>Jeremi</v>
          </cell>
          <cell r="C1103" t="str">
            <v>ŁEPTUCH</v>
          </cell>
          <cell r="D1103" t="str">
            <v>MKS Stal Nowa Dęba</v>
          </cell>
        </row>
        <row r="1104">
          <cell r="A1104" t="str">
            <v>Ł5114</v>
          </cell>
          <cell r="B1104" t="str">
            <v>Dominika</v>
          </cell>
          <cell r="C1104" t="str">
            <v>ŁĘPA</v>
          </cell>
          <cell r="D1104" t="str">
            <v>UKSB Volant Mielec</v>
          </cell>
        </row>
        <row r="1105">
          <cell r="A1105" t="str">
            <v>Ł0630</v>
          </cell>
          <cell r="B1105" t="str">
            <v>Michał</v>
          </cell>
          <cell r="C1105" t="str">
            <v>ŁOGOSZ</v>
          </cell>
          <cell r="D1105" t="str">
            <v>SKB Suwałki</v>
          </cell>
        </row>
        <row r="1106">
          <cell r="A1106" t="str">
            <v>Ł5463</v>
          </cell>
          <cell r="B1106" t="str">
            <v>Klaudia</v>
          </cell>
          <cell r="C1106" t="str">
            <v>ŁOPACKA</v>
          </cell>
          <cell r="D1106" t="str">
            <v>MKB Lednik Miastko</v>
          </cell>
        </row>
        <row r="1107">
          <cell r="A1107" t="str">
            <v>Ł5583</v>
          </cell>
          <cell r="B1107" t="str">
            <v>Hubert</v>
          </cell>
          <cell r="C1107" t="str">
            <v>ŁOPACKI</v>
          </cell>
          <cell r="D1107" t="str">
            <v>MKB Lednik Miastko</v>
          </cell>
        </row>
        <row r="1108">
          <cell r="A1108" t="str">
            <v>Ł5366</v>
          </cell>
          <cell r="B1108" t="str">
            <v>Kamila</v>
          </cell>
          <cell r="C1108" t="str">
            <v>ŁUKASIAK</v>
          </cell>
          <cell r="D1108" t="str">
            <v>UKS Badminton Stare Babice</v>
          </cell>
        </row>
        <row r="1109">
          <cell r="A1109" t="str">
            <v>Ł4427</v>
          </cell>
          <cell r="B1109" t="str">
            <v>Magda</v>
          </cell>
          <cell r="C1109" t="str">
            <v>ŁUKASIAK</v>
          </cell>
          <cell r="D1109" t="str">
            <v>MKS Orlicz Suchedniów</v>
          </cell>
        </row>
        <row r="1110">
          <cell r="A1110" t="str">
            <v>Ł3890</v>
          </cell>
          <cell r="B1110" t="str">
            <v>Mariusz</v>
          </cell>
          <cell r="C1110" t="str">
            <v>ŁUKASZEWICZ</v>
          </cell>
          <cell r="D1110" t="str">
            <v>SLKS Tramp Orneta</v>
          </cell>
        </row>
        <row r="1111">
          <cell r="A1111" t="str">
            <v>Ł4234</v>
          </cell>
          <cell r="B1111" t="str">
            <v>Krzysztof</v>
          </cell>
          <cell r="C1111" t="str">
            <v>ŁUKOMSKI</v>
          </cell>
          <cell r="D1111" t="str">
            <v>BKS Kolejarz Częstochowa</v>
          </cell>
        </row>
        <row r="1112">
          <cell r="A1112" t="str">
            <v>Ł5169</v>
          </cell>
          <cell r="B1112" t="str">
            <v>Danuta</v>
          </cell>
          <cell r="C1112" t="str">
            <v>ŁUNIEWSKA</v>
          </cell>
          <cell r="D1112" t="str">
            <v>----</v>
          </cell>
        </row>
        <row r="1113">
          <cell r="A1113" t="str">
            <v>Ł5083</v>
          </cell>
          <cell r="B1113" t="str">
            <v>Jan</v>
          </cell>
          <cell r="C1113" t="str">
            <v>ŁUSZCZ</v>
          </cell>
          <cell r="D1113" t="str">
            <v>UMKS Junis Szczucin</v>
          </cell>
        </row>
        <row r="1114">
          <cell r="A1114" t="str">
            <v>Ł0539</v>
          </cell>
          <cell r="B1114" t="str">
            <v>Piotr</v>
          </cell>
          <cell r="C1114" t="str">
            <v>ŁUSZKIEWICZ</v>
          </cell>
          <cell r="D1114" t="str">
            <v>SKB Piast Słupsk</v>
          </cell>
        </row>
        <row r="1115">
          <cell r="A1115" t="str">
            <v>Ł5427</v>
          </cell>
          <cell r="B1115" t="str">
            <v>Patrycja</v>
          </cell>
          <cell r="C1115" t="str">
            <v>ŁUTCZYK</v>
          </cell>
          <cell r="D1115" t="str">
            <v>MKS Orlicz Suchedniów</v>
          </cell>
        </row>
        <row r="1116">
          <cell r="A1116" t="str">
            <v>Ł5151</v>
          </cell>
          <cell r="B1116" t="str">
            <v>Ewa</v>
          </cell>
          <cell r="C1116" t="str">
            <v>ŁYKO</v>
          </cell>
          <cell r="D1116" t="str">
            <v>KS Match Point Ślęza</v>
          </cell>
        </row>
        <row r="1117">
          <cell r="A1117" t="str">
            <v>Ł5765</v>
          </cell>
          <cell r="B1117" t="str">
            <v>Martyna</v>
          </cell>
          <cell r="C1117" t="str">
            <v>ŁYŻWA</v>
          </cell>
          <cell r="D1117" t="str">
            <v>UKS Lotka Łódź</v>
          </cell>
        </row>
        <row r="1118">
          <cell r="A1118" t="str">
            <v>M4567</v>
          </cell>
          <cell r="B1118" t="str">
            <v>Klaudia</v>
          </cell>
          <cell r="C1118" t="str">
            <v>MAC</v>
          </cell>
          <cell r="D1118" t="str">
            <v>UKS Sokół Ropczyce</v>
          </cell>
        </row>
        <row r="1119">
          <cell r="A1119" t="str">
            <v>M2137</v>
          </cell>
          <cell r="B1119" t="str">
            <v>Katarzyna</v>
          </cell>
          <cell r="C1119" t="str">
            <v>MACEDOŃSKA</v>
          </cell>
          <cell r="D1119" t="str">
            <v>LKS Technik Głubczyce</v>
          </cell>
        </row>
        <row r="1120">
          <cell r="A1120" t="str">
            <v>M5545</v>
          </cell>
          <cell r="B1120" t="str">
            <v>Wojciech</v>
          </cell>
          <cell r="C1120" t="str">
            <v>MACHAJ</v>
          </cell>
          <cell r="D1120" t="str">
            <v>UKSB Volant Mielec</v>
          </cell>
        </row>
        <row r="1121">
          <cell r="A1121" t="str">
            <v>M3661</v>
          </cell>
          <cell r="B1121" t="str">
            <v>Magdalena</v>
          </cell>
          <cell r="C1121" t="str">
            <v>MACHNIK</v>
          </cell>
          <cell r="D1121" t="str">
            <v>UKS Orbitek Straszęcin</v>
          </cell>
        </row>
        <row r="1122">
          <cell r="A1122" t="str">
            <v>M5326</v>
          </cell>
          <cell r="B1122" t="str">
            <v>Szymon</v>
          </cell>
          <cell r="C1122" t="str">
            <v>MACIĄG</v>
          </cell>
          <cell r="D1122" t="str">
            <v>UKS Start Widełka</v>
          </cell>
        </row>
        <row r="1123">
          <cell r="A1123" t="str">
            <v>M5731</v>
          </cell>
          <cell r="B1123" t="str">
            <v>Maciej</v>
          </cell>
          <cell r="C1123" t="str">
            <v>MACIEJEWSKI</v>
          </cell>
          <cell r="D1123" t="str">
            <v>UKS Orkan Przeźmierowo</v>
          </cell>
        </row>
        <row r="1124">
          <cell r="A1124" t="str">
            <v>M4994</v>
          </cell>
          <cell r="B1124" t="str">
            <v>Krzysztof</v>
          </cell>
          <cell r="C1124" t="str">
            <v>MACIELAK</v>
          </cell>
          <cell r="D1124" t="str">
            <v>----</v>
          </cell>
        </row>
        <row r="1125">
          <cell r="A1125" t="str">
            <v>M4409</v>
          </cell>
          <cell r="B1125" t="str">
            <v>Tomasz</v>
          </cell>
          <cell r="C1125" t="str">
            <v>MACIELAK</v>
          </cell>
          <cell r="D1125" t="str">
            <v>MMKS Gdańsk</v>
          </cell>
        </row>
        <row r="1126">
          <cell r="A1126" t="str">
            <v>M5027</v>
          </cell>
          <cell r="B1126" t="str">
            <v>Kamil</v>
          </cell>
          <cell r="C1126" t="str">
            <v>MACIOŁEK</v>
          </cell>
          <cell r="D1126" t="str">
            <v>MKS Strzelce Opolskie</v>
          </cell>
        </row>
        <row r="1127">
          <cell r="A1127" t="str">
            <v>M5462</v>
          </cell>
          <cell r="B1127" t="str">
            <v>Natalia</v>
          </cell>
          <cell r="C1127" t="str">
            <v>MACIUPA</v>
          </cell>
          <cell r="D1127" t="str">
            <v>MKB Lednik Miastko</v>
          </cell>
        </row>
        <row r="1128">
          <cell r="A1128" t="str">
            <v>M4669</v>
          </cell>
          <cell r="B1128" t="str">
            <v>Weronika</v>
          </cell>
          <cell r="C1128" t="str">
            <v>MACUREK</v>
          </cell>
          <cell r="D1128" t="str">
            <v>UKSOSIR Badminton Sławno</v>
          </cell>
        </row>
        <row r="1129">
          <cell r="A1129" t="str">
            <v>M3641</v>
          </cell>
          <cell r="B1129" t="str">
            <v>Mariusz</v>
          </cell>
          <cell r="C1129" t="str">
            <v>MACZUGA</v>
          </cell>
          <cell r="D1129" t="str">
            <v>UKS Ząbkowice Dąbrowa Górn.</v>
          </cell>
        </row>
        <row r="1130">
          <cell r="A1130" t="str">
            <v>M5913</v>
          </cell>
          <cell r="B1130" t="str">
            <v>Pulina</v>
          </cell>
          <cell r="C1130" t="str">
            <v>MACZUGA</v>
          </cell>
          <cell r="D1130" t="str">
            <v>BKS Kolejarz Katowice</v>
          </cell>
        </row>
        <row r="1131">
          <cell r="A1131" t="str">
            <v>M5454</v>
          </cell>
          <cell r="B1131" t="str">
            <v>Piotr</v>
          </cell>
          <cell r="C1131" t="str">
            <v>MAGDZIARZ</v>
          </cell>
          <cell r="D1131" t="str">
            <v>UKS Korona Pabianice</v>
          </cell>
        </row>
        <row r="1132">
          <cell r="A1132" t="str">
            <v>M5519</v>
          </cell>
          <cell r="B1132" t="str">
            <v>Joanna</v>
          </cell>
          <cell r="C1132" t="str">
            <v>MAGNUCKA</v>
          </cell>
          <cell r="D1132" t="str">
            <v>UKS Orkan Przeźmierowo</v>
          </cell>
        </row>
        <row r="1133">
          <cell r="A1133" t="str">
            <v>M4518</v>
          </cell>
          <cell r="B1133" t="str">
            <v>Jakub</v>
          </cell>
          <cell r="C1133" t="str">
            <v>MAJERSKI</v>
          </cell>
          <cell r="D1133" t="str">
            <v>MKSKSOS Kraków</v>
          </cell>
        </row>
        <row r="1134">
          <cell r="A1134" t="str">
            <v>M5647</v>
          </cell>
          <cell r="B1134" t="str">
            <v>Anna</v>
          </cell>
          <cell r="C1134" t="str">
            <v>MAJEWSKA</v>
          </cell>
          <cell r="D1134" t="str">
            <v>UKSB Volant Mielec</v>
          </cell>
        </row>
        <row r="1135">
          <cell r="A1135" t="str">
            <v>M3851</v>
          </cell>
          <cell r="B1135" t="str">
            <v>Adrian</v>
          </cell>
          <cell r="C1135" t="str">
            <v>MAJEWSKI</v>
          </cell>
          <cell r="D1135" t="str">
            <v>UKS Hubal Białystok</v>
          </cell>
        </row>
        <row r="1136">
          <cell r="A1136" t="str">
            <v>M4979</v>
          </cell>
          <cell r="B1136" t="str">
            <v>Bartosz</v>
          </cell>
          <cell r="C1136" t="str">
            <v>MAJEWSKI</v>
          </cell>
          <cell r="D1136" t="str">
            <v>UKS Junior Wrzosowa</v>
          </cell>
        </row>
        <row r="1137">
          <cell r="A1137" t="str">
            <v>M4177</v>
          </cell>
          <cell r="B1137" t="str">
            <v>Krzysztof</v>
          </cell>
          <cell r="C1137" t="str">
            <v>MAJKOWSKI</v>
          </cell>
          <cell r="D1137" t="str">
            <v>ŚKBad Harcownik Warszawa</v>
          </cell>
        </row>
        <row r="1138">
          <cell r="A1138" t="str">
            <v>M0355</v>
          </cell>
          <cell r="B1138" t="str">
            <v>Michał</v>
          </cell>
          <cell r="C1138" t="str">
            <v>MAJKOWSKI</v>
          </cell>
          <cell r="D1138" t="str">
            <v>ŚKBad Harcownik Warszawa</v>
          </cell>
        </row>
        <row r="1139">
          <cell r="A1139" t="str">
            <v>M4593</v>
          </cell>
          <cell r="B1139" t="str">
            <v>Paulina</v>
          </cell>
          <cell r="C1139" t="str">
            <v>MAJTKA</v>
          </cell>
          <cell r="D1139" t="str">
            <v>ZKB Maced Polanów</v>
          </cell>
        </row>
        <row r="1140">
          <cell r="A1140" t="str">
            <v>M4933</v>
          </cell>
          <cell r="B1140" t="str">
            <v>Kacper</v>
          </cell>
          <cell r="C1140" t="str">
            <v>MAKAREWICZ</v>
          </cell>
          <cell r="D1140" t="str">
            <v>UKS Hubal Białystok</v>
          </cell>
        </row>
        <row r="1141">
          <cell r="A1141" t="str">
            <v>M5517</v>
          </cell>
          <cell r="B1141" t="str">
            <v>Jan</v>
          </cell>
          <cell r="C1141" t="str">
            <v>MAKAROWICZ</v>
          </cell>
          <cell r="D1141" t="str">
            <v>ŚKBad Harcownik Warszawa</v>
          </cell>
        </row>
        <row r="1142">
          <cell r="A1142" t="str">
            <v>M4965</v>
          </cell>
          <cell r="B1142" t="str">
            <v>Patryk</v>
          </cell>
          <cell r="C1142" t="str">
            <v>MAKOWSKI</v>
          </cell>
          <cell r="D1142" t="str">
            <v>KS Stal Sulęcin</v>
          </cell>
        </row>
        <row r="1143">
          <cell r="A1143" t="str">
            <v>M4309</v>
          </cell>
          <cell r="B1143" t="str">
            <v>Wojciech</v>
          </cell>
          <cell r="C1143" t="str">
            <v>MALAJKA</v>
          </cell>
          <cell r="D1143" t="str">
            <v>UKS Iskra Babimost</v>
          </cell>
        </row>
        <row r="1144">
          <cell r="A1144" t="str">
            <v>M3868</v>
          </cell>
          <cell r="B1144" t="str">
            <v>Antoni</v>
          </cell>
          <cell r="C1144" t="str">
            <v>MALCHAREK</v>
          </cell>
          <cell r="D1144" t="str">
            <v>----</v>
          </cell>
        </row>
        <row r="1145">
          <cell r="A1145" t="str">
            <v>M4059</v>
          </cell>
          <cell r="B1145" t="str">
            <v>Danuta</v>
          </cell>
          <cell r="C1145" t="str">
            <v>MALCHAREK</v>
          </cell>
          <cell r="D1145" t="str">
            <v>----</v>
          </cell>
        </row>
        <row r="1146">
          <cell r="A1146" t="str">
            <v>M4891</v>
          </cell>
          <cell r="B1146" t="str">
            <v>Wiktoria</v>
          </cell>
          <cell r="C1146" t="str">
            <v>MALCZYK</v>
          </cell>
          <cell r="D1146" t="str">
            <v>KS Wesoła Warszawa</v>
          </cell>
        </row>
        <row r="1147">
          <cell r="A1147" t="str">
            <v>M4437</v>
          </cell>
          <cell r="B1147" t="str">
            <v>Agata</v>
          </cell>
          <cell r="C1147" t="str">
            <v>MALEK</v>
          </cell>
          <cell r="D1147" t="str">
            <v>KS Wesoła Warszawa</v>
          </cell>
        </row>
        <row r="1148">
          <cell r="A1148" t="str">
            <v>M5254</v>
          </cell>
          <cell r="B1148" t="str">
            <v>Fabian</v>
          </cell>
          <cell r="C1148" t="str">
            <v>MALESZEWSKI</v>
          </cell>
          <cell r="D1148" t="str">
            <v>----</v>
          </cell>
        </row>
        <row r="1149">
          <cell r="A1149" t="str">
            <v>M1068</v>
          </cell>
          <cell r="B1149" t="str">
            <v>Grzegorz</v>
          </cell>
          <cell r="C1149" t="str">
            <v>MALESZEWSKI</v>
          </cell>
          <cell r="D1149" t="str">
            <v>----</v>
          </cell>
        </row>
        <row r="1150">
          <cell r="A1150" t="str">
            <v>M3377</v>
          </cell>
          <cell r="B1150" t="str">
            <v>Szymon</v>
          </cell>
          <cell r="C1150" t="str">
            <v>MALIK</v>
          </cell>
          <cell r="D1150" t="str">
            <v>UKS Trójka Tarnobrzeg</v>
          </cell>
        </row>
        <row r="1151">
          <cell r="A1151" t="str">
            <v>M3572</v>
          </cell>
          <cell r="B1151" t="str">
            <v>Tymoteusz</v>
          </cell>
          <cell r="C1151" t="str">
            <v>MALIK</v>
          </cell>
          <cell r="D1151" t="str">
            <v>UKS Trójka Tarnobrzeg</v>
          </cell>
        </row>
        <row r="1152">
          <cell r="A1152" t="str">
            <v>M5580</v>
          </cell>
          <cell r="B1152" t="str">
            <v>Martyna</v>
          </cell>
          <cell r="C1152" t="str">
            <v>MALINOWSKA</v>
          </cell>
          <cell r="D1152" t="str">
            <v>UKS Kiko Zamość</v>
          </cell>
        </row>
        <row r="1153">
          <cell r="A1153" t="str">
            <v>M5720</v>
          </cell>
          <cell r="B1153" t="str">
            <v>Jakub</v>
          </cell>
          <cell r="C1153" t="str">
            <v>MALINOWSKI</v>
          </cell>
          <cell r="D1153" t="str">
            <v>LUKS Badminton Choroszcz</v>
          </cell>
        </row>
        <row r="1154">
          <cell r="A1154" t="str">
            <v>M2533</v>
          </cell>
          <cell r="B1154" t="str">
            <v>Damian</v>
          </cell>
          <cell r="C1154" t="str">
            <v>MALSKI</v>
          </cell>
          <cell r="D1154" t="str">
            <v>AZSAGH Kraków</v>
          </cell>
        </row>
        <row r="1155">
          <cell r="A1155" t="str">
            <v>M4689</v>
          </cell>
          <cell r="B1155" t="str">
            <v>Maciej</v>
          </cell>
          <cell r="C1155" t="str">
            <v>MAŁACHOWSKI</v>
          </cell>
          <cell r="D1155" t="str">
            <v>UKS Kometa Sianów</v>
          </cell>
        </row>
        <row r="1156">
          <cell r="A1156" t="str">
            <v>M1939</v>
          </cell>
          <cell r="B1156" t="str">
            <v>Jakub</v>
          </cell>
          <cell r="C1156" t="str">
            <v>MAŁYSZKO</v>
          </cell>
          <cell r="D1156" t="str">
            <v>MKB Lednik Miastko</v>
          </cell>
        </row>
        <row r="1157">
          <cell r="A1157" t="str">
            <v>M1474</v>
          </cell>
          <cell r="B1157" t="str">
            <v>Katarzyna</v>
          </cell>
          <cell r="C1157" t="str">
            <v>MAŁYSZKO</v>
          </cell>
          <cell r="D1157" t="str">
            <v>----</v>
          </cell>
        </row>
        <row r="1158">
          <cell r="A1158" t="str">
            <v>M2837</v>
          </cell>
          <cell r="B1158" t="str">
            <v>Marta</v>
          </cell>
          <cell r="C1158" t="str">
            <v>MAŁYSZKO</v>
          </cell>
          <cell r="D1158" t="str">
            <v>MKB Lednik Miastko</v>
          </cell>
        </row>
        <row r="1159">
          <cell r="A1159" t="str">
            <v>M4313</v>
          </cell>
          <cell r="B1159" t="str">
            <v>Hong</v>
          </cell>
          <cell r="C1159" t="str">
            <v>MAO</v>
          </cell>
          <cell r="D1159" t="str">
            <v>LKS Technik Głubczyce</v>
          </cell>
        </row>
        <row r="1160">
          <cell r="A1160" t="str">
            <v>M5644</v>
          </cell>
          <cell r="B1160" t="str">
            <v>Patrycja</v>
          </cell>
          <cell r="C1160" t="str">
            <v>MARCHUT</v>
          </cell>
          <cell r="D1160" t="str">
            <v>UKS Sokół Ropczyce</v>
          </cell>
        </row>
        <row r="1161">
          <cell r="A1161" t="str">
            <v>M5657</v>
          </cell>
          <cell r="B1161" t="str">
            <v>Dominik</v>
          </cell>
          <cell r="C1161" t="str">
            <v>MARCINIAK</v>
          </cell>
          <cell r="D1161" t="str">
            <v>KSR Wolant Łódź</v>
          </cell>
        </row>
        <row r="1162">
          <cell r="A1162" t="str">
            <v>M5305</v>
          </cell>
          <cell r="B1162" t="str">
            <v>Jacek</v>
          </cell>
          <cell r="C1162" t="str">
            <v>MARCINIAK</v>
          </cell>
          <cell r="D1162" t="str">
            <v>----</v>
          </cell>
        </row>
        <row r="1163">
          <cell r="A1163" t="str">
            <v>M4621</v>
          </cell>
          <cell r="B1163" t="str">
            <v>Joanna</v>
          </cell>
          <cell r="C1163" t="str">
            <v>MARCINIAK</v>
          </cell>
          <cell r="D1163" t="str">
            <v>SLKS Tramp Orneta</v>
          </cell>
        </row>
        <row r="1164">
          <cell r="A1164" t="str">
            <v>M4773</v>
          </cell>
          <cell r="B1164" t="str">
            <v>Maksym</v>
          </cell>
          <cell r="C1164" t="str">
            <v>MARCINIAK</v>
          </cell>
          <cell r="D1164" t="str">
            <v>MLKS Solec Kuj.</v>
          </cell>
        </row>
        <row r="1165">
          <cell r="A1165" t="str">
            <v>M5851</v>
          </cell>
          <cell r="B1165" t="str">
            <v>Klara</v>
          </cell>
          <cell r="C1165" t="str">
            <v>MARCINOWSKA</v>
          </cell>
          <cell r="D1165" t="str">
            <v>UKS Astra Wrocław</v>
          </cell>
        </row>
        <row r="1166">
          <cell r="A1166" t="str">
            <v>M5850</v>
          </cell>
          <cell r="B1166" t="str">
            <v>Melania</v>
          </cell>
          <cell r="C1166" t="str">
            <v>MARCINOWSKA</v>
          </cell>
          <cell r="D1166" t="str">
            <v>UKS Astra Wrocław</v>
          </cell>
        </row>
        <row r="1167">
          <cell r="A1167" t="str">
            <v>M3790</v>
          </cell>
          <cell r="B1167" t="str">
            <v>Kornelia</v>
          </cell>
          <cell r="C1167" t="str">
            <v>MARCZAK</v>
          </cell>
          <cell r="D1167" t="str">
            <v>UKS Plesbad Pszczyna</v>
          </cell>
        </row>
        <row r="1168">
          <cell r="A1168" t="str">
            <v>M3006</v>
          </cell>
          <cell r="B1168" t="str">
            <v>Matylda</v>
          </cell>
          <cell r="C1168" t="str">
            <v>MARCZAK</v>
          </cell>
          <cell r="D1168" t="str">
            <v>AZSWAT Warszawa</v>
          </cell>
        </row>
        <row r="1169">
          <cell r="A1169" t="str">
            <v>M5692</v>
          </cell>
          <cell r="B1169" t="str">
            <v>Aleksandra</v>
          </cell>
          <cell r="C1169" t="str">
            <v>MARCZUK</v>
          </cell>
          <cell r="D1169" t="str">
            <v>UKS Kiko Zamość</v>
          </cell>
        </row>
        <row r="1170">
          <cell r="A1170" t="str">
            <v>M4096</v>
          </cell>
          <cell r="B1170" t="str">
            <v>Mirosław</v>
          </cell>
          <cell r="C1170" t="str">
            <v>MAREK</v>
          </cell>
          <cell r="D1170" t="str">
            <v>----</v>
          </cell>
        </row>
        <row r="1171">
          <cell r="A1171" t="str">
            <v>M4225</v>
          </cell>
          <cell r="B1171" t="str">
            <v>Bartosz</v>
          </cell>
          <cell r="C1171" t="str">
            <v>MARKIEWICZ</v>
          </cell>
          <cell r="D1171" t="str">
            <v>MLKS Solec Kuj.</v>
          </cell>
        </row>
        <row r="1172">
          <cell r="A1172" t="str">
            <v>M3704</v>
          </cell>
          <cell r="B1172" t="str">
            <v>Rafał</v>
          </cell>
          <cell r="C1172" t="str">
            <v>MARKOWICZ</v>
          </cell>
          <cell r="D1172" t="str">
            <v>UKS Orliki Ropica Polska</v>
          </cell>
        </row>
        <row r="1173">
          <cell r="A1173" t="str">
            <v>M4809</v>
          </cell>
          <cell r="B1173" t="str">
            <v>Klaudia</v>
          </cell>
          <cell r="C1173" t="str">
            <v>MARKOWSKA</v>
          </cell>
          <cell r="D1173" t="str">
            <v>UKS Hubal Białystok</v>
          </cell>
        </row>
        <row r="1174">
          <cell r="A1174" t="str">
            <v>M5483</v>
          </cell>
          <cell r="B1174" t="str">
            <v>Grzegorz</v>
          </cell>
          <cell r="C1174" t="str">
            <v>MARKOWSKI</v>
          </cell>
          <cell r="D1174" t="str">
            <v>----</v>
          </cell>
        </row>
        <row r="1175">
          <cell r="A1175" t="str">
            <v>M4698</v>
          </cell>
          <cell r="B1175" t="str">
            <v>Norbert</v>
          </cell>
          <cell r="C1175" t="str">
            <v>MARKOWSKI</v>
          </cell>
          <cell r="D1175" t="str">
            <v>UKS Kometa Sianów</v>
          </cell>
        </row>
        <row r="1176">
          <cell r="A1176" t="str">
            <v>M5297</v>
          </cell>
          <cell r="B1176" t="str">
            <v>Hubert</v>
          </cell>
          <cell r="C1176" t="str">
            <v>MARSZAŁEK</v>
          </cell>
          <cell r="D1176" t="str">
            <v>UKS KSBad Kraków</v>
          </cell>
        </row>
        <row r="1177">
          <cell r="A1177" t="str">
            <v>M5270</v>
          </cell>
          <cell r="B1177" t="str">
            <v>Maciej</v>
          </cell>
          <cell r="C1177" t="str">
            <v>MARSZAŁEK</v>
          </cell>
          <cell r="D1177" t="str">
            <v>UKS Badminton Stare Babice</v>
          </cell>
        </row>
        <row r="1178">
          <cell r="A1178" t="str">
            <v>M5296</v>
          </cell>
          <cell r="B1178" t="str">
            <v>Natalia</v>
          </cell>
          <cell r="C1178" t="str">
            <v>MARSZAŁEK</v>
          </cell>
          <cell r="D1178" t="str">
            <v>UKS KSBad Kraków</v>
          </cell>
        </row>
        <row r="1179">
          <cell r="A1179" t="str">
            <v>M4152</v>
          </cell>
          <cell r="B1179" t="str">
            <v>Aleksandra</v>
          </cell>
          <cell r="C1179" t="str">
            <v>MARTIN</v>
          </cell>
          <cell r="D1179" t="str">
            <v>UKS Lotka Lubiewo</v>
          </cell>
        </row>
        <row r="1180">
          <cell r="A1180" t="str">
            <v>M4154</v>
          </cell>
          <cell r="B1180" t="str">
            <v>Krzysztof</v>
          </cell>
          <cell r="C1180" t="str">
            <v>MARTIN</v>
          </cell>
          <cell r="D1180" t="str">
            <v>UKS Lotka Lubiewo</v>
          </cell>
        </row>
        <row r="1181">
          <cell r="A1181" t="str">
            <v>M5701</v>
          </cell>
          <cell r="B1181" t="str">
            <v>Julia</v>
          </cell>
          <cell r="C1181" t="str">
            <v>MARTYKA</v>
          </cell>
          <cell r="D1181" t="str">
            <v>UKSB Volant Mielec</v>
          </cell>
        </row>
        <row r="1182">
          <cell r="A1182" t="str">
            <v>M3833</v>
          </cell>
          <cell r="B1182" t="str">
            <v>Piotr</v>
          </cell>
          <cell r="C1182" t="str">
            <v>MARTYŃSKI</v>
          </cell>
          <cell r="D1182" t="str">
            <v>KS Chojnik Jelenia Góra</v>
          </cell>
        </row>
        <row r="1183">
          <cell r="A1183" t="str">
            <v>M4910</v>
          </cell>
          <cell r="B1183" t="str">
            <v>Aleksandra</v>
          </cell>
          <cell r="C1183" t="str">
            <v>MARZEC</v>
          </cell>
          <cell r="D1183" t="str">
            <v>MKSKSOS Kraków</v>
          </cell>
        </row>
        <row r="1184">
          <cell r="A1184" t="str">
            <v>M4876</v>
          </cell>
          <cell r="B1184" t="str">
            <v>Magdalena</v>
          </cell>
          <cell r="C1184" t="str">
            <v>MAŚLANIK</v>
          </cell>
          <cell r="D1184" t="str">
            <v>KKS Warmia Olsztyn</v>
          </cell>
        </row>
        <row r="1185">
          <cell r="A1185" t="str">
            <v>M0153</v>
          </cell>
          <cell r="B1185" t="str">
            <v>Krzysztof</v>
          </cell>
          <cell r="C1185" t="str">
            <v>MAŚLANKA</v>
          </cell>
          <cell r="D1185" t="str">
            <v>UKS 15 Kędzierzyn-Koźle</v>
          </cell>
        </row>
        <row r="1186">
          <cell r="A1186" t="str">
            <v>M2377</v>
          </cell>
          <cell r="B1186" t="str">
            <v>Adam</v>
          </cell>
          <cell r="C1186" t="str">
            <v>MAŚNIK</v>
          </cell>
          <cell r="D1186" t="str">
            <v>UKS Dwójka Wesoła</v>
          </cell>
        </row>
        <row r="1187">
          <cell r="A1187" t="str">
            <v>M5159</v>
          </cell>
          <cell r="B1187" t="str">
            <v>Grzegorz</v>
          </cell>
          <cell r="C1187" t="str">
            <v>MATCZAK</v>
          </cell>
          <cell r="D1187" t="str">
            <v>KS Wesoła Warszawa</v>
          </cell>
        </row>
        <row r="1188">
          <cell r="A1188" t="str">
            <v>M4688</v>
          </cell>
          <cell r="B1188" t="str">
            <v>Martyna</v>
          </cell>
          <cell r="C1188" t="str">
            <v>MATEJEK</v>
          </cell>
          <cell r="D1188" t="str">
            <v>UKS Kometa Sianów</v>
          </cell>
        </row>
        <row r="1189">
          <cell r="A1189" t="str">
            <v>M4460</v>
          </cell>
          <cell r="B1189" t="str">
            <v>Magdalena</v>
          </cell>
          <cell r="C1189" t="str">
            <v>MATEREK</v>
          </cell>
          <cell r="D1189" t="str">
            <v>MKS Orlicz Suchedniów</v>
          </cell>
        </row>
        <row r="1190">
          <cell r="A1190" t="str">
            <v>M0196</v>
          </cell>
          <cell r="B1190" t="str">
            <v>Robert</v>
          </cell>
          <cell r="C1190" t="str">
            <v>MATEUSIAK</v>
          </cell>
          <cell r="D1190" t="str">
            <v>UKS Hubal Białystok</v>
          </cell>
        </row>
        <row r="1191">
          <cell r="A1191" t="str">
            <v>M5149</v>
          </cell>
          <cell r="B1191" t="str">
            <v>Radosław</v>
          </cell>
          <cell r="C1191" t="str">
            <v>MATKOWSKI</v>
          </cell>
          <cell r="D1191" t="str">
            <v>KS Match Point Ślęza</v>
          </cell>
        </row>
        <row r="1192">
          <cell r="A1192" t="str">
            <v>M5957</v>
          </cell>
          <cell r="B1192" t="str">
            <v>Jakub</v>
          </cell>
          <cell r="C1192" t="str">
            <v>MATŁOKA</v>
          </cell>
          <cell r="D1192" t="str">
            <v>OTB Lotka Ostrów Wlkp.</v>
          </cell>
        </row>
        <row r="1193">
          <cell r="A1193" t="str">
            <v>M5778</v>
          </cell>
          <cell r="B1193" t="str">
            <v>Bogdan</v>
          </cell>
          <cell r="C1193" t="str">
            <v>MATOGA</v>
          </cell>
          <cell r="D1193" t="str">
            <v>----</v>
          </cell>
        </row>
        <row r="1194">
          <cell r="A1194" t="str">
            <v>M5301</v>
          </cell>
          <cell r="B1194" t="str">
            <v>Tomasz</v>
          </cell>
          <cell r="C1194" t="str">
            <v>MATOGA</v>
          </cell>
          <cell r="D1194" t="str">
            <v>UKS KSBad Kraków</v>
          </cell>
        </row>
        <row r="1195">
          <cell r="A1195" t="str">
            <v>M0529</v>
          </cell>
          <cell r="B1195" t="str">
            <v>Marian</v>
          </cell>
          <cell r="C1195" t="str">
            <v>MATUSEWICZ</v>
          </cell>
          <cell r="D1195" t="str">
            <v>----</v>
          </cell>
        </row>
        <row r="1196">
          <cell r="A1196" t="str">
            <v>M4456</v>
          </cell>
          <cell r="B1196" t="str">
            <v>Patrycja</v>
          </cell>
          <cell r="C1196" t="str">
            <v>MATUSIAK</v>
          </cell>
          <cell r="D1196" t="str">
            <v>LUKS Krokus Góralice</v>
          </cell>
        </row>
        <row r="1197">
          <cell r="A1197" t="str">
            <v>M4565</v>
          </cell>
          <cell r="B1197" t="str">
            <v>Maciej</v>
          </cell>
          <cell r="C1197" t="str">
            <v>MATUSZ</v>
          </cell>
          <cell r="D1197" t="str">
            <v>LKS Technik Głubczyce</v>
          </cell>
        </row>
        <row r="1198">
          <cell r="A1198" t="str">
            <v>M0116</v>
          </cell>
          <cell r="B1198" t="str">
            <v>Michał</v>
          </cell>
          <cell r="C1198" t="str">
            <v>MATUSZAK</v>
          </cell>
          <cell r="D1198" t="str">
            <v>----</v>
          </cell>
        </row>
        <row r="1199">
          <cell r="A1199" t="str">
            <v>M5279</v>
          </cell>
          <cell r="B1199" t="str">
            <v>Grzegorz</v>
          </cell>
          <cell r="C1199" t="str">
            <v>MATYJA</v>
          </cell>
          <cell r="D1199" t="str">
            <v>----</v>
          </cell>
        </row>
        <row r="1200">
          <cell r="A1200" t="str">
            <v>M3796</v>
          </cell>
          <cell r="B1200" t="str">
            <v>Daniel</v>
          </cell>
          <cell r="C1200" t="str">
            <v>MATYSEK</v>
          </cell>
          <cell r="D1200" t="str">
            <v>UKS Ząbkowice Dąbrowa Górn.</v>
          </cell>
        </row>
        <row r="1201">
          <cell r="A1201" t="str">
            <v>M3746</v>
          </cell>
          <cell r="B1201" t="str">
            <v>Dorota</v>
          </cell>
          <cell r="C1201" t="str">
            <v>MATYSIAK</v>
          </cell>
          <cell r="D1201" t="str">
            <v>KS Hubertus Zalesie Górne</v>
          </cell>
        </row>
        <row r="1202">
          <cell r="A1202" t="str">
            <v>M4977</v>
          </cell>
          <cell r="B1202" t="str">
            <v>Filip</v>
          </cell>
          <cell r="C1202" t="str">
            <v>MATYSIAK</v>
          </cell>
          <cell r="D1202" t="str">
            <v>UKS Junior Wrzosowa</v>
          </cell>
        </row>
        <row r="1203">
          <cell r="A1203" t="str">
            <v>M3747</v>
          </cell>
          <cell r="B1203" t="str">
            <v>Michał</v>
          </cell>
          <cell r="C1203" t="str">
            <v>MATYSIAK</v>
          </cell>
          <cell r="D1203" t="str">
            <v>KS Hubertus Zalesie Górne</v>
          </cell>
        </row>
        <row r="1204">
          <cell r="A1204" t="str">
            <v>M4741</v>
          </cell>
          <cell r="B1204" t="str">
            <v>Klaudia</v>
          </cell>
          <cell r="C1204" t="str">
            <v>MATYSZCZUK</v>
          </cell>
          <cell r="D1204" t="str">
            <v>UKS Kometa Sianów</v>
          </cell>
        </row>
        <row r="1205">
          <cell r="A1205" t="str">
            <v>M3524</v>
          </cell>
          <cell r="B1205" t="str">
            <v>Dawid</v>
          </cell>
          <cell r="C1205" t="str">
            <v>MAZUR</v>
          </cell>
          <cell r="D1205" t="str">
            <v>LKS Technik Głubczyce</v>
          </cell>
        </row>
        <row r="1206">
          <cell r="A1206" t="str">
            <v>M5584</v>
          </cell>
          <cell r="B1206" t="str">
            <v>Jakub</v>
          </cell>
          <cell r="C1206" t="str">
            <v>MAZUR</v>
          </cell>
          <cell r="D1206" t="str">
            <v>LKS Technik Głubczyce</v>
          </cell>
        </row>
        <row r="1207">
          <cell r="A1207" t="str">
            <v>M4134</v>
          </cell>
          <cell r="B1207" t="str">
            <v>Jarosław</v>
          </cell>
          <cell r="C1207" t="str">
            <v>MAZUR</v>
          </cell>
          <cell r="D1207" t="str">
            <v>UKSB Volant Mielec</v>
          </cell>
        </row>
        <row r="1208">
          <cell r="A1208" t="str">
            <v>M3761</v>
          </cell>
          <cell r="B1208" t="str">
            <v>Monika</v>
          </cell>
          <cell r="C1208" t="str">
            <v>MAZUR</v>
          </cell>
          <cell r="D1208" t="str">
            <v>LKS Technik Głubczyce</v>
          </cell>
        </row>
        <row r="1209">
          <cell r="A1209" t="str">
            <v>M5655</v>
          </cell>
          <cell r="B1209" t="str">
            <v>Kamila</v>
          </cell>
          <cell r="C1209" t="str">
            <v>MAZUREK</v>
          </cell>
          <cell r="D1209" t="str">
            <v>PMKS Chrobry Piotrowice</v>
          </cell>
        </row>
        <row r="1210">
          <cell r="A1210" t="str">
            <v>M5411</v>
          </cell>
          <cell r="B1210" t="str">
            <v>Marcin</v>
          </cell>
          <cell r="C1210" t="str">
            <v>MAZURKIEWICZ</v>
          </cell>
          <cell r="D1210" t="str">
            <v>BKS Kolejarz Katowice</v>
          </cell>
        </row>
        <row r="1211">
          <cell r="A1211" t="str">
            <v>M3567</v>
          </cell>
          <cell r="B1211" t="str">
            <v>Karol</v>
          </cell>
          <cell r="C1211" t="str">
            <v>MĄCZYŃSKI</v>
          </cell>
          <cell r="D1211" t="str">
            <v>UKSB Volant Mielec</v>
          </cell>
        </row>
        <row r="1212">
          <cell r="A1212" t="str">
            <v>M5582</v>
          </cell>
          <cell r="B1212" t="str">
            <v>Tomasz</v>
          </cell>
          <cell r="C1212" t="str">
            <v>MĄDRY</v>
          </cell>
          <cell r="D1212" t="str">
            <v>UKSB Milenium Warszawa</v>
          </cell>
        </row>
        <row r="1213">
          <cell r="A1213" t="str">
            <v>M5029</v>
          </cell>
          <cell r="B1213" t="str">
            <v>Zofia</v>
          </cell>
          <cell r="C1213" t="str">
            <v>MEHLICH</v>
          </cell>
          <cell r="D1213" t="str">
            <v>MKS Strzelce Opolskie</v>
          </cell>
        </row>
        <row r="1214">
          <cell r="A1214" t="str">
            <v>M5284</v>
          </cell>
          <cell r="B1214" t="str">
            <v>Paweł</v>
          </cell>
          <cell r="C1214" t="str">
            <v>MELA</v>
          </cell>
          <cell r="D1214" t="str">
            <v>----</v>
          </cell>
        </row>
        <row r="1215">
          <cell r="A1215" t="str">
            <v>M5942</v>
          </cell>
          <cell r="B1215" t="str">
            <v>Jakub</v>
          </cell>
          <cell r="C1215" t="str">
            <v>MELANIUK</v>
          </cell>
          <cell r="D1215" t="str">
            <v>UKSB Milenium Warszawa</v>
          </cell>
        </row>
        <row r="1216">
          <cell r="A1216" t="str">
            <v>M0516</v>
          </cell>
          <cell r="B1216" t="str">
            <v>Mirosław</v>
          </cell>
          <cell r="C1216" t="str">
            <v>MENDELEWSKI</v>
          </cell>
          <cell r="D1216" t="str">
            <v>SKB Piast Słupsk</v>
          </cell>
        </row>
        <row r="1217">
          <cell r="A1217" t="str">
            <v>M5042</v>
          </cell>
          <cell r="B1217" t="str">
            <v>Weronika</v>
          </cell>
          <cell r="C1217" t="str">
            <v>MENDERA</v>
          </cell>
          <cell r="D1217" t="str">
            <v>OTB Lotka Ostrów Wlkp.</v>
          </cell>
        </row>
        <row r="1218">
          <cell r="A1218" t="str">
            <v>M2605</v>
          </cell>
          <cell r="B1218" t="str">
            <v>Piotr</v>
          </cell>
          <cell r="C1218" t="str">
            <v>MEZGIER</v>
          </cell>
          <cell r="D1218" t="str">
            <v>UKS Kometa Sianów</v>
          </cell>
        </row>
        <row r="1219">
          <cell r="A1219" t="str">
            <v>M3946</v>
          </cell>
          <cell r="B1219" t="str">
            <v>Dawid</v>
          </cell>
          <cell r="C1219" t="str">
            <v>MIANOWSKI</v>
          </cell>
          <cell r="D1219" t="str">
            <v>MKS Garwolin</v>
          </cell>
        </row>
        <row r="1220">
          <cell r="A1220" t="str">
            <v>M3531</v>
          </cell>
          <cell r="B1220" t="str">
            <v>Norbert</v>
          </cell>
          <cell r="C1220" t="str">
            <v>MIARKA</v>
          </cell>
          <cell r="D1220" t="str">
            <v>ZKB Maced Polanów</v>
          </cell>
        </row>
        <row r="1221">
          <cell r="A1221" t="str">
            <v>M4957</v>
          </cell>
          <cell r="B1221" t="str">
            <v>Weronika</v>
          </cell>
          <cell r="C1221" t="str">
            <v>MIAZEK</v>
          </cell>
          <cell r="D1221" t="str">
            <v>PMKS Chrobry Piotrowice</v>
          </cell>
        </row>
        <row r="1222">
          <cell r="A1222" t="str">
            <v>M4760</v>
          </cell>
          <cell r="B1222" t="str">
            <v>Klaudia</v>
          </cell>
          <cell r="C1222" t="str">
            <v>MICHAELIS</v>
          </cell>
          <cell r="D1222" t="str">
            <v>MLKS Solec Kuj.</v>
          </cell>
        </row>
        <row r="1223">
          <cell r="A1223" t="str">
            <v>M5918</v>
          </cell>
          <cell r="B1223" t="str">
            <v>Julia</v>
          </cell>
          <cell r="C1223" t="str">
            <v>MICHALAK</v>
          </cell>
          <cell r="D1223" t="str">
            <v>UKSOSIR Badminton Sławno</v>
          </cell>
        </row>
        <row r="1224">
          <cell r="A1224" t="str">
            <v>M5292</v>
          </cell>
          <cell r="B1224" t="str">
            <v>Aleksandra</v>
          </cell>
          <cell r="C1224" t="str">
            <v>MICHALCZUK</v>
          </cell>
          <cell r="D1224" t="str">
            <v>MKS Stal Nowa Dęba</v>
          </cell>
        </row>
        <row r="1225">
          <cell r="A1225" t="str">
            <v>M4571</v>
          </cell>
          <cell r="B1225" t="str">
            <v>Aleksandra</v>
          </cell>
          <cell r="C1225" t="str">
            <v>MICHALSKA</v>
          </cell>
          <cell r="D1225" t="str">
            <v>UKS Smecz Bogatynia</v>
          </cell>
        </row>
        <row r="1226">
          <cell r="A1226" t="str">
            <v>M5401</v>
          </cell>
          <cell r="B1226" t="str">
            <v>Martyna</v>
          </cell>
          <cell r="C1226" t="str">
            <v>MICHALSKA</v>
          </cell>
          <cell r="D1226" t="str">
            <v>PMKS Chrobry Piotrowice</v>
          </cell>
        </row>
        <row r="1227">
          <cell r="A1227" t="str">
            <v>M4285</v>
          </cell>
          <cell r="B1227" t="str">
            <v>Beata</v>
          </cell>
          <cell r="C1227" t="str">
            <v>MICHALUK</v>
          </cell>
          <cell r="D1227" t="str">
            <v>SKB Suwałki</v>
          </cell>
        </row>
        <row r="1228">
          <cell r="A1228" t="str">
            <v>M4170</v>
          </cell>
          <cell r="B1228" t="str">
            <v>Kamil</v>
          </cell>
          <cell r="C1228" t="str">
            <v>MICHAŁEK</v>
          </cell>
          <cell r="D1228" t="str">
            <v>UKS Orbitek Straszęcin</v>
          </cell>
        </row>
        <row r="1229">
          <cell r="A1229" t="str">
            <v>M4612</v>
          </cell>
          <cell r="B1229" t="str">
            <v>Patryk</v>
          </cell>
          <cell r="C1229" t="str">
            <v>MICHAŁEK</v>
          </cell>
          <cell r="D1229" t="str">
            <v>UKS Orbitek Straszęcin</v>
          </cell>
        </row>
        <row r="1230">
          <cell r="A1230" t="str">
            <v>M5126</v>
          </cell>
          <cell r="B1230" t="str">
            <v>Emilia</v>
          </cell>
          <cell r="C1230" t="str">
            <v>MICHEL</v>
          </cell>
          <cell r="D1230" t="str">
            <v>UKS Korona Pabianice</v>
          </cell>
        </row>
        <row r="1231">
          <cell r="A1231" t="str">
            <v>M1944</v>
          </cell>
          <cell r="B1231" t="str">
            <v>Jakub</v>
          </cell>
          <cell r="C1231" t="str">
            <v>MICHNIEWICZ</v>
          </cell>
          <cell r="D1231" t="str">
            <v>UKS Hubal Białystok</v>
          </cell>
        </row>
        <row r="1232">
          <cell r="A1232" t="str">
            <v>M3097</v>
          </cell>
          <cell r="B1232" t="str">
            <v>Mariusz</v>
          </cell>
          <cell r="C1232" t="str">
            <v>MICHNIEWICZ</v>
          </cell>
          <cell r="D1232" t="str">
            <v>UKS Hubal Białystok</v>
          </cell>
        </row>
        <row r="1233">
          <cell r="A1233" t="str">
            <v>M4053</v>
          </cell>
          <cell r="B1233" t="str">
            <v>Katarzyna</v>
          </cell>
          <cell r="C1233" t="str">
            <v>MICHTA</v>
          </cell>
          <cell r="D1233" t="str">
            <v>MKS Orlicz Suchedniów</v>
          </cell>
        </row>
        <row r="1234">
          <cell r="A1234" t="str">
            <v>M5671</v>
          </cell>
          <cell r="B1234" t="str">
            <v>Sebastian</v>
          </cell>
          <cell r="C1234" t="str">
            <v>MICHTA</v>
          </cell>
          <cell r="D1234" t="str">
            <v>UKS Ząbkowice Dąbrowa Górn.</v>
          </cell>
        </row>
        <row r="1235">
          <cell r="A1235" t="str">
            <v>M5599</v>
          </cell>
          <cell r="B1235" t="str">
            <v>Aleksandra</v>
          </cell>
          <cell r="C1235" t="str">
            <v>MIECZKOWSKA</v>
          </cell>
          <cell r="D1235" t="str">
            <v>UKS Hubal Białystok</v>
          </cell>
        </row>
        <row r="1236">
          <cell r="A1236" t="str">
            <v>M4817</v>
          </cell>
          <cell r="B1236" t="str">
            <v>Arkadiusz</v>
          </cell>
          <cell r="C1236" t="str">
            <v>MIECZKOWSKI</v>
          </cell>
          <cell r="D1236" t="str">
            <v>UKS Hubal Białystok</v>
          </cell>
        </row>
        <row r="1237">
          <cell r="A1237" t="str">
            <v>M4631</v>
          </cell>
          <cell r="B1237" t="str">
            <v>Agata</v>
          </cell>
          <cell r="C1237" t="str">
            <v>MIELEWCZYK</v>
          </cell>
          <cell r="D1237" t="str">
            <v>ULKS U-2 Lotka Bytów</v>
          </cell>
        </row>
        <row r="1238">
          <cell r="A1238" t="str">
            <v>M3662</v>
          </cell>
          <cell r="B1238" t="str">
            <v>Anita</v>
          </cell>
          <cell r="C1238" t="str">
            <v>MIELNICZEK</v>
          </cell>
          <cell r="D1238" t="str">
            <v>UKS Orbitek Straszęcin</v>
          </cell>
        </row>
        <row r="1239">
          <cell r="A1239" t="str">
            <v>M3544</v>
          </cell>
          <cell r="B1239" t="str">
            <v>Bartosz</v>
          </cell>
          <cell r="C1239" t="str">
            <v>MIERNIK</v>
          </cell>
          <cell r="D1239" t="str">
            <v>MKS Orlicz Suchedniów</v>
          </cell>
        </row>
        <row r="1240">
          <cell r="A1240" t="str">
            <v>M5307</v>
          </cell>
          <cell r="B1240" t="str">
            <v>Grzegorz</v>
          </cell>
          <cell r="C1240" t="str">
            <v>MIERNIK</v>
          </cell>
          <cell r="D1240" t="str">
            <v>----</v>
          </cell>
        </row>
        <row r="1241">
          <cell r="A1241" t="str">
            <v>M5379</v>
          </cell>
          <cell r="B1241" t="str">
            <v>Kamila</v>
          </cell>
          <cell r="C1241" t="str">
            <v>MIERNIK</v>
          </cell>
          <cell r="D1241" t="str">
            <v>MKS Orlicz Suchedniów</v>
          </cell>
        </row>
        <row r="1242">
          <cell r="A1242" t="str">
            <v>M4779</v>
          </cell>
          <cell r="B1242" t="str">
            <v>Mariusz</v>
          </cell>
          <cell r="C1242" t="str">
            <v>MIERNIK</v>
          </cell>
          <cell r="D1242" t="str">
            <v>----</v>
          </cell>
        </row>
        <row r="1243">
          <cell r="A1243" t="str">
            <v>M3281</v>
          </cell>
          <cell r="B1243" t="str">
            <v>Mateusz</v>
          </cell>
          <cell r="C1243" t="str">
            <v>MIERNIK</v>
          </cell>
          <cell r="D1243" t="str">
            <v>MKS Orlicz Suchedniów</v>
          </cell>
        </row>
        <row r="1244">
          <cell r="A1244" t="str">
            <v>M4093</v>
          </cell>
          <cell r="B1244" t="str">
            <v>Miłosz</v>
          </cell>
          <cell r="C1244" t="str">
            <v>MIERNIK</v>
          </cell>
          <cell r="D1244" t="str">
            <v>MKS Orlicz Suchedniów</v>
          </cell>
        </row>
        <row r="1245">
          <cell r="A1245" t="str">
            <v>M5386</v>
          </cell>
          <cell r="B1245" t="str">
            <v>Weronika</v>
          </cell>
          <cell r="C1245" t="str">
            <v>MIERNIK</v>
          </cell>
          <cell r="D1245" t="str">
            <v>MKS Orlicz Suchedniów</v>
          </cell>
        </row>
        <row r="1246">
          <cell r="A1246" t="str">
            <v>M4756</v>
          </cell>
          <cell r="B1246" t="str">
            <v>Emilia</v>
          </cell>
          <cell r="C1246" t="str">
            <v>MIERZEJEWSKA</v>
          </cell>
          <cell r="D1246" t="str">
            <v>UKSOSIR Badminton Sławno</v>
          </cell>
        </row>
        <row r="1247">
          <cell r="A1247" t="str">
            <v>M5854</v>
          </cell>
          <cell r="B1247" t="str">
            <v>Natalia</v>
          </cell>
          <cell r="C1247" t="str">
            <v>MIERZWA</v>
          </cell>
          <cell r="D1247" t="str">
            <v>UKS Astra Wrocław</v>
          </cell>
        </row>
        <row r="1248">
          <cell r="A1248" t="str">
            <v>M3309</v>
          </cell>
          <cell r="B1248" t="str">
            <v>Edyta</v>
          </cell>
          <cell r="C1248" t="str">
            <v>MIETŁA</v>
          </cell>
          <cell r="D1248" t="str">
            <v>MKS Spartakus Niepołomice</v>
          </cell>
        </row>
        <row r="1249">
          <cell r="A1249" t="str">
            <v>M3959</v>
          </cell>
          <cell r="B1249" t="str">
            <v>Łucja</v>
          </cell>
          <cell r="C1249" t="str">
            <v>MIGAS</v>
          </cell>
          <cell r="D1249" t="str">
            <v>UKS Iskra Sarbice</v>
          </cell>
        </row>
        <row r="1250">
          <cell r="A1250" t="str">
            <v>M5474</v>
          </cell>
          <cell r="B1250" t="str">
            <v>Szymon</v>
          </cell>
          <cell r="C1250" t="str">
            <v>MIGAS</v>
          </cell>
          <cell r="D1250" t="str">
            <v>UKS Iskra Sarbice</v>
          </cell>
        </row>
        <row r="1251">
          <cell r="A1251" t="str">
            <v>M5331</v>
          </cell>
          <cell r="B1251" t="str">
            <v>Katarzyna</v>
          </cell>
          <cell r="C1251" t="str">
            <v>MIKLASZEWSKA</v>
          </cell>
          <cell r="D1251" t="str">
            <v>UKS 70 Płock</v>
          </cell>
        </row>
        <row r="1252">
          <cell r="A1252" t="str">
            <v>M0371</v>
          </cell>
          <cell r="B1252" t="str">
            <v>Mateusz</v>
          </cell>
          <cell r="C1252" t="str">
            <v>MIKOŁAJCZAK</v>
          </cell>
          <cell r="D1252" t="str">
            <v>----</v>
          </cell>
        </row>
        <row r="1253">
          <cell r="A1253" t="str">
            <v>M5979</v>
          </cell>
          <cell r="B1253" t="str">
            <v>Jakub</v>
          </cell>
          <cell r="C1253" t="str">
            <v>MIKOŁAJCZYK</v>
          </cell>
          <cell r="D1253" t="str">
            <v>UKS Badminton Stare Babice</v>
          </cell>
        </row>
        <row r="1254">
          <cell r="A1254" t="str">
            <v>M4748</v>
          </cell>
          <cell r="B1254" t="str">
            <v>Olga</v>
          </cell>
          <cell r="C1254" t="str">
            <v>MIKSZA</v>
          </cell>
          <cell r="D1254" t="str">
            <v>KS Wesoła Warszawa</v>
          </cell>
        </row>
        <row r="1255">
          <cell r="A1255" t="str">
            <v>M1476</v>
          </cell>
          <cell r="B1255" t="str">
            <v>Andrzej</v>
          </cell>
          <cell r="C1255" t="str">
            <v>MIKULSKI</v>
          </cell>
          <cell r="D1255" t="str">
            <v>MKSKSOS Kraków</v>
          </cell>
        </row>
        <row r="1256">
          <cell r="A1256" t="str">
            <v>M5390</v>
          </cell>
          <cell r="B1256" t="str">
            <v>Bartosz</v>
          </cell>
          <cell r="C1256" t="str">
            <v>MIL</v>
          </cell>
          <cell r="D1256" t="str">
            <v>KKS Warmia Olsztyn</v>
          </cell>
        </row>
        <row r="1257">
          <cell r="A1257" t="str">
            <v>M3422</v>
          </cell>
          <cell r="B1257" t="str">
            <v>Jerzy</v>
          </cell>
          <cell r="C1257" t="str">
            <v>MILER</v>
          </cell>
          <cell r="D1257" t="str">
            <v>----</v>
          </cell>
        </row>
        <row r="1258">
          <cell r="A1258" t="str">
            <v>M5901</v>
          </cell>
          <cell r="B1258" t="str">
            <v>Sandra</v>
          </cell>
          <cell r="C1258" t="str">
            <v>MILER</v>
          </cell>
          <cell r="D1258" t="str">
            <v>KKS Ruch Piotrków Tryb.</v>
          </cell>
        </row>
        <row r="1259">
          <cell r="A1259" t="str">
            <v>M5287</v>
          </cell>
          <cell r="B1259" t="str">
            <v>Marek</v>
          </cell>
          <cell r="C1259" t="str">
            <v>MIŁOSZEWSKI</v>
          </cell>
          <cell r="D1259" t="str">
            <v>----</v>
          </cell>
        </row>
        <row r="1260">
          <cell r="A1260" t="str">
            <v>M4795</v>
          </cell>
          <cell r="B1260" t="str">
            <v>Łukasz</v>
          </cell>
          <cell r="C1260" t="str">
            <v>MIŁOŚNICKI</v>
          </cell>
          <cell r="D1260" t="str">
            <v>SLKS Tramp Orneta</v>
          </cell>
        </row>
        <row r="1261">
          <cell r="A1261" t="str">
            <v>M4796</v>
          </cell>
          <cell r="B1261" t="str">
            <v>Mateusz</v>
          </cell>
          <cell r="C1261" t="str">
            <v>MIŁOŚNICKI</v>
          </cell>
          <cell r="D1261" t="str">
            <v>SLKS Tramp Orneta</v>
          </cell>
        </row>
        <row r="1262">
          <cell r="A1262" t="str">
            <v>M3762</v>
          </cell>
          <cell r="B1262" t="str">
            <v>Dawid</v>
          </cell>
          <cell r="C1262" t="str">
            <v>MINARTOWICZ</v>
          </cell>
          <cell r="D1262" t="str">
            <v>LKS Technik Głubczyce</v>
          </cell>
        </row>
        <row r="1263">
          <cell r="A1263" t="str">
            <v>M3763</v>
          </cell>
          <cell r="B1263" t="str">
            <v>Dominika</v>
          </cell>
          <cell r="C1263" t="str">
            <v>MINARTOWICZ</v>
          </cell>
          <cell r="D1263" t="str">
            <v>LKS Technik Głubczyce</v>
          </cell>
        </row>
        <row r="1264">
          <cell r="A1264" t="str">
            <v>M4588</v>
          </cell>
          <cell r="B1264" t="str">
            <v>Jakub</v>
          </cell>
          <cell r="C1264" t="str">
            <v>MINARTOWICZ</v>
          </cell>
          <cell r="D1264" t="str">
            <v>LKS Technik Głubczyce</v>
          </cell>
        </row>
        <row r="1265">
          <cell r="A1265" t="str">
            <v>M4193</v>
          </cell>
          <cell r="B1265" t="str">
            <v>Robert</v>
          </cell>
          <cell r="C1265" t="str">
            <v>MIRGA</v>
          </cell>
          <cell r="D1265" t="str">
            <v>LKS Technik Głubczyce</v>
          </cell>
        </row>
        <row r="1266">
          <cell r="A1266" t="str">
            <v>M4914</v>
          </cell>
          <cell r="B1266" t="str">
            <v>Aleksandra</v>
          </cell>
          <cell r="C1266" t="str">
            <v>MIROWSKA</v>
          </cell>
          <cell r="D1266" t="str">
            <v>KKS Ruch Piotrków Tryb.</v>
          </cell>
        </row>
        <row r="1267">
          <cell r="A1267" t="str">
            <v>M 034</v>
          </cell>
          <cell r="B1267" t="str">
            <v>Michał</v>
          </cell>
          <cell r="C1267" t="str">
            <v>MIROWSKI</v>
          </cell>
          <cell r="D1267" t="str">
            <v>----</v>
          </cell>
        </row>
        <row r="1268">
          <cell r="A1268" t="str">
            <v>M4534</v>
          </cell>
          <cell r="B1268" t="str">
            <v>Mateusz</v>
          </cell>
          <cell r="C1268" t="str">
            <v>MISIK</v>
          </cell>
          <cell r="D1268" t="str">
            <v>MUKS 5 Chełm</v>
          </cell>
        </row>
        <row r="1269">
          <cell r="A1269" t="str">
            <v>M4441</v>
          </cell>
          <cell r="B1269" t="str">
            <v>Piotr</v>
          </cell>
          <cell r="C1269" t="str">
            <v>MISIOROWSKI</v>
          </cell>
          <cell r="D1269" t="str">
            <v>AZSAGH Kraków</v>
          </cell>
        </row>
        <row r="1270">
          <cell r="A1270" t="str">
            <v>M5121</v>
          </cell>
          <cell r="B1270" t="str">
            <v>Julia</v>
          </cell>
          <cell r="C1270" t="str">
            <v>MISIURA</v>
          </cell>
          <cell r="D1270" t="str">
            <v>UKS Plesbad Pszczyna</v>
          </cell>
        </row>
        <row r="1271">
          <cell r="A1271" t="str">
            <v>M4792</v>
          </cell>
          <cell r="B1271" t="str">
            <v>Urszula</v>
          </cell>
          <cell r="C1271" t="str">
            <v>MISZKIEL</v>
          </cell>
          <cell r="D1271" t="str">
            <v>SKB Suwałki</v>
          </cell>
        </row>
        <row r="1272">
          <cell r="A1272" t="str">
            <v>M5269</v>
          </cell>
          <cell r="B1272" t="str">
            <v>Julia</v>
          </cell>
          <cell r="C1272" t="str">
            <v>MIŚKO</v>
          </cell>
          <cell r="D1272" t="str">
            <v>UKS Badminton Stare Babice</v>
          </cell>
        </row>
        <row r="1273">
          <cell r="A1273" t="str">
            <v>M4349</v>
          </cell>
          <cell r="B1273" t="str">
            <v>Katarzyna</v>
          </cell>
          <cell r="C1273" t="str">
            <v>MITURSKA</v>
          </cell>
          <cell r="D1273" t="str">
            <v>ŚKBad Harcownik Warszawa</v>
          </cell>
        </row>
        <row r="1274">
          <cell r="A1274" t="str">
            <v>M4864</v>
          </cell>
          <cell r="B1274" t="str">
            <v>Katarzyna</v>
          </cell>
          <cell r="C1274" t="str">
            <v>MŁODAWSKA</v>
          </cell>
          <cell r="D1274" t="str">
            <v>MKS Orlicz Suchedniów</v>
          </cell>
        </row>
        <row r="1275">
          <cell r="A1275" t="str">
            <v>M2127</v>
          </cell>
          <cell r="B1275" t="str">
            <v>Ewa</v>
          </cell>
          <cell r="C1275" t="str">
            <v>MŁYNARSKA</v>
          </cell>
          <cell r="D1275" t="str">
            <v>----</v>
          </cell>
        </row>
        <row r="1276">
          <cell r="A1276" t="str">
            <v>M5460</v>
          </cell>
          <cell r="B1276" t="str">
            <v>Jakub</v>
          </cell>
          <cell r="C1276" t="str">
            <v>MNICH</v>
          </cell>
          <cell r="D1276" t="str">
            <v>MKB Lednik Miastko</v>
          </cell>
        </row>
        <row r="1277">
          <cell r="A1277" t="str">
            <v>M3981</v>
          </cell>
          <cell r="B1277" t="str">
            <v>Andrzej</v>
          </cell>
          <cell r="C1277" t="str">
            <v>MOCZULAK</v>
          </cell>
          <cell r="D1277" t="str">
            <v>KS Hubertus Zalesie Górne</v>
          </cell>
        </row>
        <row r="1278">
          <cell r="A1278" t="str">
            <v>M3216</v>
          </cell>
          <cell r="B1278" t="str">
            <v>Izabella</v>
          </cell>
          <cell r="C1278" t="str">
            <v>MORAWIEC</v>
          </cell>
          <cell r="D1278" t="str">
            <v>MMKS Kędzierzyn-Koźle</v>
          </cell>
        </row>
        <row r="1279">
          <cell r="A1279" t="str">
            <v>M5266</v>
          </cell>
          <cell r="B1279" t="str">
            <v>Tomasz</v>
          </cell>
          <cell r="C1279" t="str">
            <v>MORAWIK</v>
          </cell>
          <cell r="D1279" t="str">
            <v>AZSAGH Kraków</v>
          </cell>
        </row>
        <row r="1280">
          <cell r="A1280" t="str">
            <v>M3391</v>
          </cell>
          <cell r="B1280" t="str">
            <v>Kamila</v>
          </cell>
          <cell r="C1280" t="str">
            <v>MORAWSKA</v>
          </cell>
          <cell r="D1280" t="str">
            <v>AZSAGH Kraków</v>
          </cell>
        </row>
        <row r="1281">
          <cell r="A1281" t="str">
            <v>M2267</v>
          </cell>
          <cell r="B1281" t="str">
            <v>Mirosław</v>
          </cell>
          <cell r="C1281" t="str">
            <v>MORDASIEWICZ</v>
          </cell>
          <cell r="D1281" t="str">
            <v>UKS Hubal Białystok</v>
          </cell>
        </row>
        <row r="1282">
          <cell r="A1282" t="str">
            <v>M 059</v>
          </cell>
          <cell r="B1282" t="str">
            <v>Łukasz</v>
          </cell>
          <cell r="C1282" t="str">
            <v>MOREŃ</v>
          </cell>
          <cell r="D1282" t="str">
            <v>SKB Suwałki</v>
          </cell>
        </row>
        <row r="1283">
          <cell r="A1283" t="str">
            <v>M2043</v>
          </cell>
          <cell r="B1283" t="str">
            <v>Paweł</v>
          </cell>
          <cell r="C1283" t="str">
            <v>MOROZIK</v>
          </cell>
          <cell r="D1283" t="str">
            <v>ŚKBad Harcownik Warszawa</v>
          </cell>
        </row>
        <row r="1284">
          <cell r="A1284" t="str">
            <v>M4654</v>
          </cell>
          <cell r="B1284" t="str">
            <v>Marceli</v>
          </cell>
          <cell r="C1284" t="str">
            <v>MORZEWSKI</v>
          </cell>
          <cell r="D1284" t="str">
            <v>UKSB Milenium Warszawa</v>
          </cell>
        </row>
        <row r="1285">
          <cell r="A1285" t="str">
            <v>M3506</v>
          </cell>
          <cell r="B1285" t="str">
            <v>Aleksander</v>
          </cell>
          <cell r="C1285" t="str">
            <v>MORZYK</v>
          </cell>
          <cell r="D1285" t="str">
            <v>LUKS Jedynka Częstochowa</v>
          </cell>
        </row>
        <row r="1286">
          <cell r="A1286" t="str">
            <v>M2664</v>
          </cell>
          <cell r="B1286" t="str">
            <v>Anna</v>
          </cell>
          <cell r="C1286" t="str">
            <v>MOSKAL</v>
          </cell>
          <cell r="D1286" t="str">
            <v>UKS Sokół Ropczyce</v>
          </cell>
        </row>
        <row r="1287">
          <cell r="A1287" t="str">
            <v>M5383</v>
          </cell>
          <cell r="B1287" t="str">
            <v>Patryk</v>
          </cell>
          <cell r="C1287" t="str">
            <v>MOSKAL</v>
          </cell>
          <cell r="D1287" t="str">
            <v>MKS Orlicz Suchedniów</v>
          </cell>
        </row>
        <row r="1288">
          <cell r="A1288" t="str">
            <v>M5486</v>
          </cell>
          <cell r="B1288" t="str">
            <v>Tomasz</v>
          </cell>
          <cell r="C1288" t="str">
            <v>MOSKAL</v>
          </cell>
          <cell r="D1288" t="str">
            <v>----</v>
          </cell>
        </row>
        <row r="1289">
          <cell r="A1289" t="str">
            <v>M3404</v>
          </cell>
          <cell r="B1289" t="str">
            <v>Jan</v>
          </cell>
          <cell r="C1289" t="str">
            <v>MOSKALEW</v>
          </cell>
          <cell r="D1289" t="str">
            <v>ŚKBad Harcownik Warszawa</v>
          </cell>
        </row>
        <row r="1290">
          <cell r="A1290" t="str">
            <v>M3731</v>
          </cell>
          <cell r="B1290" t="str">
            <v>Jakub</v>
          </cell>
          <cell r="C1290" t="str">
            <v>MOSORZEWSKI</v>
          </cell>
          <cell r="D1290" t="str">
            <v>UKS Kiko Zamość</v>
          </cell>
        </row>
        <row r="1291">
          <cell r="A1291" t="str">
            <v>M5225</v>
          </cell>
          <cell r="B1291" t="str">
            <v>Patryk</v>
          </cell>
          <cell r="C1291" t="str">
            <v>MOTYKA</v>
          </cell>
          <cell r="D1291" t="str">
            <v>UMKS Junis Szczucin</v>
          </cell>
        </row>
        <row r="1292">
          <cell r="A1292" t="str">
            <v>M5226</v>
          </cell>
          <cell r="B1292" t="str">
            <v>Sylwia</v>
          </cell>
          <cell r="C1292" t="str">
            <v>MOTYKA</v>
          </cell>
          <cell r="D1292" t="str">
            <v>UMKS Junis Szczucin</v>
          </cell>
        </row>
        <row r="1293">
          <cell r="A1293" t="str">
            <v>M4513</v>
          </cell>
          <cell r="B1293" t="str">
            <v>Konrad</v>
          </cell>
          <cell r="C1293" t="str">
            <v>MOTYL</v>
          </cell>
          <cell r="D1293" t="str">
            <v>MKS Dwójka Blachownia</v>
          </cell>
        </row>
        <row r="1294">
          <cell r="A1294" t="str">
            <v>M5276</v>
          </cell>
          <cell r="B1294" t="str">
            <v>Wacław</v>
          </cell>
          <cell r="C1294" t="str">
            <v>MOZER</v>
          </cell>
          <cell r="D1294" t="str">
            <v>----</v>
          </cell>
        </row>
        <row r="1295">
          <cell r="A1295" t="str">
            <v>M1985</v>
          </cell>
          <cell r="B1295" t="str">
            <v>Agnieszka</v>
          </cell>
          <cell r="C1295" t="str">
            <v>MOŹDZIOCH</v>
          </cell>
          <cell r="D1295" t="str">
            <v>UKS Ostrówek</v>
          </cell>
        </row>
        <row r="1296">
          <cell r="A1296" t="str">
            <v>M3221</v>
          </cell>
          <cell r="B1296" t="str">
            <v>Kinga</v>
          </cell>
          <cell r="C1296" t="str">
            <v>MÓŁKA</v>
          </cell>
          <cell r="D1296" t="str">
            <v>UMKS Junis Szczucin</v>
          </cell>
        </row>
        <row r="1297">
          <cell r="A1297" t="str">
            <v>M4261</v>
          </cell>
          <cell r="B1297" t="str">
            <v>Piotr</v>
          </cell>
          <cell r="C1297" t="str">
            <v>MRACHACZ</v>
          </cell>
          <cell r="D1297" t="str">
            <v>UKS 15 Kędzierzyn-Koźle</v>
          </cell>
        </row>
        <row r="1298">
          <cell r="A1298" t="str">
            <v>M3590</v>
          </cell>
          <cell r="B1298" t="str">
            <v>Michał</v>
          </cell>
          <cell r="C1298" t="str">
            <v>MROZEK</v>
          </cell>
          <cell r="D1298" t="str">
            <v>UKS Orliki Ropica Polska</v>
          </cell>
        </row>
        <row r="1299">
          <cell r="A1299" t="str">
            <v>M3165</v>
          </cell>
          <cell r="B1299" t="str">
            <v>Bartłomiej</v>
          </cell>
          <cell r="C1299" t="str">
            <v>MRÓZ</v>
          </cell>
          <cell r="D1299" t="str">
            <v>MMKS Kędzierzyn-Koźle</v>
          </cell>
        </row>
        <row r="1300">
          <cell r="A1300" t="str">
            <v>M3486</v>
          </cell>
          <cell r="B1300" t="str">
            <v>Dominika</v>
          </cell>
          <cell r="C1300" t="str">
            <v>MRÓZ</v>
          </cell>
          <cell r="D1300" t="str">
            <v>MMKS Kędzierzyn-Koźle</v>
          </cell>
        </row>
        <row r="1301">
          <cell r="A1301" t="str">
            <v>M5347</v>
          </cell>
          <cell r="B1301" t="str">
            <v>Kamila</v>
          </cell>
          <cell r="C1301" t="str">
            <v>MRÓZ</v>
          </cell>
          <cell r="D1301" t="str">
            <v>UKS Kiko Zamość</v>
          </cell>
        </row>
        <row r="1302">
          <cell r="A1302" t="str">
            <v>M5852</v>
          </cell>
          <cell r="B1302" t="str">
            <v>Marcin</v>
          </cell>
          <cell r="C1302" t="str">
            <v>MRÓZ</v>
          </cell>
          <cell r="D1302" t="str">
            <v>UKS Astra Wrocław</v>
          </cell>
        </row>
        <row r="1303">
          <cell r="A1303" t="str">
            <v>M5127</v>
          </cell>
          <cell r="B1303" t="str">
            <v>Natalia</v>
          </cell>
          <cell r="C1303" t="str">
            <v>MRÓZ</v>
          </cell>
          <cell r="D1303" t="str">
            <v>UKS Korona Pabianice</v>
          </cell>
        </row>
        <row r="1304">
          <cell r="A1304" t="str">
            <v>M4661</v>
          </cell>
          <cell r="B1304" t="str">
            <v>Jerzy</v>
          </cell>
          <cell r="C1304" t="str">
            <v>MURACH</v>
          </cell>
          <cell r="D1304" t="str">
            <v>----</v>
          </cell>
        </row>
        <row r="1305">
          <cell r="A1305" t="str">
            <v>M1734</v>
          </cell>
          <cell r="B1305" t="str">
            <v>Maja</v>
          </cell>
          <cell r="C1305" t="str">
            <v>MUSZYŃSKA</v>
          </cell>
          <cell r="D1305" t="str">
            <v>KS Match Point Ślęza</v>
          </cell>
        </row>
        <row r="1306">
          <cell r="A1306" t="str">
            <v>M4810</v>
          </cell>
          <cell r="B1306" t="str">
            <v>Paulina</v>
          </cell>
          <cell r="C1306" t="str">
            <v>MUSZYŃSKA</v>
          </cell>
          <cell r="D1306" t="str">
            <v>UKS Hubal Białystok</v>
          </cell>
        </row>
        <row r="1307">
          <cell r="A1307" t="str">
            <v>M4717</v>
          </cell>
          <cell r="B1307" t="str">
            <v>Beata</v>
          </cell>
          <cell r="C1307" t="str">
            <v>MYCEK</v>
          </cell>
          <cell r="D1307" t="str">
            <v>MKS Stal Nowa Dęba</v>
          </cell>
        </row>
        <row r="1308">
          <cell r="A1308" t="str">
            <v>M4972</v>
          </cell>
          <cell r="B1308" t="str">
            <v>Cezary</v>
          </cell>
          <cell r="C1308" t="str">
            <v>MYDLAK</v>
          </cell>
          <cell r="D1308" t="str">
            <v>UKS Ostrówek</v>
          </cell>
        </row>
        <row r="1309">
          <cell r="A1309" t="str">
            <v>M5726</v>
          </cell>
          <cell r="B1309" t="str">
            <v>Magdalena</v>
          </cell>
          <cell r="C1309" t="str">
            <v>MYNARSKA</v>
          </cell>
          <cell r="D1309" t="str">
            <v>UKS Plesbad Pszczyna</v>
          </cell>
        </row>
        <row r="1310">
          <cell r="A1310" t="str">
            <v>M3728</v>
          </cell>
          <cell r="B1310" t="str">
            <v>Katarzyna</v>
          </cell>
          <cell r="C1310" t="str">
            <v>MYSŁEK</v>
          </cell>
          <cell r="D1310" t="str">
            <v>BKS Kolejarz Częstochowa</v>
          </cell>
        </row>
        <row r="1311">
          <cell r="A1311" t="str">
            <v>M4909</v>
          </cell>
          <cell r="B1311" t="str">
            <v>Krzysztof</v>
          </cell>
          <cell r="C1311" t="str">
            <v>MYSŁEK</v>
          </cell>
          <cell r="D1311" t="str">
            <v>LUKS Jedynka Częstochowa</v>
          </cell>
        </row>
        <row r="1312">
          <cell r="A1312" t="str">
            <v>M5475</v>
          </cell>
          <cell r="B1312" t="str">
            <v>Jakub</v>
          </cell>
          <cell r="C1312" t="str">
            <v>MYSŁOWSKI</v>
          </cell>
          <cell r="D1312" t="str">
            <v>UKS Iskra Sarbice</v>
          </cell>
        </row>
        <row r="1313">
          <cell r="A1313" t="str">
            <v>M5683</v>
          </cell>
          <cell r="B1313" t="str">
            <v>Marta</v>
          </cell>
          <cell r="C1313" t="str">
            <v>MYSZKIEWICZ</v>
          </cell>
          <cell r="D1313" t="str">
            <v>----</v>
          </cell>
        </row>
        <row r="1314">
          <cell r="A1314" t="str">
            <v>M4973</v>
          </cell>
          <cell r="B1314" t="str">
            <v>Angelika</v>
          </cell>
          <cell r="C1314" t="str">
            <v>MYŚLIWIEC</v>
          </cell>
          <cell r="D1314" t="str">
            <v>UKS Ostrówek</v>
          </cell>
        </row>
        <row r="1315">
          <cell r="A1315" t="str">
            <v>M2879</v>
          </cell>
          <cell r="B1315" t="str">
            <v>Katarzyna</v>
          </cell>
          <cell r="C1315" t="str">
            <v>MYZIA</v>
          </cell>
          <cell r="D1315" t="str">
            <v>UKS Sokół Ropczyce</v>
          </cell>
        </row>
        <row r="1316">
          <cell r="A1316" t="str">
            <v>N5310</v>
          </cell>
          <cell r="B1316" t="str">
            <v>Maciej</v>
          </cell>
          <cell r="C1316" t="str">
            <v>NAGŁY</v>
          </cell>
          <cell r="D1316" t="str">
            <v>----</v>
          </cell>
        </row>
        <row r="1317">
          <cell r="A1317" t="str">
            <v>N5937</v>
          </cell>
          <cell r="B1317" t="str">
            <v>Michał</v>
          </cell>
          <cell r="C1317" t="str">
            <v>NAGŁY</v>
          </cell>
          <cell r="D1317" t="str">
            <v>----</v>
          </cell>
        </row>
        <row r="1318">
          <cell r="A1318" t="str">
            <v>N5813</v>
          </cell>
          <cell r="B1318" t="str">
            <v>Miłosz</v>
          </cell>
          <cell r="C1318" t="str">
            <v>NAKLICKI</v>
          </cell>
          <cell r="D1318" t="str">
            <v>UKS Kiko Zamość</v>
          </cell>
        </row>
        <row r="1319">
          <cell r="A1319" t="str">
            <v>N0653</v>
          </cell>
          <cell r="B1319" t="str">
            <v>Maciej</v>
          </cell>
          <cell r="C1319" t="str">
            <v>NAMYSŁ</v>
          </cell>
          <cell r="D1319" t="str">
            <v>----</v>
          </cell>
        </row>
        <row r="1320">
          <cell r="A1320" t="str">
            <v>N1209</v>
          </cell>
          <cell r="B1320" t="str">
            <v>Anna</v>
          </cell>
          <cell r="C1320" t="str">
            <v>NAREL</v>
          </cell>
          <cell r="D1320" t="str">
            <v>UKS Hubal Białystok</v>
          </cell>
        </row>
        <row r="1321">
          <cell r="A1321" t="str">
            <v>N4993</v>
          </cell>
          <cell r="B1321" t="str">
            <v>Sławomir</v>
          </cell>
          <cell r="C1321" t="str">
            <v>NARUSZ</v>
          </cell>
          <cell r="D1321" t="str">
            <v>----</v>
          </cell>
        </row>
        <row r="1322">
          <cell r="A1322" t="str">
            <v>N3148</v>
          </cell>
          <cell r="B1322" t="str">
            <v>Kamil</v>
          </cell>
          <cell r="C1322" t="str">
            <v>NASIŁOWSKI</v>
          </cell>
          <cell r="D1322" t="str">
            <v>UKSB Milenium Warszawa</v>
          </cell>
        </row>
        <row r="1323">
          <cell r="A1323" t="str">
            <v>N5737</v>
          </cell>
          <cell r="B1323" t="str">
            <v>Jakub</v>
          </cell>
          <cell r="C1323" t="str">
            <v>NAWROCKI</v>
          </cell>
          <cell r="D1323" t="str">
            <v>MKS Spartakus Niepołomice</v>
          </cell>
        </row>
        <row r="1324">
          <cell r="A1324" t="str">
            <v>N2279</v>
          </cell>
          <cell r="B1324" t="str">
            <v>Janusz</v>
          </cell>
          <cell r="C1324" t="str">
            <v>NAWROCKI</v>
          </cell>
          <cell r="D1324" t="str">
            <v>----</v>
          </cell>
        </row>
        <row r="1325">
          <cell r="A1325" t="str">
            <v>N4500</v>
          </cell>
          <cell r="B1325" t="str">
            <v>Zbigniew</v>
          </cell>
          <cell r="C1325" t="str">
            <v>NAWROCKI</v>
          </cell>
          <cell r="D1325" t="str">
            <v>----</v>
          </cell>
        </row>
        <row r="1326">
          <cell r="A1326" t="str">
            <v>N3847</v>
          </cell>
          <cell r="B1326" t="str">
            <v>Miłosz</v>
          </cell>
          <cell r="C1326" t="str">
            <v>NELKE</v>
          </cell>
          <cell r="D1326" t="str">
            <v>MLKS Solec Kuj.</v>
          </cell>
        </row>
        <row r="1327">
          <cell r="A1327" t="str">
            <v>N5960</v>
          </cell>
          <cell r="B1327" t="str">
            <v>Andrzej</v>
          </cell>
          <cell r="C1327" t="str">
            <v>NICZYPORUK</v>
          </cell>
          <cell r="D1327" t="str">
            <v>AZSUW Warszawa</v>
          </cell>
        </row>
        <row r="1328">
          <cell r="A1328" t="str">
            <v>N5615</v>
          </cell>
          <cell r="B1328" t="str">
            <v>Andrzej</v>
          </cell>
          <cell r="C1328" t="str">
            <v>NIEBRZYDOWSKI</v>
          </cell>
          <cell r="D1328" t="str">
            <v>----</v>
          </cell>
        </row>
        <row r="1329">
          <cell r="A1329" t="str">
            <v>N5412</v>
          </cell>
          <cell r="B1329" t="str">
            <v>Adam</v>
          </cell>
          <cell r="C1329" t="str">
            <v>NIEDBAŁA</v>
          </cell>
          <cell r="D1329" t="str">
            <v>BKS Kolejarz Katowice</v>
          </cell>
        </row>
        <row r="1330">
          <cell r="A1330" t="str">
            <v>N5413</v>
          </cell>
          <cell r="B1330" t="str">
            <v>Katarzyna</v>
          </cell>
          <cell r="C1330" t="str">
            <v>NIEDBAŁA</v>
          </cell>
          <cell r="D1330" t="str">
            <v>BKS Kolejarz Katowice</v>
          </cell>
        </row>
        <row r="1331">
          <cell r="A1331" t="str">
            <v>N2869</v>
          </cell>
          <cell r="B1331" t="str">
            <v>Adam</v>
          </cell>
          <cell r="C1331" t="str">
            <v>NIEDOJADŁO</v>
          </cell>
          <cell r="D1331" t="str">
            <v>MLKS Solec Kuj.</v>
          </cell>
        </row>
        <row r="1332">
          <cell r="A1332" t="str">
            <v>N3521</v>
          </cell>
          <cell r="B1332" t="str">
            <v>Kamil</v>
          </cell>
          <cell r="C1332" t="str">
            <v>NIEDŹWIEDZKI</v>
          </cell>
          <cell r="D1332" t="str">
            <v>SKB Suwałki</v>
          </cell>
        </row>
        <row r="1333">
          <cell r="A1333" t="str">
            <v>N3914</v>
          </cell>
          <cell r="B1333" t="str">
            <v>Daria</v>
          </cell>
          <cell r="C1333" t="str">
            <v>NIELUBIŃSKA</v>
          </cell>
          <cell r="D1333" t="str">
            <v>KS Chojnik Jelenia Góra</v>
          </cell>
        </row>
        <row r="1334">
          <cell r="A1334" t="str">
            <v>N5434</v>
          </cell>
          <cell r="B1334" t="str">
            <v>Marcin</v>
          </cell>
          <cell r="C1334" t="str">
            <v>NIEMCZYK</v>
          </cell>
          <cell r="D1334" t="str">
            <v>ULKS Łączna</v>
          </cell>
        </row>
        <row r="1335">
          <cell r="A1335" t="str">
            <v>N5395</v>
          </cell>
          <cell r="B1335" t="str">
            <v>Aleksandra</v>
          </cell>
          <cell r="C1335" t="str">
            <v>NIEMIEC</v>
          </cell>
          <cell r="D1335" t="str">
            <v>UKS Jagiellonka Medyka</v>
          </cell>
        </row>
        <row r="1336">
          <cell r="A1336" t="str">
            <v>N5861</v>
          </cell>
          <cell r="B1336" t="str">
            <v>Martyna</v>
          </cell>
          <cell r="C1336" t="str">
            <v>NIEMIEC</v>
          </cell>
          <cell r="D1336" t="str">
            <v>KS Chojnik Jelenia Góra</v>
          </cell>
        </row>
        <row r="1337">
          <cell r="A1337" t="str">
            <v>N4575</v>
          </cell>
          <cell r="B1337" t="str">
            <v>Wiktoria</v>
          </cell>
          <cell r="C1337" t="str">
            <v>NIEMIEC</v>
          </cell>
          <cell r="D1337" t="str">
            <v>MKS Strzelce Opolskie</v>
          </cell>
        </row>
        <row r="1338">
          <cell r="A1338" t="str">
            <v>N5488</v>
          </cell>
          <cell r="B1338" t="str">
            <v>Kamil</v>
          </cell>
          <cell r="C1338" t="str">
            <v>NIEWĘGŁOWSKI</v>
          </cell>
          <cell r="D1338" t="str">
            <v>UMKS Iskra Wolsztyn</v>
          </cell>
        </row>
        <row r="1339">
          <cell r="A1339" t="str">
            <v>N0396</v>
          </cell>
          <cell r="B1339" t="str">
            <v>Paweł</v>
          </cell>
          <cell r="C1339" t="str">
            <v>NIEWOLIŃSKI</v>
          </cell>
          <cell r="D1339" t="str">
            <v>PTS Puszczykowo</v>
          </cell>
        </row>
        <row r="1340">
          <cell r="A1340" t="str">
            <v>N3738</v>
          </cell>
          <cell r="B1340" t="str">
            <v>Aneta</v>
          </cell>
          <cell r="C1340" t="str">
            <v>NIKLAS</v>
          </cell>
          <cell r="D1340" t="str">
            <v>ULKS U-2 Lotka Bytów</v>
          </cell>
        </row>
        <row r="1341">
          <cell r="A1341" t="str">
            <v>N5113</v>
          </cell>
          <cell r="B1341" t="str">
            <v>Weronika</v>
          </cell>
          <cell r="C1341" t="str">
            <v>NIKLAS</v>
          </cell>
          <cell r="D1341" t="str">
            <v>ULKS U-2 Lotka Bytów</v>
          </cell>
        </row>
        <row r="1342">
          <cell r="A1342" t="str">
            <v>N4714</v>
          </cell>
          <cell r="B1342" t="str">
            <v>Tomasz</v>
          </cell>
          <cell r="C1342" t="str">
            <v>NISKI</v>
          </cell>
          <cell r="D1342" t="str">
            <v>----</v>
          </cell>
        </row>
        <row r="1343">
          <cell r="A1343" t="str">
            <v>N5814</v>
          </cell>
          <cell r="B1343" t="str">
            <v>Mateusz</v>
          </cell>
          <cell r="C1343" t="str">
            <v>NOCUŃ</v>
          </cell>
          <cell r="D1343" t="str">
            <v>MMKS Gdańsk</v>
          </cell>
        </row>
        <row r="1344">
          <cell r="A1344" t="str">
            <v>N2036</v>
          </cell>
          <cell r="B1344" t="str">
            <v>Magdalena</v>
          </cell>
          <cell r="C1344" t="str">
            <v>NOGAL</v>
          </cell>
          <cell r="D1344" t="str">
            <v>AZSUWM Olsztyn</v>
          </cell>
        </row>
        <row r="1345">
          <cell r="A1345" t="str">
            <v>N2007</v>
          </cell>
          <cell r="B1345" t="str">
            <v>Mariusz</v>
          </cell>
          <cell r="C1345" t="str">
            <v>NOGAL</v>
          </cell>
          <cell r="D1345" t="str">
            <v>AZSUWM Olsztyn</v>
          </cell>
        </row>
        <row r="1346">
          <cell r="A1346" t="str">
            <v>N5769</v>
          </cell>
          <cell r="B1346" t="str">
            <v>Patryk</v>
          </cell>
          <cell r="C1346" t="str">
            <v>NOSAL</v>
          </cell>
          <cell r="D1346" t="str">
            <v>UKS Kiko Zamość</v>
          </cell>
        </row>
        <row r="1347">
          <cell r="A1347" t="str">
            <v>N5894</v>
          </cell>
          <cell r="B1347" t="str">
            <v>Patrycja</v>
          </cell>
          <cell r="C1347" t="str">
            <v>NOWACKA</v>
          </cell>
          <cell r="D1347" t="str">
            <v>Górnik Łęczna SA</v>
          </cell>
        </row>
        <row r="1348">
          <cell r="A1348" t="str">
            <v>N5467</v>
          </cell>
          <cell r="B1348" t="str">
            <v>Adam</v>
          </cell>
          <cell r="C1348" t="str">
            <v>NOWAK</v>
          </cell>
          <cell r="D1348" t="str">
            <v>KS Chojnik Jelenia Góra</v>
          </cell>
        </row>
        <row r="1349">
          <cell r="A1349" t="str">
            <v>N5961</v>
          </cell>
          <cell r="B1349" t="str">
            <v>Alicja</v>
          </cell>
          <cell r="C1349" t="str">
            <v>NOWAK</v>
          </cell>
          <cell r="D1349" t="str">
            <v>UMKS Junis Szczucin</v>
          </cell>
        </row>
        <row r="1350">
          <cell r="A1350" t="str">
            <v>N4342</v>
          </cell>
          <cell r="B1350" t="str">
            <v>Izabela</v>
          </cell>
          <cell r="C1350" t="str">
            <v>NOWAK</v>
          </cell>
          <cell r="D1350" t="str">
            <v>UKSB Volant Mielec</v>
          </cell>
        </row>
        <row r="1351">
          <cell r="A1351" t="str">
            <v>N5674</v>
          </cell>
          <cell r="B1351" t="str">
            <v>Jakub</v>
          </cell>
          <cell r="C1351" t="str">
            <v>NOWAK</v>
          </cell>
          <cell r="D1351" t="str">
            <v>UKS Ząbkowice Dąbrowa Górn.</v>
          </cell>
        </row>
        <row r="1352">
          <cell r="A1352" t="str">
            <v>N3834</v>
          </cell>
          <cell r="B1352" t="str">
            <v>Jędrzej</v>
          </cell>
          <cell r="C1352" t="str">
            <v>NOWAK</v>
          </cell>
          <cell r="D1352" t="str">
            <v>KS Chojnik Jelenia Góra</v>
          </cell>
        </row>
        <row r="1353">
          <cell r="A1353" t="str">
            <v>N5551</v>
          </cell>
          <cell r="B1353" t="str">
            <v>Julia</v>
          </cell>
          <cell r="C1353" t="str">
            <v>NOWAK</v>
          </cell>
          <cell r="D1353" t="str">
            <v>AZSAGH Kraków</v>
          </cell>
        </row>
        <row r="1354">
          <cell r="A1354" t="str">
            <v>N3831</v>
          </cell>
          <cell r="B1354" t="str">
            <v>Justyna</v>
          </cell>
          <cell r="C1354" t="str">
            <v>NOWAK</v>
          </cell>
          <cell r="D1354" t="str">
            <v>AZSAGH Kraków</v>
          </cell>
        </row>
        <row r="1355">
          <cell r="A1355" t="str">
            <v>N3563</v>
          </cell>
          <cell r="B1355" t="str">
            <v>Kamila</v>
          </cell>
          <cell r="C1355" t="str">
            <v>NOWAK</v>
          </cell>
          <cell r="D1355" t="str">
            <v>AZSAGH Kraków</v>
          </cell>
        </row>
        <row r="1356">
          <cell r="A1356" t="str">
            <v>N3333</v>
          </cell>
          <cell r="B1356" t="str">
            <v>Marcin</v>
          </cell>
          <cell r="C1356" t="str">
            <v>NOWAK</v>
          </cell>
          <cell r="D1356" t="str">
            <v>UKS Smecz Bogatynia</v>
          </cell>
        </row>
        <row r="1357">
          <cell r="A1357" t="str">
            <v>N3190</v>
          </cell>
          <cell r="B1357" t="str">
            <v>Mateusz</v>
          </cell>
          <cell r="C1357" t="str">
            <v>NOWAK</v>
          </cell>
          <cell r="D1357" t="str">
            <v>UKSB Volant Mielec</v>
          </cell>
        </row>
        <row r="1358">
          <cell r="A1358" t="str">
            <v>N5487</v>
          </cell>
          <cell r="B1358" t="str">
            <v>Sylwia</v>
          </cell>
          <cell r="C1358" t="str">
            <v>NOWAK</v>
          </cell>
          <cell r="D1358" t="str">
            <v>UKS Dwójka Wesoła</v>
          </cell>
        </row>
        <row r="1359">
          <cell r="A1359" t="str">
            <v>N5879</v>
          </cell>
          <cell r="B1359" t="str">
            <v>Szymon</v>
          </cell>
          <cell r="C1359" t="str">
            <v>NOWAK</v>
          </cell>
          <cell r="D1359" t="str">
            <v>UKS Smecz Milicz</v>
          </cell>
        </row>
        <row r="1360">
          <cell r="A1360" t="str">
            <v>N3334</v>
          </cell>
          <cell r="B1360" t="str">
            <v>Urszula</v>
          </cell>
          <cell r="C1360" t="str">
            <v>NOWAK</v>
          </cell>
          <cell r="D1360" t="str">
            <v>UKS Smecz Bogatynia</v>
          </cell>
        </row>
        <row r="1361">
          <cell r="A1361" t="str">
            <v>N4446</v>
          </cell>
          <cell r="B1361" t="str">
            <v>Weronika</v>
          </cell>
          <cell r="C1361" t="str">
            <v>NOWAK</v>
          </cell>
          <cell r="D1361" t="str">
            <v>AZSAGH Kraków</v>
          </cell>
        </row>
        <row r="1362">
          <cell r="A1362" t="str">
            <v>N4131</v>
          </cell>
          <cell r="B1362" t="str">
            <v>Marcin</v>
          </cell>
          <cell r="C1362" t="str">
            <v>NOWAKOWSKI</v>
          </cell>
          <cell r="D1362" t="str">
            <v>ŚKBad Harcownik Warszawa</v>
          </cell>
        </row>
        <row r="1363">
          <cell r="A1363" t="str">
            <v>N5770</v>
          </cell>
          <cell r="B1363" t="str">
            <v>Łukasz</v>
          </cell>
          <cell r="C1363" t="str">
            <v>NOWOSAD</v>
          </cell>
          <cell r="D1363" t="str">
            <v>UKS Kiko Zamość</v>
          </cell>
        </row>
        <row r="1364">
          <cell r="A1364" t="str">
            <v>N5586</v>
          </cell>
          <cell r="B1364" t="str">
            <v>Wojciech</v>
          </cell>
          <cell r="C1364" t="str">
            <v>NOWOSAD</v>
          </cell>
          <cell r="D1364" t="str">
            <v>UKS Kiko Zamość</v>
          </cell>
        </row>
        <row r="1365">
          <cell r="A1365" t="str">
            <v>N2625</v>
          </cell>
          <cell r="B1365" t="str">
            <v>Joanna</v>
          </cell>
          <cell r="C1365" t="str">
            <v>NOWOSIAK</v>
          </cell>
          <cell r="D1365" t="str">
            <v>SLKS Tramp Orneta</v>
          </cell>
        </row>
        <row r="1366">
          <cell r="A1366" t="str">
            <v>N2356</v>
          </cell>
          <cell r="B1366" t="str">
            <v>Damian</v>
          </cell>
          <cell r="C1366" t="str">
            <v>NOWOSIELSKI</v>
          </cell>
          <cell r="D1366" t="str">
            <v>UKS Ząbkowice Dąbrowa Górn.</v>
          </cell>
        </row>
        <row r="1367">
          <cell r="A1367" t="str">
            <v>O5375</v>
          </cell>
          <cell r="B1367" t="str">
            <v>Joanna</v>
          </cell>
          <cell r="C1367" t="str">
            <v>OBARA</v>
          </cell>
          <cell r="D1367" t="str">
            <v>MKS Orlicz Suchedniów</v>
          </cell>
        </row>
        <row r="1368">
          <cell r="A1368" t="str">
            <v>O3768</v>
          </cell>
          <cell r="B1368" t="str">
            <v>Paulina</v>
          </cell>
          <cell r="C1368" t="str">
            <v>OBARA</v>
          </cell>
          <cell r="D1368" t="str">
            <v>MKS Orlicz Suchedniów</v>
          </cell>
        </row>
        <row r="1369">
          <cell r="A1369" t="str">
            <v>O3767</v>
          </cell>
          <cell r="B1369" t="str">
            <v>Przemysław</v>
          </cell>
          <cell r="C1369" t="str">
            <v>OBARA</v>
          </cell>
          <cell r="D1369" t="str">
            <v>MKS Orlicz Suchedniów</v>
          </cell>
        </row>
        <row r="1370">
          <cell r="A1370" t="str">
            <v>O3926</v>
          </cell>
          <cell r="B1370" t="str">
            <v>Sebastian</v>
          </cell>
          <cell r="C1370" t="str">
            <v>OBRYCKI</v>
          </cell>
          <cell r="D1370" t="str">
            <v>LKS Technik Głubczyce</v>
          </cell>
        </row>
        <row r="1371">
          <cell r="A1371" t="str">
            <v>O1455</v>
          </cell>
          <cell r="B1371" t="str">
            <v>Jarosław</v>
          </cell>
          <cell r="C1371" t="str">
            <v>OCIEPA</v>
          </cell>
          <cell r="D1371" t="str">
            <v>----</v>
          </cell>
        </row>
        <row r="1372">
          <cell r="A1372" t="str">
            <v>O1694</v>
          </cell>
          <cell r="B1372" t="str">
            <v>Maciej</v>
          </cell>
          <cell r="C1372" t="str">
            <v>OCIEPA</v>
          </cell>
          <cell r="D1372" t="str">
            <v>BKS Kolejarz Częstochowa</v>
          </cell>
        </row>
        <row r="1373">
          <cell r="A1373" t="str">
            <v>O0695</v>
          </cell>
          <cell r="B1373" t="str">
            <v>Marcin</v>
          </cell>
          <cell r="C1373" t="str">
            <v>OCIEPA</v>
          </cell>
          <cell r="D1373" t="str">
            <v>KS Chojnik Jelenia Góra</v>
          </cell>
        </row>
        <row r="1374">
          <cell r="A1374" t="str">
            <v>O2939</v>
          </cell>
          <cell r="B1374" t="str">
            <v>Michał</v>
          </cell>
          <cell r="C1374" t="str">
            <v>OCIEPA</v>
          </cell>
          <cell r="D1374" t="str">
            <v>BKS Kolejarz Częstochowa</v>
          </cell>
        </row>
        <row r="1375">
          <cell r="A1375" t="str">
            <v>O2940</v>
          </cell>
          <cell r="B1375" t="str">
            <v>Natalia</v>
          </cell>
          <cell r="C1375" t="str">
            <v>OCIEPA</v>
          </cell>
          <cell r="D1375" t="str">
            <v>BKS Kolejarz Częstochowa</v>
          </cell>
        </row>
        <row r="1376">
          <cell r="A1376" t="str">
            <v>O5285</v>
          </cell>
          <cell r="B1376" t="str">
            <v>Zbigniew</v>
          </cell>
          <cell r="C1376" t="str">
            <v>OGÓREK</v>
          </cell>
          <cell r="D1376" t="str">
            <v>----</v>
          </cell>
        </row>
        <row r="1377">
          <cell r="A1377" t="str">
            <v>O5871</v>
          </cell>
          <cell r="B1377" t="str">
            <v>Bartosz</v>
          </cell>
          <cell r="C1377" t="str">
            <v>OGRODNICZUK</v>
          </cell>
          <cell r="D1377" t="str">
            <v>----</v>
          </cell>
        </row>
        <row r="1378">
          <cell r="A1378" t="str">
            <v>O0270</v>
          </cell>
          <cell r="B1378" t="str">
            <v>Barbara</v>
          </cell>
          <cell r="C1378" t="str">
            <v>OGRODZIŃSKA</v>
          </cell>
          <cell r="D1378" t="str">
            <v>----</v>
          </cell>
        </row>
        <row r="1379">
          <cell r="A1379" t="str">
            <v>O5715</v>
          </cell>
          <cell r="B1379" t="str">
            <v>Przemysław</v>
          </cell>
          <cell r="C1379" t="str">
            <v>OGRODZIŃSKI</v>
          </cell>
          <cell r="D1379" t="str">
            <v>----</v>
          </cell>
        </row>
        <row r="1380">
          <cell r="A1380" t="str">
            <v>O5453</v>
          </cell>
          <cell r="B1380" t="str">
            <v>Kacper</v>
          </cell>
          <cell r="C1380" t="str">
            <v>OKROJEK</v>
          </cell>
          <cell r="D1380" t="str">
            <v>UKS Korona Pabianice</v>
          </cell>
        </row>
        <row r="1381">
          <cell r="A1381" t="str">
            <v>O5612</v>
          </cell>
          <cell r="B1381" t="str">
            <v>Alicja</v>
          </cell>
          <cell r="C1381" t="str">
            <v>OLBORSKA</v>
          </cell>
          <cell r="D1381" t="str">
            <v>UKS Kiko Zamość</v>
          </cell>
        </row>
        <row r="1382">
          <cell r="A1382" t="str">
            <v>O4336</v>
          </cell>
          <cell r="B1382" t="str">
            <v>Przemysław</v>
          </cell>
          <cell r="C1382" t="str">
            <v>OLBROMSKI</v>
          </cell>
          <cell r="D1382" t="str">
            <v>KKS Ruch Piotrków Tryb.</v>
          </cell>
        </row>
        <row r="1383">
          <cell r="A1383" t="str">
            <v>O2811</v>
          </cell>
          <cell r="B1383" t="str">
            <v>Radosław</v>
          </cell>
          <cell r="C1383" t="str">
            <v>OLCZAK</v>
          </cell>
          <cell r="D1383" t="str">
            <v>----</v>
          </cell>
        </row>
        <row r="1384">
          <cell r="A1384" t="str">
            <v>O2176</v>
          </cell>
          <cell r="B1384" t="str">
            <v>Jan</v>
          </cell>
          <cell r="C1384" t="str">
            <v>OLEARCZUK</v>
          </cell>
          <cell r="D1384" t="str">
            <v>AZSWAT Warszawa</v>
          </cell>
        </row>
        <row r="1385">
          <cell r="A1385" t="str">
            <v>O2779</v>
          </cell>
          <cell r="B1385" t="str">
            <v>Szymon</v>
          </cell>
          <cell r="C1385" t="str">
            <v>OLEARCZUK</v>
          </cell>
          <cell r="D1385" t="str">
            <v>AZSWAT Warszawa</v>
          </cell>
        </row>
        <row r="1386">
          <cell r="A1386" t="str">
            <v>O5073</v>
          </cell>
          <cell r="B1386" t="str">
            <v>Ewelina</v>
          </cell>
          <cell r="C1386" t="str">
            <v>OLECHNIK</v>
          </cell>
          <cell r="D1386" t="str">
            <v>UKS Smecz Bogatynia</v>
          </cell>
        </row>
        <row r="1387">
          <cell r="A1387" t="str">
            <v>O 063</v>
          </cell>
          <cell r="B1387" t="str">
            <v>Karolina</v>
          </cell>
          <cell r="C1387" t="str">
            <v>OLEJARZ</v>
          </cell>
          <cell r="D1387" t="str">
            <v>----</v>
          </cell>
        </row>
        <row r="1388">
          <cell r="A1388" t="str">
            <v>O5793</v>
          </cell>
          <cell r="B1388" t="str">
            <v>Michał</v>
          </cell>
          <cell r="C1388" t="str">
            <v>OLEJNIK</v>
          </cell>
          <cell r="D1388" t="str">
            <v>KKS Warmia Olsztyn</v>
          </cell>
        </row>
        <row r="1389">
          <cell r="A1389" t="str">
            <v>O4359</v>
          </cell>
          <cell r="B1389" t="str">
            <v>Sebastian</v>
          </cell>
          <cell r="C1389" t="str">
            <v>OLEK</v>
          </cell>
          <cell r="D1389" t="str">
            <v>----</v>
          </cell>
        </row>
        <row r="1390">
          <cell r="A1390" t="str">
            <v>O1026</v>
          </cell>
          <cell r="B1390" t="str">
            <v>Elżbieta</v>
          </cell>
          <cell r="C1390" t="str">
            <v>OLSZEWSKA</v>
          </cell>
          <cell r="D1390" t="str">
            <v>BKS Kolejarz Częstochowa</v>
          </cell>
        </row>
        <row r="1391">
          <cell r="A1391" t="str">
            <v>O4895</v>
          </cell>
          <cell r="B1391" t="str">
            <v>Antoni</v>
          </cell>
          <cell r="C1391" t="str">
            <v>OŁDZIEJ</v>
          </cell>
          <cell r="D1391" t="str">
            <v>KS Wesoła Warszawa</v>
          </cell>
        </row>
        <row r="1392">
          <cell r="A1392" t="str">
            <v>O4896</v>
          </cell>
          <cell r="B1392" t="str">
            <v>Stanisław</v>
          </cell>
          <cell r="C1392" t="str">
            <v>OŁDZIEJ</v>
          </cell>
          <cell r="D1392" t="str">
            <v>KS Wesoła Warszawa</v>
          </cell>
        </row>
        <row r="1393">
          <cell r="A1393" t="str">
            <v>O5531</v>
          </cell>
          <cell r="B1393" t="str">
            <v>Magdalena</v>
          </cell>
          <cell r="C1393" t="str">
            <v>OŁÓW</v>
          </cell>
          <cell r="D1393" t="str">
            <v>SKB Suwałki</v>
          </cell>
        </row>
        <row r="1394">
          <cell r="A1394" t="str">
            <v>O0475</v>
          </cell>
          <cell r="B1394" t="str">
            <v>Urszula</v>
          </cell>
          <cell r="C1394" t="str">
            <v>ONICHIMIUK</v>
          </cell>
          <cell r="D1394" t="str">
            <v>UKS Hubal Białystok</v>
          </cell>
        </row>
        <row r="1395">
          <cell r="A1395" t="str">
            <v>O5794</v>
          </cell>
          <cell r="B1395" t="str">
            <v>Jakub</v>
          </cell>
          <cell r="C1395" t="str">
            <v>ONISZK</v>
          </cell>
          <cell r="D1395" t="str">
            <v>ŚKBad Harcownik Warszawa</v>
          </cell>
        </row>
        <row r="1396">
          <cell r="A1396" t="str">
            <v>O4733</v>
          </cell>
          <cell r="B1396" t="str">
            <v>Paweł</v>
          </cell>
          <cell r="C1396" t="str">
            <v>ONYŚKO</v>
          </cell>
          <cell r="D1396" t="str">
            <v>KS Chojnik Jelenia Góra</v>
          </cell>
        </row>
        <row r="1397">
          <cell r="A1397" t="str">
            <v>O4516</v>
          </cell>
          <cell r="B1397" t="str">
            <v>Agata</v>
          </cell>
          <cell r="C1397" t="str">
            <v>OPALIŃSKA</v>
          </cell>
          <cell r="D1397" t="str">
            <v>AZSOŚ Łódź</v>
          </cell>
        </row>
        <row r="1398">
          <cell r="A1398" t="str">
            <v>O5161</v>
          </cell>
          <cell r="B1398" t="str">
            <v>Julia</v>
          </cell>
          <cell r="C1398" t="str">
            <v>ORŁOWSKA</v>
          </cell>
          <cell r="D1398" t="str">
            <v>KS Wesoła Warszawa</v>
          </cell>
        </row>
        <row r="1399">
          <cell r="A1399" t="str">
            <v>O5162</v>
          </cell>
          <cell r="B1399" t="str">
            <v>Michał</v>
          </cell>
          <cell r="C1399" t="str">
            <v>ORŁOWSKI</v>
          </cell>
          <cell r="D1399" t="str">
            <v>KS Wesoła Warszawa</v>
          </cell>
        </row>
        <row r="1400">
          <cell r="A1400" t="str">
            <v>O5286</v>
          </cell>
          <cell r="B1400" t="str">
            <v>Przemysław</v>
          </cell>
          <cell r="C1400" t="str">
            <v>ORSZULAK</v>
          </cell>
          <cell r="D1400" t="str">
            <v>BKS Kolejarz Częstochowa</v>
          </cell>
        </row>
        <row r="1401">
          <cell r="A1401" t="str">
            <v>O5312</v>
          </cell>
          <cell r="B1401" t="str">
            <v>Jessica</v>
          </cell>
          <cell r="C1401" t="str">
            <v>ORZECHOWICZ</v>
          </cell>
          <cell r="D1401" t="str">
            <v>UKS MixTeam Tarnowiec</v>
          </cell>
        </row>
        <row r="1402">
          <cell r="A1402" t="str">
            <v>O5899</v>
          </cell>
          <cell r="B1402" t="str">
            <v>Klaudia</v>
          </cell>
          <cell r="C1402" t="str">
            <v>ORZECHOWSKA</v>
          </cell>
          <cell r="D1402" t="str">
            <v>UKS Kometa Sianów</v>
          </cell>
        </row>
        <row r="1403">
          <cell r="A1403" t="str">
            <v>O4695</v>
          </cell>
          <cell r="B1403" t="str">
            <v>Dominik</v>
          </cell>
          <cell r="C1403" t="str">
            <v>ORZECHOWSKI</v>
          </cell>
          <cell r="D1403" t="str">
            <v>UKS Kometa Sianów</v>
          </cell>
        </row>
        <row r="1404">
          <cell r="A1404" t="str">
            <v>O5492</v>
          </cell>
          <cell r="B1404" t="str">
            <v>Magdalena</v>
          </cell>
          <cell r="C1404" t="str">
            <v>ORZESZYNA</v>
          </cell>
          <cell r="D1404" t="str">
            <v>KB Vol-Trick Kępno</v>
          </cell>
        </row>
        <row r="1405">
          <cell r="A1405" t="str">
            <v>O5493</v>
          </cell>
          <cell r="B1405" t="str">
            <v>Robert</v>
          </cell>
          <cell r="C1405" t="str">
            <v>ORZESZYNA</v>
          </cell>
          <cell r="D1405" t="str">
            <v>KB Vol-Trick Kępno</v>
          </cell>
        </row>
        <row r="1406">
          <cell r="A1406" t="str">
            <v>O5160</v>
          </cell>
          <cell r="B1406" t="str">
            <v>Jakub</v>
          </cell>
          <cell r="C1406" t="str">
            <v>ORZĘCKI</v>
          </cell>
          <cell r="D1406" t="str">
            <v>KS Wesoła Warszawa</v>
          </cell>
        </row>
        <row r="1407">
          <cell r="A1407" t="str">
            <v>O4074</v>
          </cell>
          <cell r="B1407" t="str">
            <v>Józef</v>
          </cell>
          <cell r="C1407" t="str">
            <v>ORZOŁ</v>
          </cell>
          <cell r="D1407" t="str">
            <v>----</v>
          </cell>
        </row>
        <row r="1408">
          <cell r="A1408" t="str">
            <v>O4947</v>
          </cell>
          <cell r="B1408" t="str">
            <v>Jacek</v>
          </cell>
          <cell r="C1408" t="str">
            <v>OSADNIK</v>
          </cell>
          <cell r="D1408" t="str">
            <v>----</v>
          </cell>
        </row>
        <row r="1409">
          <cell r="A1409" t="str">
            <v>O2619</v>
          </cell>
          <cell r="B1409" t="str">
            <v>Maciej</v>
          </cell>
          <cell r="C1409" t="str">
            <v>OSETEK</v>
          </cell>
          <cell r="D1409" t="str">
            <v>AZSAGH Kraków</v>
          </cell>
        </row>
        <row r="1410">
          <cell r="A1410" t="str">
            <v>O3345</v>
          </cell>
          <cell r="B1410" t="str">
            <v>Katarzyna</v>
          </cell>
          <cell r="C1410" t="str">
            <v>OSIKA</v>
          </cell>
          <cell r="D1410" t="str">
            <v>UKS Siódemka Świebodzin</v>
          </cell>
        </row>
        <row r="1411">
          <cell r="A1411" t="str">
            <v>O4385</v>
          </cell>
          <cell r="B1411" t="str">
            <v>Radosław</v>
          </cell>
          <cell r="C1411" t="str">
            <v>OSMANOWICZ</v>
          </cell>
          <cell r="D1411" t="str">
            <v>UKS Feniks Kędzierzyn-Koźle</v>
          </cell>
        </row>
        <row r="1412">
          <cell r="A1412" t="str">
            <v>O4640</v>
          </cell>
          <cell r="B1412" t="str">
            <v>Klaudia</v>
          </cell>
          <cell r="C1412" t="str">
            <v>OSTROWSKA</v>
          </cell>
          <cell r="D1412" t="str">
            <v>MKB Lednik Miastko</v>
          </cell>
        </row>
        <row r="1413">
          <cell r="A1413" t="str">
            <v>O4465</v>
          </cell>
          <cell r="B1413" t="str">
            <v>Alan</v>
          </cell>
          <cell r="C1413" t="str">
            <v>OSTROWSKI</v>
          </cell>
          <cell r="D1413" t="str">
            <v>UKS Plesbad Pszczyna</v>
          </cell>
        </row>
        <row r="1414">
          <cell r="A1414" t="str">
            <v>O5079</v>
          </cell>
          <cell r="B1414" t="str">
            <v>Damian</v>
          </cell>
          <cell r="C1414" t="str">
            <v>OSTROWSKI</v>
          </cell>
          <cell r="D1414" t="str">
            <v>UKS Badminton Stare Babice</v>
          </cell>
        </row>
        <row r="1415">
          <cell r="A1415" t="str">
            <v>O5271</v>
          </cell>
          <cell r="B1415" t="str">
            <v>Dawid</v>
          </cell>
          <cell r="C1415" t="str">
            <v>OSTROWSKI</v>
          </cell>
          <cell r="D1415" t="str">
            <v>UKS Badminton Stare Babice</v>
          </cell>
        </row>
        <row r="1416">
          <cell r="A1416" t="str">
            <v>O5416</v>
          </cell>
          <cell r="B1416" t="str">
            <v>Anna</v>
          </cell>
          <cell r="C1416" t="str">
            <v>OTOCKA-SZTOLCMAN</v>
          </cell>
          <cell r="D1416" t="str">
            <v>----</v>
          </cell>
        </row>
        <row r="1417">
          <cell r="A1417" t="str">
            <v>O3678</v>
          </cell>
          <cell r="B1417" t="str">
            <v>Klaudia</v>
          </cell>
          <cell r="C1417" t="str">
            <v>OTOKA</v>
          </cell>
          <cell r="D1417" t="str">
            <v>MKB Lednik Miastko</v>
          </cell>
        </row>
        <row r="1418">
          <cell r="A1418" t="str">
            <v>O2414</v>
          </cell>
          <cell r="B1418" t="str">
            <v>Bartłomiej</v>
          </cell>
          <cell r="C1418" t="str">
            <v>OWCZARCZUK</v>
          </cell>
          <cell r="D1418" t="str">
            <v>LUKS Księżyno</v>
          </cell>
        </row>
        <row r="1419">
          <cell r="A1419" t="str">
            <v>O2415</v>
          </cell>
          <cell r="B1419" t="str">
            <v>Paulina</v>
          </cell>
          <cell r="C1419" t="str">
            <v>OWCZARCZUK</v>
          </cell>
          <cell r="D1419" t="str">
            <v>UKS Hubal Białystok</v>
          </cell>
        </row>
        <row r="1420">
          <cell r="A1420" t="str">
            <v>O3986</v>
          </cell>
          <cell r="B1420" t="str">
            <v>Klaudia</v>
          </cell>
          <cell r="C1420" t="str">
            <v>OWCZAREK</v>
          </cell>
          <cell r="D1420" t="str">
            <v>UKS Iskra Babimost</v>
          </cell>
        </row>
        <row r="1421">
          <cell r="A1421" t="str">
            <v>O5804</v>
          </cell>
          <cell r="B1421" t="str">
            <v>Zuzanna</v>
          </cell>
          <cell r="C1421" t="str">
            <v>OWCZAREK</v>
          </cell>
          <cell r="D1421" t="str">
            <v>UKS Iskra Babimost</v>
          </cell>
        </row>
        <row r="1422">
          <cell r="A1422" t="str">
            <v>O5218</v>
          </cell>
          <cell r="B1422" t="str">
            <v>Natalia</v>
          </cell>
          <cell r="C1422" t="str">
            <v>OWSIEJEW</v>
          </cell>
          <cell r="D1422" t="str">
            <v>SKB Suwałki</v>
          </cell>
        </row>
        <row r="1423">
          <cell r="A1423" t="str">
            <v>O4843</v>
          </cell>
          <cell r="B1423" t="str">
            <v>Katarzyna</v>
          </cell>
          <cell r="C1423" t="str">
            <v>OZDOBA</v>
          </cell>
          <cell r="D1423" t="str">
            <v>----</v>
          </cell>
        </row>
        <row r="1424">
          <cell r="A1424" t="str">
            <v>O5314</v>
          </cell>
          <cell r="B1424" t="str">
            <v>Wojciech</v>
          </cell>
          <cell r="C1424" t="str">
            <v>OŻÓG</v>
          </cell>
          <cell r="D1424" t="str">
            <v>----</v>
          </cell>
        </row>
        <row r="1425">
          <cell r="A1425" t="str">
            <v>P4618</v>
          </cell>
          <cell r="B1425" t="str">
            <v>Dominika</v>
          </cell>
          <cell r="C1425" t="str">
            <v>PACHUCKA</v>
          </cell>
          <cell r="D1425" t="str">
            <v>SLKS Tramp Orneta</v>
          </cell>
        </row>
        <row r="1426">
          <cell r="A1426" t="str">
            <v>P3757</v>
          </cell>
          <cell r="B1426" t="str">
            <v>Joanna</v>
          </cell>
          <cell r="C1426" t="str">
            <v>PACYNA</v>
          </cell>
          <cell r="D1426" t="str">
            <v>UKS Iskra Babimost</v>
          </cell>
        </row>
        <row r="1427">
          <cell r="A1427" t="str">
            <v>P4820</v>
          </cell>
          <cell r="B1427" t="str">
            <v>Aleksandra</v>
          </cell>
          <cell r="C1427" t="str">
            <v>PAJĄK</v>
          </cell>
          <cell r="D1427" t="str">
            <v>MKS Orlicz Suchedniów</v>
          </cell>
        </row>
        <row r="1428">
          <cell r="A1428" t="str">
            <v>P5441</v>
          </cell>
          <cell r="B1428" t="str">
            <v>Miłosz</v>
          </cell>
          <cell r="C1428" t="str">
            <v>PAJĄK</v>
          </cell>
          <cell r="D1428" t="str">
            <v>ULKS Łączna</v>
          </cell>
        </row>
        <row r="1429">
          <cell r="A1429" t="str">
            <v>P4028</v>
          </cell>
          <cell r="B1429" t="str">
            <v>Aleksandra</v>
          </cell>
          <cell r="C1429" t="str">
            <v>PAJEK</v>
          </cell>
          <cell r="D1429" t="str">
            <v>MKS Orlicz Suchedniów</v>
          </cell>
        </row>
        <row r="1430">
          <cell r="A1430" t="str">
            <v>P4027</v>
          </cell>
          <cell r="B1430" t="str">
            <v>Izabela</v>
          </cell>
          <cell r="C1430" t="str">
            <v>PAJEK</v>
          </cell>
          <cell r="D1430" t="str">
            <v>MKS Orlicz Suchedniów</v>
          </cell>
        </row>
        <row r="1431">
          <cell r="A1431" t="str">
            <v>P4029</v>
          </cell>
          <cell r="B1431" t="str">
            <v>Kamil</v>
          </cell>
          <cell r="C1431" t="str">
            <v>PAJEK</v>
          </cell>
          <cell r="D1431" t="str">
            <v>MKS Orlicz Suchedniów</v>
          </cell>
        </row>
        <row r="1432">
          <cell r="A1432" t="str">
            <v>P5376</v>
          </cell>
          <cell r="B1432" t="str">
            <v>Maksym</v>
          </cell>
          <cell r="C1432" t="str">
            <v>PAJEK</v>
          </cell>
          <cell r="D1432" t="str">
            <v>MKS Orlicz Suchedniów</v>
          </cell>
        </row>
        <row r="1433">
          <cell r="A1433" t="str">
            <v>P5076</v>
          </cell>
          <cell r="B1433" t="str">
            <v>Mateusz</v>
          </cell>
          <cell r="C1433" t="str">
            <v>PAKŁOS</v>
          </cell>
          <cell r="D1433" t="str">
            <v>UKSB Volant Mielec</v>
          </cell>
        </row>
        <row r="1434">
          <cell r="A1434" t="str">
            <v>P4954</v>
          </cell>
          <cell r="B1434" t="str">
            <v>Mariusz</v>
          </cell>
          <cell r="C1434" t="str">
            <v>PAKULSKI</v>
          </cell>
          <cell r="D1434" t="str">
            <v>----</v>
          </cell>
        </row>
        <row r="1435">
          <cell r="A1435" t="str">
            <v>P5423</v>
          </cell>
          <cell r="B1435" t="str">
            <v>Natalia</v>
          </cell>
          <cell r="C1435" t="str">
            <v>PALEWICZ</v>
          </cell>
          <cell r="D1435" t="str">
            <v>KS Chojnik Jelenia Góra</v>
          </cell>
        </row>
        <row r="1436">
          <cell r="A1436" t="str">
            <v>P1309</v>
          </cell>
          <cell r="B1436" t="str">
            <v>Wojciech</v>
          </cell>
          <cell r="C1436" t="str">
            <v>PALIKIJ</v>
          </cell>
          <cell r="D1436" t="str">
            <v>UKS Unia Bieruń</v>
          </cell>
        </row>
        <row r="1437">
          <cell r="A1437" t="str">
            <v>P5864</v>
          </cell>
          <cell r="B1437" t="str">
            <v>Jakub</v>
          </cell>
          <cell r="C1437" t="str">
            <v>PALMOWSKI</v>
          </cell>
          <cell r="D1437" t="str">
            <v>MKS Spartakus Niepołomice</v>
          </cell>
        </row>
        <row r="1438">
          <cell r="A1438" t="str">
            <v>P3555</v>
          </cell>
          <cell r="B1438" t="str">
            <v>Kinga</v>
          </cell>
          <cell r="C1438" t="str">
            <v>PALONKA</v>
          </cell>
          <cell r="D1438" t="str">
            <v>UKS Kiko Zamość</v>
          </cell>
        </row>
        <row r="1439">
          <cell r="A1439" t="str">
            <v>P4834</v>
          </cell>
          <cell r="B1439" t="str">
            <v>Jerzy</v>
          </cell>
          <cell r="C1439" t="str">
            <v>PAŁASZ</v>
          </cell>
          <cell r="D1439" t="str">
            <v>----</v>
          </cell>
        </row>
        <row r="1440">
          <cell r="A1440" t="str">
            <v>P5348</v>
          </cell>
          <cell r="B1440" t="str">
            <v>Wojciech</v>
          </cell>
          <cell r="C1440" t="str">
            <v>PAŁCZYŃSKI</v>
          </cell>
          <cell r="D1440" t="str">
            <v>UKS Kiko Zamość</v>
          </cell>
        </row>
        <row r="1441">
          <cell r="A1441" t="str">
            <v>P4274</v>
          </cell>
          <cell r="B1441" t="str">
            <v>Maciej</v>
          </cell>
          <cell r="C1441" t="str">
            <v>PAŁKA</v>
          </cell>
          <cell r="D1441" t="str">
            <v>KS Wesoła Warszawa</v>
          </cell>
        </row>
        <row r="1442">
          <cell r="A1442" t="str">
            <v>P5255</v>
          </cell>
          <cell r="B1442" t="str">
            <v>Michał</v>
          </cell>
          <cell r="C1442" t="str">
            <v>PAŁKA</v>
          </cell>
          <cell r="D1442" t="str">
            <v>KS Wesoła Warszawa</v>
          </cell>
        </row>
        <row r="1443">
          <cell r="A1443" t="str">
            <v>P5748</v>
          </cell>
          <cell r="B1443" t="str">
            <v>Marta</v>
          </cell>
          <cell r="C1443" t="str">
            <v>PAŁYGA</v>
          </cell>
          <cell r="D1443" t="str">
            <v>UKS Kiko Zamość</v>
          </cell>
        </row>
        <row r="1444">
          <cell r="A1444" t="str">
            <v>P4884</v>
          </cell>
          <cell r="B1444" t="str">
            <v>Patryk</v>
          </cell>
          <cell r="C1444" t="str">
            <v>PANASIEWICZ</v>
          </cell>
          <cell r="D1444" t="str">
            <v>KS Chojnik Jelenia Góra</v>
          </cell>
        </row>
        <row r="1445">
          <cell r="A1445" t="str">
            <v>P5424</v>
          </cell>
          <cell r="B1445" t="str">
            <v>Sandra</v>
          </cell>
          <cell r="C1445" t="str">
            <v>PANASIEWICZ</v>
          </cell>
          <cell r="D1445" t="str">
            <v>KS Chojnik Jelenia Góra</v>
          </cell>
        </row>
        <row r="1446">
          <cell r="A1446" t="str">
            <v>P4523</v>
          </cell>
          <cell r="B1446" t="str">
            <v>Paulina</v>
          </cell>
          <cell r="C1446" t="str">
            <v>PAPIERAK</v>
          </cell>
          <cell r="D1446" t="str">
            <v>KKS Ruch Piotrków Tryb.</v>
          </cell>
        </row>
        <row r="1447">
          <cell r="A1447" t="str">
            <v>P5890</v>
          </cell>
          <cell r="B1447" t="str">
            <v>Patrycja</v>
          </cell>
          <cell r="C1447" t="str">
            <v>PAPIŃSKA</v>
          </cell>
          <cell r="D1447" t="str">
            <v>MMKS Gdańsk</v>
          </cell>
        </row>
        <row r="1448">
          <cell r="A1448" t="str">
            <v>P2838</v>
          </cell>
          <cell r="B1448" t="str">
            <v>Aleksandra</v>
          </cell>
          <cell r="C1448" t="str">
            <v>PAPRZYCKA</v>
          </cell>
          <cell r="D1448" t="str">
            <v>MKB Lednik Miastko</v>
          </cell>
        </row>
        <row r="1449">
          <cell r="A1449" t="str">
            <v>P5698</v>
          </cell>
          <cell r="B1449" t="str">
            <v>Dariusz</v>
          </cell>
          <cell r="C1449" t="str">
            <v>PAPRZYCKI</v>
          </cell>
          <cell r="D1449" t="str">
            <v>----</v>
          </cell>
        </row>
        <row r="1450">
          <cell r="A1450" t="str">
            <v>P5721</v>
          </cell>
          <cell r="B1450" t="str">
            <v>Greta</v>
          </cell>
          <cell r="C1450" t="str">
            <v>PARDYKA</v>
          </cell>
          <cell r="D1450" t="str">
            <v>----</v>
          </cell>
        </row>
        <row r="1451">
          <cell r="A1451" t="str">
            <v>P4202</v>
          </cell>
          <cell r="B1451" t="str">
            <v>Bartłomiej</v>
          </cell>
          <cell r="C1451" t="str">
            <v>PARYSZ</v>
          </cell>
          <cell r="D1451" t="str">
            <v>UKS Unia Bieruń</v>
          </cell>
        </row>
        <row r="1452">
          <cell r="A1452" t="str">
            <v>P4197</v>
          </cell>
          <cell r="B1452" t="str">
            <v>Zuzanna</v>
          </cell>
          <cell r="C1452" t="str">
            <v>PARYSZ</v>
          </cell>
          <cell r="D1452" t="str">
            <v>UKS Unia Bieruń</v>
          </cell>
        </row>
        <row r="1453">
          <cell r="A1453" t="str">
            <v>P4611</v>
          </cell>
          <cell r="B1453" t="str">
            <v>Dorian</v>
          </cell>
          <cell r="C1453" t="str">
            <v>PASTERNAK</v>
          </cell>
          <cell r="D1453" t="str">
            <v>UKSOSIR Badminton Sławno</v>
          </cell>
        </row>
        <row r="1454">
          <cell r="A1454" t="str">
            <v>P1874</v>
          </cell>
          <cell r="B1454" t="str">
            <v>Justyna</v>
          </cell>
          <cell r="C1454" t="str">
            <v>PASTERNAK</v>
          </cell>
          <cell r="D1454" t="str">
            <v>LKS Technik Głubczyce</v>
          </cell>
        </row>
        <row r="1455">
          <cell r="A1455" t="str">
            <v>P1086</v>
          </cell>
          <cell r="B1455" t="str">
            <v>Andrzej</v>
          </cell>
          <cell r="C1455" t="str">
            <v>PASTUSZAK</v>
          </cell>
          <cell r="D1455" t="str">
            <v>----</v>
          </cell>
        </row>
        <row r="1456">
          <cell r="A1456" t="str">
            <v>P5370</v>
          </cell>
          <cell r="B1456" t="str">
            <v>Jakub</v>
          </cell>
          <cell r="C1456" t="str">
            <v>PASZKIEWICZ</v>
          </cell>
          <cell r="D1456" t="str">
            <v>MMKS Gdańsk</v>
          </cell>
        </row>
        <row r="1457">
          <cell r="A1457" t="str">
            <v>P3603</v>
          </cell>
          <cell r="B1457" t="str">
            <v>Bartosz</v>
          </cell>
          <cell r="C1457" t="str">
            <v>PASZKOWSKI</v>
          </cell>
          <cell r="D1457" t="str">
            <v>KS Chojnik Jelenia Góra</v>
          </cell>
        </row>
        <row r="1458">
          <cell r="A1458" t="str">
            <v>P4442</v>
          </cell>
          <cell r="B1458" t="str">
            <v>Izabela</v>
          </cell>
          <cell r="C1458" t="str">
            <v>PATRZAŁEK</v>
          </cell>
          <cell r="D1458" t="str">
            <v>AZSAGH Kraków</v>
          </cell>
        </row>
        <row r="1459">
          <cell r="A1459" t="str">
            <v>P5018</v>
          </cell>
          <cell r="B1459" t="str">
            <v>Ida</v>
          </cell>
          <cell r="C1459" t="str">
            <v>PATURY</v>
          </cell>
          <cell r="D1459" t="str">
            <v>KKS Ruch Piotrków Tryb.</v>
          </cell>
        </row>
        <row r="1460">
          <cell r="A1460" t="str">
            <v>P4808</v>
          </cell>
          <cell r="B1460" t="str">
            <v>Mikołaj</v>
          </cell>
          <cell r="C1460" t="str">
            <v>PAWEŁCZYK</v>
          </cell>
          <cell r="D1460" t="str">
            <v>AZSWAT Warszawa</v>
          </cell>
        </row>
        <row r="1461">
          <cell r="A1461" t="str">
            <v>P2756</v>
          </cell>
          <cell r="B1461" t="str">
            <v>Magdalena</v>
          </cell>
          <cell r="C1461" t="str">
            <v>PAWLUK</v>
          </cell>
          <cell r="D1461" t="str">
            <v>UKS Ostrówek</v>
          </cell>
        </row>
        <row r="1462">
          <cell r="A1462" t="str">
            <v>P5349</v>
          </cell>
          <cell r="B1462" t="str">
            <v>Małgorzata</v>
          </cell>
          <cell r="C1462" t="str">
            <v>PAWLUK</v>
          </cell>
          <cell r="D1462" t="str">
            <v>UKS Kiko Zamość</v>
          </cell>
        </row>
        <row r="1463">
          <cell r="A1463" t="str">
            <v>P0530</v>
          </cell>
          <cell r="B1463" t="str">
            <v>Ryszard</v>
          </cell>
          <cell r="C1463" t="str">
            <v>PAWLUK</v>
          </cell>
          <cell r="D1463" t="str">
            <v>----</v>
          </cell>
        </row>
        <row r="1464">
          <cell r="A1464" t="str">
            <v>P5676</v>
          </cell>
          <cell r="B1464" t="str">
            <v>Katarzyna</v>
          </cell>
          <cell r="C1464" t="str">
            <v>PAWŁOWICZ</v>
          </cell>
          <cell r="D1464" t="str">
            <v>UKS Smecz Bogatynia</v>
          </cell>
        </row>
        <row r="1465">
          <cell r="A1465" t="str">
            <v>P2593</v>
          </cell>
          <cell r="B1465" t="str">
            <v>Hubert</v>
          </cell>
          <cell r="C1465" t="str">
            <v>PAWŁOWSKI</v>
          </cell>
          <cell r="D1465" t="str">
            <v>PTS Puszczykowo</v>
          </cell>
        </row>
        <row r="1466">
          <cell r="A1466" t="str">
            <v>P4216</v>
          </cell>
          <cell r="B1466" t="str">
            <v>Bartosz</v>
          </cell>
          <cell r="C1466" t="str">
            <v>PAŹDZIOR</v>
          </cell>
          <cell r="D1466" t="str">
            <v>MUKS 5 Chełm</v>
          </cell>
        </row>
        <row r="1467">
          <cell r="A1467" t="str">
            <v>P0311</v>
          </cell>
          <cell r="B1467" t="str">
            <v>Hubert</v>
          </cell>
          <cell r="C1467" t="str">
            <v>PĄCZEK</v>
          </cell>
          <cell r="D1467" t="str">
            <v>AZSAGH Kraków</v>
          </cell>
        </row>
        <row r="1468">
          <cell r="A1468" t="str">
            <v>P4629</v>
          </cell>
          <cell r="B1468" t="str">
            <v>Klaudia</v>
          </cell>
          <cell r="C1468" t="str">
            <v>PEPLIŃSKA</v>
          </cell>
          <cell r="D1468" t="str">
            <v>ULKS U-2 Lotka Bytów</v>
          </cell>
        </row>
        <row r="1469">
          <cell r="A1469" t="str">
            <v>P5267</v>
          </cell>
          <cell r="B1469" t="str">
            <v>Lech</v>
          </cell>
          <cell r="C1469" t="str">
            <v>PERKO</v>
          </cell>
          <cell r="D1469" t="str">
            <v>----</v>
          </cell>
        </row>
        <row r="1470">
          <cell r="A1470" t="str">
            <v>P5888</v>
          </cell>
          <cell r="B1470" t="str">
            <v>Jakub</v>
          </cell>
          <cell r="C1470" t="str">
            <v>PERLIŃSKI</v>
          </cell>
          <cell r="D1470" t="str">
            <v>UKS Smecz Milicz</v>
          </cell>
        </row>
        <row r="1471">
          <cell r="A1471" t="str">
            <v>P5878</v>
          </cell>
          <cell r="B1471" t="str">
            <v>Michał</v>
          </cell>
          <cell r="C1471" t="str">
            <v>PERLIŃSKI</v>
          </cell>
          <cell r="D1471" t="str">
            <v>UKS Smecz Milicz</v>
          </cell>
        </row>
        <row r="1472">
          <cell r="A1472" t="str">
            <v>P4783</v>
          </cell>
          <cell r="B1472" t="str">
            <v>Jacek</v>
          </cell>
          <cell r="C1472" t="str">
            <v>PERSONA</v>
          </cell>
          <cell r="D1472" t="str">
            <v>----</v>
          </cell>
        </row>
        <row r="1473">
          <cell r="A1473" t="str">
            <v>P2342</v>
          </cell>
          <cell r="B1473" t="str">
            <v>Martyna</v>
          </cell>
          <cell r="C1473" t="str">
            <v>PERSONA</v>
          </cell>
          <cell r="D1473" t="str">
            <v>MKS Orlicz Suchedniów</v>
          </cell>
        </row>
        <row r="1474">
          <cell r="A1474" t="str">
            <v>P2183</v>
          </cell>
          <cell r="B1474" t="str">
            <v>Tomasz</v>
          </cell>
          <cell r="C1474" t="str">
            <v>PERSONA</v>
          </cell>
          <cell r="D1474" t="str">
            <v>MKS Orlicz Suchedniów</v>
          </cell>
        </row>
        <row r="1475">
          <cell r="A1475" t="str">
            <v>P1497</v>
          </cell>
          <cell r="B1475" t="str">
            <v>Jacek</v>
          </cell>
          <cell r="C1475" t="str">
            <v>PĘKACKI</v>
          </cell>
          <cell r="D1475" t="str">
            <v>----</v>
          </cell>
        </row>
        <row r="1476">
          <cell r="A1476" t="str">
            <v>P2520</v>
          </cell>
          <cell r="B1476" t="str">
            <v>Marta</v>
          </cell>
          <cell r="C1476" t="str">
            <v>PĘKALA</v>
          </cell>
          <cell r="D1476" t="str">
            <v>AZSAGH Kraków</v>
          </cell>
        </row>
        <row r="1477">
          <cell r="A1477" t="str">
            <v>P5120</v>
          </cell>
          <cell r="B1477" t="str">
            <v>Dagmara</v>
          </cell>
          <cell r="C1477" t="str">
            <v>PĘKAŁA</v>
          </cell>
          <cell r="D1477" t="str">
            <v>UKS Plesbad Pszczyna</v>
          </cell>
        </row>
        <row r="1478">
          <cell r="A1478" t="str">
            <v>P5472</v>
          </cell>
          <cell r="B1478" t="str">
            <v>Maja</v>
          </cell>
          <cell r="C1478" t="str">
            <v>PIASECKA</v>
          </cell>
          <cell r="D1478" t="str">
            <v>UKS 70 Płock</v>
          </cell>
        </row>
        <row r="1479">
          <cell r="A1479" t="str">
            <v>P4782</v>
          </cell>
          <cell r="B1479" t="str">
            <v>Andrzej</v>
          </cell>
          <cell r="C1479" t="str">
            <v>PIĄTEK</v>
          </cell>
          <cell r="D1479" t="str">
            <v>----</v>
          </cell>
        </row>
        <row r="1480">
          <cell r="A1480" t="str">
            <v>P3300</v>
          </cell>
          <cell r="B1480" t="str">
            <v>Dawid</v>
          </cell>
          <cell r="C1480" t="str">
            <v>PIĄTEK</v>
          </cell>
          <cell r="D1480" t="str">
            <v>UKSB Volant Mielec</v>
          </cell>
        </row>
        <row r="1481">
          <cell r="A1481" t="str">
            <v>P5629</v>
          </cell>
          <cell r="B1481" t="str">
            <v>Konrad</v>
          </cell>
          <cell r="C1481" t="str">
            <v>PIECH</v>
          </cell>
          <cell r="D1481" t="str">
            <v>UKS Hubal Białystok</v>
          </cell>
        </row>
        <row r="1482">
          <cell r="A1482" t="str">
            <v>P3093</v>
          </cell>
          <cell r="B1482" t="str">
            <v>Sławomir</v>
          </cell>
          <cell r="C1482" t="str">
            <v>PIECHNIK</v>
          </cell>
          <cell r="D1482" t="str">
            <v>----</v>
          </cell>
        </row>
        <row r="1483">
          <cell r="A1483" t="str">
            <v>P3707</v>
          </cell>
          <cell r="B1483" t="str">
            <v>Bartosz</v>
          </cell>
          <cell r="C1483" t="str">
            <v>PIEKARZ</v>
          </cell>
          <cell r="D1483" t="str">
            <v>UKS Orliki Ropica Polska</v>
          </cell>
        </row>
        <row r="1484">
          <cell r="A1484" t="str">
            <v>P5562</v>
          </cell>
          <cell r="B1484" t="str">
            <v>Szymon</v>
          </cell>
          <cell r="C1484" t="str">
            <v>PIEKARZ</v>
          </cell>
          <cell r="D1484" t="str">
            <v>UKS Orliki Ropica Polska</v>
          </cell>
        </row>
        <row r="1485">
          <cell r="A1485" t="str">
            <v>P0199</v>
          </cell>
          <cell r="B1485" t="str">
            <v>Maciej</v>
          </cell>
          <cell r="C1485" t="str">
            <v>PIEKŁO</v>
          </cell>
          <cell r="D1485" t="str">
            <v>AZSAGH Kraków</v>
          </cell>
        </row>
        <row r="1486">
          <cell r="A1486" t="str">
            <v>P4830</v>
          </cell>
          <cell r="B1486" t="str">
            <v>Zdzisław</v>
          </cell>
          <cell r="C1486" t="str">
            <v>PIEKOSZEWSKI</v>
          </cell>
          <cell r="D1486" t="str">
            <v>----</v>
          </cell>
        </row>
        <row r="1487">
          <cell r="A1487" t="str">
            <v>P5137</v>
          </cell>
          <cell r="B1487" t="str">
            <v>Krystian</v>
          </cell>
          <cell r="C1487" t="str">
            <v>PIELACIŃSKI</v>
          </cell>
          <cell r="D1487" t="str">
            <v>KS Masovia Płock</v>
          </cell>
        </row>
        <row r="1488">
          <cell r="A1488" t="str">
            <v>P0959</v>
          </cell>
          <cell r="B1488" t="str">
            <v>Paweł</v>
          </cell>
          <cell r="C1488" t="str">
            <v>PIELUSZYŃSKI</v>
          </cell>
          <cell r="D1488" t="str">
            <v>----</v>
          </cell>
        </row>
        <row r="1489">
          <cell r="A1489" t="str">
            <v>P2640</v>
          </cell>
          <cell r="B1489" t="str">
            <v>Patrycja</v>
          </cell>
          <cell r="C1489" t="str">
            <v>PIEPRZAK</v>
          </cell>
          <cell r="D1489" t="str">
            <v>UKS Sokół Ropczyce</v>
          </cell>
        </row>
        <row r="1490">
          <cell r="A1490" t="str">
            <v>P4684</v>
          </cell>
          <cell r="B1490" t="str">
            <v>Dominika</v>
          </cell>
          <cell r="C1490" t="str">
            <v>PIERÓG</v>
          </cell>
          <cell r="D1490" t="str">
            <v>UKSB Volant Mielec</v>
          </cell>
        </row>
        <row r="1491">
          <cell r="A1491" t="str">
            <v>P5009</v>
          </cell>
          <cell r="B1491" t="str">
            <v>Olga</v>
          </cell>
          <cell r="C1491" t="str">
            <v>PIESTRAK</v>
          </cell>
          <cell r="D1491" t="str">
            <v>----</v>
          </cell>
        </row>
        <row r="1492">
          <cell r="A1492" t="str">
            <v>P5665</v>
          </cell>
          <cell r="B1492" t="str">
            <v>Karolina</v>
          </cell>
          <cell r="C1492" t="str">
            <v>PIETNICA</v>
          </cell>
          <cell r="D1492" t="str">
            <v>UKS Jagiellonka Medyka</v>
          </cell>
        </row>
        <row r="1493">
          <cell r="A1493" t="str">
            <v>P5049</v>
          </cell>
          <cell r="B1493" t="str">
            <v>Patryk</v>
          </cell>
          <cell r="C1493" t="str">
            <v>PIETRAS</v>
          </cell>
          <cell r="D1493" t="str">
            <v>UKSB Volant Mielec</v>
          </cell>
        </row>
        <row r="1494">
          <cell r="A1494" t="str">
            <v>P4160</v>
          </cell>
          <cell r="B1494" t="str">
            <v>Kinga</v>
          </cell>
          <cell r="C1494" t="str">
            <v>PIETRUSIEWICZ</v>
          </cell>
          <cell r="D1494" t="str">
            <v>UKS Iskra Babimost</v>
          </cell>
        </row>
        <row r="1495">
          <cell r="A1495" t="str">
            <v>P5419</v>
          </cell>
          <cell r="B1495" t="str">
            <v>Jarosław</v>
          </cell>
          <cell r="C1495" t="str">
            <v>PIETRUSZKA</v>
          </cell>
          <cell r="D1495" t="str">
            <v>----</v>
          </cell>
        </row>
        <row r="1496">
          <cell r="A1496" t="str">
            <v>P5540</v>
          </cell>
          <cell r="B1496" t="str">
            <v>Joanna</v>
          </cell>
          <cell r="C1496" t="str">
            <v>PIETRUSZKA</v>
          </cell>
          <cell r="D1496" t="str">
            <v>UKS Junior Wrzosowa</v>
          </cell>
        </row>
        <row r="1497">
          <cell r="A1497" t="str">
            <v>P3246</v>
          </cell>
          <cell r="B1497" t="str">
            <v>Mateusz</v>
          </cell>
          <cell r="C1497" t="str">
            <v>PIETRUSZKA</v>
          </cell>
          <cell r="D1497" t="str">
            <v>KS Chojnik Jelenia Góra</v>
          </cell>
        </row>
        <row r="1498">
          <cell r="A1498" t="str">
            <v>P0987</v>
          </cell>
          <cell r="B1498" t="str">
            <v>Bartosz</v>
          </cell>
          <cell r="C1498" t="str">
            <v>PIETRYJA</v>
          </cell>
          <cell r="D1498" t="str">
            <v>UKS Plesbad Pszczyna</v>
          </cell>
        </row>
        <row r="1499">
          <cell r="A1499" t="str">
            <v>P0986</v>
          </cell>
          <cell r="B1499" t="str">
            <v>Małgorzata</v>
          </cell>
          <cell r="C1499" t="str">
            <v>PIETRYJA</v>
          </cell>
          <cell r="D1499" t="str">
            <v>UKS Plesbad Pszczyna</v>
          </cell>
        </row>
        <row r="1500">
          <cell r="A1500" t="str">
            <v>P1929</v>
          </cell>
          <cell r="B1500" t="str">
            <v>Paweł</v>
          </cell>
          <cell r="C1500" t="str">
            <v>PIETRYJA</v>
          </cell>
          <cell r="D1500" t="str">
            <v>UKS Plesbad Pszczyna</v>
          </cell>
        </row>
        <row r="1501">
          <cell r="A1501" t="str">
            <v>P4759</v>
          </cell>
          <cell r="B1501" t="str">
            <v>Martyna</v>
          </cell>
          <cell r="C1501" t="str">
            <v>PIETRZAK</v>
          </cell>
          <cell r="D1501" t="str">
            <v>MLKS Solec Kuj.</v>
          </cell>
        </row>
        <row r="1502">
          <cell r="A1502" t="str">
            <v>P4758</v>
          </cell>
          <cell r="B1502" t="str">
            <v>Natalia</v>
          </cell>
          <cell r="C1502" t="str">
            <v>PIETRZAK</v>
          </cell>
          <cell r="D1502" t="str">
            <v>MLKS Solec Kuj.</v>
          </cell>
        </row>
        <row r="1503">
          <cell r="A1503" t="str">
            <v>P4392</v>
          </cell>
          <cell r="B1503" t="str">
            <v>Karol</v>
          </cell>
          <cell r="C1503" t="str">
            <v>PIKUŁA</v>
          </cell>
          <cell r="D1503" t="str">
            <v>UKS Hubal Białystok</v>
          </cell>
        </row>
        <row r="1504">
          <cell r="A1504" t="str">
            <v>P3571</v>
          </cell>
          <cell r="B1504" t="str">
            <v>Klaudia</v>
          </cell>
          <cell r="C1504" t="str">
            <v>PIKUZIŃSKA</v>
          </cell>
          <cell r="D1504" t="str">
            <v>UKS Kiko Zamość</v>
          </cell>
        </row>
        <row r="1505">
          <cell r="A1505" t="str">
            <v>P4819</v>
          </cell>
          <cell r="B1505" t="str">
            <v>Justyna</v>
          </cell>
          <cell r="C1505" t="str">
            <v>PILARSKA</v>
          </cell>
          <cell r="D1505" t="str">
            <v>MKS Spartakus Niepołomice</v>
          </cell>
        </row>
        <row r="1506">
          <cell r="A1506" t="str">
            <v>P3098</v>
          </cell>
          <cell r="B1506" t="str">
            <v>Robert</v>
          </cell>
          <cell r="C1506" t="str">
            <v>PILNY</v>
          </cell>
          <cell r="D1506" t="str">
            <v>----</v>
          </cell>
        </row>
        <row r="1507">
          <cell r="A1507" t="str">
            <v>P5588</v>
          </cell>
          <cell r="B1507" t="str">
            <v>Aleksandra</v>
          </cell>
          <cell r="C1507" t="str">
            <v>PIOTROWSKA</v>
          </cell>
          <cell r="D1507" t="str">
            <v>BKS Kolejarz Częstochowa</v>
          </cell>
        </row>
        <row r="1508">
          <cell r="A1508" t="str">
            <v>P1946</v>
          </cell>
          <cell r="B1508" t="str">
            <v>Ewa</v>
          </cell>
          <cell r="C1508" t="str">
            <v>PIOTROWSKA</v>
          </cell>
          <cell r="D1508" t="str">
            <v>UKS Hubal Białystok</v>
          </cell>
        </row>
        <row r="1509">
          <cell r="A1509" t="str">
            <v>P5690</v>
          </cell>
          <cell r="B1509" t="str">
            <v>Hanna</v>
          </cell>
          <cell r="C1509" t="str">
            <v>PIOTROWSKA</v>
          </cell>
          <cell r="D1509" t="str">
            <v>UKS Smecz Bogatynia</v>
          </cell>
        </row>
        <row r="1510">
          <cell r="A1510" t="str">
            <v>P5195</v>
          </cell>
          <cell r="B1510" t="str">
            <v>Monika</v>
          </cell>
          <cell r="C1510" t="str">
            <v>PIOTROWSKA</v>
          </cell>
          <cell r="D1510" t="str">
            <v>UKS Kiko Zamość</v>
          </cell>
        </row>
        <row r="1511">
          <cell r="A1511" t="str">
            <v>P4482</v>
          </cell>
          <cell r="B1511" t="str">
            <v>Oliwia</v>
          </cell>
          <cell r="C1511" t="str">
            <v>PIOTROWSKA</v>
          </cell>
          <cell r="D1511" t="str">
            <v>UKS Kiko Zamość</v>
          </cell>
        </row>
        <row r="1512">
          <cell r="A1512" t="str">
            <v>P5350</v>
          </cell>
          <cell r="B1512" t="str">
            <v>Miłosz</v>
          </cell>
          <cell r="C1512" t="str">
            <v>PIOTROWSKI</v>
          </cell>
          <cell r="D1512" t="str">
            <v>UKS Kiko Zamość</v>
          </cell>
        </row>
        <row r="1513">
          <cell r="A1513" t="str">
            <v>P4762</v>
          </cell>
          <cell r="B1513" t="str">
            <v>Zuzanna</v>
          </cell>
          <cell r="C1513" t="str">
            <v>PIÓRO</v>
          </cell>
          <cell r="D1513" t="str">
            <v>UKS 25 Kielce</v>
          </cell>
        </row>
        <row r="1514">
          <cell r="A1514" t="str">
            <v>P4183</v>
          </cell>
          <cell r="B1514" t="str">
            <v>Michał</v>
          </cell>
          <cell r="C1514" t="str">
            <v>PIRECKI</v>
          </cell>
          <cell r="D1514" t="str">
            <v>BKS Kolejarz Częstochowa</v>
          </cell>
        </row>
        <row r="1515">
          <cell r="A1515" t="str">
            <v>P3533</v>
          </cell>
          <cell r="B1515" t="str">
            <v>Magdalena</v>
          </cell>
          <cell r="C1515" t="str">
            <v>PIRZEWSKA</v>
          </cell>
          <cell r="D1515" t="str">
            <v>ZKB Maced Polanów</v>
          </cell>
        </row>
        <row r="1516">
          <cell r="A1516" t="str">
            <v>P3435</v>
          </cell>
          <cell r="B1516" t="str">
            <v>Rafał</v>
          </cell>
          <cell r="C1516" t="str">
            <v>PIŚNIAK</v>
          </cell>
          <cell r="D1516" t="str">
            <v>MMKS Kędzierzyn-Koźle</v>
          </cell>
        </row>
        <row r="1517">
          <cell r="A1517" t="str">
            <v>P5447</v>
          </cell>
          <cell r="B1517" t="str">
            <v>Jakub</v>
          </cell>
          <cell r="C1517" t="str">
            <v>PITURA</v>
          </cell>
          <cell r="D1517" t="str">
            <v>KKS Warmia Olsztyn</v>
          </cell>
        </row>
        <row r="1518">
          <cell r="A1518" t="str">
            <v>P5439</v>
          </cell>
          <cell r="B1518" t="str">
            <v>Kacper</v>
          </cell>
          <cell r="C1518" t="str">
            <v>PIWOWAR</v>
          </cell>
          <cell r="D1518" t="str">
            <v>ULKS Łączna</v>
          </cell>
        </row>
        <row r="1519">
          <cell r="A1519" t="str">
            <v>P5438</v>
          </cell>
          <cell r="B1519" t="str">
            <v>Marcin</v>
          </cell>
          <cell r="C1519" t="str">
            <v>PIWOWAR</v>
          </cell>
          <cell r="D1519" t="str">
            <v>ULKS Łączna</v>
          </cell>
        </row>
        <row r="1520">
          <cell r="A1520" t="str">
            <v>P5242</v>
          </cell>
          <cell r="B1520" t="str">
            <v>Krzysztof</v>
          </cell>
          <cell r="C1520" t="str">
            <v>PIWOWARSKI</v>
          </cell>
          <cell r="D1520" t="str">
            <v>UKS 2 Sobótka</v>
          </cell>
        </row>
        <row r="1521">
          <cell r="A1521" t="str">
            <v>P5025</v>
          </cell>
          <cell r="B1521" t="str">
            <v>Jakub</v>
          </cell>
          <cell r="C1521" t="str">
            <v>PLASZCZYK</v>
          </cell>
          <cell r="D1521" t="str">
            <v>MKS Strzelce Opolskie</v>
          </cell>
        </row>
        <row r="1522">
          <cell r="A1522" t="str">
            <v>P5458</v>
          </cell>
          <cell r="B1522" t="str">
            <v>Michał</v>
          </cell>
          <cell r="C1522" t="str">
            <v>PLISKOWSKI</v>
          </cell>
          <cell r="D1522" t="str">
            <v>MKB Lednik Miastko</v>
          </cell>
        </row>
        <row r="1523">
          <cell r="A1523" t="str">
            <v>P5912</v>
          </cell>
          <cell r="B1523" t="str">
            <v>Julia</v>
          </cell>
          <cell r="C1523" t="str">
            <v>PŁAWECKA</v>
          </cell>
          <cell r="D1523" t="str">
            <v>UKS Plesbad Pszczyna</v>
          </cell>
        </row>
        <row r="1524">
          <cell r="A1524" t="str">
            <v>P 075</v>
          </cell>
          <cell r="B1524" t="str">
            <v>Damian</v>
          </cell>
          <cell r="C1524" t="str">
            <v>PŁAWECKI</v>
          </cell>
          <cell r="D1524" t="str">
            <v>AZSAGH Kraków</v>
          </cell>
        </row>
        <row r="1525">
          <cell r="A1525" t="str">
            <v>P3965</v>
          </cell>
          <cell r="B1525" t="str">
            <v>Mateusz</v>
          </cell>
          <cell r="C1525" t="str">
            <v>PŁAWECKI</v>
          </cell>
          <cell r="D1525" t="str">
            <v>AZSAGH Kraków</v>
          </cell>
        </row>
        <row r="1526">
          <cell r="A1526" t="str">
            <v>P5490</v>
          </cell>
          <cell r="B1526" t="str">
            <v>Radosław</v>
          </cell>
          <cell r="C1526" t="str">
            <v>PŁAWECKI</v>
          </cell>
          <cell r="D1526" t="str">
            <v>UKS Plesbad Pszczyna</v>
          </cell>
        </row>
        <row r="1527">
          <cell r="A1527" t="str">
            <v>P3934</v>
          </cell>
          <cell r="B1527" t="str">
            <v>Patryk</v>
          </cell>
          <cell r="C1527" t="str">
            <v>PŁAZA</v>
          </cell>
          <cell r="D1527" t="str">
            <v>UKS Smecz Bogatynia</v>
          </cell>
        </row>
        <row r="1528">
          <cell r="A1528" t="str">
            <v>P4119</v>
          </cell>
          <cell r="B1528" t="str">
            <v>Kamil</v>
          </cell>
          <cell r="C1528" t="str">
            <v>PŁOCH</v>
          </cell>
          <cell r="D1528" t="str">
            <v>UKS Start Widełka</v>
          </cell>
        </row>
        <row r="1529">
          <cell r="A1529" t="str">
            <v>P4121</v>
          </cell>
          <cell r="B1529" t="str">
            <v>Konrad</v>
          </cell>
          <cell r="C1529" t="str">
            <v>PŁOCH</v>
          </cell>
          <cell r="D1529" t="str">
            <v>UKS Start Widełka</v>
          </cell>
        </row>
        <row r="1530">
          <cell r="A1530" t="str">
            <v>P4530</v>
          </cell>
          <cell r="B1530" t="str">
            <v>Krzysztof</v>
          </cell>
          <cell r="C1530" t="str">
            <v>PŁOCH</v>
          </cell>
          <cell r="D1530" t="str">
            <v>UKS Start Widełka</v>
          </cell>
        </row>
        <row r="1531">
          <cell r="A1531" t="str">
            <v>P5554</v>
          </cell>
          <cell r="B1531" t="str">
            <v>Daniel</v>
          </cell>
          <cell r="C1531" t="str">
            <v>PŁODZIEŃ</v>
          </cell>
          <cell r="D1531" t="str">
            <v>AZSAGH Kraków</v>
          </cell>
        </row>
        <row r="1532">
          <cell r="A1532" t="str">
            <v>P3627</v>
          </cell>
          <cell r="B1532" t="str">
            <v>Kamila</v>
          </cell>
          <cell r="C1532" t="str">
            <v>PŁODZIEŃ</v>
          </cell>
          <cell r="D1532" t="str">
            <v>SKB Piast Słupsk</v>
          </cell>
        </row>
        <row r="1533">
          <cell r="A1533" t="str">
            <v>P4642</v>
          </cell>
          <cell r="B1533" t="str">
            <v>Dawid</v>
          </cell>
          <cell r="C1533" t="str">
            <v>PŁOKARZ</v>
          </cell>
          <cell r="D1533" t="str">
            <v>OTB Lotka Ostrów Wlkp.</v>
          </cell>
        </row>
        <row r="1534">
          <cell r="A1534" t="str">
            <v>P5466</v>
          </cell>
          <cell r="B1534" t="str">
            <v>Wiktoria</v>
          </cell>
          <cell r="C1534" t="str">
            <v>PŁOSKONKA</v>
          </cell>
          <cell r="D1534" t="str">
            <v>KS Chojnik Jelenia Góra</v>
          </cell>
        </row>
        <row r="1535">
          <cell r="A1535" t="str">
            <v>P2012</v>
          </cell>
          <cell r="B1535" t="str">
            <v>Emilia</v>
          </cell>
          <cell r="C1535" t="str">
            <v>POCZTOWIAK</v>
          </cell>
          <cell r="D1535" t="str">
            <v>UKS Iskra Babimost</v>
          </cell>
        </row>
        <row r="1536">
          <cell r="A1536" t="str">
            <v>P0841</v>
          </cell>
          <cell r="B1536" t="str">
            <v>Natalia</v>
          </cell>
          <cell r="C1536" t="str">
            <v>POCZTOWIAK</v>
          </cell>
          <cell r="D1536" t="str">
            <v>LKS Technik Głubczyce</v>
          </cell>
        </row>
        <row r="1537">
          <cell r="A1537" t="str">
            <v>P3368</v>
          </cell>
          <cell r="B1537" t="str">
            <v>Mateusz</v>
          </cell>
          <cell r="C1537" t="str">
            <v>PODLEWSKI</v>
          </cell>
          <cell r="D1537" t="str">
            <v>KKS Ruch Piotrków Tryb.</v>
          </cell>
        </row>
        <row r="1538">
          <cell r="A1538" t="str">
            <v>P5385</v>
          </cell>
          <cell r="B1538" t="str">
            <v>Marcel</v>
          </cell>
          <cell r="C1538" t="str">
            <v>PODNIESIŃSKI</v>
          </cell>
          <cell r="D1538" t="str">
            <v>MKS Orlicz Suchedniów</v>
          </cell>
        </row>
        <row r="1539">
          <cell r="A1539" t="str">
            <v>P4286</v>
          </cell>
          <cell r="B1539" t="str">
            <v>Ewelina</v>
          </cell>
          <cell r="C1539" t="str">
            <v>PODZIEWSKA</v>
          </cell>
          <cell r="D1539" t="str">
            <v>SKB Suwałki</v>
          </cell>
        </row>
        <row r="1540">
          <cell r="A1540" t="str">
            <v>P0623</v>
          </cell>
          <cell r="B1540" t="str">
            <v>Mariusz</v>
          </cell>
          <cell r="C1540" t="str">
            <v>POGOŃ</v>
          </cell>
          <cell r="D1540" t="str">
            <v>AZSAGH Kraków</v>
          </cell>
        </row>
        <row r="1541">
          <cell r="A1541" t="str">
            <v>P4833</v>
          </cell>
          <cell r="B1541" t="str">
            <v>Łukasz</v>
          </cell>
          <cell r="C1541" t="str">
            <v>POHL</v>
          </cell>
          <cell r="D1541" t="str">
            <v>----</v>
          </cell>
        </row>
        <row r="1542">
          <cell r="A1542" t="str">
            <v>P0726</v>
          </cell>
          <cell r="B1542" t="str">
            <v>Przemysław</v>
          </cell>
          <cell r="C1542" t="str">
            <v>POHL</v>
          </cell>
          <cell r="D1542" t="str">
            <v>----</v>
          </cell>
        </row>
        <row r="1543">
          <cell r="A1543" t="str">
            <v>P4254</v>
          </cell>
          <cell r="B1543" t="str">
            <v>Daria</v>
          </cell>
          <cell r="C1543" t="str">
            <v>POKORSKA</v>
          </cell>
          <cell r="D1543" t="str">
            <v>UKS Kopernik Słupca</v>
          </cell>
        </row>
        <row r="1544">
          <cell r="A1544" t="str">
            <v>P4246</v>
          </cell>
          <cell r="B1544" t="str">
            <v>Klaudia</v>
          </cell>
          <cell r="C1544" t="str">
            <v>POKUSIŃSKA</v>
          </cell>
          <cell r="D1544" t="str">
            <v>KKS Ruch Piotrków Tryb.</v>
          </cell>
        </row>
        <row r="1545">
          <cell r="A1545" t="str">
            <v>P4726</v>
          </cell>
          <cell r="B1545" t="str">
            <v>Paweł</v>
          </cell>
          <cell r="C1545" t="str">
            <v>POLAKOWSKI</v>
          </cell>
          <cell r="D1545" t="str">
            <v>UKS Hubal Białystok</v>
          </cell>
        </row>
        <row r="1546">
          <cell r="A1546" t="str">
            <v>P5709</v>
          </cell>
          <cell r="B1546" t="str">
            <v>Mikołaj</v>
          </cell>
          <cell r="C1546" t="str">
            <v>POLAŃSKI</v>
          </cell>
          <cell r="D1546" t="str">
            <v>----</v>
          </cell>
        </row>
        <row r="1547">
          <cell r="A1547" t="str">
            <v>P2686</v>
          </cell>
          <cell r="B1547" t="str">
            <v>Michał</v>
          </cell>
          <cell r="C1547" t="str">
            <v>POLEK</v>
          </cell>
          <cell r="D1547" t="str">
            <v>LKS Technik Głubczyce</v>
          </cell>
        </row>
        <row r="1548">
          <cell r="A1548" t="str">
            <v>P4367</v>
          </cell>
          <cell r="B1548" t="str">
            <v>Katarzyna</v>
          </cell>
          <cell r="C1548" t="str">
            <v>POLOCZEK</v>
          </cell>
          <cell r="D1548" t="str">
            <v>STB Energia Lubliniec</v>
          </cell>
        </row>
        <row r="1549">
          <cell r="A1549" t="str">
            <v>P5760</v>
          </cell>
          <cell r="B1549" t="str">
            <v>Mariusz</v>
          </cell>
          <cell r="C1549" t="str">
            <v>POPA</v>
          </cell>
          <cell r="D1549" t="str">
            <v>UKS Korona Pabianice</v>
          </cell>
        </row>
        <row r="1550">
          <cell r="A1550" t="str">
            <v>P0650</v>
          </cell>
          <cell r="B1550" t="str">
            <v>Paweł</v>
          </cell>
          <cell r="C1550" t="str">
            <v>POPENDA</v>
          </cell>
          <cell r="D1550" t="str">
            <v>BKS Kolejarz Częstochowa</v>
          </cell>
        </row>
        <row r="1551">
          <cell r="A1551" t="str">
            <v>P5729</v>
          </cell>
          <cell r="B1551" t="str">
            <v>Zuzanna</v>
          </cell>
          <cell r="C1551" t="str">
            <v>POPIK</v>
          </cell>
          <cell r="D1551" t="str">
            <v>UKS Orkan Przeźmierowo</v>
          </cell>
        </row>
        <row r="1552">
          <cell r="A1552" t="str">
            <v>P0265</v>
          </cell>
          <cell r="B1552" t="str">
            <v>Kamil</v>
          </cell>
          <cell r="C1552" t="str">
            <v>POPŁAWSKI</v>
          </cell>
          <cell r="D1552" t="str">
            <v>----</v>
          </cell>
        </row>
        <row r="1553">
          <cell r="A1553" t="str">
            <v>P3283</v>
          </cell>
          <cell r="B1553" t="str">
            <v>Magdalena</v>
          </cell>
          <cell r="C1553" t="str">
            <v>POPRZECZKO</v>
          </cell>
          <cell r="D1553" t="str">
            <v>UKS Badminton Stare Babice</v>
          </cell>
        </row>
        <row r="1554">
          <cell r="A1554" t="str">
            <v>P2001</v>
          </cell>
          <cell r="B1554" t="str">
            <v>Martyna</v>
          </cell>
          <cell r="C1554" t="str">
            <v>POPRZECZKO</v>
          </cell>
          <cell r="D1554" t="str">
            <v>UKS Badminton Stare Babice</v>
          </cell>
        </row>
        <row r="1555">
          <cell r="A1555" t="str">
            <v>P0773</v>
          </cell>
          <cell r="B1555" t="str">
            <v>Wojciech</v>
          </cell>
          <cell r="C1555" t="str">
            <v>POSZELĘŻNY</v>
          </cell>
          <cell r="D1555" t="str">
            <v>LUKS Badminton Choroszcz</v>
          </cell>
        </row>
        <row r="1556">
          <cell r="A1556" t="str">
            <v>P5834</v>
          </cell>
          <cell r="B1556" t="str">
            <v>Paweł</v>
          </cell>
          <cell r="C1556" t="str">
            <v>POTAŚ</v>
          </cell>
          <cell r="D1556" t="str">
            <v>UKS Hubal Białystok</v>
          </cell>
        </row>
        <row r="1557">
          <cell r="A1557" t="str">
            <v>P1826</v>
          </cell>
          <cell r="B1557" t="str">
            <v>Maciej</v>
          </cell>
          <cell r="C1557" t="str">
            <v>POULAKOWSKI</v>
          </cell>
          <cell r="D1557" t="str">
            <v>SKB Suwałki</v>
          </cell>
        </row>
        <row r="1558">
          <cell r="A1558" t="str">
            <v>P5351</v>
          </cell>
          <cell r="B1558" t="str">
            <v>Norbert</v>
          </cell>
          <cell r="C1558" t="str">
            <v>POŹDZIK</v>
          </cell>
          <cell r="D1558" t="str">
            <v>UKS Kiko Zamość</v>
          </cell>
        </row>
        <row r="1559">
          <cell r="A1559" t="str">
            <v>P4363</v>
          </cell>
          <cell r="B1559" t="str">
            <v>Angelika</v>
          </cell>
          <cell r="C1559" t="str">
            <v>PRADELA</v>
          </cell>
          <cell r="D1559" t="str">
            <v>STB Energia Lubliniec</v>
          </cell>
        </row>
        <row r="1560">
          <cell r="A1560" t="str">
            <v>P4951</v>
          </cell>
          <cell r="B1560" t="str">
            <v>Grzegorz</v>
          </cell>
          <cell r="C1560" t="str">
            <v>PRADELA</v>
          </cell>
          <cell r="D1560" t="str">
            <v>STB Energia Lubliniec</v>
          </cell>
        </row>
        <row r="1561">
          <cell r="A1561" t="str">
            <v>P4366</v>
          </cell>
          <cell r="B1561" t="str">
            <v>Patrycja</v>
          </cell>
          <cell r="C1561" t="str">
            <v>PRADELA</v>
          </cell>
          <cell r="D1561" t="str">
            <v>STB Energia Lubliniec</v>
          </cell>
        </row>
        <row r="1562">
          <cell r="A1562" t="str">
            <v>P5807</v>
          </cell>
          <cell r="B1562" t="str">
            <v>Filip</v>
          </cell>
          <cell r="C1562" t="str">
            <v>PRAJS</v>
          </cell>
          <cell r="D1562" t="str">
            <v>UKS Feniks Kędzierzyn-Koźle</v>
          </cell>
        </row>
        <row r="1563">
          <cell r="A1563" t="str">
            <v>P5422</v>
          </cell>
          <cell r="B1563" t="str">
            <v>Jakub</v>
          </cell>
          <cell r="C1563" t="str">
            <v>PRASK</v>
          </cell>
          <cell r="D1563" t="str">
            <v>KS Chojnik Jelenia Góra</v>
          </cell>
        </row>
        <row r="1564">
          <cell r="A1564" t="str">
            <v>P5190</v>
          </cell>
          <cell r="B1564" t="str">
            <v>Adam</v>
          </cell>
          <cell r="C1564" t="str">
            <v>PRASOŁEK</v>
          </cell>
          <cell r="D1564" t="str">
            <v>STB Energia Lubliniec</v>
          </cell>
        </row>
        <row r="1565">
          <cell r="A1565" t="str">
            <v>P2095</v>
          </cell>
          <cell r="B1565" t="str">
            <v>Paweł</v>
          </cell>
          <cell r="C1565" t="str">
            <v>PRĄDZIŃSKI</v>
          </cell>
          <cell r="D1565" t="str">
            <v>UKS Kometa Sianów</v>
          </cell>
        </row>
        <row r="1566">
          <cell r="A1566" t="str">
            <v>P5507</v>
          </cell>
          <cell r="B1566" t="str">
            <v>Michalina</v>
          </cell>
          <cell r="C1566" t="str">
            <v>PRENDECKA</v>
          </cell>
          <cell r="D1566" t="str">
            <v>ZKB Maced Polanów</v>
          </cell>
        </row>
        <row r="1567">
          <cell r="A1567" t="str">
            <v>P5506</v>
          </cell>
          <cell r="B1567" t="str">
            <v>Filip</v>
          </cell>
          <cell r="C1567" t="str">
            <v>PRENDECKI</v>
          </cell>
          <cell r="D1567" t="str">
            <v>ZKB Maced Polanów</v>
          </cell>
        </row>
        <row r="1568">
          <cell r="A1568" t="str">
            <v>P0924</v>
          </cell>
          <cell r="B1568" t="str">
            <v>Zdzisława</v>
          </cell>
          <cell r="C1568" t="str">
            <v>PRĘDKA</v>
          </cell>
          <cell r="D1568" t="str">
            <v>UTS Akro-Bad Warszawa</v>
          </cell>
        </row>
        <row r="1569">
          <cell r="A1569" t="str">
            <v>P 051</v>
          </cell>
          <cell r="B1569" t="str">
            <v>Jacek</v>
          </cell>
          <cell r="C1569" t="str">
            <v>PRĘDKI</v>
          </cell>
          <cell r="D1569" t="str">
            <v>MKS Garwolin</v>
          </cell>
        </row>
        <row r="1570">
          <cell r="A1570" t="str">
            <v>P0925</v>
          </cell>
          <cell r="B1570" t="str">
            <v>Kazimierz</v>
          </cell>
          <cell r="C1570" t="str">
            <v>PRĘDKI</v>
          </cell>
          <cell r="D1570" t="str">
            <v>UTS Akro-Bad Warszawa</v>
          </cell>
        </row>
        <row r="1571">
          <cell r="A1571" t="str">
            <v>P5185</v>
          </cell>
          <cell r="B1571" t="str">
            <v>Tomasz</v>
          </cell>
          <cell r="C1571" t="str">
            <v>PROĆ</v>
          </cell>
          <cell r="D1571" t="str">
            <v>UKS Kiko Zamość</v>
          </cell>
        </row>
        <row r="1572">
          <cell r="A1572" t="str">
            <v>P5207</v>
          </cell>
          <cell r="B1572" t="str">
            <v>Adam</v>
          </cell>
          <cell r="C1572" t="str">
            <v>PROKOPCZUK</v>
          </cell>
          <cell r="D1572" t="str">
            <v>UKS Feniks Kędzierzyn-Koźle</v>
          </cell>
        </row>
        <row r="1573">
          <cell r="A1573" t="str">
            <v>P5948</v>
          </cell>
          <cell r="B1573" t="str">
            <v>Julia</v>
          </cell>
          <cell r="C1573" t="str">
            <v>PROKOPCZUK</v>
          </cell>
          <cell r="D1573" t="str">
            <v>UKS Feniks Kędzierzyn-Koźle</v>
          </cell>
        </row>
        <row r="1574">
          <cell r="A1574" t="str">
            <v>P5444</v>
          </cell>
          <cell r="B1574" t="str">
            <v>Aleks</v>
          </cell>
          <cell r="C1574" t="str">
            <v>PROMNY</v>
          </cell>
          <cell r="D1574" t="str">
            <v>KKS Ruch Piotrków Tryb.</v>
          </cell>
        </row>
        <row r="1575">
          <cell r="A1575" t="str">
            <v>P5456</v>
          </cell>
          <cell r="B1575" t="str">
            <v>Ernest</v>
          </cell>
          <cell r="C1575" t="str">
            <v>PRONDZIŃSKI</v>
          </cell>
          <cell r="D1575" t="str">
            <v>MKB Lednik Miastko</v>
          </cell>
        </row>
        <row r="1576">
          <cell r="A1576" t="str">
            <v>P5452</v>
          </cell>
          <cell r="B1576" t="str">
            <v>Aleksandra</v>
          </cell>
          <cell r="C1576" t="str">
            <v>PRUS</v>
          </cell>
          <cell r="D1576" t="str">
            <v>KS Chojnik Jelenia Góra</v>
          </cell>
        </row>
        <row r="1577">
          <cell r="A1577" t="str">
            <v>P4942</v>
          </cell>
          <cell r="B1577" t="str">
            <v>Wiktoria</v>
          </cell>
          <cell r="C1577" t="str">
            <v>PRUSZYŃSKA</v>
          </cell>
          <cell r="D1577" t="str">
            <v>LUKS Księżyno</v>
          </cell>
        </row>
        <row r="1578">
          <cell r="A1578" t="str">
            <v>P5764</v>
          </cell>
          <cell r="B1578" t="str">
            <v>Ewelina</v>
          </cell>
          <cell r="C1578" t="str">
            <v>PRYGA</v>
          </cell>
          <cell r="D1578" t="str">
            <v>MKSKSOS Kraków</v>
          </cell>
        </row>
        <row r="1579">
          <cell r="A1579" t="str">
            <v>P4126</v>
          </cell>
          <cell r="B1579" t="str">
            <v>Andrzej</v>
          </cell>
          <cell r="C1579" t="str">
            <v>PRZEDPEŁSKI</v>
          </cell>
          <cell r="D1579" t="str">
            <v>ŚKBad Harcownik Warszawa</v>
          </cell>
        </row>
        <row r="1580">
          <cell r="A1580" t="str">
            <v>P4925</v>
          </cell>
          <cell r="B1580" t="str">
            <v>Anna</v>
          </cell>
          <cell r="C1580" t="str">
            <v>PRZEPIÓRA</v>
          </cell>
          <cell r="D1580" t="str">
            <v>UKS 25 Kielce</v>
          </cell>
        </row>
        <row r="1581">
          <cell r="A1581" t="str">
            <v>P4447</v>
          </cell>
          <cell r="B1581" t="str">
            <v>Wiktoria</v>
          </cell>
          <cell r="C1581" t="str">
            <v>PRZEWROCKA</v>
          </cell>
          <cell r="D1581" t="str">
            <v>AZSAGH Kraków</v>
          </cell>
        </row>
        <row r="1582">
          <cell r="A1582" t="str">
            <v>P4064</v>
          </cell>
          <cell r="B1582" t="str">
            <v>Jan</v>
          </cell>
          <cell r="C1582" t="str">
            <v>PRZYBYLSKI</v>
          </cell>
          <cell r="D1582" t="str">
            <v>----</v>
          </cell>
        </row>
        <row r="1583">
          <cell r="A1583" t="str">
            <v>P5477</v>
          </cell>
          <cell r="B1583" t="str">
            <v>Paulina</v>
          </cell>
          <cell r="C1583" t="str">
            <v>PRZYBYŁ</v>
          </cell>
          <cell r="D1583" t="str">
            <v>UKS Iskra Sarbice</v>
          </cell>
        </row>
        <row r="1584">
          <cell r="A1584" t="str">
            <v>P5324</v>
          </cell>
          <cell r="B1584" t="str">
            <v>Eryk</v>
          </cell>
          <cell r="C1584" t="str">
            <v>PRZYBYSŁAWSKI</v>
          </cell>
          <cell r="D1584" t="str">
            <v>UKS Kometa Sianów</v>
          </cell>
        </row>
        <row r="1585">
          <cell r="A1585" t="str">
            <v>P2184</v>
          </cell>
          <cell r="B1585" t="str">
            <v>Filip</v>
          </cell>
          <cell r="C1585" t="str">
            <v>PRZYJEMSKI</v>
          </cell>
          <cell r="D1585" t="str">
            <v>MKS Orlicz Suchedniów</v>
          </cell>
        </row>
        <row r="1586">
          <cell r="A1586" t="str">
            <v>P2343</v>
          </cell>
          <cell r="B1586" t="str">
            <v>Paweł</v>
          </cell>
          <cell r="C1586" t="str">
            <v>PRZYJEMSKI</v>
          </cell>
          <cell r="D1586" t="str">
            <v>MKS Orlicz Suchedniów</v>
          </cell>
        </row>
        <row r="1587">
          <cell r="A1587" t="str">
            <v>P1489</v>
          </cell>
          <cell r="B1587" t="str">
            <v>Zbigniew</v>
          </cell>
          <cell r="C1587" t="str">
            <v>PRZYJEMSKI</v>
          </cell>
          <cell r="D1587" t="str">
            <v>----</v>
          </cell>
        </row>
        <row r="1588">
          <cell r="A1588" t="str">
            <v>P4643</v>
          </cell>
          <cell r="B1588" t="str">
            <v>Sebastian</v>
          </cell>
          <cell r="C1588" t="str">
            <v>PRZYTUŁA</v>
          </cell>
          <cell r="D1588" t="str">
            <v>AZSAGH Kraków</v>
          </cell>
        </row>
        <row r="1589">
          <cell r="A1589" t="str">
            <v>P5241</v>
          </cell>
          <cell r="B1589" t="str">
            <v>Mateusz</v>
          </cell>
          <cell r="C1589" t="str">
            <v>PSUJ</v>
          </cell>
          <cell r="D1589" t="str">
            <v>UKS Ząbkowice Dąbrowa Górn.</v>
          </cell>
        </row>
        <row r="1590">
          <cell r="A1590" t="str">
            <v>P4786</v>
          </cell>
          <cell r="B1590" t="str">
            <v>Aleksandra</v>
          </cell>
          <cell r="C1590" t="str">
            <v>PTAK</v>
          </cell>
          <cell r="D1590" t="str">
            <v>STB Energia Lubliniec</v>
          </cell>
        </row>
        <row r="1591">
          <cell r="A1591" t="str">
            <v>P5830</v>
          </cell>
          <cell r="B1591" t="str">
            <v>Aleksandra</v>
          </cell>
          <cell r="C1591" t="str">
            <v>PTAK</v>
          </cell>
          <cell r="D1591" t="str">
            <v>UKS Siódemka Świebodzin</v>
          </cell>
        </row>
        <row r="1592">
          <cell r="A1592" t="str">
            <v>P5202</v>
          </cell>
          <cell r="B1592" t="str">
            <v>Dominik</v>
          </cell>
          <cell r="C1592" t="str">
            <v>PTAK</v>
          </cell>
          <cell r="D1592" t="str">
            <v>UKS Siódemka Świebodzin</v>
          </cell>
        </row>
        <row r="1593">
          <cell r="A1593" t="str">
            <v>P5857</v>
          </cell>
          <cell r="B1593" t="str">
            <v>Hubert</v>
          </cell>
          <cell r="C1593" t="str">
            <v>PTAK</v>
          </cell>
          <cell r="D1593" t="str">
            <v>----</v>
          </cell>
        </row>
        <row r="1594">
          <cell r="A1594" t="str">
            <v>P5831</v>
          </cell>
          <cell r="B1594" t="str">
            <v>Oskar</v>
          </cell>
          <cell r="C1594" t="str">
            <v>PTAK</v>
          </cell>
          <cell r="D1594" t="str">
            <v>UKS Siódemka Świebodzin</v>
          </cell>
        </row>
        <row r="1595">
          <cell r="A1595" t="str">
            <v>P5980</v>
          </cell>
          <cell r="B1595" t="str">
            <v>Hanna</v>
          </cell>
          <cell r="C1595" t="str">
            <v>PTASIK</v>
          </cell>
          <cell r="D1595" t="str">
            <v>KKS Warmia Olsztyn</v>
          </cell>
        </row>
        <row r="1596">
          <cell r="A1596" t="str">
            <v>P4715</v>
          </cell>
          <cell r="B1596" t="str">
            <v>Jerzy</v>
          </cell>
          <cell r="C1596" t="str">
            <v>PTASZYŃSKI</v>
          </cell>
          <cell r="D1596" t="str">
            <v>----</v>
          </cell>
        </row>
        <row r="1597">
          <cell r="A1597" t="str">
            <v>P5601</v>
          </cell>
          <cell r="B1597" t="str">
            <v>Hubert</v>
          </cell>
          <cell r="C1597" t="str">
            <v>PUCIŁOWSKI</v>
          </cell>
          <cell r="D1597" t="str">
            <v>UKS Hubal Białystok</v>
          </cell>
        </row>
        <row r="1598">
          <cell r="A1598" t="str">
            <v>P5560</v>
          </cell>
          <cell r="B1598" t="str">
            <v>Marcin</v>
          </cell>
          <cell r="C1598" t="str">
            <v>PUŁKOWNIK</v>
          </cell>
          <cell r="D1598" t="str">
            <v>KS Stal Sulęcin</v>
          </cell>
        </row>
        <row r="1599">
          <cell r="A1599" t="str">
            <v>P4828</v>
          </cell>
          <cell r="B1599" t="str">
            <v>Artur</v>
          </cell>
          <cell r="C1599" t="str">
            <v>PUPIN</v>
          </cell>
          <cell r="D1599" t="str">
            <v>----</v>
          </cell>
        </row>
        <row r="1600">
          <cell r="A1600" t="str">
            <v>P1784</v>
          </cell>
          <cell r="B1600" t="str">
            <v>Anna</v>
          </cell>
          <cell r="C1600" t="str">
            <v>PUSTELNIK</v>
          </cell>
          <cell r="D1600" t="str">
            <v>----</v>
          </cell>
        </row>
        <row r="1601">
          <cell r="A1601" t="str">
            <v>P4829</v>
          </cell>
          <cell r="B1601" t="str">
            <v>Maciej</v>
          </cell>
          <cell r="C1601" t="str">
            <v>PUSTELNIK</v>
          </cell>
          <cell r="D1601" t="str">
            <v>----</v>
          </cell>
        </row>
        <row r="1602">
          <cell r="A1602" t="str">
            <v>P1434</v>
          </cell>
          <cell r="B1602" t="str">
            <v>Tomasz</v>
          </cell>
          <cell r="C1602" t="str">
            <v>PYĆ</v>
          </cell>
          <cell r="D1602" t="str">
            <v>AZSOŚ Łódź</v>
          </cell>
        </row>
        <row r="1603">
          <cell r="A1603" t="str">
            <v>P2880</v>
          </cell>
          <cell r="B1603" t="str">
            <v>Dominika</v>
          </cell>
          <cell r="C1603" t="str">
            <v>PYRC</v>
          </cell>
          <cell r="D1603" t="str">
            <v>AZSAGH Kraków</v>
          </cell>
        </row>
        <row r="1604">
          <cell r="A1604" t="str">
            <v>P5986</v>
          </cell>
          <cell r="B1604" t="str">
            <v>Łukasz</v>
          </cell>
          <cell r="C1604" t="str">
            <v>PYRCHLA</v>
          </cell>
          <cell r="D1604" t="str">
            <v>BKS Kolejarz Częstochowa</v>
          </cell>
        </row>
        <row r="1605">
          <cell r="A1605" t="str">
            <v>P5459</v>
          </cell>
          <cell r="B1605" t="str">
            <v>Filip</v>
          </cell>
          <cell r="C1605" t="str">
            <v>PYZIOŁEK</v>
          </cell>
          <cell r="D1605" t="str">
            <v>MKB Lednik Miastko</v>
          </cell>
        </row>
        <row r="1606">
          <cell r="A1606" t="str">
            <v>R3310</v>
          </cell>
          <cell r="B1606" t="str">
            <v>Justyna</v>
          </cell>
          <cell r="C1606" t="str">
            <v>RACHOWICZ</v>
          </cell>
          <cell r="D1606" t="str">
            <v>MKS Spartakus Niepołomice</v>
          </cell>
        </row>
        <row r="1607">
          <cell r="A1607" t="str">
            <v>R5990</v>
          </cell>
          <cell r="B1607" t="str">
            <v>Julia</v>
          </cell>
          <cell r="C1607" t="str">
            <v>RACHOWSKA</v>
          </cell>
          <cell r="D1607" t="str">
            <v>KSR Wolant Łódź</v>
          </cell>
        </row>
        <row r="1608">
          <cell r="A1608" t="str">
            <v>R5884</v>
          </cell>
          <cell r="B1608" t="str">
            <v>Daria</v>
          </cell>
          <cell r="C1608" t="str">
            <v>RACZEK</v>
          </cell>
          <cell r="D1608" t="str">
            <v>UKS Smecz Milicz</v>
          </cell>
        </row>
        <row r="1609">
          <cell r="A1609" t="str">
            <v>R5771</v>
          </cell>
          <cell r="B1609" t="str">
            <v>Jakub</v>
          </cell>
          <cell r="C1609" t="str">
            <v>RACZKIEWICZ</v>
          </cell>
          <cell r="D1609" t="str">
            <v>UKS Kiko Zamość</v>
          </cell>
        </row>
        <row r="1610">
          <cell r="A1610" t="str">
            <v>R1393</v>
          </cell>
          <cell r="B1610" t="str">
            <v>Grzegorz</v>
          </cell>
          <cell r="C1610" t="str">
            <v>RADECKI</v>
          </cell>
          <cell r="D1610" t="str">
            <v>----</v>
          </cell>
        </row>
        <row r="1611">
          <cell r="A1611" t="str">
            <v>R5626</v>
          </cell>
          <cell r="B1611" t="str">
            <v>Anna</v>
          </cell>
          <cell r="C1611" t="str">
            <v>RADTKE</v>
          </cell>
          <cell r="D1611" t="str">
            <v>ULKS U-2 Lotka Bytów</v>
          </cell>
        </row>
        <row r="1612">
          <cell r="A1612" t="str">
            <v>R5482</v>
          </cell>
          <cell r="B1612" t="str">
            <v>Jan</v>
          </cell>
          <cell r="C1612" t="str">
            <v>RADZIEJEWSKI</v>
          </cell>
          <cell r="D1612" t="str">
            <v>ŚKBad Harcownik Warszawa</v>
          </cell>
        </row>
        <row r="1613">
          <cell r="A1613" t="str">
            <v>R5603</v>
          </cell>
          <cell r="B1613" t="str">
            <v>Aleksandra</v>
          </cell>
          <cell r="C1613" t="str">
            <v>RADZISZEWSKA</v>
          </cell>
          <cell r="D1613" t="str">
            <v>UKS Hubal Białystok</v>
          </cell>
        </row>
        <row r="1614">
          <cell r="A1614" t="str">
            <v>R4700</v>
          </cell>
          <cell r="B1614" t="str">
            <v>Paweł</v>
          </cell>
          <cell r="C1614" t="str">
            <v>RADZIWON</v>
          </cell>
          <cell r="D1614" t="str">
            <v>UKS Hubal Białystok</v>
          </cell>
        </row>
        <row r="1615">
          <cell r="A1615" t="str">
            <v>R5716</v>
          </cell>
          <cell r="B1615" t="str">
            <v>Dorota</v>
          </cell>
          <cell r="C1615" t="str">
            <v>RAJCZYK-GAŁKOWSKA</v>
          </cell>
          <cell r="D1615" t="str">
            <v>----</v>
          </cell>
        </row>
        <row r="1616">
          <cell r="A1616" t="str">
            <v>R5805</v>
          </cell>
          <cell r="B1616" t="str">
            <v>Wiktoria</v>
          </cell>
          <cell r="C1616" t="str">
            <v>RAKOWSKA</v>
          </cell>
          <cell r="D1616" t="str">
            <v>UKS Iskra Babimost</v>
          </cell>
        </row>
        <row r="1617">
          <cell r="A1617" t="str">
            <v>R5565</v>
          </cell>
          <cell r="B1617" t="str">
            <v>Paweł</v>
          </cell>
          <cell r="C1617" t="str">
            <v>RAKOWSKI</v>
          </cell>
          <cell r="D1617" t="str">
            <v>----</v>
          </cell>
        </row>
        <row r="1618">
          <cell r="A1618" t="str">
            <v>R5633</v>
          </cell>
          <cell r="B1618" t="str">
            <v>Filip</v>
          </cell>
          <cell r="C1618" t="str">
            <v>RAMOS</v>
          </cell>
          <cell r="D1618" t="str">
            <v>UKSB Volant Mielec</v>
          </cell>
        </row>
        <row r="1619">
          <cell r="A1619" t="str">
            <v>R5512</v>
          </cell>
          <cell r="B1619" t="str">
            <v>Aleksandra</v>
          </cell>
          <cell r="C1619" t="str">
            <v>RAMS</v>
          </cell>
          <cell r="D1619" t="str">
            <v>MMKS Kędzierzyn-Koźle</v>
          </cell>
        </row>
        <row r="1620">
          <cell r="A1620" t="str">
            <v>R1129</v>
          </cell>
          <cell r="B1620" t="str">
            <v>Kamil</v>
          </cell>
          <cell r="C1620" t="str">
            <v>RASZKIEWICZ</v>
          </cell>
          <cell r="D1620" t="str">
            <v>AZSUWM Olsztyn</v>
          </cell>
        </row>
        <row r="1621">
          <cell r="A1621" t="str">
            <v>R5872</v>
          </cell>
          <cell r="B1621" t="str">
            <v>Katarzyna</v>
          </cell>
          <cell r="C1621" t="str">
            <v>RATAJCZAK</v>
          </cell>
          <cell r="D1621" t="str">
            <v>UKS Iskra Babimost</v>
          </cell>
        </row>
        <row r="1622">
          <cell r="A1622" t="str">
            <v>R0364</v>
          </cell>
          <cell r="B1622" t="str">
            <v>Rafał</v>
          </cell>
          <cell r="C1622" t="str">
            <v>RATAJCZAK</v>
          </cell>
          <cell r="D1622" t="str">
            <v>AZSUW Warszawa</v>
          </cell>
        </row>
        <row r="1623">
          <cell r="A1623" t="str">
            <v>R5066</v>
          </cell>
          <cell r="B1623" t="str">
            <v>Mateusz</v>
          </cell>
          <cell r="C1623" t="str">
            <v>RATHE</v>
          </cell>
          <cell r="D1623" t="str">
            <v>AZSUW Warszawa</v>
          </cell>
        </row>
        <row r="1624">
          <cell r="A1624" t="str">
            <v>R3534</v>
          </cell>
          <cell r="B1624" t="str">
            <v>Jakub</v>
          </cell>
          <cell r="C1624" t="str">
            <v>RATKOWSKI</v>
          </cell>
          <cell r="D1624" t="str">
            <v>ZKB Maced Polanów</v>
          </cell>
        </row>
        <row r="1625">
          <cell r="A1625" t="str">
            <v>R3535</v>
          </cell>
          <cell r="B1625" t="str">
            <v>Nikodem</v>
          </cell>
          <cell r="C1625" t="str">
            <v>RATKOWSKI</v>
          </cell>
          <cell r="D1625" t="str">
            <v>ZKB Maced Polanów</v>
          </cell>
        </row>
        <row r="1626">
          <cell r="A1626" t="str">
            <v>R5500</v>
          </cell>
          <cell r="B1626" t="str">
            <v>Iza</v>
          </cell>
          <cell r="C1626" t="str">
            <v>RATYŃSKA</v>
          </cell>
          <cell r="D1626" t="str">
            <v>ZKB Maced Polanów</v>
          </cell>
        </row>
        <row r="1627">
          <cell r="A1627" t="str">
            <v>R5165</v>
          </cell>
          <cell r="B1627" t="str">
            <v>Marta</v>
          </cell>
          <cell r="C1627" t="str">
            <v>RATYŃSKA</v>
          </cell>
          <cell r="D1627" t="str">
            <v>KS Wesoła Warszawa</v>
          </cell>
        </row>
        <row r="1628">
          <cell r="A1628" t="str">
            <v>R5672</v>
          </cell>
          <cell r="B1628" t="str">
            <v>Mateusz</v>
          </cell>
          <cell r="C1628" t="str">
            <v>RAWINIS</v>
          </cell>
          <cell r="D1628" t="str">
            <v>UKS Ząbkowice Dąbrowa Górn.</v>
          </cell>
        </row>
        <row r="1629">
          <cell r="A1629" t="str">
            <v>R3487</v>
          </cell>
          <cell r="B1629" t="str">
            <v>Konrad</v>
          </cell>
          <cell r="C1629" t="str">
            <v>RAWSKI</v>
          </cell>
          <cell r="D1629" t="str">
            <v>UKS Dwójka Wesoła</v>
          </cell>
        </row>
        <row r="1630">
          <cell r="A1630" t="str">
            <v>R4846</v>
          </cell>
          <cell r="B1630" t="str">
            <v>Mateusz</v>
          </cell>
          <cell r="C1630" t="str">
            <v>RĄCZKIEWICZ</v>
          </cell>
          <cell r="D1630" t="str">
            <v>KKS Warmia Olsztyn</v>
          </cell>
        </row>
        <row r="1631">
          <cell r="A1631" t="str">
            <v>R4845</v>
          </cell>
          <cell r="B1631" t="str">
            <v>Wanda</v>
          </cell>
          <cell r="C1631" t="str">
            <v>RĄCZKIEWICZ</v>
          </cell>
          <cell r="D1631" t="str">
            <v>KKS Warmia Olsztyn</v>
          </cell>
        </row>
        <row r="1632">
          <cell r="A1632" t="str">
            <v>R3481</v>
          </cell>
          <cell r="B1632" t="str">
            <v>Marta</v>
          </cell>
          <cell r="C1632" t="str">
            <v>RECA</v>
          </cell>
          <cell r="D1632" t="str">
            <v>ULKS U-2 Lotka Bytów</v>
          </cell>
        </row>
        <row r="1633">
          <cell r="A1633" t="str">
            <v>R4144</v>
          </cell>
          <cell r="B1633" t="str">
            <v>Wioleta</v>
          </cell>
          <cell r="C1633" t="str">
            <v>RECKA</v>
          </cell>
          <cell r="D1633" t="str">
            <v>UKS Lotka Lubiewo</v>
          </cell>
        </row>
        <row r="1634">
          <cell r="A1634" t="str">
            <v>R4145</v>
          </cell>
          <cell r="B1634" t="str">
            <v>Michał</v>
          </cell>
          <cell r="C1634" t="str">
            <v>RECKI</v>
          </cell>
          <cell r="D1634" t="str">
            <v>UKS Lotka Lubiewo</v>
          </cell>
        </row>
        <row r="1635">
          <cell r="A1635" t="str">
            <v>R5700</v>
          </cell>
          <cell r="B1635" t="str">
            <v>Łukasz</v>
          </cell>
          <cell r="C1635" t="str">
            <v>REGEŃCZUK</v>
          </cell>
          <cell r="D1635" t="str">
            <v>UKS Astra Wrocław</v>
          </cell>
        </row>
        <row r="1636">
          <cell r="A1636" t="str">
            <v>R3804</v>
          </cell>
          <cell r="B1636" t="str">
            <v>Sebastian</v>
          </cell>
          <cell r="C1636" t="str">
            <v>REGEŃCZUK</v>
          </cell>
          <cell r="D1636" t="str">
            <v>KS Match Point Ślęza</v>
          </cell>
        </row>
        <row r="1637">
          <cell r="A1637" t="str">
            <v>R3886</v>
          </cell>
          <cell r="B1637" t="str">
            <v>Marek</v>
          </cell>
          <cell r="C1637" t="str">
            <v>REGUŁA</v>
          </cell>
          <cell r="D1637" t="str">
            <v>UKSB Volant Mielec</v>
          </cell>
        </row>
        <row r="1638">
          <cell r="A1638" t="str">
            <v>R5072</v>
          </cell>
          <cell r="B1638" t="str">
            <v>Natalia</v>
          </cell>
          <cell r="C1638" t="str">
            <v>REGUŁA</v>
          </cell>
          <cell r="D1638" t="str">
            <v>UKSB Volant Mielec</v>
          </cell>
        </row>
        <row r="1639">
          <cell r="A1639" t="str">
            <v>R4587</v>
          </cell>
          <cell r="B1639" t="str">
            <v>Oliwia</v>
          </cell>
          <cell r="C1639" t="str">
            <v>REICHEL</v>
          </cell>
          <cell r="D1639" t="str">
            <v>ZKB Maced Polanów</v>
          </cell>
        </row>
        <row r="1640">
          <cell r="A1640" t="str">
            <v>R5209</v>
          </cell>
          <cell r="B1640" t="str">
            <v>Artur</v>
          </cell>
          <cell r="C1640" t="str">
            <v>REJMENT</v>
          </cell>
          <cell r="D1640" t="str">
            <v>UKS 15 Kędzierzyn-Koźle</v>
          </cell>
        </row>
        <row r="1641">
          <cell r="A1641" t="str">
            <v>R4070</v>
          </cell>
          <cell r="B1641" t="str">
            <v>Igor</v>
          </cell>
          <cell r="C1641" t="str">
            <v>RENCIKOWSKI-RENZBERG</v>
          </cell>
          <cell r="D1641" t="str">
            <v>UKS Bursztyn Gdańsk</v>
          </cell>
        </row>
        <row r="1642">
          <cell r="A1642" t="str">
            <v>R5970</v>
          </cell>
          <cell r="B1642" t="str">
            <v>Ignacy</v>
          </cell>
          <cell r="C1642" t="str">
            <v>REPIŃSKI</v>
          </cell>
          <cell r="D1642" t="str">
            <v>WWL Badminton Club Marki</v>
          </cell>
        </row>
        <row r="1643">
          <cell r="A1643" t="str">
            <v>R5197</v>
          </cell>
          <cell r="B1643" t="str">
            <v>Weronika</v>
          </cell>
          <cell r="C1643" t="str">
            <v>REWUCHA</v>
          </cell>
          <cell r="D1643" t="str">
            <v>UKS Kiko Zamość</v>
          </cell>
        </row>
        <row r="1644">
          <cell r="A1644" t="str">
            <v>R4189</v>
          </cell>
          <cell r="B1644" t="str">
            <v>Jakub</v>
          </cell>
          <cell r="C1644" t="str">
            <v>RĘBACZ</v>
          </cell>
          <cell r="D1644" t="str">
            <v>UKS Kiko Zamość</v>
          </cell>
        </row>
        <row r="1645">
          <cell r="A1645" t="str">
            <v>R4188</v>
          </cell>
          <cell r="B1645" t="str">
            <v>Klaudia</v>
          </cell>
          <cell r="C1645" t="str">
            <v>RĘBACZ</v>
          </cell>
          <cell r="D1645" t="str">
            <v>UKS Kiko Zamość</v>
          </cell>
        </row>
        <row r="1646">
          <cell r="A1646" t="str">
            <v>R5249</v>
          </cell>
          <cell r="B1646" t="str">
            <v>Oliwia</v>
          </cell>
          <cell r="C1646" t="str">
            <v>RĘBACZ</v>
          </cell>
          <cell r="D1646" t="str">
            <v>UKS Kiko Zamość</v>
          </cell>
        </row>
        <row r="1647">
          <cell r="A1647" t="str">
            <v>R5827</v>
          </cell>
          <cell r="B1647" t="str">
            <v>Paula</v>
          </cell>
          <cell r="C1647" t="str">
            <v>ROBAK</v>
          </cell>
          <cell r="D1647" t="str">
            <v>KS Stal Sulęcin</v>
          </cell>
        </row>
        <row r="1648">
          <cell r="A1648" t="str">
            <v>R3363</v>
          </cell>
          <cell r="B1648" t="str">
            <v>Karolina</v>
          </cell>
          <cell r="C1648" t="str">
            <v>ROGALSKA</v>
          </cell>
          <cell r="D1648" t="str">
            <v>UKS 2 Sobótka</v>
          </cell>
        </row>
        <row r="1649">
          <cell r="A1649" t="str">
            <v>R3364</v>
          </cell>
          <cell r="B1649" t="str">
            <v>Kinga</v>
          </cell>
          <cell r="C1649" t="str">
            <v>ROGALSKA</v>
          </cell>
          <cell r="D1649" t="str">
            <v>UKS 2 Sobótka</v>
          </cell>
        </row>
        <row r="1650">
          <cell r="A1650" t="str">
            <v>R4788</v>
          </cell>
          <cell r="B1650" t="str">
            <v>Jakub</v>
          </cell>
          <cell r="C1650" t="str">
            <v>ROGALSKI</v>
          </cell>
          <cell r="D1650" t="str">
            <v>UKS 2 Sobótka</v>
          </cell>
        </row>
        <row r="1651">
          <cell r="A1651" t="str">
            <v>R0301</v>
          </cell>
          <cell r="B1651" t="str">
            <v>Michał</v>
          </cell>
          <cell r="C1651" t="str">
            <v>ROGALSKI</v>
          </cell>
          <cell r="D1651" t="str">
            <v>UKS Hubal Białystok</v>
          </cell>
        </row>
        <row r="1652">
          <cell r="A1652" t="str">
            <v>R3500</v>
          </cell>
          <cell r="B1652" t="str">
            <v>Mikołaj</v>
          </cell>
          <cell r="C1652" t="str">
            <v>ROGALSKI</v>
          </cell>
          <cell r="D1652" t="str">
            <v>UKS Hubal Białystok</v>
          </cell>
        </row>
        <row r="1653">
          <cell r="A1653" t="str">
            <v>R4360</v>
          </cell>
          <cell r="B1653" t="str">
            <v>Pamela</v>
          </cell>
          <cell r="C1653" t="str">
            <v>ROGIŃSKA</v>
          </cell>
          <cell r="D1653" t="str">
            <v>ŚKBad Harcownik Warszawa</v>
          </cell>
        </row>
        <row r="1654">
          <cell r="A1654" t="str">
            <v>R2668</v>
          </cell>
          <cell r="B1654" t="str">
            <v>Aleksandra</v>
          </cell>
          <cell r="C1654" t="str">
            <v>ROGOWSKA</v>
          </cell>
          <cell r="D1654" t="str">
            <v>MLKS Solec Kuj.</v>
          </cell>
        </row>
        <row r="1655">
          <cell r="A1655" t="str">
            <v>R2656</v>
          </cell>
          <cell r="B1655" t="str">
            <v>Michał</v>
          </cell>
          <cell r="C1655" t="str">
            <v>ROGOWSKI</v>
          </cell>
          <cell r="D1655" t="str">
            <v>UKSOSIR Badminton Sławno</v>
          </cell>
        </row>
        <row r="1656">
          <cell r="A1656" t="str">
            <v>R4341</v>
          </cell>
          <cell r="B1656" t="str">
            <v>Małgorzata</v>
          </cell>
          <cell r="C1656" t="str">
            <v>ROGUT</v>
          </cell>
          <cell r="D1656" t="str">
            <v>MLKS Solec Kuj.</v>
          </cell>
        </row>
        <row r="1657">
          <cell r="A1657" t="str">
            <v>R4765</v>
          </cell>
          <cell r="B1657" t="str">
            <v>Paulina</v>
          </cell>
          <cell r="C1657" t="str">
            <v>ROGUT</v>
          </cell>
          <cell r="D1657" t="str">
            <v>MLKS Solec Kuj.</v>
          </cell>
        </row>
        <row r="1658">
          <cell r="A1658" t="str">
            <v>R3741</v>
          </cell>
          <cell r="B1658" t="str">
            <v>Paula</v>
          </cell>
          <cell r="C1658" t="str">
            <v>ROMAN</v>
          </cell>
          <cell r="D1658" t="str">
            <v>UKSOSIR Badminton Sławno</v>
          </cell>
        </row>
        <row r="1659">
          <cell r="A1659" t="str">
            <v>R5064</v>
          </cell>
          <cell r="B1659" t="str">
            <v>Albert</v>
          </cell>
          <cell r="C1659" t="str">
            <v>ROMANOWICZ</v>
          </cell>
          <cell r="D1659" t="str">
            <v>UKS Hubal Białystok</v>
          </cell>
        </row>
        <row r="1660">
          <cell r="A1660" t="str">
            <v>R5527</v>
          </cell>
          <cell r="B1660" t="str">
            <v>Mateusz</v>
          </cell>
          <cell r="C1660" t="str">
            <v>ROMANOWSKI</v>
          </cell>
          <cell r="D1660" t="str">
            <v>SKB Suwałki</v>
          </cell>
        </row>
        <row r="1661">
          <cell r="A1661" t="str">
            <v>R3202</v>
          </cell>
          <cell r="B1661" t="str">
            <v>Dagmara</v>
          </cell>
          <cell r="C1661" t="str">
            <v>ROMAŃSKA</v>
          </cell>
          <cell r="D1661" t="str">
            <v>LUKS Jedynka Częstochowa</v>
          </cell>
        </row>
        <row r="1662">
          <cell r="A1662" t="str">
            <v>R5496</v>
          </cell>
          <cell r="B1662" t="str">
            <v>Leszek</v>
          </cell>
          <cell r="C1662" t="str">
            <v>RORAT</v>
          </cell>
          <cell r="D1662" t="str">
            <v>KB Vol-Trick Kępno</v>
          </cell>
        </row>
        <row r="1663">
          <cell r="A1663" t="str">
            <v>R4085</v>
          </cell>
          <cell r="B1663" t="str">
            <v>Marek</v>
          </cell>
          <cell r="C1663" t="str">
            <v>ROSA</v>
          </cell>
          <cell r="D1663" t="str">
            <v>WWL Badminton Club Marki</v>
          </cell>
        </row>
        <row r="1664">
          <cell r="A1664" t="str">
            <v>R5140</v>
          </cell>
          <cell r="B1664" t="str">
            <v>Sławomir</v>
          </cell>
          <cell r="C1664" t="str">
            <v>ROSA</v>
          </cell>
          <cell r="D1664" t="str">
            <v>----</v>
          </cell>
        </row>
        <row r="1665">
          <cell r="A1665" t="str">
            <v>R4568</v>
          </cell>
          <cell r="B1665" t="str">
            <v>Weronika</v>
          </cell>
          <cell r="C1665" t="str">
            <v>ROSIAK</v>
          </cell>
          <cell r="D1665" t="str">
            <v>KS Chojnik Jelenia Góra</v>
          </cell>
        </row>
        <row r="1666">
          <cell r="A1666" t="str">
            <v>R4106</v>
          </cell>
          <cell r="B1666" t="str">
            <v>Karolina</v>
          </cell>
          <cell r="C1666" t="str">
            <v>ROSIŃSKA</v>
          </cell>
          <cell r="D1666" t="str">
            <v>----</v>
          </cell>
        </row>
        <row r="1667">
          <cell r="A1667" t="str">
            <v>R4985</v>
          </cell>
          <cell r="B1667" t="str">
            <v>Natalia</v>
          </cell>
          <cell r="C1667" t="str">
            <v>ROSIŃSKA</v>
          </cell>
          <cell r="D1667" t="str">
            <v>UKS Junior Wrzosowa</v>
          </cell>
        </row>
        <row r="1668">
          <cell r="A1668" t="str">
            <v>R3773</v>
          </cell>
          <cell r="B1668" t="str">
            <v>August</v>
          </cell>
          <cell r="C1668" t="str">
            <v>ROSOŁOWSKI</v>
          </cell>
          <cell r="D1668" t="str">
            <v>UKS Kiko Zamość</v>
          </cell>
        </row>
        <row r="1669">
          <cell r="A1669" t="str">
            <v>R4616</v>
          </cell>
          <cell r="B1669" t="str">
            <v>Jakub</v>
          </cell>
          <cell r="C1669" t="str">
            <v>ROSZKO</v>
          </cell>
          <cell r="D1669" t="str">
            <v>UKSB Milenium Warszawa</v>
          </cell>
        </row>
        <row r="1670">
          <cell r="A1670" t="str">
            <v>R4889</v>
          </cell>
          <cell r="B1670" t="str">
            <v>Jan</v>
          </cell>
          <cell r="C1670" t="str">
            <v>ROSZKO</v>
          </cell>
          <cell r="D1670" t="str">
            <v>UKSB Milenium Warszawa</v>
          </cell>
        </row>
        <row r="1671">
          <cell r="A1671" t="str">
            <v>R4860</v>
          </cell>
          <cell r="B1671" t="str">
            <v>Filip</v>
          </cell>
          <cell r="C1671" t="str">
            <v>ROSZKOWSKI</v>
          </cell>
          <cell r="D1671" t="str">
            <v>LUKS Badminton Choroszcz</v>
          </cell>
        </row>
        <row r="1672">
          <cell r="A1672" t="str">
            <v>R3871</v>
          </cell>
          <cell r="B1672" t="str">
            <v>Konrad</v>
          </cell>
          <cell r="C1672" t="str">
            <v>ROŻNIAŁ</v>
          </cell>
          <cell r="D1672" t="str">
            <v>UKSB Volant Mielec</v>
          </cell>
        </row>
        <row r="1673">
          <cell r="A1673" t="str">
            <v>R4591</v>
          </cell>
          <cell r="B1673" t="str">
            <v>Natalia</v>
          </cell>
          <cell r="C1673" t="str">
            <v>RÓG</v>
          </cell>
          <cell r="D1673" t="str">
            <v>MKS Stal Nowa Dęba</v>
          </cell>
        </row>
        <row r="1674">
          <cell r="A1674" t="str">
            <v>R4718</v>
          </cell>
          <cell r="B1674" t="str">
            <v>Patryk</v>
          </cell>
          <cell r="C1674" t="str">
            <v>RÓG</v>
          </cell>
          <cell r="D1674" t="str">
            <v>MKS Stal Nowa Dęba</v>
          </cell>
        </row>
        <row r="1675">
          <cell r="A1675" t="str">
            <v>R5966</v>
          </cell>
          <cell r="B1675" t="str">
            <v>Klaudia</v>
          </cell>
          <cell r="C1675" t="str">
            <v>RÓJ</v>
          </cell>
          <cell r="D1675" t="str">
            <v>UMKS Junis Szczucin</v>
          </cell>
        </row>
        <row r="1676">
          <cell r="A1676" t="str">
            <v>R5290</v>
          </cell>
          <cell r="B1676" t="str">
            <v>Robert</v>
          </cell>
          <cell r="C1676" t="str">
            <v>RÓZIECKI</v>
          </cell>
          <cell r="D1676" t="str">
            <v>----</v>
          </cell>
        </row>
        <row r="1677">
          <cell r="A1677" t="str">
            <v>R4636</v>
          </cell>
          <cell r="B1677" t="str">
            <v>Marta</v>
          </cell>
          <cell r="C1677" t="str">
            <v>RÓŻYCKA</v>
          </cell>
          <cell r="D1677" t="str">
            <v>UKSB Milenium Warszawa</v>
          </cell>
        </row>
        <row r="1678">
          <cell r="A1678" t="str">
            <v>R5263</v>
          </cell>
          <cell r="B1678" t="str">
            <v>Klaudia</v>
          </cell>
          <cell r="C1678" t="str">
            <v>RUBIK</v>
          </cell>
          <cell r="D1678" t="str">
            <v>UKS Astra Wrocław</v>
          </cell>
        </row>
        <row r="1679">
          <cell r="A1679" t="str">
            <v>R5663</v>
          </cell>
          <cell r="B1679" t="str">
            <v>Mateusz</v>
          </cell>
          <cell r="C1679" t="str">
            <v>RUCZKA</v>
          </cell>
          <cell r="D1679" t="str">
            <v>----</v>
          </cell>
        </row>
        <row r="1680">
          <cell r="A1680" t="str">
            <v>R4844</v>
          </cell>
          <cell r="B1680" t="str">
            <v>Aleksandra</v>
          </cell>
          <cell r="C1680" t="str">
            <v>RUDNICKA</v>
          </cell>
          <cell r="D1680" t="str">
            <v>UKS Dwójka Wesoła</v>
          </cell>
        </row>
        <row r="1681">
          <cell r="A1681" t="str">
            <v>R5280</v>
          </cell>
          <cell r="B1681" t="str">
            <v>Dawid</v>
          </cell>
          <cell r="C1681" t="str">
            <v>RUDNICKI</v>
          </cell>
          <cell r="D1681" t="str">
            <v>UKS 25 Kielce</v>
          </cell>
        </row>
        <row r="1682">
          <cell r="A1682" t="str">
            <v>R0176</v>
          </cell>
          <cell r="B1682" t="str">
            <v>Kinga</v>
          </cell>
          <cell r="C1682" t="str">
            <v>RUDOLF</v>
          </cell>
          <cell r="D1682" t="str">
            <v>BKS Kolejarz Częstochowa</v>
          </cell>
        </row>
        <row r="1683">
          <cell r="A1683" t="str">
            <v>R  09</v>
          </cell>
          <cell r="B1683" t="str">
            <v>Jan</v>
          </cell>
          <cell r="C1683" t="str">
            <v>RUDZIŃSKI</v>
          </cell>
          <cell r="D1683" t="str">
            <v>UKS Hubal Białystok</v>
          </cell>
        </row>
        <row r="1684">
          <cell r="A1684" t="str">
            <v>R5325</v>
          </cell>
          <cell r="B1684" t="str">
            <v>Daniel</v>
          </cell>
          <cell r="C1684" t="str">
            <v>RUMAK</v>
          </cell>
          <cell r="D1684" t="str">
            <v>UKS Start Widełka</v>
          </cell>
        </row>
        <row r="1685">
          <cell r="A1685" t="str">
            <v>R4875</v>
          </cell>
          <cell r="B1685" t="str">
            <v>Urszula</v>
          </cell>
          <cell r="C1685" t="str">
            <v>RUMAK</v>
          </cell>
          <cell r="D1685" t="str">
            <v>UKS Start Widełka</v>
          </cell>
        </row>
        <row r="1686">
          <cell r="A1686" t="str">
            <v>R4955</v>
          </cell>
          <cell r="B1686" t="str">
            <v>Mariusz</v>
          </cell>
          <cell r="C1686" t="str">
            <v>RURARZ</v>
          </cell>
          <cell r="D1686" t="str">
            <v>----</v>
          </cell>
        </row>
        <row r="1687">
          <cell r="A1687" t="str">
            <v>R5080</v>
          </cell>
          <cell r="B1687" t="str">
            <v>Łukasz</v>
          </cell>
          <cell r="C1687" t="str">
            <v>RUSEK</v>
          </cell>
          <cell r="D1687" t="str">
            <v>UKS Badminton Stare Babice</v>
          </cell>
        </row>
        <row r="1688">
          <cell r="A1688" t="str">
            <v>R5983</v>
          </cell>
          <cell r="B1688" t="str">
            <v>Patryk</v>
          </cell>
          <cell r="C1688" t="str">
            <v>RUSIN</v>
          </cell>
          <cell r="D1688" t="str">
            <v>UKSB Volant Mielec</v>
          </cell>
        </row>
        <row r="1689">
          <cell r="A1689" t="str">
            <v>R4675</v>
          </cell>
          <cell r="B1689" t="str">
            <v>Jakub</v>
          </cell>
          <cell r="C1689" t="str">
            <v>RUSINEK</v>
          </cell>
          <cell r="D1689" t="str">
            <v>UKS Kiko Zamość</v>
          </cell>
        </row>
        <row r="1690">
          <cell r="A1690" t="str">
            <v>R4729</v>
          </cell>
          <cell r="B1690" t="str">
            <v>Przemysław</v>
          </cell>
          <cell r="C1690" t="str">
            <v>RUSNAK</v>
          </cell>
          <cell r="D1690" t="str">
            <v>MUKS 2 Kietrz</v>
          </cell>
        </row>
        <row r="1691">
          <cell r="A1691" t="str">
            <v>R5590</v>
          </cell>
          <cell r="B1691" t="str">
            <v>Julia</v>
          </cell>
          <cell r="C1691" t="str">
            <v>RUSZKOWSKA</v>
          </cell>
          <cell r="D1691" t="str">
            <v>KSR Wolant Łódź</v>
          </cell>
        </row>
        <row r="1692">
          <cell r="A1692" t="str">
            <v>R2465</v>
          </cell>
          <cell r="B1692" t="str">
            <v>Paulina</v>
          </cell>
          <cell r="C1692" t="str">
            <v>RUTKOWICZ</v>
          </cell>
          <cell r="D1692" t="str">
            <v>AZSUWM Olsztyn</v>
          </cell>
        </row>
        <row r="1693">
          <cell r="A1693" t="str">
            <v>R4122</v>
          </cell>
          <cell r="B1693" t="str">
            <v>Aleksandra</v>
          </cell>
          <cell r="C1693" t="str">
            <v>RUTKOWSKA</v>
          </cell>
          <cell r="D1693" t="str">
            <v>ŚKBad Harcownik Warszawa</v>
          </cell>
        </row>
        <row r="1694">
          <cell r="A1694" t="str">
            <v>R3720</v>
          </cell>
          <cell r="B1694" t="str">
            <v>Barbara</v>
          </cell>
          <cell r="C1694" t="str">
            <v>RUTKOWSKA</v>
          </cell>
          <cell r="D1694" t="str">
            <v>ŚKBad Harcownik Warszawa</v>
          </cell>
        </row>
        <row r="1695">
          <cell r="A1695" t="str">
            <v>R3733</v>
          </cell>
          <cell r="B1695" t="str">
            <v>Magdalena</v>
          </cell>
          <cell r="C1695" t="str">
            <v>RUTKOWSKA</v>
          </cell>
          <cell r="D1695" t="str">
            <v>UKS 70 Płock</v>
          </cell>
        </row>
        <row r="1696">
          <cell r="A1696" t="str">
            <v>R4323</v>
          </cell>
          <cell r="B1696" t="str">
            <v>Mariusz</v>
          </cell>
          <cell r="C1696" t="str">
            <v>RUTKOWSKI</v>
          </cell>
          <cell r="D1696" t="str">
            <v>UKS Jedynka Ruciane-Nida</v>
          </cell>
        </row>
        <row r="1697">
          <cell r="A1697" t="str">
            <v>R3593</v>
          </cell>
          <cell r="B1697" t="str">
            <v>Szymon</v>
          </cell>
          <cell r="C1697" t="str">
            <v>RUTKOWSKI</v>
          </cell>
          <cell r="D1697" t="str">
            <v>KKS Warmia Olsztyn</v>
          </cell>
        </row>
        <row r="1698">
          <cell r="A1698" t="str">
            <v>R5730</v>
          </cell>
          <cell r="B1698" t="str">
            <v>Joanna</v>
          </cell>
          <cell r="C1698" t="str">
            <v>RYBAK</v>
          </cell>
          <cell r="D1698" t="str">
            <v>UKS Orkan Przeźmierowo</v>
          </cell>
        </row>
        <row r="1699">
          <cell r="A1699" t="str">
            <v>R3326</v>
          </cell>
          <cell r="B1699" t="str">
            <v>Kamil</v>
          </cell>
          <cell r="C1699" t="str">
            <v>RYBAK</v>
          </cell>
          <cell r="D1699" t="str">
            <v>KKS Ruch Piotrków Tryb.</v>
          </cell>
        </row>
        <row r="1700">
          <cell r="A1700" t="str">
            <v>R3686</v>
          </cell>
          <cell r="B1700" t="str">
            <v>Julita</v>
          </cell>
          <cell r="C1700" t="str">
            <v>RYBAŁT</v>
          </cell>
          <cell r="D1700" t="str">
            <v>UKS Hubal Białystok</v>
          </cell>
        </row>
        <row r="1701">
          <cell r="A1701" t="str">
            <v>R 052</v>
          </cell>
          <cell r="B1701" t="str">
            <v>Jerzy</v>
          </cell>
          <cell r="C1701" t="str">
            <v>RYBICKI</v>
          </cell>
          <cell r="D1701" t="str">
            <v>MKS Garwolin</v>
          </cell>
        </row>
        <row r="1702">
          <cell r="A1702" t="str">
            <v>R5738</v>
          </cell>
          <cell r="B1702" t="str">
            <v>Michał</v>
          </cell>
          <cell r="C1702" t="str">
            <v>RYBICKI</v>
          </cell>
          <cell r="D1702" t="str">
            <v>AZSOŚ Łódź</v>
          </cell>
        </row>
        <row r="1703">
          <cell r="A1703" t="str">
            <v>R5568</v>
          </cell>
          <cell r="B1703" t="str">
            <v>Oliwia</v>
          </cell>
          <cell r="C1703" t="str">
            <v>RYBIŃSKA</v>
          </cell>
          <cell r="D1703" t="str">
            <v>UKSB Volant Mielec</v>
          </cell>
        </row>
        <row r="1704">
          <cell r="A1704" t="str">
            <v>R3756</v>
          </cell>
          <cell r="B1704" t="str">
            <v>Emilia</v>
          </cell>
          <cell r="C1704" t="str">
            <v>RYCHŁA</v>
          </cell>
          <cell r="D1704" t="str">
            <v>UKS Iskra Babimost</v>
          </cell>
        </row>
        <row r="1705">
          <cell r="A1705" t="str">
            <v>R5358</v>
          </cell>
          <cell r="B1705" t="str">
            <v>Mateusz</v>
          </cell>
          <cell r="C1705" t="str">
            <v>RYCHŁY</v>
          </cell>
          <cell r="D1705" t="str">
            <v>UKS Iskra Babimost</v>
          </cell>
        </row>
        <row r="1706">
          <cell r="A1706" t="str">
            <v>R5007</v>
          </cell>
          <cell r="B1706" t="str">
            <v>Oskar</v>
          </cell>
          <cell r="C1706" t="str">
            <v>RYCZYŃSKI</v>
          </cell>
          <cell r="D1706" t="str">
            <v>UKS Ząbkowice Dąbrowa Górn.</v>
          </cell>
        </row>
        <row r="1707">
          <cell r="A1707" t="str">
            <v>R5898</v>
          </cell>
          <cell r="B1707" t="str">
            <v>Iga</v>
          </cell>
          <cell r="C1707" t="str">
            <v>RYDZEWSKA</v>
          </cell>
          <cell r="D1707" t="str">
            <v>BKS Kolejarz Częstochowa</v>
          </cell>
        </row>
        <row r="1708">
          <cell r="A1708" t="str">
            <v>R3696</v>
          </cell>
          <cell r="B1708" t="str">
            <v>Mateusz</v>
          </cell>
          <cell r="C1708" t="str">
            <v>RYK</v>
          </cell>
          <cell r="D1708" t="str">
            <v>ZKB Maced Polanów</v>
          </cell>
        </row>
        <row r="1709">
          <cell r="A1709" t="str">
            <v>R4826</v>
          </cell>
          <cell r="B1709" t="str">
            <v>Marcin</v>
          </cell>
          <cell r="C1709" t="str">
            <v>RYKAŁA</v>
          </cell>
          <cell r="D1709" t="str">
            <v>----</v>
          </cell>
        </row>
        <row r="1710">
          <cell r="A1710" t="str">
            <v>R5211</v>
          </cell>
          <cell r="B1710" t="str">
            <v>Krzysztof</v>
          </cell>
          <cell r="C1710" t="str">
            <v>RYŁ</v>
          </cell>
          <cell r="D1710" t="str">
            <v>MKS Strzelce Opolskie</v>
          </cell>
        </row>
        <row r="1711">
          <cell r="A1711" t="str">
            <v>R5704</v>
          </cell>
          <cell r="B1711" t="str">
            <v>Klaudia</v>
          </cell>
          <cell r="C1711" t="str">
            <v>RYŚ</v>
          </cell>
          <cell r="D1711" t="str">
            <v>ULKS U-2 Lotka Bytów</v>
          </cell>
        </row>
        <row r="1712">
          <cell r="A1712" t="str">
            <v>R3102</v>
          </cell>
          <cell r="B1712" t="str">
            <v>Sławomir</v>
          </cell>
          <cell r="C1712" t="str">
            <v>RYŻYŃSKI</v>
          </cell>
          <cell r="D1712" t="str">
            <v>UKS Hubal Białystok</v>
          </cell>
        </row>
        <row r="1713">
          <cell r="A1713" t="str">
            <v>R2927</v>
          </cell>
          <cell r="B1713" t="str">
            <v>Dawid</v>
          </cell>
          <cell r="C1713" t="str">
            <v>RZĄSA</v>
          </cell>
          <cell r="D1713" t="str">
            <v>MKS Stal Nowa Dęba</v>
          </cell>
        </row>
        <row r="1714">
          <cell r="A1714" t="str">
            <v>R5699</v>
          </cell>
          <cell r="B1714" t="str">
            <v>Mariusz</v>
          </cell>
          <cell r="C1714" t="str">
            <v>RZESZOT</v>
          </cell>
          <cell r="D1714" t="str">
            <v>----</v>
          </cell>
        </row>
        <row r="1715">
          <cell r="A1715" t="str">
            <v>R2669</v>
          </cell>
          <cell r="B1715" t="str">
            <v>Paweł</v>
          </cell>
          <cell r="C1715" t="str">
            <v>RZESZOTALSKI</v>
          </cell>
          <cell r="D1715" t="str">
            <v>MMKS Kędzierzyn-Koźle</v>
          </cell>
        </row>
        <row r="1716">
          <cell r="A1716" t="str">
            <v>R3884</v>
          </cell>
          <cell r="B1716" t="str">
            <v>Dawid</v>
          </cell>
          <cell r="C1716" t="str">
            <v>RZESZUTEK</v>
          </cell>
          <cell r="D1716" t="str">
            <v>UKSB Volant Mielec</v>
          </cell>
        </row>
        <row r="1717">
          <cell r="A1717" t="str">
            <v>R1448</v>
          </cell>
          <cell r="B1717" t="str">
            <v>Janusz</v>
          </cell>
          <cell r="C1717" t="str">
            <v>RŻEWSKI</v>
          </cell>
          <cell r="D1717" t="str">
            <v>----</v>
          </cell>
        </row>
        <row r="1718">
          <cell r="A1718" t="str">
            <v>S3778</v>
          </cell>
          <cell r="B1718" t="str">
            <v>Damian</v>
          </cell>
          <cell r="C1718" t="str">
            <v>SADALSKI</v>
          </cell>
          <cell r="D1718" t="str">
            <v>UKS Orkan Przeźmierowo</v>
          </cell>
        </row>
        <row r="1719">
          <cell r="A1719" t="str">
            <v>S5520</v>
          </cell>
          <cell r="B1719" t="str">
            <v>Piotr</v>
          </cell>
          <cell r="C1719" t="str">
            <v>SADALSKI</v>
          </cell>
          <cell r="D1719" t="str">
            <v>UKS Orkan Przeźmierowo</v>
          </cell>
        </row>
        <row r="1720">
          <cell r="A1720" t="str">
            <v>S2881</v>
          </cell>
          <cell r="B1720" t="str">
            <v>Dominik</v>
          </cell>
          <cell r="C1720" t="str">
            <v>SADO</v>
          </cell>
          <cell r="D1720" t="str">
            <v>AZSAGH Kraków</v>
          </cell>
        </row>
        <row r="1721">
          <cell r="A1721" t="str">
            <v>S2882</v>
          </cell>
          <cell r="B1721" t="str">
            <v>Sebastian</v>
          </cell>
          <cell r="C1721" t="str">
            <v>SADO</v>
          </cell>
          <cell r="D1721" t="str">
            <v>AZSAGH Kraków</v>
          </cell>
        </row>
        <row r="1722">
          <cell r="A1722" t="str">
            <v>S4944</v>
          </cell>
          <cell r="B1722" t="str">
            <v>Paulina</v>
          </cell>
          <cell r="C1722" t="str">
            <v>SADOWSKA</v>
          </cell>
          <cell r="D1722" t="str">
            <v>MMKS Gdańsk</v>
          </cell>
        </row>
        <row r="1723">
          <cell r="A1723" t="str">
            <v>S4943</v>
          </cell>
          <cell r="B1723" t="str">
            <v>Karol</v>
          </cell>
          <cell r="C1723" t="str">
            <v>SADOWSKI</v>
          </cell>
          <cell r="D1723" t="str">
            <v>MMKS Gdańsk</v>
          </cell>
        </row>
        <row r="1724">
          <cell r="A1724" t="str">
            <v>S5947</v>
          </cell>
          <cell r="B1724" t="str">
            <v>Mateusz</v>
          </cell>
          <cell r="C1724" t="str">
            <v>SADOWSKI</v>
          </cell>
          <cell r="D1724" t="str">
            <v>UKSB Milenium Warszawa</v>
          </cell>
        </row>
        <row r="1725">
          <cell r="A1725" t="str">
            <v>S2332</v>
          </cell>
          <cell r="B1725" t="str">
            <v>Aleksandra</v>
          </cell>
          <cell r="C1725" t="str">
            <v>SADZA</v>
          </cell>
          <cell r="D1725" t="str">
            <v>UKS 70 Płock</v>
          </cell>
        </row>
        <row r="1726">
          <cell r="A1726" t="str">
            <v>S2973</v>
          </cell>
          <cell r="B1726" t="str">
            <v>Tomasz</v>
          </cell>
          <cell r="C1726" t="str">
            <v>SAGUN</v>
          </cell>
          <cell r="D1726" t="str">
            <v>UKS Hubal Białystok</v>
          </cell>
        </row>
        <row r="1727">
          <cell r="A1727" t="str">
            <v>S5036</v>
          </cell>
          <cell r="B1727" t="str">
            <v>Wojciech</v>
          </cell>
          <cell r="C1727" t="str">
            <v>SAJDOK</v>
          </cell>
          <cell r="D1727" t="str">
            <v>UKS Unia Bieruń</v>
          </cell>
        </row>
        <row r="1728">
          <cell r="A1728" t="str">
            <v>S3573</v>
          </cell>
          <cell r="B1728" t="str">
            <v>Wiktor</v>
          </cell>
          <cell r="C1728" t="str">
            <v>SALAMON</v>
          </cell>
          <cell r="D1728" t="str">
            <v>UKS Trójka Tarnobrzeg</v>
          </cell>
        </row>
        <row r="1729">
          <cell r="A1729" t="str">
            <v>S5071</v>
          </cell>
          <cell r="B1729" t="str">
            <v>Tobiasz</v>
          </cell>
          <cell r="C1729" t="str">
            <v>SAŁAGAJ</v>
          </cell>
          <cell r="D1729" t="str">
            <v>UKSB Volant Mielec</v>
          </cell>
        </row>
        <row r="1730">
          <cell r="A1730" t="str">
            <v>S5194</v>
          </cell>
          <cell r="B1730" t="str">
            <v>Wiktoria</v>
          </cell>
          <cell r="C1730" t="str">
            <v>SAMBORSKA</v>
          </cell>
          <cell r="D1730" t="str">
            <v>UKS Kiko Zamość</v>
          </cell>
        </row>
        <row r="1731">
          <cell r="A1731" t="str">
            <v>S4498</v>
          </cell>
          <cell r="B1731" t="str">
            <v>Krzysztof</v>
          </cell>
          <cell r="C1731" t="str">
            <v>SAMONEK</v>
          </cell>
          <cell r="D1731" t="str">
            <v>----</v>
          </cell>
        </row>
        <row r="1732">
          <cell r="A1732" t="str">
            <v>S3690</v>
          </cell>
          <cell r="B1732" t="str">
            <v>Nicola</v>
          </cell>
          <cell r="C1732" t="str">
            <v>SAMSON</v>
          </cell>
          <cell r="D1732" t="str">
            <v>BKS Kolejarz Katowice</v>
          </cell>
        </row>
        <row r="1733">
          <cell r="A1733" t="str">
            <v>S5313</v>
          </cell>
          <cell r="B1733" t="str">
            <v>Anna</v>
          </cell>
          <cell r="C1733" t="str">
            <v>SANOCKA</v>
          </cell>
          <cell r="D1733" t="str">
            <v>UKS Arka Umieszcz</v>
          </cell>
        </row>
        <row r="1734">
          <cell r="A1734" t="str">
            <v>S4742</v>
          </cell>
          <cell r="B1734" t="str">
            <v>Mateusz</v>
          </cell>
          <cell r="C1734" t="str">
            <v>SAPIECHA</v>
          </cell>
          <cell r="D1734" t="str">
            <v>UKS Ząbkowice Dąbrowa Górn.</v>
          </cell>
        </row>
        <row r="1735">
          <cell r="A1735" t="str">
            <v>S5250</v>
          </cell>
          <cell r="B1735" t="str">
            <v>Weronika</v>
          </cell>
          <cell r="C1735" t="str">
            <v>SASKOWSKA</v>
          </cell>
          <cell r="D1735" t="str">
            <v>LUKS Krokus Góralice</v>
          </cell>
        </row>
        <row r="1736">
          <cell r="A1736" t="str">
            <v>S5684</v>
          </cell>
          <cell r="B1736" t="str">
            <v>Wiktoria</v>
          </cell>
          <cell r="C1736" t="str">
            <v>SASKOWSKA</v>
          </cell>
          <cell r="D1736" t="str">
            <v>LUKS Krokus Góralice</v>
          </cell>
        </row>
        <row r="1737">
          <cell r="A1737" t="str">
            <v>S5800</v>
          </cell>
          <cell r="B1737" t="str">
            <v>Uladzislau</v>
          </cell>
          <cell r="C1737" t="str">
            <v>SAVELYEU</v>
          </cell>
          <cell r="D1737" t="str">
            <v>----</v>
          </cell>
        </row>
        <row r="1738">
          <cell r="A1738" t="str">
            <v>S5959</v>
          </cell>
          <cell r="B1738" t="str">
            <v>Anna</v>
          </cell>
          <cell r="C1738" t="str">
            <v>SAWICKA</v>
          </cell>
          <cell r="D1738" t="str">
            <v>UKS MixTeam Tarnowiec</v>
          </cell>
        </row>
        <row r="1739">
          <cell r="A1739" t="str">
            <v>S5356</v>
          </cell>
          <cell r="B1739" t="str">
            <v>Karina</v>
          </cell>
          <cell r="C1739" t="str">
            <v>SAWICKA</v>
          </cell>
          <cell r="D1739" t="str">
            <v>ULKS U-2 Lotka Bytów</v>
          </cell>
        </row>
        <row r="1740">
          <cell r="A1740" t="str">
            <v>S3176</v>
          </cell>
          <cell r="B1740" t="str">
            <v>Sylwia</v>
          </cell>
          <cell r="C1740" t="str">
            <v>SAWICKA</v>
          </cell>
          <cell r="D1740" t="str">
            <v>AZSWAT Warszawa</v>
          </cell>
        </row>
        <row r="1741">
          <cell r="A1741" t="str">
            <v>S5092</v>
          </cell>
          <cell r="B1741" t="str">
            <v>Andrzej</v>
          </cell>
          <cell r="C1741" t="str">
            <v>SAWICKI</v>
          </cell>
          <cell r="D1741" t="str">
            <v>UKS Hubal Białystok</v>
          </cell>
        </row>
        <row r="1742">
          <cell r="A1742" t="str">
            <v>S4781</v>
          </cell>
          <cell r="B1742" t="str">
            <v>Grzegorz</v>
          </cell>
          <cell r="C1742" t="str">
            <v>SAWICKI</v>
          </cell>
          <cell r="D1742" t="str">
            <v>----</v>
          </cell>
        </row>
        <row r="1743">
          <cell r="A1743" t="str">
            <v>S5402</v>
          </cell>
          <cell r="B1743" t="str">
            <v>Piotr</v>
          </cell>
          <cell r="C1743" t="str">
            <v>SAWICKI</v>
          </cell>
          <cell r="D1743" t="str">
            <v>AZSWAT Warszawa</v>
          </cell>
        </row>
        <row r="1744">
          <cell r="A1744" t="str">
            <v>S5198</v>
          </cell>
          <cell r="B1744" t="str">
            <v>Katarzyna</v>
          </cell>
          <cell r="C1744" t="str">
            <v>SENDEREK</v>
          </cell>
          <cell r="D1744" t="str">
            <v>UKS Kiko Zamość</v>
          </cell>
        </row>
        <row r="1745">
          <cell r="A1745" t="str">
            <v>S4220</v>
          </cell>
          <cell r="B1745" t="str">
            <v>Julia</v>
          </cell>
          <cell r="C1745" t="str">
            <v>SENDERSKA</v>
          </cell>
          <cell r="D1745" t="str">
            <v>UKS 25 Kielce</v>
          </cell>
        </row>
        <row r="1746">
          <cell r="A1746" t="str">
            <v>S4623</v>
          </cell>
          <cell r="B1746" t="str">
            <v>Damian</v>
          </cell>
          <cell r="C1746" t="str">
            <v>SENDROWSKI</v>
          </cell>
          <cell r="D1746" t="str">
            <v>UKS 70 Płock</v>
          </cell>
        </row>
        <row r="1747">
          <cell r="A1747" t="str">
            <v>S0155</v>
          </cell>
          <cell r="B1747" t="str">
            <v>Anna</v>
          </cell>
          <cell r="C1747" t="str">
            <v>SERAFIN</v>
          </cell>
          <cell r="D1747" t="str">
            <v>LKS Technik Głubczyce</v>
          </cell>
        </row>
        <row r="1748">
          <cell r="A1748" t="str">
            <v>S5234</v>
          </cell>
          <cell r="B1748" t="str">
            <v>Filip</v>
          </cell>
          <cell r="C1748" t="str">
            <v>SERAFIN</v>
          </cell>
          <cell r="D1748" t="str">
            <v>UKS Orbitek Straszęcin</v>
          </cell>
        </row>
        <row r="1749">
          <cell r="A1749" t="str">
            <v>S5666</v>
          </cell>
          <cell r="B1749" t="str">
            <v>Kacper</v>
          </cell>
          <cell r="C1749" t="str">
            <v>SERAFIN</v>
          </cell>
          <cell r="D1749" t="str">
            <v>UKS Jagiellonka Medyka</v>
          </cell>
        </row>
        <row r="1750">
          <cell r="A1750" t="str">
            <v>S5237</v>
          </cell>
          <cell r="B1750" t="str">
            <v>Wiktor</v>
          </cell>
          <cell r="C1750" t="str">
            <v>SERAFIN</v>
          </cell>
          <cell r="D1750" t="str">
            <v>UKS Orbitek Straszęcin</v>
          </cell>
        </row>
        <row r="1751">
          <cell r="A1751" t="str">
            <v>S3724</v>
          </cell>
          <cell r="B1751" t="str">
            <v>Jakub</v>
          </cell>
          <cell r="C1751" t="str">
            <v>SEWERYN</v>
          </cell>
          <cell r="D1751" t="str">
            <v>UKS 2 Sobótka</v>
          </cell>
        </row>
        <row r="1752">
          <cell r="A1752" t="str">
            <v>S5141</v>
          </cell>
          <cell r="B1752" t="str">
            <v>Marek</v>
          </cell>
          <cell r="C1752" t="str">
            <v>SĘCZEK</v>
          </cell>
          <cell r="D1752" t="str">
            <v>----</v>
          </cell>
        </row>
        <row r="1753">
          <cell r="A1753" t="str">
            <v>S4674</v>
          </cell>
          <cell r="B1753" t="str">
            <v>Adrian</v>
          </cell>
          <cell r="C1753" t="str">
            <v>SIDOR</v>
          </cell>
          <cell r="D1753" t="str">
            <v>UKS Kiko Zamość</v>
          </cell>
        </row>
        <row r="1754">
          <cell r="A1754" t="str">
            <v>S4125</v>
          </cell>
          <cell r="B1754" t="str">
            <v>Natalia</v>
          </cell>
          <cell r="C1754" t="str">
            <v>SIDOR</v>
          </cell>
          <cell r="D1754" t="str">
            <v>ŚKBad Harcownik Warszawa</v>
          </cell>
        </row>
        <row r="1755">
          <cell r="A1755" t="str">
            <v>S2122</v>
          </cell>
          <cell r="B1755" t="str">
            <v>Sebastian</v>
          </cell>
          <cell r="C1755" t="str">
            <v>SIDOREK</v>
          </cell>
          <cell r="D1755" t="str">
            <v>SKB Suwałki</v>
          </cell>
        </row>
        <row r="1756">
          <cell r="A1756" t="str">
            <v>S5097</v>
          </cell>
          <cell r="B1756" t="str">
            <v>Maciej</v>
          </cell>
          <cell r="C1756" t="str">
            <v>SIDOROWICZ</v>
          </cell>
          <cell r="D1756" t="str">
            <v>----</v>
          </cell>
        </row>
        <row r="1757">
          <cell r="A1757" t="str">
            <v>S1644</v>
          </cell>
          <cell r="B1757" t="str">
            <v>Mateusz</v>
          </cell>
          <cell r="C1757" t="str">
            <v>SIECIECHOWICZ</v>
          </cell>
          <cell r="D1757" t="str">
            <v>AZSWAT Warszawa</v>
          </cell>
        </row>
        <row r="1758">
          <cell r="A1758" t="str">
            <v>S5272</v>
          </cell>
          <cell r="B1758" t="str">
            <v>Julia</v>
          </cell>
          <cell r="C1758" t="str">
            <v>SIEKLICKA</v>
          </cell>
          <cell r="D1758" t="str">
            <v>UKS Badminton Stare Babice</v>
          </cell>
        </row>
        <row r="1759">
          <cell r="A1759" t="str">
            <v>S2114</v>
          </cell>
          <cell r="B1759" t="str">
            <v>Krzysztof</v>
          </cell>
          <cell r="C1759" t="str">
            <v>SIEMIENIUK</v>
          </cell>
          <cell r="D1759" t="str">
            <v>AZSUWM Olsztyn</v>
          </cell>
        </row>
        <row r="1760">
          <cell r="A1760" t="str">
            <v>S4257</v>
          </cell>
          <cell r="B1760" t="str">
            <v>Maciej</v>
          </cell>
          <cell r="C1760" t="str">
            <v>SIEMIGINOWSKI</v>
          </cell>
          <cell r="D1760" t="str">
            <v>LKS Technik Głubczyce</v>
          </cell>
        </row>
        <row r="1761">
          <cell r="A1761" t="str">
            <v>S4814</v>
          </cell>
          <cell r="B1761" t="str">
            <v>Weronika</v>
          </cell>
          <cell r="C1761" t="str">
            <v>SIEMIŃSKA</v>
          </cell>
          <cell r="D1761" t="str">
            <v>UKS Hubal Białystok</v>
          </cell>
        </row>
        <row r="1762">
          <cell r="A1762" t="str">
            <v>S4672</v>
          </cell>
          <cell r="B1762" t="str">
            <v>Michał</v>
          </cell>
          <cell r="C1762" t="str">
            <v>SIEMKO</v>
          </cell>
          <cell r="D1762" t="str">
            <v>UKS Kiko Zamość</v>
          </cell>
        </row>
        <row r="1763">
          <cell r="A1763" t="str">
            <v>S4318</v>
          </cell>
          <cell r="B1763" t="str">
            <v>Ola</v>
          </cell>
          <cell r="C1763" t="str">
            <v>SIEPRAWSKA</v>
          </cell>
          <cell r="D1763" t="str">
            <v>ULKS U-2 Lotka Bytów</v>
          </cell>
        </row>
        <row r="1764">
          <cell r="A1764" t="str">
            <v>S4731</v>
          </cell>
          <cell r="B1764" t="str">
            <v>Michał</v>
          </cell>
          <cell r="C1764" t="str">
            <v>SIERAK</v>
          </cell>
          <cell r="D1764" t="str">
            <v>UKS Orliki Ropica Polska</v>
          </cell>
        </row>
        <row r="1765">
          <cell r="A1765" t="str">
            <v>S3222</v>
          </cell>
          <cell r="B1765" t="str">
            <v>Łukasz</v>
          </cell>
          <cell r="C1765" t="str">
            <v>SIEROŃ</v>
          </cell>
          <cell r="D1765" t="str">
            <v>UMKS Junis Szczucin</v>
          </cell>
        </row>
        <row r="1766">
          <cell r="A1766" t="str">
            <v>S3855</v>
          </cell>
          <cell r="B1766" t="str">
            <v>Maja</v>
          </cell>
          <cell r="C1766" t="str">
            <v>SIERPIŃSKA</v>
          </cell>
          <cell r="D1766" t="str">
            <v>KS Hubertus Zalesie Górne</v>
          </cell>
        </row>
        <row r="1767">
          <cell r="A1767" t="str">
            <v>S5627</v>
          </cell>
          <cell r="B1767" t="str">
            <v>Piotr</v>
          </cell>
          <cell r="C1767" t="str">
            <v>SIERZPUTOWSKI</v>
          </cell>
          <cell r="D1767" t="str">
            <v>ULKS U-2 Lotka Bytów</v>
          </cell>
        </row>
        <row r="1768">
          <cell r="A1768" t="str">
            <v>S5068</v>
          </cell>
          <cell r="B1768" t="str">
            <v>Stanisław</v>
          </cell>
          <cell r="C1768" t="str">
            <v>SIERZPUTOWSKI</v>
          </cell>
          <cell r="D1768" t="str">
            <v>AZSUW Warszawa</v>
          </cell>
        </row>
        <row r="1769">
          <cell r="A1769" t="str">
            <v>S2876</v>
          </cell>
          <cell r="B1769" t="str">
            <v>Paweł</v>
          </cell>
          <cell r="C1769" t="str">
            <v>SIĘPAK</v>
          </cell>
          <cell r="D1769" t="str">
            <v>UKS KSBad Kraków</v>
          </cell>
        </row>
        <row r="1770">
          <cell r="A1770" t="str">
            <v>S5484</v>
          </cell>
          <cell r="B1770" t="str">
            <v>Dominika</v>
          </cell>
          <cell r="C1770" t="str">
            <v>SIKORSKA</v>
          </cell>
          <cell r="D1770" t="str">
            <v>AZSOŚ Łódź</v>
          </cell>
        </row>
        <row r="1771">
          <cell r="A1771" t="str">
            <v>S5694</v>
          </cell>
          <cell r="B1771" t="str">
            <v>Borys</v>
          </cell>
          <cell r="C1771" t="str">
            <v>SIKORSKI</v>
          </cell>
          <cell r="D1771" t="str">
            <v>UKS 2 Sobótka</v>
          </cell>
        </row>
        <row r="1772">
          <cell r="A1772" t="str">
            <v>S5919</v>
          </cell>
          <cell r="B1772" t="str">
            <v>Mateusz</v>
          </cell>
          <cell r="C1772" t="str">
            <v>SIKORSKI</v>
          </cell>
          <cell r="D1772" t="str">
            <v>UKS Lotka Łódź</v>
          </cell>
        </row>
        <row r="1773">
          <cell r="A1773" t="str">
            <v>S5648</v>
          </cell>
          <cell r="B1773" t="str">
            <v>Julia</v>
          </cell>
          <cell r="C1773" t="str">
            <v>SIRY</v>
          </cell>
          <cell r="D1773" t="str">
            <v>UKSB Volant Mielec</v>
          </cell>
        </row>
        <row r="1774">
          <cell r="A1774" t="str">
            <v>S5697</v>
          </cell>
          <cell r="B1774" t="str">
            <v>Kuba</v>
          </cell>
          <cell r="C1774" t="str">
            <v>SITEK</v>
          </cell>
          <cell r="D1774" t="str">
            <v>----</v>
          </cell>
        </row>
        <row r="1775">
          <cell r="A1775" t="str">
            <v>S5372</v>
          </cell>
          <cell r="B1775" t="str">
            <v>Jan</v>
          </cell>
          <cell r="C1775" t="str">
            <v>SIULKOWSKI</v>
          </cell>
          <cell r="D1775" t="str">
            <v>UKS Kiko Zamość</v>
          </cell>
        </row>
        <row r="1776">
          <cell r="A1776" t="str">
            <v>S5702</v>
          </cell>
          <cell r="B1776" t="str">
            <v>Paulina</v>
          </cell>
          <cell r="C1776" t="str">
            <v>SKAZA</v>
          </cell>
          <cell r="D1776" t="str">
            <v>UKSB Volant Mielec</v>
          </cell>
        </row>
        <row r="1777">
          <cell r="A1777" t="str">
            <v>S5243</v>
          </cell>
          <cell r="B1777" t="str">
            <v>Wojciech</v>
          </cell>
          <cell r="C1777" t="str">
            <v>SKOREK</v>
          </cell>
          <cell r="D1777" t="str">
            <v>UKS Ostrówek</v>
          </cell>
        </row>
        <row r="1778">
          <cell r="A1778" t="str">
            <v>S5725</v>
          </cell>
          <cell r="B1778" t="str">
            <v>Piotr</v>
          </cell>
          <cell r="C1778" t="str">
            <v>SKORUPIŃSKI</v>
          </cell>
          <cell r="D1778" t="str">
            <v>UMKS Iskra Wolsztyn</v>
          </cell>
        </row>
        <row r="1779">
          <cell r="A1779" t="str">
            <v>S4128</v>
          </cell>
          <cell r="B1779" t="str">
            <v>Grzegorz</v>
          </cell>
          <cell r="C1779" t="str">
            <v>SKORUPKO</v>
          </cell>
          <cell r="D1779" t="str">
            <v>ŚKBad Harcownik Warszawa</v>
          </cell>
        </row>
        <row r="1780">
          <cell r="A1780" t="str">
            <v>S5886</v>
          </cell>
          <cell r="B1780" t="str">
            <v>Agnieszka</v>
          </cell>
          <cell r="C1780" t="str">
            <v>SKOWRON</v>
          </cell>
          <cell r="D1780" t="str">
            <v>UKS Smecz Milicz</v>
          </cell>
        </row>
        <row r="1781">
          <cell r="A1781" t="str">
            <v>S4958</v>
          </cell>
          <cell r="B1781" t="str">
            <v>Kinga</v>
          </cell>
          <cell r="C1781" t="str">
            <v>SKOWRONEK</v>
          </cell>
          <cell r="D1781" t="str">
            <v>PMKS Chrobry Piotrowice</v>
          </cell>
        </row>
        <row r="1782">
          <cell r="A1782" t="str">
            <v>S5215</v>
          </cell>
          <cell r="B1782" t="str">
            <v>Natalia</v>
          </cell>
          <cell r="C1782" t="str">
            <v>SKROCKA</v>
          </cell>
          <cell r="D1782" t="str">
            <v>SKB Suwałki</v>
          </cell>
        </row>
        <row r="1783">
          <cell r="A1783" t="str">
            <v>S0922</v>
          </cell>
          <cell r="B1783" t="str">
            <v>Rafał</v>
          </cell>
          <cell r="C1783" t="str">
            <v>SKRZEK</v>
          </cell>
          <cell r="D1783" t="str">
            <v>UKS Orbitek Straszęcin</v>
          </cell>
        </row>
        <row r="1784">
          <cell r="A1784" t="str">
            <v>S3183</v>
          </cell>
          <cell r="B1784" t="str">
            <v>Aleksandra</v>
          </cell>
          <cell r="C1784" t="str">
            <v>SKRZYŃSKA</v>
          </cell>
          <cell r="D1784" t="str">
            <v>UKS Kiko Zamość</v>
          </cell>
        </row>
        <row r="1785">
          <cell r="A1785" t="str">
            <v>S3721</v>
          </cell>
          <cell r="B1785" t="str">
            <v>Błażej</v>
          </cell>
          <cell r="C1785" t="str">
            <v>SKRZYPCZAK</v>
          </cell>
          <cell r="D1785" t="str">
            <v>ŚKBad Harcownik Warszawa</v>
          </cell>
        </row>
        <row r="1786">
          <cell r="A1786" t="str">
            <v>S5065</v>
          </cell>
          <cell r="B1786" t="str">
            <v>Monika</v>
          </cell>
          <cell r="C1786" t="str">
            <v>SŁOKOTOWICZ</v>
          </cell>
          <cell r="D1786" t="str">
            <v>UKS Hubal Białystok</v>
          </cell>
        </row>
        <row r="1787">
          <cell r="A1787" t="str">
            <v>S5380</v>
          </cell>
          <cell r="B1787" t="str">
            <v>Bartosz</v>
          </cell>
          <cell r="C1787" t="str">
            <v>SŁOMA</v>
          </cell>
          <cell r="D1787" t="str">
            <v>MKS Orlicz Suchedniów</v>
          </cell>
        </row>
        <row r="1788">
          <cell r="A1788" t="str">
            <v>S3617</v>
          </cell>
          <cell r="B1788" t="str">
            <v>Katarzyna</v>
          </cell>
          <cell r="C1788" t="str">
            <v>SŁOMBA</v>
          </cell>
          <cell r="D1788" t="str">
            <v>UKSB Volant Mielec</v>
          </cell>
        </row>
        <row r="1789">
          <cell r="A1789" t="str">
            <v>S0218</v>
          </cell>
          <cell r="B1789" t="str">
            <v>Adam</v>
          </cell>
          <cell r="C1789" t="str">
            <v>SŁOMKA</v>
          </cell>
          <cell r="D1789" t="str">
            <v>KS Chojnik Jelenia Góra</v>
          </cell>
        </row>
        <row r="1790">
          <cell r="A1790" t="str">
            <v>S2735</v>
          </cell>
          <cell r="B1790" t="str">
            <v>Paweł</v>
          </cell>
          <cell r="C1790" t="str">
            <v>SŁOMKA</v>
          </cell>
          <cell r="D1790" t="str">
            <v>KS Chojnik Jelenia Góra</v>
          </cell>
        </row>
        <row r="1791">
          <cell r="A1791" t="str">
            <v>S4703</v>
          </cell>
          <cell r="B1791" t="str">
            <v>Mateusz</v>
          </cell>
          <cell r="C1791" t="str">
            <v>SŁOMKOWSKI</v>
          </cell>
          <cell r="D1791" t="str">
            <v>KS Wesoła Warszawa</v>
          </cell>
        </row>
        <row r="1792">
          <cell r="A1792" t="str">
            <v>S5789</v>
          </cell>
          <cell r="B1792" t="str">
            <v>Wiktoria</v>
          </cell>
          <cell r="C1792" t="str">
            <v>SŁOTA</v>
          </cell>
          <cell r="D1792" t="str">
            <v>UKS Orbitek Straszęcin</v>
          </cell>
        </row>
        <row r="1793">
          <cell r="A1793" t="str">
            <v>S5941</v>
          </cell>
          <cell r="B1793" t="str">
            <v>Dawid</v>
          </cell>
          <cell r="C1793" t="str">
            <v>SŁOTWIŃSKI</v>
          </cell>
          <cell r="D1793" t="str">
            <v>MMKS Kędzierzyn-Koźle</v>
          </cell>
        </row>
        <row r="1794">
          <cell r="A1794" t="str">
            <v>S5124</v>
          </cell>
          <cell r="B1794" t="str">
            <v>Oliwia</v>
          </cell>
          <cell r="C1794" t="str">
            <v>SŁOWIKOWSKA</v>
          </cell>
          <cell r="D1794" t="str">
            <v>UKS 70 Płock</v>
          </cell>
        </row>
        <row r="1795">
          <cell r="A1795" t="str">
            <v>S3245</v>
          </cell>
          <cell r="B1795" t="str">
            <v>Arkadiusz</v>
          </cell>
          <cell r="C1795" t="str">
            <v>SŁUPEK</v>
          </cell>
          <cell r="D1795" t="str">
            <v>KS Chojnik Jelenia Góra</v>
          </cell>
        </row>
        <row r="1796">
          <cell r="A1796" t="str">
            <v>S4019</v>
          </cell>
          <cell r="B1796" t="str">
            <v>Kamil</v>
          </cell>
          <cell r="C1796" t="str">
            <v>SŁUPEK</v>
          </cell>
          <cell r="D1796" t="str">
            <v>KS Chojnik Jelenia Góra</v>
          </cell>
        </row>
        <row r="1797">
          <cell r="A1797" t="str">
            <v>S3502</v>
          </cell>
          <cell r="B1797" t="str">
            <v>Jakub</v>
          </cell>
          <cell r="C1797" t="str">
            <v>SMAJDA</v>
          </cell>
          <cell r="D1797" t="str">
            <v>UKS Ząbkowice Dąbrowa Górn.</v>
          </cell>
        </row>
        <row r="1798">
          <cell r="A1798" t="str">
            <v>S1436</v>
          </cell>
          <cell r="B1798" t="str">
            <v>Grzegorz</v>
          </cell>
          <cell r="C1798" t="str">
            <v>SMAJEK</v>
          </cell>
          <cell r="D1798" t="str">
            <v>----</v>
          </cell>
        </row>
        <row r="1799">
          <cell r="A1799" t="str">
            <v>S5917</v>
          </cell>
          <cell r="B1799" t="str">
            <v>Aleksandra</v>
          </cell>
          <cell r="C1799" t="str">
            <v>SMALARZ</v>
          </cell>
          <cell r="D1799" t="str">
            <v>UKS MixTeam Tarnowiec</v>
          </cell>
        </row>
        <row r="1800">
          <cell r="A1800" t="str">
            <v>S3955</v>
          </cell>
          <cell r="B1800" t="str">
            <v>Sandra</v>
          </cell>
          <cell r="C1800" t="str">
            <v>SMOK</v>
          </cell>
          <cell r="D1800" t="str">
            <v>KS Chojnik Jelenia Góra</v>
          </cell>
        </row>
        <row r="1801">
          <cell r="A1801" t="str">
            <v>S5772</v>
          </cell>
          <cell r="B1801" t="str">
            <v>Jakub</v>
          </cell>
          <cell r="C1801" t="str">
            <v>SMOLAK</v>
          </cell>
          <cell r="D1801" t="str">
            <v>UKS Kiko Zamość</v>
          </cell>
        </row>
        <row r="1802">
          <cell r="A1802" t="str">
            <v>S5542</v>
          </cell>
          <cell r="B1802" t="str">
            <v>Adrian</v>
          </cell>
          <cell r="C1802" t="str">
            <v>SMOLEŃ</v>
          </cell>
          <cell r="D1802" t="str">
            <v>----</v>
          </cell>
        </row>
        <row r="1803">
          <cell r="A1803" t="str">
            <v>S4777</v>
          </cell>
          <cell r="B1803" t="str">
            <v>Mariusz</v>
          </cell>
          <cell r="C1803" t="str">
            <v>SMOLICH</v>
          </cell>
          <cell r="D1803" t="str">
            <v>----</v>
          </cell>
        </row>
        <row r="1804">
          <cell r="A1804" t="str">
            <v>S1278</v>
          </cell>
          <cell r="B1804" t="str">
            <v>Arkadiusz</v>
          </cell>
          <cell r="C1804" t="str">
            <v>SMOLIŃSKI</v>
          </cell>
          <cell r="D1804" t="str">
            <v>AZSUWM Olsztyn</v>
          </cell>
        </row>
        <row r="1805">
          <cell r="A1805" t="str">
            <v>S2839</v>
          </cell>
          <cell r="B1805" t="str">
            <v>Robert</v>
          </cell>
          <cell r="C1805" t="str">
            <v>SMOLUCHOWSKI</v>
          </cell>
          <cell r="D1805" t="str">
            <v>MKB Lednik Miastko</v>
          </cell>
        </row>
        <row r="1806">
          <cell r="A1806" t="str">
            <v>S5604</v>
          </cell>
          <cell r="B1806" t="str">
            <v>Szymon</v>
          </cell>
          <cell r="C1806" t="str">
            <v>SNARSKI</v>
          </cell>
          <cell r="D1806" t="str">
            <v>UKS Hubal Białystok</v>
          </cell>
        </row>
        <row r="1807">
          <cell r="A1807" t="str">
            <v>S3394</v>
          </cell>
          <cell r="B1807" t="str">
            <v>Hana</v>
          </cell>
          <cell r="C1807" t="str">
            <v>SNOCHOWSKA</v>
          </cell>
          <cell r="D1807" t="str">
            <v>----</v>
          </cell>
        </row>
        <row r="1808">
          <cell r="A1808" t="str">
            <v>S5188</v>
          </cell>
          <cell r="B1808" t="str">
            <v>Kamil</v>
          </cell>
          <cell r="C1808" t="str">
            <v>SOBCZUK</v>
          </cell>
          <cell r="D1808" t="str">
            <v>UKS Kiko Zamość</v>
          </cell>
        </row>
        <row r="1809">
          <cell r="A1809" t="str">
            <v>S5116</v>
          </cell>
          <cell r="B1809" t="str">
            <v>Ada</v>
          </cell>
          <cell r="C1809" t="str">
            <v>SOBIECKA</v>
          </cell>
          <cell r="D1809" t="str">
            <v>KS Hubertus Zalesie Górne</v>
          </cell>
        </row>
        <row r="1810">
          <cell r="A1810" t="str">
            <v>S5001</v>
          </cell>
          <cell r="B1810" t="str">
            <v>Dariusz</v>
          </cell>
          <cell r="C1810" t="str">
            <v>SOBKÓW</v>
          </cell>
          <cell r="D1810" t="str">
            <v>----</v>
          </cell>
        </row>
        <row r="1811">
          <cell r="A1811" t="str">
            <v>S4287</v>
          </cell>
          <cell r="B1811" t="str">
            <v>Michał</v>
          </cell>
          <cell r="C1811" t="str">
            <v>SOBOLEWSKI</v>
          </cell>
          <cell r="D1811" t="str">
            <v>SKB Suwałki</v>
          </cell>
        </row>
        <row r="1812">
          <cell r="A1812" t="str">
            <v>S5203</v>
          </cell>
          <cell r="B1812" t="str">
            <v>Tomasz</v>
          </cell>
          <cell r="C1812" t="str">
            <v>SOBOLEWSKI</v>
          </cell>
          <cell r="D1812" t="str">
            <v>UKS Kiko Zamość</v>
          </cell>
        </row>
        <row r="1813">
          <cell r="A1813" t="str">
            <v>S5916</v>
          </cell>
          <cell r="B1813" t="str">
            <v>Iwona</v>
          </cell>
          <cell r="C1813" t="str">
            <v>SOBOTKA</v>
          </cell>
          <cell r="D1813" t="str">
            <v>----</v>
          </cell>
        </row>
        <row r="1814">
          <cell r="A1814" t="str">
            <v>S5915</v>
          </cell>
          <cell r="B1814" t="str">
            <v>Piotr</v>
          </cell>
          <cell r="C1814" t="str">
            <v>SOBOTKA</v>
          </cell>
          <cell r="D1814" t="str">
            <v>----</v>
          </cell>
        </row>
        <row r="1815">
          <cell r="A1815" t="str">
            <v>S3950</v>
          </cell>
          <cell r="B1815" t="str">
            <v>Klaudia</v>
          </cell>
          <cell r="C1815" t="str">
            <v>SOCHA</v>
          </cell>
          <cell r="D1815" t="str">
            <v>KS Chojnik Jelenia Góra</v>
          </cell>
        </row>
        <row r="1816">
          <cell r="A1816" t="str">
            <v>S3358</v>
          </cell>
          <cell r="B1816" t="str">
            <v>Maciej</v>
          </cell>
          <cell r="C1816" t="str">
            <v>SOCHA</v>
          </cell>
          <cell r="D1816" t="str">
            <v>LUKS Jedynka Częstochowa</v>
          </cell>
        </row>
        <row r="1817">
          <cell r="A1817" t="str">
            <v>S3951</v>
          </cell>
          <cell r="B1817" t="str">
            <v>Oliwia</v>
          </cell>
          <cell r="C1817" t="str">
            <v>SOCHA</v>
          </cell>
          <cell r="D1817" t="str">
            <v>KS Chojnik Jelenia Góra</v>
          </cell>
        </row>
        <row r="1818">
          <cell r="A1818" t="str">
            <v>S5862</v>
          </cell>
          <cell r="B1818" t="str">
            <v>Gabriela</v>
          </cell>
          <cell r="C1818" t="str">
            <v>SOKOŁOWSKA</v>
          </cell>
          <cell r="D1818" t="str">
            <v>KS Chojnik Jelenia Góra</v>
          </cell>
        </row>
        <row r="1819">
          <cell r="A1819" t="str">
            <v>S5107</v>
          </cell>
          <cell r="B1819" t="str">
            <v>Justyna</v>
          </cell>
          <cell r="C1819" t="str">
            <v>SOKOŁOWSKA</v>
          </cell>
          <cell r="D1819" t="str">
            <v>UKS 70 Płock</v>
          </cell>
        </row>
        <row r="1820">
          <cell r="A1820" t="str">
            <v>S3993</v>
          </cell>
          <cell r="B1820" t="str">
            <v>Martyna</v>
          </cell>
          <cell r="C1820" t="str">
            <v>SOKOŁOWSKA</v>
          </cell>
          <cell r="D1820" t="str">
            <v>KKS Warmia Olsztyn</v>
          </cell>
        </row>
        <row r="1821">
          <cell r="A1821" t="str">
            <v>S5448</v>
          </cell>
          <cell r="B1821" t="str">
            <v>Bartłomiej</v>
          </cell>
          <cell r="C1821" t="str">
            <v>SOKOŁOWSKI</v>
          </cell>
          <cell r="D1821" t="str">
            <v>KKS Warmia Olsztyn</v>
          </cell>
        </row>
        <row r="1822">
          <cell r="A1822" t="str">
            <v>S3994</v>
          </cell>
          <cell r="B1822" t="str">
            <v>Jacek</v>
          </cell>
          <cell r="C1822" t="str">
            <v>SOKOŁOWSKI</v>
          </cell>
          <cell r="D1822" t="str">
            <v>AZSUWM Olsztyn</v>
          </cell>
        </row>
        <row r="1823">
          <cell r="A1823" t="str">
            <v>S3995</v>
          </cell>
          <cell r="B1823" t="str">
            <v>Kacper</v>
          </cell>
          <cell r="C1823" t="str">
            <v>SOKOŁOWSKI</v>
          </cell>
          <cell r="D1823" t="str">
            <v>KKS Warmia Olsztyn</v>
          </cell>
        </row>
        <row r="1824">
          <cell r="A1824" t="str">
            <v>S5541</v>
          </cell>
          <cell r="B1824" t="str">
            <v>Kamil</v>
          </cell>
          <cell r="C1824" t="str">
            <v>SOKOŁOWSKI</v>
          </cell>
          <cell r="D1824" t="str">
            <v>KS Masovia Płock</v>
          </cell>
        </row>
        <row r="1825">
          <cell r="A1825" t="str">
            <v>S5609</v>
          </cell>
          <cell r="B1825" t="str">
            <v>Mateusz</v>
          </cell>
          <cell r="C1825" t="str">
            <v>SOKOŁOWSKI</v>
          </cell>
          <cell r="D1825" t="str">
            <v>SKB Suwałki</v>
          </cell>
        </row>
        <row r="1826">
          <cell r="A1826" t="str">
            <v>S5094</v>
          </cell>
          <cell r="B1826" t="str">
            <v>Jan</v>
          </cell>
          <cell r="C1826" t="str">
            <v>SOŁEK</v>
          </cell>
          <cell r="D1826" t="str">
            <v>KSR Wolant Łódź</v>
          </cell>
        </row>
        <row r="1827">
          <cell r="A1827" t="str">
            <v>S2340</v>
          </cell>
          <cell r="B1827" t="str">
            <v>Joanna</v>
          </cell>
          <cell r="C1827" t="str">
            <v>SOŁOWIŃSKA</v>
          </cell>
          <cell r="D1827" t="str">
            <v>UKS Hubal Białystok</v>
          </cell>
        </row>
        <row r="1828">
          <cell r="A1828" t="str">
            <v>S2153</v>
          </cell>
          <cell r="B1828" t="str">
            <v>Magdalena</v>
          </cell>
          <cell r="C1828" t="str">
            <v>SOSNOWSKA</v>
          </cell>
          <cell r="D1828" t="str">
            <v>SLKS Tramp Orneta</v>
          </cell>
        </row>
        <row r="1829">
          <cell r="A1829" t="str">
            <v>S1935</v>
          </cell>
          <cell r="B1829" t="str">
            <v>Adam</v>
          </cell>
          <cell r="C1829" t="str">
            <v>SOWA</v>
          </cell>
          <cell r="D1829" t="str">
            <v>BKS Kolejarz Częstochowa</v>
          </cell>
        </row>
        <row r="1830">
          <cell r="A1830" t="str">
            <v>S5034</v>
          </cell>
          <cell r="B1830" t="str">
            <v>Michał</v>
          </cell>
          <cell r="C1830" t="str">
            <v>SOWA</v>
          </cell>
          <cell r="D1830" t="str">
            <v>UKS Unia Bieruń</v>
          </cell>
        </row>
        <row r="1831">
          <cell r="A1831" t="str">
            <v>S5235</v>
          </cell>
          <cell r="B1831" t="str">
            <v>Wiktoria</v>
          </cell>
          <cell r="C1831" t="str">
            <v>SOWA</v>
          </cell>
          <cell r="D1831" t="str">
            <v>UKS Orbitek Straszęcin</v>
          </cell>
        </row>
        <row r="1832">
          <cell r="A1832" t="str">
            <v>S2901</v>
          </cell>
          <cell r="B1832" t="str">
            <v>Jakub</v>
          </cell>
          <cell r="C1832" t="str">
            <v>SOWIŃSKI</v>
          </cell>
          <cell r="D1832" t="str">
            <v>----</v>
          </cell>
        </row>
        <row r="1833">
          <cell r="A1833" t="str">
            <v>S5177</v>
          </cell>
          <cell r="B1833" t="str">
            <v>Zbigniew</v>
          </cell>
          <cell r="C1833" t="str">
            <v>SOWIŃSKI</v>
          </cell>
          <cell r="D1833" t="str">
            <v>----</v>
          </cell>
        </row>
        <row r="1834">
          <cell r="A1834" t="str">
            <v>S5535</v>
          </cell>
          <cell r="B1834" t="str">
            <v>Natalia</v>
          </cell>
          <cell r="C1834" t="str">
            <v>SPASSÓWKA</v>
          </cell>
          <cell r="D1834" t="str">
            <v>SKB Suwałki</v>
          </cell>
        </row>
        <row r="1835">
          <cell r="A1835" t="str">
            <v>S4013</v>
          </cell>
          <cell r="B1835" t="str">
            <v>Kamil</v>
          </cell>
          <cell r="C1835" t="str">
            <v>SPŁAWIŃSKI</v>
          </cell>
          <cell r="D1835" t="str">
            <v>UMKS Dubiecko</v>
          </cell>
        </row>
        <row r="1836">
          <cell r="A1836" t="str">
            <v>S5332</v>
          </cell>
          <cell r="B1836" t="str">
            <v>Mateusz</v>
          </cell>
          <cell r="C1836" t="str">
            <v>SPŁAWIŃSKI</v>
          </cell>
          <cell r="D1836" t="str">
            <v>UMKS Dubiecko</v>
          </cell>
        </row>
        <row r="1837">
          <cell r="A1837" t="str">
            <v>S5693</v>
          </cell>
          <cell r="B1837" t="str">
            <v>Paweł</v>
          </cell>
          <cell r="C1837" t="str">
            <v>SPUSTEK</v>
          </cell>
          <cell r="D1837" t="str">
            <v>UKS Kiko Zamość</v>
          </cell>
        </row>
        <row r="1838">
          <cell r="A1838" t="str">
            <v>S5634</v>
          </cell>
          <cell r="B1838" t="str">
            <v>Dawid</v>
          </cell>
          <cell r="C1838" t="str">
            <v>SROCZYŃSKI</v>
          </cell>
          <cell r="D1838" t="str">
            <v>----</v>
          </cell>
        </row>
        <row r="1839">
          <cell r="A1839" t="str">
            <v>S3971</v>
          </cell>
          <cell r="B1839" t="str">
            <v>Dawid</v>
          </cell>
          <cell r="C1839" t="str">
            <v>SROKA</v>
          </cell>
          <cell r="D1839" t="str">
            <v>KS Stal Sulęcin</v>
          </cell>
        </row>
        <row r="1840">
          <cell r="A1840" t="str">
            <v>S5643</v>
          </cell>
          <cell r="B1840" t="str">
            <v>Dawid</v>
          </cell>
          <cell r="C1840" t="str">
            <v>STACHNIK</v>
          </cell>
          <cell r="D1840" t="str">
            <v>UKS Sokół Ropczyce</v>
          </cell>
        </row>
        <row r="1841">
          <cell r="A1841" t="str">
            <v>S3843</v>
          </cell>
          <cell r="B1841" t="str">
            <v>Jerzy</v>
          </cell>
          <cell r="C1841" t="str">
            <v>STACHOWSKI</v>
          </cell>
          <cell r="D1841" t="str">
            <v>----</v>
          </cell>
        </row>
        <row r="1842">
          <cell r="A1842" t="str">
            <v>S3740</v>
          </cell>
          <cell r="B1842" t="str">
            <v>Marcin</v>
          </cell>
          <cell r="C1842" t="str">
            <v>STANECKI</v>
          </cell>
          <cell r="D1842" t="str">
            <v>MKSKSOS Kraków</v>
          </cell>
        </row>
        <row r="1843">
          <cell r="A1843" t="str">
            <v>S4802</v>
          </cell>
          <cell r="B1843" t="str">
            <v>Ewa</v>
          </cell>
          <cell r="C1843" t="str">
            <v>STANGRET</v>
          </cell>
          <cell r="D1843" t="str">
            <v>UKS Astra Wrocław</v>
          </cell>
        </row>
        <row r="1844">
          <cell r="A1844" t="str">
            <v>S2852</v>
          </cell>
          <cell r="B1844" t="str">
            <v>Maciej</v>
          </cell>
          <cell r="C1844" t="str">
            <v>STANISŁAWCZYK</v>
          </cell>
          <cell r="D1844" t="str">
            <v>SKB Piast Słupsk</v>
          </cell>
        </row>
        <row r="1845">
          <cell r="A1845" t="str">
            <v>S4770</v>
          </cell>
          <cell r="B1845" t="str">
            <v>Jakub</v>
          </cell>
          <cell r="C1845" t="str">
            <v>STANISZ</v>
          </cell>
          <cell r="D1845" t="str">
            <v>UKS 15 Kędzierzyn-Koźle</v>
          </cell>
        </row>
        <row r="1846">
          <cell r="A1846" t="str">
            <v>S3114</v>
          </cell>
          <cell r="B1846" t="str">
            <v>Joanna</v>
          </cell>
          <cell r="C1846" t="str">
            <v>STANISZ</v>
          </cell>
          <cell r="D1846" t="str">
            <v>UKS Sokół Ropczyce</v>
          </cell>
        </row>
        <row r="1847">
          <cell r="A1847" t="str">
            <v>S4438</v>
          </cell>
          <cell r="B1847" t="str">
            <v>Mateusz</v>
          </cell>
          <cell r="C1847" t="str">
            <v>STANISZ</v>
          </cell>
          <cell r="D1847" t="str">
            <v>UKS Sokół Ropczyce</v>
          </cell>
        </row>
        <row r="1848">
          <cell r="A1848" t="str">
            <v>S5790</v>
          </cell>
          <cell r="B1848" t="str">
            <v>Piotr</v>
          </cell>
          <cell r="C1848" t="str">
            <v>STANISZ</v>
          </cell>
          <cell r="D1848" t="str">
            <v>UKS Sokół Ropczyce</v>
          </cell>
        </row>
        <row r="1849">
          <cell r="A1849" t="str">
            <v>S4209</v>
          </cell>
          <cell r="B1849" t="str">
            <v>Paweł</v>
          </cell>
          <cell r="C1849" t="str">
            <v>STANKIEWICZ</v>
          </cell>
          <cell r="D1849" t="str">
            <v>UKSB Milenium Warszawa</v>
          </cell>
        </row>
        <row r="1850">
          <cell r="A1850" t="str">
            <v>S3975</v>
          </cell>
          <cell r="B1850" t="str">
            <v>Kamil</v>
          </cell>
          <cell r="C1850" t="str">
            <v>STAŃCZYC</v>
          </cell>
          <cell r="D1850" t="str">
            <v>KS Stal Sulęcin</v>
          </cell>
        </row>
        <row r="1851">
          <cell r="A1851" t="str">
            <v>S4969</v>
          </cell>
          <cell r="B1851" t="str">
            <v>Dariusz</v>
          </cell>
          <cell r="C1851" t="str">
            <v>STAŃKO</v>
          </cell>
          <cell r="D1851" t="str">
            <v>UKS Aktywna Piątka Przemyśl</v>
          </cell>
        </row>
        <row r="1852">
          <cell r="A1852" t="str">
            <v>S4372</v>
          </cell>
          <cell r="B1852" t="str">
            <v>Grzegorz</v>
          </cell>
          <cell r="C1852" t="str">
            <v>STAŃKO</v>
          </cell>
          <cell r="D1852" t="str">
            <v>UKS Aktywna Piątka Przemyśl</v>
          </cell>
        </row>
        <row r="1853">
          <cell r="A1853" t="str">
            <v>S4373</v>
          </cell>
          <cell r="B1853" t="str">
            <v>Wojciech</v>
          </cell>
          <cell r="C1853" t="str">
            <v>STAŃKO</v>
          </cell>
          <cell r="D1853" t="str">
            <v>UKS Aktywna Piątka Przemyśl</v>
          </cell>
        </row>
        <row r="1854">
          <cell r="A1854" t="str">
            <v>S5724</v>
          </cell>
          <cell r="B1854" t="str">
            <v>Ryszard</v>
          </cell>
          <cell r="C1854" t="str">
            <v>STARUCH</v>
          </cell>
          <cell r="D1854" t="str">
            <v>SLKS Tramp Orneta</v>
          </cell>
        </row>
        <row r="1855">
          <cell r="A1855" t="str">
            <v>S3972</v>
          </cell>
          <cell r="B1855" t="str">
            <v>Maciej</v>
          </cell>
          <cell r="C1855" t="str">
            <v>STASIŁOWICZ</v>
          </cell>
          <cell r="D1855" t="str">
            <v>KS Stal Sulęcin</v>
          </cell>
        </row>
        <row r="1856">
          <cell r="A1856" t="str">
            <v>S5236</v>
          </cell>
          <cell r="B1856" t="str">
            <v>Anna</v>
          </cell>
          <cell r="C1856" t="str">
            <v>STASIOWSKA</v>
          </cell>
          <cell r="D1856" t="str">
            <v>UKS Orbitek Straszęcin</v>
          </cell>
        </row>
        <row r="1857">
          <cell r="A1857" t="str">
            <v>S5705</v>
          </cell>
          <cell r="B1857" t="str">
            <v>Natalia</v>
          </cell>
          <cell r="C1857" t="str">
            <v>STASZKIEWICZ</v>
          </cell>
          <cell r="D1857" t="str">
            <v>ULKS U-2 Lotka Bytów</v>
          </cell>
        </row>
        <row r="1858">
          <cell r="A1858" t="str">
            <v>S0757</v>
          </cell>
          <cell r="B1858" t="str">
            <v>Dominik</v>
          </cell>
          <cell r="C1858" t="str">
            <v>STATNIK</v>
          </cell>
          <cell r="D1858" t="str">
            <v>----</v>
          </cell>
        </row>
        <row r="1859">
          <cell r="A1859" t="str">
            <v>S2138</v>
          </cell>
          <cell r="B1859" t="str">
            <v>Dominik</v>
          </cell>
          <cell r="C1859" t="str">
            <v>STEBNICKI</v>
          </cell>
          <cell r="D1859" t="str">
            <v>LKS Technik Głubczyce</v>
          </cell>
        </row>
        <row r="1860">
          <cell r="A1860" t="str">
            <v>S4222</v>
          </cell>
          <cell r="B1860" t="str">
            <v>Bartosz</v>
          </cell>
          <cell r="C1860" t="str">
            <v>STEFANIAK</v>
          </cell>
          <cell r="D1860" t="str">
            <v>ŚKBad Harcownik Warszawa</v>
          </cell>
        </row>
        <row r="1861">
          <cell r="A1861" t="str">
            <v>S4778</v>
          </cell>
          <cell r="B1861" t="str">
            <v>Damian</v>
          </cell>
          <cell r="C1861" t="str">
            <v>STEFAŃCZYK</v>
          </cell>
          <cell r="D1861" t="str">
            <v>----</v>
          </cell>
        </row>
        <row r="1862">
          <cell r="A1862" t="str">
            <v>S4772</v>
          </cell>
          <cell r="B1862" t="str">
            <v>Agata</v>
          </cell>
          <cell r="C1862" t="str">
            <v>STEFAŃSKA</v>
          </cell>
          <cell r="D1862" t="str">
            <v>UKS Ostrówek</v>
          </cell>
        </row>
        <row r="1863">
          <cell r="A1863" t="str">
            <v>S1472</v>
          </cell>
          <cell r="B1863" t="str">
            <v>Grażyna</v>
          </cell>
          <cell r="C1863" t="str">
            <v>STEFAŃSKA</v>
          </cell>
          <cell r="D1863" t="str">
            <v>----</v>
          </cell>
        </row>
        <row r="1864">
          <cell r="A1864" t="str">
            <v>S4974</v>
          </cell>
          <cell r="B1864" t="str">
            <v>Julia</v>
          </cell>
          <cell r="C1864" t="str">
            <v>STEFAŃSKA</v>
          </cell>
          <cell r="D1864" t="str">
            <v>UKS Ostrówek</v>
          </cell>
        </row>
        <row r="1865">
          <cell r="A1865" t="str">
            <v>S2642</v>
          </cell>
          <cell r="B1865" t="str">
            <v>Kinga</v>
          </cell>
          <cell r="C1865" t="str">
            <v>STEFAŃSKA</v>
          </cell>
          <cell r="D1865" t="str">
            <v>UKS Sokół Ropczyce</v>
          </cell>
        </row>
        <row r="1866">
          <cell r="A1866" t="str">
            <v>S4331</v>
          </cell>
          <cell r="B1866" t="str">
            <v>Michał</v>
          </cell>
          <cell r="C1866" t="str">
            <v>STEFAŃSKI</v>
          </cell>
          <cell r="D1866" t="str">
            <v>UKS Ostrówek</v>
          </cell>
        </row>
        <row r="1867">
          <cell r="A1867" t="str">
            <v>S5875</v>
          </cell>
          <cell r="B1867" t="str">
            <v>Michał</v>
          </cell>
          <cell r="C1867" t="str">
            <v>STEFAŃSKI</v>
          </cell>
          <cell r="D1867" t="str">
            <v>UKS Smecz Milicz</v>
          </cell>
        </row>
        <row r="1868">
          <cell r="A1868" t="str">
            <v>S 077</v>
          </cell>
          <cell r="B1868" t="str">
            <v>Agata</v>
          </cell>
          <cell r="C1868" t="str">
            <v>STELMASZCZYK</v>
          </cell>
          <cell r="D1868" t="str">
            <v>BKS Kolejarz Częstochowa</v>
          </cell>
        </row>
        <row r="1869">
          <cell r="A1869" t="str">
            <v>S3912</v>
          </cell>
          <cell r="B1869" t="str">
            <v>Mateusz</v>
          </cell>
          <cell r="C1869" t="str">
            <v>STEMPEL</v>
          </cell>
          <cell r="D1869" t="str">
            <v>AZSWAT Warszawa</v>
          </cell>
        </row>
        <row r="1870">
          <cell r="A1870" t="str">
            <v>S5521</v>
          </cell>
          <cell r="B1870" t="str">
            <v>Małgorzata</v>
          </cell>
          <cell r="C1870" t="str">
            <v>STERNAL</v>
          </cell>
          <cell r="D1870" t="str">
            <v>UKS Orkan Przeźmierowo</v>
          </cell>
        </row>
        <row r="1871">
          <cell r="A1871" t="str">
            <v>S5749</v>
          </cell>
          <cell r="B1871" t="str">
            <v>Julia</v>
          </cell>
          <cell r="C1871" t="str">
            <v>STERNIK</v>
          </cell>
          <cell r="D1871" t="str">
            <v>UKS Kiko Zamość</v>
          </cell>
        </row>
        <row r="1872">
          <cell r="A1872" t="str">
            <v>S5200</v>
          </cell>
          <cell r="B1872" t="str">
            <v>Dominika</v>
          </cell>
          <cell r="C1872" t="str">
            <v>STĘPIEŃ</v>
          </cell>
          <cell r="D1872" t="str">
            <v>----</v>
          </cell>
        </row>
        <row r="1873">
          <cell r="A1873" t="str">
            <v>S4937</v>
          </cell>
          <cell r="B1873" t="str">
            <v>Filip</v>
          </cell>
          <cell r="C1873" t="str">
            <v>STĘPNIAK</v>
          </cell>
          <cell r="D1873" t="str">
            <v>UKS Plesbad Pszczyna</v>
          </cell>
        </row>
        <row r="1874">
          <cell r="A1874" t="str">
            <v>S4265</v>
          </cell>
          <cell r="B1874" t="str">
            <v>Łukasz</v>
          </cell>
          <cell r="C1874" t="str">
            <v>STĘPNIEWSKI</v>
          </cell>
          <cell r="D1874" t="str">
            <v>MKB Lednik Miastko</v>
          </cell>
        </row>
        <row r="1875">
          <cell r="A1875" t="str">
            <v>S1370</v>
          </cell>
          <cell r="B1875" t="str">
            <v>Joanna</v>
          </cell>
          <cell r="C1875" t="str">
            <v>STOBIECKA</v>
          </cell>
          <cell r="D1875" t="str">
            <v>MKS Orlicz Suchedniów</v>
          </cell>
        </row>
        <row r="1876">
          <cell r="A1876" t="str">
            <v>S5384</v>
          </cell>
          <cell r="B1876" t="str">
            <v>Piotr</v>
          </cell>
          <cell r="C1876" t="str">
            <v>STOBIECKI</v>
          </cell>
          <cell r="D1876" t="str">
            <v>MKS Orlicz Suchedniów</v>
          </cell>
        </row>
        <row r="1877">
          <cell r="A1877" t="str">
            <v>S5167</v>
          </cell>
          <cell r="B1877" t="str">
            <v>Roksana</v>
          </cell>
          <cell r="C1877" t="str">
            <v>STOKOWSKA</v>
          </cell>
          <cell r="D1877" t="str">
            <v>UTS Akro-Bad Warszawa</v>
          </cell>
        </row>
        <row r="1878">
          <cell r="A1878" t="str">
            <v>S4327</v>
          </cell>
          <cell r="B1878" t="str">
            <v>Krystian</v>
          </cell>
          <cell r="C1878" t="str">
            <v>STOKOWSKI</v>
          </cell>
          <cell r="D1878" t="str">
            <v>UTS Akro-Bad Warszawa</v>
          </cell>
        </row>
        <row r="1879">
          <cell r="A1879" t="str">
            <v>S4662</v>
          </cell>
          <cell r="B1879" t="str">
            <v>Rafał</v>
          </cell>
          <cell r="C1879" t="str">
            <v>STOLARCZYK</v>
          </cell>
          <cell r="D1879" t="str">
            <v>----</v>
          </cell>
        </row>
        <row r="1880">
          <cell r="A1880" t="str">
            <v>S4738</v>
          </cell>
          <cell r="B1880" t="str">
            <v>Patryk</v>
          </cell>
          <cell r="C1880" t="str">
            <v>STOLARZ</v>
          </cell>
          <cell r="D1880" t="str">
            <v>UKSB Volant Mielec</v>
          </cell>
        </row>
        <row r="1881">
          <cell r="A1881" t="str">
            <v>S4504</v>
          </cell>
          <cell r="B1881" t="str">
            <v>Norbert</v>
          </cell>
          <cell r="C1881" t="str">
            <v>STOLICKI</v>
          </cell>
          <cell r="D1881" t="str">
            <v>----</v>
          </cell>
        </row>
        <row r="1882">
          <cell r="A1882" t="str">
            <v>S3452</v>
          </cell>
          <cell r="B1882" t="str">
            <v>Mateusz</v>
          </cell>
          <cell r="C1882" t="str">
            <v>STONKUS</v>
          </cell>
          <cell r="D1882" t="str">
            <v>UKS 70 Płock</v>
          </cell>
        </row>
        <row r="1883">
          <cell r="A1883" t="str">
            <v>S1490</v>
          </cell>
          <cell r="B1883" t="str">
            <v>Tomasz</v>
          </cell>
          <cell r="C1883" t="str">
            <v>STOPA</v>
          </cell>
          <cell r="D1883" t="str">
            <v>----</v>
          </cell>
        </row>
        <row r="1884">
          <cell r="A1884" t="str">
            <v>S5567</v>
          </cell>
          <cell r="B1884" t="str">
            <v>Mikołaj</v>
          </cell>
          <cell r="C1884" t="str">
            <v>STRAŻ</v>
          </cell>
          <cell r="D1884" t="str">
            <v>UKSB Volant Mielec</v>
          </cell>
        </row>
        <row r="1885">
          <cell r="A1885" t="str">
            <v>S2867</v>
          </cell>
          <cell r="B1885" t="str">
            <v>Weronika</v>
          </cell>
          <cell r="C1885" t="str">
            <v>STRĄK</v>
          </cell>
          <cell r="D1885" t="str">
            <v>UKS Plesbad Pszczyna</v>
          </cell>
        </row>
        <row r="1886">
          <cell r="A1886" t="str">
            <v>S4752</v>
          </cell>
          <cell r="B1886" t="str">
            <v>Anna</v>
          </cell>
          <cell r="C1886" t="str">
            <v>STREB</v>
          </cell>
          <cell r="D1886" t="str">
            <v>UKSB Volant Mielec</v>
          </cell>
        </row>
        <row r="1887">
          <cell r="A1887" t="str">
            <v>S1080</v>
          </cell>
          <cell r="B1887" t="str">
            <v>Andrzej</v>
          </cell>
          <cell r="C1887" t="str">
            <v>STRUENSEE</v>
          </cell>
          <cell r="D1887" t="str">
            <v>----</v>
          </cell>
        </row>
        <row r="1888">
          <cell r="A1888" t="str">
            <v>S5974</v>
          </cell>
          <cell r="B1888" t="str">
            <v>Mateusz</v>
          </cell>
          <cell r="C1888" t="str">
            <v>STRZELCZYK</v>
          </cell>
          <cell r="D1888" t="str">
            <v>MMKS Kędzierzyn-Koźle</v>
          </cell>
        </row>
        <row r="1889">
          <cell r="A1889" t="str">
            <v>S4873</v>
          </cell>
          <cell r="B1889" t="str">
            <v>Natalia</v>
          </cell>
          <cell r="C1889" t="str">
            <v>STRZELCZYK</v>
          </cell>
          <cell r="D1889" t="str">
            <v>KS Hubertus Zalesie Górne</v>
          </cell>
        </row>
        <row r="1890">
          <cell r="A1890" t="str">
            <v>S3538</v>
          </cell>
          <cell r="B1890" t="str">
            <v>Katarzyna</v>
          </cell>
          <cell r="C1890" t="str">
            <v>STRZELECKA</v>
          </cell>
          <cell r="D1890" t="str">
            <v>ZKB Maced Polanów</v>
          </cell>
        </row>
        <row r="1891">
          <cell r="A1891" t="str">
            <v>S3539</v>
          </cell>
          <cell r="B1891" t="str">
            <v>Paweł</v>
          </cell>
          <cell r="C1891" t="str">
            <v>STRZELECKI</v>
          </cell>
          <cell r="D1891" t="str">
            <v>ZKB Maced Polanów</v>
          </cell>
        </row>
        <row r="1892">
          <cell r="A1892" t="str">
            <v>S5147</v>
          </cell>
          <cell r="B1892" t="str">
            <v>Amelia</v>
          </cell>
          <cell r="C1892" t="str">
            <v>STRZEMIECZNA</v>
          </cell>
          <cell r="D1892" t="str">
            <v>KSR Wolant Łódź</v>
          </cell>
        </row>
        <row r="1893">
          <cell r="A1893" t="str">
            <v>S2487</v>
          </cell>
          <cell r="B1893" t="str">
            <v>Piotr</v>
          </cell>
          <cell r="C1893" t="str">
            <v>SUCHANEK</v>
          </cell>
          <cell r="D1893" t="str">
            <v>LUKS Jedynka Częstochowa</v>
          </cell>
        </row>
        <row r="1894">
          <cell r="A1894" t="str">
            <v>S4489</v>
          </cell>
          <cell r="B1894" t="str">
            <v>Milena</v>
          </cell>
          <cell r="C1894" t="str">
            <v>SUCHECKA</v>
          </cell>
          <cell r="D1894" t="str">
            <v>UKS Dwójka Wesoła</v>
          </cell>
        </row>
        <row r="1895">
          <cell r="A1895" t="str">
            <v>S3978</v>
          </cell>
          <cell r="B1895" t="str">
            <v>Maciej</v>
          </cell>
          <cell r="C1895" t="str">
            <v>SUCHORSKI</v>
          </cell>
          <cell r="D1895" t="str">
            <v>KS Stal Sulęcin</v>
          </cell>
        </row>
        <row r="1896">
          <cell r="A1896" t="str">
            <v>S4736</v>
          </cell>
          <cell r="B1896" t="str">
            <v>Paulina</v>
          </cell>
          <cell r="C1896" t="str">
            <v>SUCHOWIERZCH</v>
          </cell>
          <cell r="D1896" t="str">
            <v>UKS Kiko Zamość</v>
          </cell>
        </row>
        <row r="1897">
          <cell r="A1897" t="str">
            <v>S4087</v>
          </cell>
          <cell r="B1897" t="str">
            <v>Wioletta</v>
          </cell>
          <cell r="C1897" t="str">
            <v>SUDA</v>
          </cell>
          <cell r="D1897" t="str">
            <v>KKS Ruch Piotrków Tryb.</v>
          </cell>
        </row>
        <row r="1898">
          <cell r="A1898" t="str">
            <v>S5573</v>
          </cell>
          <cell r="B1898" t="str">
            <v>Jakub</v>
          </cell>
          <cell r="C1898" t="str">
            <v>SULEJ</v>
          </cell>
          <cell r="D1898" t="str">
            <v>PMKS Chrobry Piotrowice</v>
          </cell>
        </row>
        <row r="1899">
          <cell r="A1899" t="str">
            <v>S5131</v>
          </cell>
          <cell r="B1899" t="str">
            <v>Julia</v>
          </cell>
          <cell r="C1899" t="str">
            <v>SULKA</v>
          </cell>
          <cell r="D1899" t="str">
            <v>UKS Bursztyn Gdańsk</v>
          </cell>
        </row>
        <row r="1900">
          <cell r="A1900" t="str">
            <v>S4464</v>
          </cell>
          <cell r="B1900" t="str">
            <v>Natalia</v>
          </cell>
          <cell r="C1900" t="str">
            <v>SULKA</v>
          </cell>
          <cell r="D1900" t="str">
            <v>UKS Bursztyn Gdańsk</v>
          </cell>
        </row>
        <row r="1901">
          <cell r="A1901" t="str">
            <v>S5594</v>
          </cell>
          <cell r="B1901" t="str">
            <v>Piotr</v>
          </cell>
          <cell r="C1901" t="str">
            <v>SURMACZ</v>
          </cell>
          <cell r="D1901" t="str">
            <v>LUKS Krokus Góralice</v>
          </cell>
        </row>
        <row r="1902">
          <cell r="A1902" t="str">
            <v>S4117</v>
          </cell>
          <cell r="B1902" t="str">
            <v>Mateusz</v>
          </cell>
          <cell r="C1902" t="str">
            <v>SUROWIEC</v>
          </cell>
          <cell r="D1902" t="str">
            <v>UKS Start Widełka</v>
          </cell>
        </row>
        <row r="1903">
          <cell r="A1903" t="str">
            <v>S4693</v>
          </cell>
          <cell r="B1903" t="str">
            <v>Michalina</v>
          </cell>
          <cell r="C1903" t="str">
            <v>SURÓWKA</v>
          </cell>
          <cell r="D1903" t="str">
            <v>UKS Kometa Sianów</v>
          </cell>
        </row>
        <row r="1904">
          <cell r="A1904" t="str">
            <v>S3980</v>
          </cell>
          <cell r="B1904" t="str">
            <v>Andrea</v>
          </cell>
          <cell r="C1904" t="str">
            <v>SUSKA</v>
          </cell>
          <cell r="D1904" t="str">
            <v>UKS Bursztyn Gdańsk</v>
          </cell>
        </row>
        <row r="1905">
          <cell r="A1905" t="str">
            <v>S5442</v>
          </cell>
          <cell r="B1905" t="str">
            <v>Maciek</v>
          </cell>
          <cell r="C1905" t="str">
            <v>SUSKI</v>
          </cell>
          <cell r="D1905" t="str">
            <v>KKS Ruch Piotrków Tryb.</v>
          </cell>
        </row>
        <row r="1906">
          <cell r="A1906" t="str">
            <v>S5154</v>
          </cell>
          <cell r="B1906" t="str">
            <v>Michał</v>
          </cell>
          <cell r="C1906" t="str">
            <v>SUSKI</v>
          </cell>
          <cell r="D1906" t="str">
            <v>----</v>
          </cell>
        </row>
        <row r="1907">
          <cell r="A1907" t="str">
            <v>S2382</v>
          </cell>
          <cell r="B1907" t="str">
            <v>Michał</v>
          </cell>
          <cell r="C1907" t="str">
            <v>SUSKI</v>
          </cell>
          <cell r="D1907" t="str">
            <v>AZSWAT Warszawa</v>
          </cell>
        </row>
        <row r="1908">
          <cell r="A1908" t="str">
            <v>S1496</v>
          </cell>
          <cell r="B1908" t="str">
            <v>Piotr</v>
          </cell>
          <cell r="C1908" t="str">
            <v>SUSKI</v>
          </cell>
          <cell r="D1908" t="str">
            <v>----</v>
          </cell>
        </row>
        <row r="1909">
          <cell r="A1909" t="str">
            <v>S5261</v>
          </cell>
          <cell r="B1909" t="str">
            <v>Jakub</v>
          </cell>
          <cell r="C1909" t="str">
            <v>SUSZYŃSKI</v>
          </cell>
          <cell r="D1909" t="str">
            <v>MKS Stal Nowa Dęba</v>
          </cell>
        </row>
        <row r="1910">
          <cell r="A1910" t="str">
            <v>S0276</v>
          </cell>
          <cell r="B1910" t="str">
            <v>Jarosław</v>
          </cell>
          <cell r="C1910" t="str">
            <v>SUWAŁA</v>
          </cell>
          <cell r="D1910" t="str">
            <v>PMKS Chrobry Piotrowice</v>
          </cell>
        </row>
        <row r="1911">
          <cell r="A1911" t="str">
            <v>S4948</v>
          </cell>
          <cell r="B1911" t="str">
            <v>Henryk</v>
          </cell>
          <cell r="C1911" t="str">
            <v>SWOBODA</v>
          </cell>
          <cell r="D1911" t="str">
            <v>STB Energia Lubliniec</v>
          </cell>
        </row>
        <row r="1912">
          <cell r="A1912" t="str">
            <v>S3969</v>
          </cell>
          <cell r="B1912" t="str">
            <v>Ernestyna</v>
          </cell>
          <cell r="C1912" t="str">
            <v>SYKUŁA</v>
          </cell>
          <cell r="D1912" t="str">
            <v>KS Stal Sulęcin</v>
          </cell>
        </row>
        <row r="1913">
          <cell r="A1913" t="str">
            <v>S4129</v>
          </cell>
          <cell r="B1913" t="str">
            <v>Rafał</v>
          </cell>
          <cell r="C1913" t="str">
            <v>SYPNIEWSKI</v>
          </cell>
          <cell r="D1913" t="str">
            <v>ŚKBad Harcownik Warszawa</v>
          </cell>
        </row>
        <row r="1914">
          <cell r="A1914" t="str">
            <v>S5732</v>
          </cell>
          <cell r="B1914" t="str">
            <v>Yevgen</v>
          </cell>
          <cell r="C1914" t="str">
            <v>SYRYANYY</v>
          </cell>
          <cell r="D1914" t="str">
            <v>----</v>
          </cell>
        </row>
        <row r="1915">
          <cell r="A1915" t="str">
            <v>P1328</v>
          </cell>
          <cell r="B1915" t="str">
            <v>Katarzyna</v>
          </cell>
          <cell r="C1915" t="str">
            <v>SZAFRANIEC</v>
          </cell>
          <cell r="D1915" t="str">
            <v>AZSAGH Kraków</v>
          </cell>
        </row>
        <row r="1916">
          <cell r="A1916" t="str">
            <v>S3654</v>
          </cell>
          <cell r="B1916" t="str">
            <v>Małgorzata</v>
          </cell>
          <cell r="C1916" t="str">
            <v>SZAFRAŃSKA</v>
          </cell>
          <cell r="D1916" t="str">
            <v>KS Wesoła Warszawa</v>
          </cell>
        </row>
        <row r="1917">
          <cell r="A1917" t="str">
            <v>S0628</v>
          </cell>
          <cell r="B1917" t="str">
            <v>Jacek</v>
          </cell>
          <cell r="C1917" t="str">
            <v>SZAFRAŃSKI</v>
          </cell>
          <cell r="D1917" t="str">
            <v>KS Wesoła Warszawa</v>
          </cell>
        </row>
        <row r="1918">
          <cell r="A1918" t="str">
            <v>S5810</v>
          </cell>
          <cell r="B1918" t="str">
            <v>Piotr</v>
          </cell>
          <cell r="C1918" t="str">
            <v>SZAFRAŃSKI</v>
          </cell>
          <cell r="D1918" t="str">
            <v>UKS Korona Pabianice</v>
          </cell>
        </row>
        <row r="1919">
          <cell r="A1919" t="str">
            <v>S4410</v>
          </cell>
          <cell r="B1919" t="str">
            <v>Krystian</v>
          </cell>
          <cell r="C1919" t="str">
            <v>SZAJWAJ</v>
          </cell>
          <cell r="D1919" t="str">
            <v>UKS Bursztyn Gdańsk</v>
          </cell>
        </row>
        <row r="1920">
          <cell r="A1920" t="str">
            <v>S0303</v>
          </cell>
          <cell r="B1920" t="str">
            <v>Mateusz</v>
          </cell>
          <cell r="C1920" t="str">
            <v>SZAŁANKIEWICZ</v>
          </cell>
          <cell r="D1920" t="str">
            <v>BKS Kolejarz Częstochowa</v>
          </cell>
        </row>
        <row r="1921">
          <cell r="A1921" t="str">
            <v>S5566</v>
          </cell>
          <cell r="B1921" t="str">
            <v>Jerzy</v>
          </cell>
          <cell r="C1921" t="str">
            <v>SZAŁAPSKI</v>
          </cell>
          <cell r="D1921" t="str">
            <v>----</v>
          </cell>
        </row>
        <row r="1922">
          <cell r="A1922" t="str">
            <v>S3824</v>
          </cell>
          <cell r="B1922" t="str">
            <v>Piotr</v>
          </cell>
          <cell r="C1922" t="str">
            <v>SZAŁAS</v>
          </cell>
          <cell r="D1922" t="str">
            <v>MKS Garwolin</v>
          </cell>
        </row>
        <row r="1923">
          <cell r="A1923" t="str">
            <v>S5556</v>
          </cell>
          <cell r="B1923" t="str">
            <v>Łukasz</v>
          </cell>
          <cell r="C1923" t="str">
            <v>SZANTULA</v>
          </cell>
          <cell r="D1923" t="str">
            <v>UKSB Volant Mielec</v>
          </cell>
        </row>
        <row r="1924">
          <cell r="A1924" t="str">
            <v>S5449</v>
          </cell>
          <cell r="B1924" t="str">
            <v>Adrianna</v>
          </cell>
          <cell r="C1924" t="str">
            <v>SZARANEK</v>
          </cell>
          <cell r="D1924" t="str">
            <v>UMKS Iskra Wolsztyn</v>
          </cell>
        </row>
        <row r="1925">
          <cell r="A1925" t="str">
            <v>S5087</v>
          </cell>
          <cell r="B1925" t="str">
            <v>Dominika</v>
          </cell>
          <cell r="C1925" t="str">
            <v>SZAREK</v>
          </cell>
          <cell r="D1925" t="str">
            <v>UMKS Junis Szczucin</v>
          </cell>
        </row>
        <row r="1926">
          <cell r="A1926" t="str">
            <v>S5688</v>
          </cell>
          <cell r="B1926" t="str">
            <v>Liwia</v>
          </cell>
          <cell r="C1926" t="str">
            <v>SZATKOWSKA</v>
          </cell>
          <cell r="D1926" t="str">
            <v>UKS Smecz Bogatynia</v>
          </cell>
        </row>
        <row r="1927">
          <cell r="A1927" t="str">
            <v>S5976</v>
          </cell>
          <cell r="B1927" t="str">
            <v>Andrzej</v>
          </cell>
          <cell r="C1927" t="str">
            <v>SZCZEPANEK</v>
          </cell>
          <cell r="D1927" t="str">
            <v>UKS Badminton Stare Babice</v>
          </cell>
        </row>
        <row r="1928">
          <cell r="A1928" t="str">
            <v>S3444</v>
          </cell>
          <cell r="B1928" t="str">
            <v>Karol</v>
          </cell>
          <cell r="C1928" t="str">
            <v>SZCZEPANEK</v>
          </cell>
          <cell r="D1928" t="str">
            <v>UKS 70 Płock</v>
          </cell>
        </row>
        <row r="1929">
          <cell r="A1929" t="str">
            <v>S5201</v>
          </cell>
          <cell r="B1929" t="str">
            <v>Agata</v>
          </cell>
          <cell r="C1929" t="str">
            <v>SZCZEPANIAK</v>
          </cell>
          <cell r="D1929" t="str">
            <v>UKS Siódemka Świebodzin</v>
          </cell>
        </row>
        <row r="1930">
          <cell r="A1930" t="str">
            <v>S4218</v>
          </cell>
          <cell r="B1930" t="str">
            <v>Jakub</v>
          </cell>
          <cell r="C1930" t="str">
            <v>SZCZEPANIAK</v>
          </cell>
          <cell r="D1930" t="str">
            <v>UKS 70 Płock</v>
          </cell>
        </row>
        <row r="1931">
          <cell r="A1931" t="str">
            <v>S5179</v>
          </cell>
          <cell r="B1931" t="str">
            <v>Mateusz</v>
          </cell>
          <cell r="C1931" t="str">
            <v>SZCZEPANOWSKI</v>
          </cell>
          <cell r="D1931" t="str">
            <v>KS Wesoła Warszawa</v>
          </cell>
        </row>
        <row r="1932">
          <cell r="A1932" t="str">
            <v>S5750</v>
          </cell>
          <cell r="B1932" t="str">
            <v>Julia</v>
          </cell>
          <cell r="C1932" t="str">
            <v>SZCZEPAŃSKA</v>
          </cell>
          <cell r="D1932" t="str">
            <v>UKS Kiko Zamość</v>
          </cell>
        </row>
        <row r="1933">
          <cell r="A1933" t="str">
            <v>S1896</v>
          </cell>
          <cell r="B1933" t="str">
            <v>Andrzej</v>
          </cell>
          <cell r="C1933" t="str">
            <v>SZCZERBIŃSKI</v>
          </cell>
          <cell r="D1933" t="str">
            <v>MLKS Solec Kuj.</v>
          </cell>
        </row>
        <row r="1934">
          <cell r="A1934" t="str">
            <v>S1505</v>
          </cell>
          <cell r="B1934" t="str">
            <v>Marek</v>
          </cell>
          <cell r="C1934" t="str">
            <v>SZCZEŚNIEWSKI</v>
          </cell>
          <cell r="D1934" t="str">
            <v>----</v>
          </cell>
        </row>
        <row r="1935">
          <cell r="A1935" t="str">
            <v>S4708</v>
          </cell>
          <cell r="B1935" t="str">
            <v>Tomasz</v>
          </cell>
          <cell r="C1935" t="str">
            <v>SZCZĘSNY</v>
          </cell>
          <cell r="D1935" t="str">
            <v>----</v>
          </cell>
        </row>
        <row r="1936">
          <cell r="A1936" t="str">
            <v>S5924</v>
          </cell>
          <cell r="B1936" t="str">
            <v>Piotr</v>
          </cell>
          <cell r="C1936" t="str">
            <v>SZCZYPIOR</v>
          </cell>
          <cell r="D1936" t="str">
            <v>UKS Plesbad Pszczyna</v>
          </cell>
        </row>
        <row r="1937">
          <cell r="A1937" t="str">
            <v>S5985</v>
          </cell>
          <cell r="B1937" t="str">
            <v>Adam</v>
          </cell>
          <cell r="C1937" t="str">
            <v>SZCZYRBA</v>
          </cell>
          <cell r="D1937" t="str">
            <v>UKS Plesbad Pszczyna</v>
          </cell>
        </row>
        <row r="1938">
          <cell r="A1938" t="str">
            <v>S5361</v>
          </cell>
          <cell r="B1938" t="str">
            <v>Hanna</v>
          </cell>
          <cell r="C1938" t="str">
            <v>SZEJN</v>
          </cell>
          <cell r="D1938" t="str">
            <v>KSR Wolant Łódź</v>
          </cell>
        </row>
        <row r="1939">
          <cell r="A1939" t="str">
            <v>S5781</v>
          </cell>
          <cell r="B1939" t="str">
            <v>Aleksandra</v>
          </cell>
          <cell r="C1939" t="str">
            <v>SZELA</v>
          </cell>
          <cell r="D1939" t="str">
            <v>UKS Orbitek Straszęcin</v>
          </cell>
        </row>
        <row r="1940">
          <cell r="A1940" t="str">
            <v>S5623</v>
          </cell>
          <cell r="B1940" t="str">
            <v>Weronika</v>
          </cell>
          <cell r="C1940" t="str">
            <v>SZEMPLIŃSKA</v>
          </cell>
          <cell r="D1940" t="str">
            <v>UKS Badminton Stare Babice</v>
          </cell>
        </row>
        <row r="1941">
          <cell r="A1941" t="str">
            <v>P5508</v>
          </cell>
          <cell r="B1941" t="str">
            <v>Hanna</v>
          </cell>
          <cell r="C1941" t="str">
            <v>SZEMRAJ</v>
          </cell>
          <cell r="D1941" t="str">
            <v>ZKB Maced Polanów</v>
          </cell>
        </row>
        <row r="1942">
          <cell r="A1942" t="str">
            <v>S5389</v>
          </cell>
          <cell r="B1942" t="str">
            <v>Anna</v>
          </cell>
          <cell r="C1942" t="str">
            <v>SZEREMETA</v>
          </cell>
          <cell r="D1942" t="str">
            <v>KKS Warmia Olsztyn</v>
          </cell>
        </row>
        <row r="1943">
          <cell r="A1943" t="str">
            <v>S5229</v>
          </cell>
          <cell r="B1943" t="str">
            <v>Joanna</v>
          </cell>
          <cell r="C1943" t="str">
            <v>SZERSZEŃ</v>
          </cell>
          <cell r="D1943" t="str">
            <v>UKS Orbitek Straszęcin</v>
          </cell>
        </row>
        <row r="1944">
          <cell r="A1944" t="str">
            <v>S2522</v>
          </cell>
          <cell r="B1944" t="str">
            <v>Patrycja</v>
          </cell>
          <cell r="C1944" t="str">
            <v>SZERSZEŃ</v>
          </cell>
          <cell r="D1944" t="str">
            <v>AZSAGH Kraków</v>
          </cell>
        </row>
        <row r="1945">
          <cell r="A1945" t="str">
            <v>S5016</v>
          </cell>
          <cell r="B1945" t="str">
            <v>Beata</v>
          </cell>
          <cell r="C1945" t="str">
            <v>SZEWCZYK</v>
          </cell>
          <cell r="D1945" t="str">
            <v>UKSB Milenium Warszawa</v>
          </cell>
        </row>
        <row r="1946">
          <cell r="A1946" t="str">
            <v>S5499</v>
          </cell>
          <cell r="B1946" t="str">
            <v>Maksymilian</v>
          </cell>
          <cell r="C1946" t="str">
            <v>SZEWCZYK</v>
          </cell>
          <cell r="D1946" t="str">
            <v>ZKB Maced Polanów</v>
          </cell>
        </row>
        <row r="1947">
          <cell r="A1947" t="str">
            <v>S5932</v>
          </cell>
          <cell r="B1947" t="str">
            <v>Mateusz</v>
          </cell>
          <cell r="C1947" t="str">
            <v>SZEWCZYK</v>
          </cell>
          <cell r="D1947" t="str">
            <v>MKS Dwójka Blachownia</v>
          </cell>
        </row>
        <row r="1948">
          <cell r="A1948" t="str">
            <v>S4346</v>
          </cell>
          <cell r="B1948" t="str">
            <v>Michał</v>
          </cell>
          <cell r="C1948" t="str">
            <v>SZEWCZYK</v>
          </cell>
          <cell r="D1948" t="str">
            <v>ŚKBad Harcownik Warszawa</v>
          </cell>
        </row>
        <row r="1949">
          <cell r="A1949" t="str">
            <v>S4653</v>
          </cell>
          <cell r="B1949" t="str">
            <v>Piotr</v>
          </cell>
          <cell r="C1949" t="str">
            <v>SZEWCZYK</v>
          </cell>
          <cell r="D1949" t="str">
            <v>MKS Dwójka Blachownia</v>
          </cell>
        </row>
        <row r="1950">
          <cell r="A1950" t="str">
            <v>S4347</v>
          </cell>
          <cell r="B1950" t="str">
            <v>Stanisław</v>
          </cell>
          <cell r="C1950" t="str">
            <v>SZEWCZYK</v>
          </cell>
          <cell r="D1950" t="str">
            <v>ŚKBad Harcownik Warszawa</v>
          </cell>
        </row>
        <row r="1951">
          <cell r="A1951" t="str">
            <v>S5630</v>
          </cell>
          <cell r="B1951" t="str">
            <v>Martyna</v>
          </cell>
          <cell r="C1951" t="str">
            <v>SZKLARCZYK</v>
          </cell>
          <cell r="D1951" t="str">
            <v>UKS Jagiellonka Medyka</v>
          </cell>
        </row>
        <row r="1952">
          <cell r="A1952" t="str">
            <v>S2853</v>
          </cell>
          <cell r="B1952" t="str">
            <v>Adrian</v>
          </cell>
          <cell r="C1952" t="str">
            <v>SZKRAWAN</v>
          </cell>
          <cell r="D1952" t="str">
            <v>SKB Piast Słupsk</v>
          </cell>
        </row>
        <row r="1953">
          <cell r="A1953" t="str">
            <v>S4000</v>
          </cell>
          <cell r="B1953" t="str">
            <v>Marcin</v>
          </cell>
          <cell r="C1953" t="str">
            <v>SZKRAWAN</v>
          </cell>
          <cell r="D1953" t="str">
            <v>SKB Piast Słupsk</v>
          </cell>
        </row>
        <row r="1954">
          <cell r="A1954" t="str">
            <v>S1551</v>
          </cell>
          <cell r="B1954" t="str">
            <v>Michał</v>
          </cell>
          <cell r="C1954" t="str">
            <v>SZKUDLARCZYK</v>
          </cell>
          <cell r="D1954" t="str">
            <v>PTS Puszczykowo</v>
          </cell>
        </row>
        <row r="1955">
          <cell r="A1955" t="str">
            <v>S0870</v>
          </cell>
          <cell r="B1955" t="str">
            <v>Wojciech</v>
          </cell>
          <cell r="C1955" t="str">
            <v>SZKUDLARCZYK</v>
          </cell>
          <cell r="D1955" t="str">
            <v>LKS Technik Głubczyce</v>
          </cell>
        </row>
        <row r="1956">
          <cell r="A1956" t="str">
            <v>S 098</v>
          </cell>
          <cell r="B1956" t="str">
            <v>Joanna</v>
          </cell>
          <cell r="C1956" t="str">
            <v>SZLESZYŃSKA-ŁOGOSZ</v>
          </cell>
          <cell r="D1956" t="str">
            <v>SKB Suwałki</v>
          </cell>
        </row>
        <row r="1957">
          <cell r="A1957" t="str">
            <v>S0269</v>
          </cell>
          <cell r="B1957" t="str">
            <v>Łukasz</v>
          </cell>
          <cell r="C1957" t="str">
            <v>SZMEL</v>
          </cell>
          <cell r="D1957" t="str">
            <v>----</v>
          </cell>
        </row>
        <row r="1958">
          <cell r="A1958" t="str">
            <v>S2417</v>
          </cell>
          <cell r="B1958" t="str">
            <v>Marcin</v>
          </cell>
          <cell r="C1958" t="str">
            <v>SZMONIEWSKI</v>
          </cell>
          <cell r="D1958" t="str">
            <v>AZSUW Warszawa</v>
          </cell>
        </row>
        <row r="1959">
          <cell r="A1959" t="str">
            <v>S1093</v>
          </cell>
          <cell r="B1959" t="str">
            <v>Mariusz</v>
          </cell>
          <cell r="C1959" t="str">
            <v>SZMONIEWSKI</v>
          </cell>
          <cell r="D1959" t="str">
            <v>----</v>
          </cell>
        </row>
        <row r="1960">
          <cell r="A1960" t="str">
            <v>S3751</v>
          </cell>
          <cell r="B1960" t="str">
            <v>Karolina</v>
          </cell>
          <cell r="C1960" t="str">
            <v>SZNUROWSKA</v>
          </cell>
          <cell r="D1960" t="str">
            <v>UKS 2 Sobótka</v>
          </cell>
        </row>
        <row r="1961">
          <cell r="A1961" t="str">
            <v>S4592</v>
          </cell>
          <cell r="B1961" t="str">
            <v>Hubert</v>
          </cell>
          <cell r="C1961" t="str">
            <v>SZNYTER</v>
          </cell>
          <cell r="D1961" t="str">
            <v>ZKB Maced Polanów</v>
          </cell>
        </row>
        <row r="1962">
          <cell r="A1962" t="str">
            <v>S3748</v>
          </cell>
          <cell r="B1962" t="str">
            <v>Adam</v>
          </cell>
          <cell r="C1962" t="str">
            <v>SZOLC</v>
          </cell>
          <cell r="D1962" t="str">
            <v>KS Hubertus Zalesie Górne</v>
          </cell>
        </row>
        <row r="1963">
          <cell r="A1963" t="str">
            <v>S3371</v>
          </cell>
          <cell r="B1963" t="str">
            <v>Tomasz</v>
          </cell>
          <cell r="C1963" t="str">
            <v>SZOŁDRA</v>
          </cell>
          <cell r="D1963" t="str">
            <v>MKS Orlicz Suchedniów</v>
          </cell>
        </row>
        <row r="1964">
          <cell r="A1964" t="str">
            <v>S5352</v>
          </cell>
          <cell r="B1964" t="str">
            <v>Jakub</v>
          </cell>
          <cell r="C1964" t="str">
            <v>SZPINDA</v>
          </cell>
          <cell r="D1964" t="str">
            <v>UKS Kiko Zamość</v>
          </cell>
        </row>
        <row r="1965">
          <cell r="A1965" t="str">
            <v>S4940</v>
          </cell>
          <cell r="B1965" t="str">
            <v>Kamila</v>
          </cell>
          <cell r="C1965" t="str">
            <v>SZPINDA</v>
          </cell>
          <cell r="D1965" t="str">
            <v>UKS Kiko Zamość</v>
          </cell>
        </row>
        <row r="1966">
          <cell r="A1966" t="str">
            <v>S5513</v>
          </cell>
          <cell r="B1966" t="str">
            <v>Jacek</v>
          </cell>
          <cell r="C1966" t="str">
            <v>SZUBERT</v>
          </cell>
          <cell r="D1966" t="str">
            <v>----</v>
          </cell>
        </row>
        <row r="1967">
          <cell r="A1967" t="str">
            <v>S4730</v>
          </cell>
          <cell r="B1967" t="str">
            <v>Karolina</v>
          </cell>
          <cell r="C1967" t="str">
            <v>SZUBERT</v>
          </cell>
          <cell r="D1967" t="str">
            <v>KS Match Point Ślęza</v>
          </cell>
        </row>
        <row r="1968">
          <cell r="A1968" t="str">
            <v>S3365</v>
          </cell>
          <cell r="B1968" t="str">
            <v>Bartosz</v>
          </cell>
          <cell r="C1968" t="str">
            <v>SZUKAŁA</v>
          </cell>
          <cell r="D1968" t="str">
            <v>UKS Orkan Przeźmierowo</v>
          </cell>
        </row>
        <row r="1969">
          <cell r="A1969" t="str">
            <v>S3189</v>
          </cell>
          <cell r="B1969" t="str">
            <v>Jakub</v>
          </cell>
          <cell r="C1969" t="str">
            <v>SZUKAŁA</v>
          </cell>
          <cell r="D1969" t="str">
            <v>UKS Orkan Przeźmierowo</v>
          </cell>
        </row>
        <row r="1970">
          <cell r="A1970" t="str">
            <v>S5070</v>
          </cell>
          <cell r="B1970" t="str">
            <v>Kamila</v>
          </cell>
          <cell r="C1970" t="str">
            <v>SZUL</v>
          </cell>
          <cell r="D1970" t="str">
            <v>UKSB Volant Mielec</v>
          </cell>
        </row>
        <row r="1971">
          <cell r="A1971" t="str">
            <v>S5330</v>
          </cell>
          <cell r="B1971" t="str">
            <v>Kacper</v>
          </cell>
          <cell r="C1971" t="str">
            <v>SZULIŃSKI</v>
          </cell>
          <cell r="D1971" t="str">
            <v>UKS 70 Płock</v>
          </cell>
        </row>
        <row r="1972">
          <cell r="A1972" t="str">
            <v>S5773</v>
          </cell>
          <cell r="B1972" t="str">
            <v>Jakub</v>
          </cell>
          <cell r="C1972" t="str">
            <v>SZUMOWSKI</v>
          </cell>
          <cell r="D1972" t="str">
            <v>UKS Kiko Zamość</v>
          </cell>
        </row>
        <row r="1973">
          <cell r="A1973" t="str">
            <v>S4566</v>
          </cell>
          <cell r="B1973" t="str">
            <v>Konrad</v>
          </cell>
          <cell r="C1973" t="str">
            <v>SZWABCZYŃSKI</v>
          </cell>
          <cell r="D1973" t="str">
            <v>UKS Hubal Białystok</v>
          </cell>
        </row>
        <row r="1974">
          <cell r="A1974" t="str">
            <v>S5495</v>
          </cell>
          <cell r="B1974" t="str">
            <v>Włodzimierz</v>
          </cell>
          <cell r="C1974" t="str">
            <v>SZWACKI</v>
          </cell>
          <cell r="D1974" t="str">
            <v>KB Vol-Trick Kępno</v>
          </cell>
        </row>
        <row r="1975">
          <cell r="A1975" t="str">
            <v>S3540</v>
          </cell>
          <cell r="B1975" t="str">
            <v>Lena</v>
          </cell>
          <cell r="C1975" t="str">
            <v>SZWED</v>
          </cell>
          <cell r="D1975" t="str">
            <v>ZKB Maced Polanów</v>
          </cell>
        </row>
        <row r="1976">
          <cell r="A1976" t="str">
            <v>S3541</v>
          </cell>
          <cell r="B1976" t="str">
            <v>Patryk</v>
          </cell>
          <cell r="C1976" t="str">
            <v>SZWED</v>
          </cell>
          <cell r="D1976" t="str">
            <v>ZKB Maced Polanów</v>
          </cell>
        </row>
        <row r="1977">
          <cell r="A1977" t="str">
            <v>S4547</v>
          </cell>
          <cell r="B1977" t="str">
            <v>Aleksandra</v>
          </cell>
          <cell r="C1977" t="str">
            <v>SZWEDA</v>
          </cell>
          <cell r="D1977" t="str">
            <v>MKB Lednik Miastko</v>
          </cell>
        </row>
        <row r="1978">
          <cell r="A1978" t="str">
            <v>S4544</v>
          </cell>
          <cell r="B1978" t="str">
            <v>Paweł</v>
          </cell>
          <cell r="C1978" t="str">
            <v>SZWEDA</v>
          </cell>
          <cell r="D1978" t="str">
            <v>MKB Lednik Miastko</v>
          </cell>
        </row>
        <row r="1979">
          <cell r="A1979" t="str">
            <v>S2366</v>
          </cell>
          <cell r="B1979" t="str">
            <v>Mateusz</v>
          </cell>
          <cell r="C1979" t="str">
            <v>SZWEJKOWSKI</v>
          </cell>
          <cell r="D1979" t="str">
            <v>SKB Suwałki</v>
          </cell>
        </row>
        <row r="1980">
          <cell r="A1980" t="str">
            <v>S5334</v>
          </cell>
          <cell r="B1980" t="str">
            <v>Sara</v>
          </cell>
          <cell r="C1980" t="str">
            <v>SZYBIAK</v>
          </cell>
          <cell r="D1980" t="str">
            <v>UMKS Dubiecko</v>
          </cell>
        </row>
        <row r="1981">
          <cell r="A1981" t="str">
            <v>S5464</v>
          </cell>
          <cell r="B1981" t="str">
            <v>Karolina</v>
          </cell>
          <cell r="C1981" t="str">
            <v>SZYCA</v>
          </cell>
          <cell r="D1981" t="str">
            <v>MKB Lednik Miastko</v>
          </cell>
        </row>
        <row r="1982">
          <cell r="A1982" t="str">
            <v>S4215</v>
          </cell>
          <cell r="B1982" t="str">
            <v>Cezary</v>
          </cell>
          <cell r="C1982" t="str">
            <v>SZYCHULEC</v>
          </cell>
          <cell r="D1982" t="str">
            <v>MUKS 5 Chełm</v>
          </cell>
        </row>
        <row r="1983">
          <cell r="A1983" t="str">
            <v>S5761</v>
          </cell>
          <cell r="B1983" t="str">
            <v>Dominik</v>
          </cell>
          <cell r="C1983" t="str">
            <v>SZYDA</v>
          </cell>
          <cell r="D1983" t="str">
            <v>UKS Junior Wrzosowa</v>
          </cell>
        </row>
        <row r="1984">
          <cell r="A1984" t="str">
            <v>S5762</v>
          </cell>
          <cell r="B1984" t="str">
            <v>Patryk</v>
          </cell>
          <cell r="C1984" t="str">
            <v>SZYDA</v>
          </cell>
          <cell r="D1984" t="str">
            <v>UKS Junior Wrzosowa</v>
          </cell>
        </row>
        <row r="1985">
          <cell r="A1985" t="str">
            <v>S3316</v>
          </cell>
          <cell r="B1985" t="str">
            <v>Artur</v>
          </cell>
          <cell r="C1985" t="str">
            <v>SZYDŁOWSKI</v>
          </cell>
          <cell r="D1985" t="str">
            <v>MKS Spartakus Niepołomice</v>
          </cell>
        </row>
        <row r="1986">
          <cell r="A1986" t="str">
            <v>S4619</v>
          </cell>
          <cell r="B1986" t="str">
            <v>Dawid</v>
          </cell>
          <cell r="C1986" t="str">
            <v>SZYDŁOWSKI</v>
          </cell>
          <cell r="D1986" t="str">
            <v>SLKS Tramp Orneta</v>
          </cell>
        </row>
        <row r="1987">
          <cell r="A1987" t="str">
            <v>S2312</v>
          </cell>
          <cell r="B1987" t="str">
            <v>Mateusz</v>
          </cell>
          <cell r="C1987" t="str">
            <v>SZYDŁOWSKI</v>
          </cell>
          <cell r="D1987" t="str">
            <v>LKS Technik Głubczyce</v>
          </cell>
        </row>
        <row r="1988">
          <cell r="A1988" t="str">
            <v>S2695</v>
          </cell>
          <cell r="B1988" t="str">
            <v>Przemysław</v>
          </cell>
          <cell r="C1988" t="str">
            <v>SZYDŁOWSKI</v>
          </cell>
          <cell r="D1988" t="str">
            <v>LKS Technik Głubczyce</v>
          </cell>
        </row>
        <row r="1989">
          <cell r="A1989" t="str">
            <v>S3604</v>
          </cell>
          <cell r="B1989" t="str">
            <v>Przemysław</v>
          </cell>
          <cell r="C1989" t="str">
            <v>SZYDZIAK</v>
          </cell>
          <cell r="D1989" t="str">
            <v>UKS Smecz Bogatynia</v>
          </cell>
        </row>
        <row r="1990">
          <cell r="A1990" t="str">
            <v>S5392</v>
          </cell>
          <cell r="B1990" t="str">
            <v>Klaudia</v>
          </cell>
          <cell r="C1990" t="str">
            <v>SZYKUŁA</v>
          </cell>
          <cell r="D1990" t="str">
            <v>UKS Kiko Zamość</v>
          </cell>
        </row>
        <row r="1991">
          <cell r="A1991" t="str">
            <v>S5339</v>
          </cell>
          <cell r="B1991" t="str">
            <v>Bartosz</v>
          </cell>
          <cell r="C1991" t="str">
            <v>SZYMAJDA</v>
          </cell>
          <cell r="D1991" t="str">
            <v>UKS 2 Sobótka</v>
          </cell>
        </row>
        <row r="1992">
          <cell r="A1992" t="str">
            <v>S5832</v>
          </cell>
          <cell r="B1992" t="str">
            <v>Mikołaj</v>
          </cell>
          <cell r="C1992" t="str">
            <v>SZYMANOWSKI</v>
          </cell>
          <cell r="D1992" t="str">
            <v>----</v>
          </cell>
        </row>
        <row r="1993">
          <cell r="A1993" t="str">
            <v>S5479</v>
          </cell>
          <cell r="B1993" t="str">
            <v>Aleksandra</v>
          </cell>
          <cell r="C1993" t="str">
            <v>SZYMAŃSKA</v>
          </cell>
          <cell r="D1993" t="str">
            <v>UKSB Milenium Warszawa</v>
          </cell>
        </row>
        <row r="1994">
          <cell r="A1994" t="str">
            <v>S0740</v>
          </cell>
          <cell r="B1994" t="str">
            <v>Anna</v>
          </cell>
          <cell r="C1994" t="str">
            <v>SZYMAŃSKA</v>
          </cell>
          <cell r="D1994" t="str">
            <v>AZSUW Warszawa</v>
          </cell>
        </row>
        <row r="1995">
          <cell r="A1995" t="str">
            <v>S4370</v>
          </cell>
          <cell r="B1995" t="str">
            <v>Hanna</v>
          </cell>
          <cell r="C1995" t="str">
            <v>SZYMAŃSKA</v>
          </cell>
          <cell r="D1995" t="str">
            <v>STB Energia Lubliniec</v>
          </cell>
        </row>
        <row r="1996">
          <cell r="A1996" t="str">
            <v>S4609</v>
          </cell>
          <cell r="B1996" t="str">
            <v>Jolanta</v>
          </cell>
          <cell r="C1996" t="str">
            <v>SZYMAŃSKA</v>
          </cell>
          <cell r="D1996" t="str">
            <v>SKB Suwałki</v>
          </cell>
        </row>
        <row r="1997">
          <cell r="A1997" t="str">
            <v>S4608</v>
          </cell>
          <cell r="B1997" t="str">
            <v>Maria</v>
          </cell>
          <cell r="C1997" t="str">
            <v>SZYMAŃSKA</v>
          </cell>
          <cell r="D1997" t="str">
            <v>SKB Suwałki</v>
          </cell>
        </row>
        <row r="1998">
          <cell r="A1998" t="str">
            <v>S4168</v>
          </cell>
          <cell r="B1998" t="str">
            <v>Agnieszka</v>
          </cell>
          <cell r="C1998" t="str">
            <v>SZYMASZEK</v>
          </cell>
          <cell r="D1998" t="str">
            <v>UKS Orbitek Straszęcin</v>
          </cell>
        </row>
        <row r="1999">
          <cell r="A1999" t="str">
            <v>S3401</v>
          </cell>
          <cell r="B1999" t="str">
            <v>Michał</v>
          </cell>
          <cell r="C1999" t="str">
            <v>SZYMCZAK</v>
          </cell>
          <cell r="D1999" t="str">
            <v>KS Chojnik Jelenia Góra</v>
          </cell>
        </row>
        <row r="2000">
          <cell r="A2000" t="str">
            <v>S5574</v>
          </cell>
          <cell r="B2000" t="str">
            <v>Michał</v>
          </cell>
          <cell r="C2000" t="str">
            <v>SZYMCZYK</v>
          </cell>
          <cell r="D2000" t="str">
            <v>PMKS Chrobry Piotrowice</v>
          </cell>
        </row>
        <row r="2001">
          <cell r="A2001" t="str">
            <v>S2265</v>
          </cell>
          <cell r="B2001" t="str">
            <v>Dariusz</v>
          </cell>
          <cell r="C2001" t="str">
            <v>SZYMKIEWICZ</v>
          </cell>
          <cell r="D2001" t="str">
            <v>----</v>
          </cell>
        </row>
        <row r="2002">
          <cell r="A2002" t="str">
            <v>S1830</v>
          </cell>
          <cell r="B2002" t="str">
            <v>Patryk</v>
          </cell>
          <cell r="C2002" t="str">
            <v>SZYMONIAK</v>
          </cell>
          <cell r="D2002" t="str">
            <v>UKS Hubal Białystok</v>
          </cell>
        </row>
        <row r="2003">
          <cell r="A2003" t="str">
            <v>S4727</v>
          </cell>
          <cell r="B2003" t="str">
            <v>Patryk</v>
          </cell>
          <cell r="C2003" t="str">
            <v>SZYNISZEWSKI</v>
          </cell>
          <cell r="D2003" t="str">
            <v>UKS Kopernik Słupca</v>
          </cell>
        </row>
        <row r="2004">
          <cell r="A2004" t="str">
            <v>S5311</v>
          </cell>
          <cell r="B2004" t="str">
            <v>Krystian</v>
          </cell>
          <cell r="C2004" t="str">
            <v>SZYSZKA</v>
          </cell>
          <cell r="D2004" t="str">
            <v>MMKS Gdańsk</v>
          </cell>
        </row>
        <row r="2005">
          <cell r="A2005" t="str">
            <v>Ś5923</v>
          </cell>
          <cell r="B2005" t="str">
            <v>Irmina</v>
          </cell>
          <cell r="C2005" t="str">
            <v>ŚCIĘŻOR</v>
          </cell>
          <cell r="D2005" t="str">
            <v>MKSKSOS Kraków</v>
          </cell>
        </row>
        <row r="2006">
          <cell r="A2006" t="str">
            <v>Ś3865</v>
          </cell>
          <cell r="B2006" t="str">
            <v>Ernest</v>
          </cell>
          <cell r="C2006" t="str">
            <v>ŚCIPIEŃ</v>
          </cell>
          <cell r="D2006" t="str">
            <v>MKS Stal Nowa Dęba</v>
          </cell>
        </row>
        <row r="2007">
          <cell r="A2007" t="str">
            <v>Ś4906</v>
          </cell>
          <cell r="B2007" t="str">
            <v>Karol</v>
          </cell>
          <cell r="C2007" t="str">
            <v>ŚLEPECKI</v>
          </cell>
          <cell r="D2007" t="str">
            <v>LKS Technik Głubczyce</v>
          </cell>
        </row>
        <row r="2008">
          <cell r="A2008" t="str">
            <v>Ś5585</v>
          </cell>
          <cell r="B2008" t="str">
            <v>Szymon</v>
          </cell>
          <cell r="C2008" t="str">
            <v>ŚLEPECKI</v>
          </cell>
          <cell r="D2008" t="str">
            <v>LKS Technik Głubczyce</v>
          </cell>
        </row>
        <row r="2009">
          <cell r="A2009" t="str">
            <v>Ś3664</v>
          </cell>
          <cell r="B2009" t="str">
            <v>Gabriela</v>
          </cell>
          <cell r="C2009" t="str">
            <v>ŚLISZ</v>
          </cell>
          <cell r="D2009" t="str">
            <v>UKS Orbitek Straszęcin</v>
          </cell>
        </row>
        <row r="2010">
          <cell r="A2010" t="str">
            <v>Ś2657</v>
          </cell>
          <cell r="B2010" t="str">
            <v>Michał</v>
          </cell>
          <cell r="C2010" t="str">
            <v>ŚLIŻEWSKI</v>
          </cell>
          <cell r="D2010" t="str">
            <v>MLKS Solec Kuj.</v>
          </cell>
        </row>
        <row r="2011">
          <cell r="A2011" t="str">
            <v>Ś3199</v>
          </cell>
          <cell r="B2011" t="str">
            <v>Anna</v>
          </cell>
          <cell r="C2011" t="str">
            <v>ŚLUSARCZYK</v>
          </cell>
          <cell r="D2011" t="str">
            <v>SKB Piast Słupsk</v>
          </cell>
        </row>
        <row r="2012">
          <cell r="A2012" t="str">
            <v>Ś4458</v>
          </cell>
          <cell r="B2012" t="str">
            <v>Mateusz</v>
          </cell>
          <cell r="C2012" t="str">
            <v>ŚLUSARCZYK</v>
          </cell>
          <cell r="D2012" t="str">
            <v>MKS Orlicz Suchedniów</v>
          </cell>
        </row>
        <row r="2013">
          <cell r="A2013" t="str">
            <v>Ś4462</v>
          </cell>
          <cell r="B2013" t="str">
            <v>Michał</v>
          </cell>
          <cell r="C2013" t="str">
            <v>ŚLUSARCZYK</v>
          </cell>
          <cell r="D2013" t="str">
            <v>MKS Orlicz Suchedniów</v>
          </cell>
        </row>
        <row r="2014">
          <cell r="A2014" t="str">
            <v>Ś5428</v>
          </cell>
          <cell r="B2014" t="str">
            <v>Patryk</v>
          </cell>
          <cell r="C2014" t="str">
            <v>ŚLUSARCZYK</v>
          </cell>
          <cell r="D2014" t="str">
            <v>MKS Orlicz Suchedniów</v>
          </cell>
        </row>
        <row r="2015">
          <cell r="A2015" t="str">
            <v>Ś4031</v>
          </cell>
          <cell r="B2015" t="str">
            <v>Wiktoria</v>
          </cell>
          <cell r="C2015" t="str">
            <v>ŚLUSARCZYK</v>
          </cell>
          <cell r="D2015" t="str">
            <v>MKS Orlicz Suchedniów</v>
          </cell>
        </row>
        <row r="2016">
          <cell r="A2016" t="str">
            <v>Ś4562</v>
          </cell>
          <cell r="B2016" t="str">
            <v>Daniel</v>
          </cell>
          <cell r="C2016" t="str">
            <v>ŚMIAŁECKI</v>
          </cell>
          <cell r="D2016" t="str">
            <v>UKS 70 Płock</v>
          </cell>
        </row>
        <row r="2017">
          <cell r="A2017" t="str">
            <v>Ś4988</v>
          </cell>
          <cell r="B2017" t="str">
            <v>Robert</v>
          </cell>
          <cell r="C2017" t="str">
            <v>ŚMIERZCHALSKI</v>
          </cell>
          <cell r="D2017" t="str">
            <v>----</v>
          </cell>
        </row>
        <row r="2018">
          <cell r="A2018" t="str">
            <v>Ś5095</v>
          </cell>
          <cell r="B2018" t="str">
            <v>Krzysztof</v>
          </cell>
          <cell r="C2018" t="str">
            <v>ŚMIŁOWSKI</v>
          </cell>
          <cell r="D2018" t="str">
            <v>----</v>
          </cell>
        </row>
        <row r="2019">
          <cell r="A2019" t="str">
            <v>Ś2361</v>
          </cell>
          <cell r="B2019" t="str">
            <v>Michał</v>
          </cell>
          <cell r="C2019" t="str">
            <v>ŚMIŁOWSKI</v>
          </cell>
          <cell r="D2019" t="str">
            <v>UKS Hubal Białystok</v>
          </cell>
        </row>
        <row r="2020">
          <cell r="A2020" t="str">
            <v>Ś3163</v>
          </cell>
          <cell r="B2020" t="str">
            <v>Paweł</v>
          </cell>
          <cell r="C2020" t="str">
            <v>ŚMIŁOWSKI</v>
          </cell>
          <cell r="D2020" t="str">
            <v>UKS Hubal Białystok</v>
          </cell>
        </row>
        <row r="2021">
          <cell r="A2021" t="str">
            <v>Ś0634</v>
          </cell>
          <cell r="B2021" t="str">
            <v>Małgorzata</v>
          </cell>
          <cell r="C2021" t="str">
            <v>ŚREDNICKA</v>
          </cell>
          <cell r="D2021" t="str">
            <v>----</v>
          </cell>
        </row>
        <row r="2022">
          <cell r="A2022" t="str">
            <v>Ś4470</v>
          </cell>
          <cell r="B2022" t="str">
            <v>Aleksandra</v>
          </cell>
          <cell r="C2022" t="str">
            <v>ŚWIĄTEK</v>
          </cell>
          <cell r="D2022" t="str">
            <v>UKS 70 Płock</v>
          </cell>
        </row>
        <row r="2023">
          <cell r="A2023" t="str">
            <v>Ś5230</v>
          </cell>
          <cell r="B2023" t="str">
            <v>Klaudia</v>
          </cell>
          <cell r="C2023" t="str">
            <v>ŚWIĄTEK</v>
          </cell>
          <cell r="D2023" t="str">
            <v>UKS Orbitek Straszęcin</v>
          </cell>
        </row>
        <row r="2024">
          <cell r="A2024" t="str">
            <v>Ś3779</v>
          </cell>
          <cell r="B2024" t="str">
            <v>Magdalena</v>
          </cell>
          <cell r="C2024" t="str">
            <v>ŚWIERCZYŃSKA</v>
          </cell>
          <cell r="D2024" t="str">
            <v>UKS Orkan Przeźmierowo</v>
          </cell>
        </row>
        <row r="2025">
          <cell r="A2025" t="str">
            <v>Ś2592</v>
          </cell>
          <cell r="B2025" t="str">
            <v>Mateusz</v>
          </cell>
          <cell r="C2025" t="str">
            <v>ŚWIERCZYŃSKI</v>
          </cell>
          <cell r="D2025" t="str">
            <v>UKS Orkan Przeźmierowo</v>
          </cell>
        </row>
        <row r="2026">
          <cell r="A2026" t="str">
            <v>Ś5003</v>
          </cell>
          <cell r="B2026" t="str">
            <v>Norbert</v>
          </cell>
          <cell r="C2026" t="str">
            <v>ŚWIERK</v>
          </cell>
          <cell r="D2026" t="str">
            <v>UKS Aktywna Piątka Przemyśl</v>
          </cell>
        </row>
        <row r="2027">
          <cell r="A2027" t="str">
            <v>Ś1402</v>
          </cell>
          <cell r="B2027" t="str">
            <v>Agata</v>
          </cell>
          <cell r="C2027" t="str">
            <v>ŚWIST</v>
          </cell>
          <cell r="D2027" t="str">
            <v>UKS Kiko Zamość</v>
          </cell>
        </row>
        <row r="2028">
          <cell r="A2028" t="str">
            <v>Ś5353</v>
          </cell>
          <cell r="B2028" t="str">
            <v>Maciej</v>
          </cell>
          <cell r="C2028" t="str">
            <v>ŚWISZCZ</v>
          </cell>
          <cell r="D2028" t="str">
            <v>UKS Kiko Zamość</v>
          </cell>
        </row>
        <row r="2029">
          <cell r="A2029" t="str">
            <v>Ś5382</v>
          </cell>
          <cell r="B2029" t="str">
            <v>Wiktoria</v>
          </cell>
          <cell r="C2029" t="str">
            <v>ŚWITEK</v>
          </cell>
          <cell r="D2029" t="str">
            <v>MKS Orlicz Suchedniów</v>
          </cell>
        </row>
        <row r="2030">
          <cell r="A2030" t="str">
            <v>T3494</v>
          </cell>
          <cell r="B2030" t="str">
            <v>Rafał</v>
          </cell>
          <cell r="C2030" t="str">
            <v>TALAGA</v>
          </cell>
          <cell r="D2030" t="str">
            <v>KKS Ruch Piotrków Tryb.</v>
          </cell>
        </row>
        <row r="2031">
          <cell r="A2031" t="str">
            <v>T2190</v>
          </cell>
          <cell r="B2031" t="str">
            <v>Edyta</v>
          </cell>
          <cell r="C2031" t="str">
            <v>TARASEWICZ</v>
          </cell>
          <cell r="D2031" t="str">
            <v>UKS Hubal Białystok</v>
          </cell>
        </row>
        <row r="2032">
          <cell r="A2032" t="str">
            <v>T3167</v>
          </cell>
          <cell r="B2032" t="str">
            <v>Maria</v>
          </cell>
          <cell r="C2032" t="str">
            <v>TARASZKIEWICZ</v>
          </cell>
          <cell r="D2032" t="str">
            <v>SKB Suwałki</v>
          </cell>
        </row>
        <row r="2033">
          <cell r="A2033" t="str">
            <v>T3157</v>
          </cell>
          <cell r="B2033" t="str">
            <v>Adrianna</v>
          </cell>
          <cell r="C2033" t="str">
            <v>TATAJ</v>
          </cell>
          <cell r="D2033" t="str">
            <v>UKSB Milenium Warszawa</v>
          </cell>
        </row>
        <row r="2034">
          <cell r="A2034" t="str">
            <v>T4823</v>
          </cell>
          <cell r="B2034" t="str">
            <v>Sandra</v>
          </cell>
          <cell r="C2034" t="str">
            <v>TATARELIS</v>
          </cell>
          <cell r="D2034" t="str">
            <v>UKS Kiko Zamość</v>
          </cell>
        </row>
        <row r="2035">
          <cell r="A2035" t="str">
            <v>T3780</v>
          </cell>
          <cell r="B2035" t="str">
            <v>Zuzanna</v>
          </cell>
          <cell r="C2035" t="str">
            <v>TECŁAW</v>
          </cell>
          <cell r="D2035" t="str">
            <v>UKS Orkan Przeźmierowo</v>
          </cell>
        </row>
        <row r="2036">
          <cell r="A2036" t="str">
            <v>T4723</v>
          </cell>
          <cell r="B2036" t="str">
            <v>Dominik</v>
          </cell>
          <cell r="C2036" t="str">
            <v>TELAKOWIEC</v>
          </cell>
          <cell r="D2036" t="str">
            <v>KS Hubertus Zalesie Górne</v>
          </cell>
        </row>
        <row r="2037">
          <cell r="A2037" t="str">
            <v>T3691</v>
          </cell>
          <cell r="B2037" t="str">
            <v>Jakub</v>
          </cell>
          <cell r="C2037" t="str">
            <v>TEMBIKOWSKI</v>
          </cell>
          <cell r="D2037" t="str">
            <v>UKS Badminton Stare Babice</v>
          </cell>
        </row>
        <row r="2038">
          <cell r="A2038" t="str">
            <v>T4405</v>
          </cell>
          <cell r="B2038" t="str">
            <v>Maciej</v>
          </cell>
          <cell r="C2038" t="str">
            <v>TKACZ</v>
          </cell>
          <cell r="D2038" t="str">
            <v>KS Chojnik Jelenia Góra</v>
          </cell>
        </row>
        <row r="2039">
          <cell r="A2039" t="str">
            <v>T4594</v>
          </cell>
          <cell r="B2039" t="str">
            <v>Wiktoria</v>
          </cell>
          <cell r="C2039" t="str">
            <v>TOBISZ</v>
          </cell>
          <cell r="D2039" t="str">
            <v>ZKB Maced Polanów</v>
          </cell>
        </row>
        <row r="2040">
          <cell r="A2040" t="str">
            <v>T1478</v>
          </cell>
          <cell r="B2040" t="str">
            <v>Jan</v>
          </cell>
          <cell r="C2040" t="str">
            <v>TOCZEK</v>
          </cell>
          <cell r="D2040" t="str">
            <v>----</v>
          </cell>
        </row>
        <row r="2041">
          <cell r="A2041" t="str">
            <v>T4232</v>
          </cell>
          <cell r="B2041" t="str">
            <v>Klaudia</v>
          </cell>
          <cell r="C2041" t="str">
            <v>TOLKA</v>
          </cell>
          <cell r="D2041" t="str">
            <v>UKS 70 Płock</v>
          </cell>
        </row>
        <row r="2042">
          <cell r="A2042" t="str">
            <v>T5222</v>
          </cell>
          <cell r="B2042" t="str">
            <v>Miriam</v>
          </cell>
          <cell r="C2042" t="str">
            <v>TOMALA</v>
          </cell>
          <cell r="D2042" t="str">
            <v>UKS Unia Bieruń</v>
          </cell>
        </row>
        <row r="2043">
          <cell r="A2043" t="str">
            <v>T3347</v>
          </cell>
          <cell r="B2043" t="str">
            <v>Agata</v>
          </cell>
          <cell r="C2043" t="str">
            <v>TOMASZEWSKA</v>
          </cell>
          <cell r="D2043" t="str">
            <v>UKS Siódemka Świebodzin</v>
          </cell>
        </row>
        <row r="2044">
          <cell r="A2044" t="str">
            <v>T5138</v>
          </cell>
          <cell r="B2044" t="str">
            <v>Aleksandra</v>
          </cell>
          <cell r="C2044" t="str">
            <v>TOMASZEWSKA</v>
          </cell>
          <cell r="D2044" t="str">
            <v>UKS 70 Płock</v>
          </cell>
        </row>
        <row r="2045">
          <cell r="A2045" t="str">
            <v>T4874</v>
          </cell>
          <cell r="B2045" t="str">
            <v>Weronika</v>
          </cell>
          <cell r="C2045" t="str">
            <v>TOMASZEWSKA</v>
          </cell>
          <cell r="D2045" t="str">
            <v>MMKS Gdańsk</v>
          </cell>
        </row>
        <row r="2046">
          <cell r="A2046" t="str">
            <v>T3923</v>
          </cell>
          <cell r="B2046" t="str">
            <v>Paweł</v>
          </cell>
          <cell r="C2046" t="str">
            <v>TOMASZEWSKI</v>
          </cell>
          <cell r="D2046" t="str">
            <v>MKS Orlicz Suchedniów</v>
          </cell>
        </row>
        <row r="2047">
          <cell r="A2047" t="str">
            <v>T3924</v>
          </cell>
          <cell r="B2047" t="str">
            <v>Piotr</v>
          </cell>
          <cell r="C2047" t="str">
            <v>TOMASZEWSKI</v>
          </cell>
          <cell r="D2047" t="str">
            <v>MKS Orlicz Suchedniów</v>
          </cell>
        </row>
        <row r="2048">
          <cell r="A2048" t="str">
            <v>T4384</v>
          </cell>
          <cell r="B2048" t="str">
            <v>Agata</v>
          </cell>
          <cell r="C2048" t="str">
            <v>TOMCZAK</v>
          </cell>
          <cell r="D2048" t="str">
            <v>OTB Lotka Ostrów Wlkp.</v>
          </cell>
        </row>
        <row r="2049">
          <cell r="A2049" t="str">
            <v>T5150</v>
          </cell>
          <cell r="B2049" t="str">
            <v>Zofia</v>
          </cell>
          <cell r="C2049" t="str">
            <v>TOMCZAK</v>
          </cell>
          <cell r="D2049" t="str">
            <v>AZSWAT Warszawa</v>
          </cell>
        </row>
        <row r="2050">
          <cell r="A2050" t="str">
            <v>T1959</v>
          </cell>
          <cell r="B2050" t="str">
            <v>Izabela</v>
          </cell>
          <cell r="C2050" t="str">
            <v>TOMCZYK</v>
          </cell>
          <cell r="D2050" t="str">
            <v>MKS Stal Nowa Dęba</v>
          </cell>
        </row>
        <row r="2051">
          <cell r="A2051" t="str">
            <v>T5294</v>
          </cell>
          <cell r="B2051" t="str">
            <v>Klaudia</v>
          </cell>
          <cell r="C2051" t="str">
            <v>TOMCZYK</v>
          </cell>
          <cell r="D2051" t="str">
            <v>UKSB Volant Mielec</v>
          </cell>
        </row>
        <row r="2052">
          <cell r="A2052" t="str">
            <v>T5763</v>
          </cell>
          <cell r="B2052" t="str">
            <v>Zofia</v>
          </cell>
          <cell r="C2052" t="str">
            <v>TOMCZYK</v>
          </cell>
          <cell r="D2052" t="str">
            <v>MKS Stal Nowa Dęba</v>
          </cell>
        </row>
        <row r="2053">
          <cell r="A2053" t="str">
            <v>T1498</v>
          </cell>
          <cell r="B2053" t="str">
            <v>Mariusz</v>
          </cell>
          <cell r="C2053" t="str">
            <v>TOMECKI</v>
          </cell>
          <cell r="D2053" t="str">
            <v>AZSAGH Kraków</v>
          </cell>
        </row>
        <row r="2054">
          <cell r="A2054" t="str">
            <v>T2139</v>
          </cell>
          <cell r="B2054" t="str">
            <v>Przemysław</v>
          </cell>
          <cell r="C2054" t="str">
            <v>TOMECKI</v>
          </cell>
          <cell r="D2054" t="str">
            <v>AZSAGH Kraków</v>
          </cell>
        </row>
        <row r="2055">
          <cell r="A2055" t="str">
            <v>T3929</v>
          </cell>
          <cell r="B2055" t="str">
            <v>Oliwia</v>
          </cell>
          <cell r="C2055" t="str">
            <v>TOMPOROWSKA</v>
          </cell>
          <cell r="D2055" t="str">
            <v>MLKS Solec Kuj.</v>
          </cell>
        </row>
        <row r="2056">
          <cell r="A2056" t="str">
            <v>T4761</v>
          </cell>
          <cell r="B2056" t="str">
            <v>Oskar</v>
          </cell>
          <cell r="C2056" t="str">
            <v>TOMPOROWSKI</v>
          </cell>
          <cell r="D2056" t="str">
            <v>MLKS Solec Kuj.</v>
          </cell>
        </row>
        <row r="2057">
          <cell r="A2057" t="str">
            <v>T2945</v>
          </cell>
          <cell r="B2057" t="str">
            <v>Tomasz</v>
          </cell>
          <cell r="C2057" t="str">
            <v>TOMŻA</v>
          </cell>
          <cell r="D2057" t="str">
            <v>UKS Plesbad Pszczyna</v>
          </cell>
        </row>
        <row r="2058">
          <cell r="A2058" t="str">
            <v>T3173</v>
          </cell>
          <cell r="B2058" t="str">
            <v>Michał</v>
          </cell>
          <cell r="C2058" t="str">
            <v>TRACZ</v>
          </cell>
          <cell r="D2058" t="str">
            <v>MKS Garwolin</v>
          </cell>
        </row>
        <row r="2059">
          <cell r="A2059" t="str">
            <v>T5943</v>
          </cell>
          <cell r="B2059" t="str">
            <v>Paulina</v>
          </cell>
          <cell r="C2059" t="str">
            <v>TRAN MAY PHUONG</v>
          </cell>
          <cell r="D2059" t="str">
            <v>UKSB Milenium Warszawa</v>
          </cell>
        </row>
        <row r="2060">
          <cell r="A2060" t="str">
            <v>T3498</v>
          </cell>
          <cell r="B2060" t="str">
            <v>Agata</v>
          </cell>
          <cell r="C2060" t="str">
            <v>TRAWICKA</v>
          </cell>
          <cell r="D2060" t="str">
            <v>ULKS U-2 Lotka Bytów</v>
          </cell>
        </row>
        <row r="2061">
          <cell r="A2061" t="str">
            <v>T5801</v>
          </cell>
          <cell r="B2061" t="str">
            <v>Wiktor</v>
          </cell>
          <cell r="C2061" t="str">
            <v>TRECKI</v>
          </cell>
          <cell r="D2061" t="str">
            <v>UKS Unia Bieruń</v>
          </cell>
        </row>
        <row r="2062">
          <cell r="A2062" t="str">
            <v>T4990</v>
          </cell>
          <cell r="B2062" t="str">
            <v>Tomasz</v>
          </cell>
          <cell r="C2062" t="str">
            <v>TRĘBICKI</v>
          </cell>
          <cell r="D2062" t="str">
            <v>UKS Plesbad Pszczyna</v>
          </cell>
        </row>
        <row r="2063">
          <cell r="A2063" t="str">
            <v>T3692</v>
          </cell>
          <cell r="B2063" t="str">
            <v>Kacper</v>
          </cell>
          <cell r="C2063" t="str">
            <v>TROCHIM</v>
          </cell>
          <cell r="D2063" t="str">
            <v>UKS Hubal Białystok</v>
          </cell>
        </row>
        <row r="2064">
          <cell r="A2064" t="str">
            <v>T5090</v>
          </cell>
          <cell r="B2064" t="str">
            <v>Weronika</v>
          </cell>
          <cell r="C2064" t="str">
            <v>TROCHIM</v>
          </cell>
          <cell r="D2064" t="str">
            <v>UKS Hubal Białystok</v>
          </cell>
        </row>
        <row r="2065">
          <cell r="A2065" t="str">
            <v>T5806</v>
          </cell>
          <cell r="B2065" t="str">
            <v>Anna</v>
          </cell>
          <cell r="C2065" t="str">
            <v>TROCHOLEPSZA</v>
          </cell>
          <cell r="D2065" t="str">
            <v>UKS Iskra Babimost</v>
          </cell>
        </row>
        <row r="2066">
          <cell r="A2066" t="str">
            <v>T5056</v>
          </cell>
          <cell r="B2066" t="str">
            <v>Martyna</v>
          </cell>
          <cell r="C2066" t="str">
            <v>TROJNIAR</v>
          </cell>
          <cell r="D2066" t="str">
            <v>SKB Suwałki</v>
          </cell>
        </row>
        <row r="2067">
          <cell r="A2067" t="str">
            <v>T5673</v>
          </cell>
          <cell r="B2067" t="str">
            <v>Mariusz</v>
          </cell>
          <cell r="C2067" t="str">
            <v>TROSZAK</v>
          </cell>
          <cell r="D2067" t="str">
            <v>----</v>
          </cell>
        </row>
        <row r="2068">
          <cell r="A2068" t="str">
            <v>T4548</v>
          </cell>
          <cell r="B2068" t="str">
            <v>Żaklina</v>
          </cell>
          <cell r="C2068" t="str">
            <v>TRUN</v>
          </cell>
          <cell r="D2068" t="str">
            <v>MKB Lednik Miastko</v>
          </cell>
        </row>
        <row r="2069">
          <cell r="A2069" t="str">
            <v>T5969</v>
          </cell>
          <cell r="B2069" t="str">
            <v>Urszula</v>
          </cell>
          <cell r="C2069" t="str">
            <v>TRUSIŃSKA</v>
          </cell>
          <cell r="D2069" t="str">
            <v>WWL Badminton Club Marki</v>
          </cell>
        </row>
        <row r="2070">
          <cell r="A2070" t="str">
            <v>T5046</v>
          </cell>
          <cell r="B2070" t="str">
            <v>Jan</v>
          </cell>
          <cell r="C2070" t="str">
            <v>TRZCIELIŃSKI</v>
          </cell>
          <cell r="D2070" t="str">
            <v>OTB Lotka Ostrów Wlkp.</v>
          </cell>
        </row>
        <row r="2071">
          <cell r="A2071" t="str">
            <v>T4502</v>
          </cell>
          <cell r="B2071" t="str">
            <v>Agnieszka</v>
          </cell>
          <cell r="C2071" t="str">
            <v>TRZCIŃSKA</v>
          </cell>
          <cell r="D2071" t="str">
            <v>----</v>
          </cell>
        </row>
        <row r="2072">
          <cell r="A2072" t="str">
            <v>T 078</v>
          </cell>
          <cell r="B2072" t="str">
            <v>Artur</v>
          </cell>
          <cell r="C2072" t="str">
            <v>TUKENDORF</v>
          </cell>
          <cell r="D2072" t="str">
            <v>AZSAGH Kraków</v>
          </cell>
        </row>
        <row r="2073">
          <cell r="A2073" t="str">
            <v>T1486</v>
          </cell>
          <cell r="B2073" t="str">
            <v>Leopold</v>
          </cell>
          <cell r="C2073" t="str">
            <v>TUKENDORF</v>
          </cell>
          <cell r="D2073" t="str">
            <v>MKS Garwolin</v>
          </cell>
        </row>
        <row r="2074">
          <cell r="A2074" t="str">
            <v>T 055</v>
          </cell>
          <cell r="B2074" t="str">
            <v>Radosław</v>
          </cell>
          <cell r="C2074" t="str">
            <v>TUKENDORF</v>
          </cell>
          <cell r="D2074" t="str">
            <v>MKS Garwolin</v>
          </cell>
        </row>
        <row r="2075">
          <cell r="A2075" t="str">
            <v>T4732</v>
          </cell>
          <cell r="B2075" t="str">
            <v>Dominik</v>
          </cell>
          <cell r="C2075" t="str">
            <v>TUMIDAJSKI</v>
          </cell>
          <cell r="D2075" t="str">
            <v>UKS Orliki Ropica Polska</v>
          </cell>
        </row>
        <row r="2076">
          <cell r="A2076" t="str">
            <v>T5426</v>
          </cell>
          <cell r="B2076" t="str">
            <v>Mateusz</v>
          </cell>
          <cell r="C2076" t="str">
            <v>TUMULEC</v>
          </cell>
          <cell r="D2076" t="str">
            <v>MKS Orlicz Suchedniów</v>
          </cell>
        </row>
        <row r="2077">
          <cell r="A2077" t="str">
            <v>T4251</v>
          </cell>
          <cell r="B2077" t="str">
            <v>Błażej</v>
          </cell>
          <cell r="C2077" t="str">
            <v>TURBACZEWSKI</v>
          </cell>
          <cell r="D2077" t="str">
            <v>UKS 70 Płock</v>
          </cell>
        </row>
        <row r="2078">
          <cell r="A2078" t="str">
            <v>T4952</v>
          </cell>
          <cell r="B2078" t="str">
            <v>Andrzej</v>
          </cell>
          <cell r="C2078" t="str">
            <v>TUROWSKI</v>
          </cell>
          <cell r="D2078" t="str">
            <v>----</v>
          </cell>
        </row>
        <row r="2079">
          <cell r="A2079" t="str">
            <v>T5605</v>
          </cell>
          <cell r="B2079" t="str">
            <v>Bartosz</v>
          </cell>
          <cell r="C2079" t="str">
            <v>TURSKI</v>
          </cell>
          <cell r="D2079" t="str">
            <v>AZSAGH Kraków</v>
          </cell>
        </row>
        <row r="2080">
          <cell r="A2080" t="str">
            <v>T5552</v>
          </cell>
          <cell r="B2080" t="str">
            <v>Franciszek</v>
          </cell>
          <cell r="C2080" t="str">
            <v>TWARDOWSKI</v>
          </cell>
          <cell r="D2080" t="str">
            <v>AZSAGH Kraków</v>
          </cell>
        </row>
        <row r="2081">
          <cell r="A2081" t="str">
            <v>T5553</v>
          </cell>
          <cell r="B2081" t="str">
            <v>Kacper</v>
          </cell>
          <cell r="C2081" t="str">
            <v>TWARDOWSKI</v>
          </cell>
          <cell r="D2081" t="str">
            <v>AZSAGH Kraków</v>
          </cell>
        </row>
        <row r="2082">
          <cell r="A2082" t="str">
            <v>T5675</v>
          </cell>
          <cell r="B2082" t="str">
            <v>Dawid</v>
          </cell>
          <cell r="C2082" t="str">
            <v>TWERD</v>
          </cell>
          <cell r="D2082" t="str">
            <v>UKS Smecz Bogatynia</v>
          </cell>
        </row>
        <row r="2083">
          <cell r="A2083" t="str">
            <v>T5689</v>
          </cell>
          <cell r="B2083" t="str">
            <v>Jakub</v>
          </cell>
          <cell r="C2083" t="str">
            <v>TWERD</v>
          </cell>
          <cell r="D2083" t="str">
            <v>UKS Smecz Bogatynia</v>
          </cell>
        </row>
        <row r="2084">
          <cell r="A2084" t="str">
            <v>T5735</v>
          </cell>
          <cell r="B2084" t="str">
            <v>Filip</v>
          </cell>
          <cell r="C2084" t="str">
            <v>TWORUS</v>
          </cell>
          <cell r="D2084" t="str">
            <v>KSR Wolant Łódź</v>
          </cell>
        </row>
        <row r="2085">
          <cell r="A2085" t="str">
            <v>T5302</v>
          </cell>
          <cell r="B2085" t="str">
            <v>Jarosław</v>
          </cell>
          <cell r="C2085" t="str">
            <v>TYMIŃSKI</v>
          </cell>
          <cell r="D2085" t="str">
            <v>----</v>
          </cell>
        </row>
        <row r="2086">
          <cell r="A2086" t="str">
            <v>T4751</v>
          </cell>
          <cell r="B2086" t="str">
            <v>Kacper</v>
          </cell>
          <cell r="C2086" t="str">
            <v>TYRPA</v>
          </cell>
          <cell r="D2086" t="str">
            <v>UKSB Volant Mielec</v>
          </cell>
        </row>
        <row r="2087">
          <cell r="A2087" t="str">
            <v>T5751</v>
          </cell>
          <cell r="B2087" t="str">
            <v>Wiktoria</v>
          </cell>
          <cell r="C2087" t="str">
            <v>TYSZKO</v>
          </cell>
          <cell r="D2087" t="str">
            <v>UKS Kiko Zamość</v>
          </cell>
        </row>
        <row r="2088">
          <cell r="A2088" t="str">
            <v>U2808</v>
          </cell>
          <cell r="B2088" t="str">
            <v>Marcin</v>
          </cell>
          <cell r="C2088" t="str">
            <v>URAM</v>
          </cell>
          <cell r="D2088" t="str">
            <v>KS Chojnik Jelenia Góra</v>
          </cell>
        </row>
        <row r="2089">
          <cell r="A2089" t="str">
            <v>U1904</v>
          </cell>
          <cell r="B2089" t="str">
            <v>Przemysław</v>
          </cell>
          <cell r="C2089" t="str">
            <v>URBAN</v>
          </cell>
          <cell r="D2089" t="str">
            <v>UKS Orbitek Straszęcin</v>
          </cell>
        </row>
        <row r="2090">
          <cell r="A2090" t="str">
            <v>U5145</v>
          </cell>
          <cell r="B2090" t="str">
            <v>Maciej</v>
          </cell>
          <cell r="C2090" t="str">
            <v>URBANIAK</v>
          </cell>
          <cell r="D2090" t="str">
            <v>UKS Kopernik Słupca</v>
          </cell>
        </row>
        <row r="2091">
          <cell r="A2091" t="str">
            <v>U4604</v>
          </cell>
          <cell r="B2091" t="str">
            <v>Tomasz</v>
          </cell>
          <cell r="C2091" t="str">
            <v>URBANIK</v>
          </cell>
          <cell r="D2091" t="str">
            <v>AZSAGH Kraków</v>
          </cell>
        </row>
        <row r="2092">
          <cell r="A2092" t="str">
            <v>U5842</v>
          </cell>
          <cell r="B2092" t="str">
            <v>Nikol</v>
          </cell>
          <cell r="C2092" t="str">
            <v>URBANOWICZ</v>
          </cell>
          <cell r="D2092" t="str">
            <v>SLKS Tramp Orneta</v>
          </cell>
        </row>
        <row r="2093">
          <cell r="A2093" t="str">
            <v>U3832</v>
          </cell>
          <cell r="B2093" t="str">
            <v>Katarzyna</v>
          </cell>
          <cell r="C2093" t="str">
            <v>URBAŃSKA</v>
          </cell>
          <cell r="D2093" t="str">
            <v>UKS 70 Płock</v>
          </cell>
        </row>
        <row r="2094">
          <cell r="A2094" t="str">
            <v>U5354</v>
          </cell>
          <cell r="B2094" t="str">
            <v>Krystian</v>
          </cell>
          <cell r="C2094" t="str">
            <v>URBAŃSKI</v>
          </cell>
          <cell r="D2094" t="str">
            <v>UKS Kiko Zamość</v>
          </cell>
        </row>
        <row r="2095">
          <cell r="A2095" t="str">
            <v>U4307</v>
          </cell>
          <cell r="B2095" t="str">
            <v>Michał</v>
          </cell>
          <cell r="C2095" t="str">
            <v>USTIMOWICZ</v>
          </cell>
          <cell r="D2095" t="str">
            <v>LKS Technik Głubczyce</v>
          </cell>
        </row>
        <row r="2096">
          <cell r="A2096" t="str">
            <v>U4198</v>
          </cell>
          <cell r="B2096" t="str">
            <v>Karina</v>
          </cell>
          <cell r="C2096" t="str">
            <v>USZOK</v>
          </cell>
          <cell r="D2096" t="str">
            <v>UKS Unia Bieruń</v>
          </cell>
        </row>
        <row r="2097">
          <cell r="A2097" t="str">
            <v>W5681</v>
          </cell>
          <cell r="B2097" t="str">
            <v>Uladzimir</v>
          </cell>
          <cell r="C2097" t="str">
            <v>VARANTSOU</v>
          </cell>
          <cell r="D2097" t="str">
            <v>----</v>
          </cell>
        </row>
        <row r="2098">
          <cell r="A2098" t="str">
            <v>W5984</v>
          </cell>
          <cell r="B2098" t="str">
            <v>Sashina</v>
          </cell>
          <cell r="C2098" t="str">
            <v>VIGNESWARAN</v>
          </cell>
          <cell r="D2098" t="str">
            <v>SKB Suwałki</v>
          </cell>
        </row>
        <row r="2099">
          <cell r="A2099" t="str">
            <v>W4753</v>
          </cell>
          <cell r="B2099" t="str">
            <v>Natan</v>
          </cell>
          <cell r="C2099" t="str">
            <v>VOGT</v>
          </cell>
          <cell r="D2099" t="str">
            <v>MMKS Kędzierzyn-Koźle</v>
          </cell>
        </row>
        <row r="2100">
          <cell r="A2100" t="str">
            <v>W0158</v>
          </cell>
          <cell r="B2100" t="str">
            <v>Przemysław</v>
          </cell>
          <cell r="C2100" t="str">
            <v>WACHA</v>
          </cell>
          <cell r="D2100" t="str">
            <v>LKS Technik Głubczyce</v>
          </cell>
        </row>
        <row r="2101">
          <cell r="A2101" t="str">
            <v>W0782</v>
          </cell>
          <cell r="B2101" t="str">
            <v>Marek</v>
          </cell>
          <cell r="C2101" t="str">
            <v>WACHNIEWSKI</v>
          </cell>
          <cell r="D2101" t="str">
            <v>LKS Technik Głubczyce</v>
          </cell>
        </row>
        <row r="2102">
          <cell r="A2102" t="str">
            <v>W4946</v>
          </cell>
          <cell r="B2102" t="str">
            <v>Sonia</v>
          </cell>
          <cell r="C2102" t="str">
            <v>WACHOWSKA</v>
          </cell>
          <cell r="D2102" t="str">
            <v>STB Energia Lubliniec</v>
          </cell>
        </row>
        <row r="2103">
          <cell r="A2103" t="str">
            <v>W4270</v>
          </cell>
          <cell r="B2103" t="str">
            <v>Jędrzej</v>
          </cell>
          <cell r="C2103" t="str">
            <v>WACHOWSKI</v>
          </cell>
          <cell r="D2103" t="str">
            <v>STB Energia Lubliniec</v>
          </cell>
        </row>
        <row r="2104">
          <cell r="A2104" t="str">
            <v>W3903</v>
          </cell>
          <cell r="B2104" t="str">
            <v>Maciej</v>
          </cell>
          <cell r="C2104" t="str">
            <v>WADOWSKI</v>
          </cell>
          <cell r="D2104" t="str">
            <v>AZSAGH Kraków</v>
          </cell>
        </row>
        <row r="2105">
          <cell r="A2105" t="str">
            <v>W4804</v>
          </cell>
          <cell r="B2105" t="str">
            <v>Emilia</v>
          </cell>
          <cell r="C2105" t="str">
            <v>WAGNER</v>
          </cell>
          <cell r="D2105" t="str">
            <v>UKS Astra Wrocław</v>
          </cell>
        </row>
        <row r="2106">
          <cell r="A2106" t="str">
            <v>W4805</v>
          </cell>
          <cell r="B2106" t="str">
            <v>Maja</v>
          </cell>
          <cell r="C2106" t="str">
            <v>WAGNER</v>
          </cell>
          <cell r="D2106" t="str">
            <v>UKS Astra Wrocław</v>
          </cell>
        </row>
        <row r="2107">
          <cell r="A2107" t="str">
            <v>W5031</v>
          </cell>
          <cell r="B2107" t="str">
            <v>Eryk</v>
          </cell>
          <cell r="C2107" t="str">
            <v>WALA</v>
          </cell>
          <cell r="D2107" t="str">
            <v>UKS Unia Bieruń</v>
          </cell>
        </row>
        <row r="2108">
          <cell r="A2108" t="str">
            <v>W5077</v>
          </cell>
          <cell r="B2108" t="str">
            <v>Katarzyna</v>
          </cell>
          <cell r="C2108" t="str">
            <v>WALAS</v>
          </cell>
          <cell r="D2108" t="str">
            <v>UMKS Junis Szczucin</v>
          </cell>
        </row>
        <row r="2109">
          <cell r="A2109" t="str">
            <v>W4660</v>
          </cell>
          <cell r="B2109" t="str">
            <v>Radosław</v>
          </cell>
          <cell r="C2109" t="str">
            <v>WALAS</v>
          </cell>
          <cell r="D2109" t="str">
            <v>----</v>
          </cell>
        </row>
        <row r="2110">
          <cell r="A2110" t="str">
            <v>W0168</v>
          </cell>
          <cell r="B2110" t="str">
            <v>Aleksandra</v>
          </cell>
          <cell r="C2110" t="str">
            <v>WALASZEK</v>
          </cell>
          <cell r="D2110" t="str">
            <v>LKS Technik Głubczyce</v>
          </cell>
        </row>
        <row r="2111">
          <cell r="A2111" t="str">
            <v>W5047</v>
          </cell>
          <cell r="B2111" t="str">
            <v>Filip</v>
          </cell>
          <cell r="C2111" t="str">
            <v>WALCZAK</v>
          </cell>
          <cell r="D2111" t="str">
            <v>----</v>
          </cell>
        </row>
        <row r="2112">
          <cell r="A2112" t="str">
            <v>W 056</v>
          </cell>
          <cell r="B2112" t="str">
            <v>Krzysztof</v>
          </cell>
          <cell r="C2112" t="str">
            <v>WALENDA</v>
          </cell>
          <cell r="D2112" t="str">
            <v>AZSUW Warszawa</v>
          </cell>
        </row>
        <row r="2113">
          <cell r="A2113" t="str">
            <v>W2861</v>
          </cell>
          <cell r="B2113" t="str">
            <v>Michał</v>
          </cell>
          <cell r="C2113" t="str">
            <v>WALENTEK</v>
          </cell>
          <cell r="D2113" t="str">
            <v>BKS Kolejarz Częstochowa</v>
          </cell>
        </row>
        <row r="2114">
          <cell r="A2114" t="str">
            <v>W1698</v>
          </cell>
          <cell r="B2114" t="str">
            <v>Aneta</v>
          </cell>
          <cell r="C2114" t="str">
            <v>WALENTUKANIS</v>
          </cell>
          <cell r="D2114" t="str">
            <v>AZSUWM Olsztyn</v>
          </cell>
        </row>
        <row r="2115">
          <cell r="A2115" t="str">
            <v>W4941</v>
          </cell>
          <cell r="B2115" t="str">
            <v>Magdalena</v>
          </cell>
          <cell r="C2115" t="str">
            <v>WALENTYNOWICZ</v>
          </cell>
          <cell r="D2115" t="str">
            <v>LUKS Księżyno</v>
          </cell>
        </row>
        <row r="2116">
          <cell r="A2116" t="str">
            <v>W5876</v>
          </cell>
          <cell r="B2116" t="str">
            <v>Kacper</v>
          </cell>
          <cell r="C2116" t="str">
            <v>WALIGÓRA</v>
          </cell>
          <cell r="D2116" t="str">
            <v>UKS Smecz Milicz</v>
          </cell>
        </row>
        <row r="2117">
          <cell r="A2117" t="str">
            <v>W5393</v>
          </cell>
          <cell r="B2117" t="str">
            <v>Joanna</v>
          </cell>
          <cell r="C2117" t="str">
            <v>WAPNIARSKA</v>
          </cell>
          <cell r="D2117" t="str">
            <v>UKS Kiko Zamość</v>
          </cell>
        </row>
        <row r="2118">
          <cell r="A2118" t="str">
            <v>W2203</v>
          </cell>
          <cell r="B2118" t="str">
            <v>Krystian</v>
          </cell>
          <cell r="C2118" t="str">
            <v>WARCHOLAK</v>
          </cell>
          <cell r="D2118" t="str">
            <v>SKB Piast Słupsk</v>
          </cell>
        </row>
        <row r="2119">
          <cell r="A2119" t="str">
            <v>W2765</v>
          </cell>
          <cell r="B2119" t="str">
            <v>Justyna</v>
          </cell>
          <cell r="C2119" t="str">
            <v>WARCHULSKA</v>
          </cell>
          <cell r="D2119" t="str">
            <v>KKS Ruch Piotrków Tryb.</v>
          </cell>
        </row>
        <row r="2120">
          <cell r="A2120" t="str">
            <v>W3968</v>
          </cell>
          <cell r="B2120" t="str">
            <v>Arkadiusz</v>
          </cell>
          <cell r="C2120" t="str">
            <v>WARKOCZ</v>
          </cell>
          <cell r="D2120" t="str">
            <v>KS Stal Sulęcin</v>
          </cell>
        </row>
        <row r="2121">
          <cell r="A2121" t="str">
            <v>W3977</v>
          </cell>
          <cell r="B2121" t="str">
            <v>Elżbieta</v>
          </cell>
          <cell r="C2121" t="str">
            <v>WARKOCZ</v>
          </cell>
          <cell r="D2121" t="str">
            <v>KS Stal Sulęcin</v>
          </cell>
        </row>
        <row r="2122">
          <cell r="A2122" t="str">
            <v>W5707</v>
          </cell>
          <cell r="B2122" t="str">
            <v>Olaf</v>
          </cell>
          <cell r="C2122" t="str">
            <v>WARNECKI</v>
          </cell>
          <cell r="D2122" t="str">
            <v>----</v>
          </cell>
        </row>
        <row r="2123">
          <cell r="A2123" t="str">
            <v>W1764</v>
          </cell>
          <cell r="B2123" t="str">
            <v>Henryk</v>
          </cell>
          <cell r="C2123" t="str">
            <v>WARZECHA</v>
          </cell>
          <cell r="D2123" t="str">
            <v>----</v>
          </cell>
        </row>
        <row r="2124">
          <cell r="A2124" t="str">
            <v>W3612</v>
          </cell>
          <cell r="B2124" t="str">
            <v>Piotr</v>
          </cell>
          <cell r="C2124" t="str">
            <v>WARZYSZAK</v>
          </cell>
          <cell r="D2124" t="str">
            <v>UKS Ostrówek</v>
          </cell>
        </row>
        <row r="2125">
          <cell r="A2125" t="str">
            <v>W4976</v>
          </cell>
          <cell r="B2125" t="str">
            <v>Adrian</v>
          </cell>
          <cell r="C2125" t="str">
            <v>WASIK</v>
          </cell>
          <cell r="D2125" t="str">
            <v>UKS Junior Wrzosowa</v>
          </cell>
        </row>
        <row r="2126">
          <cell r="A2126" t="str">
            <v>W5539</v>
          </cell>
          <cell r="B2126" t="str">
            <v>Zuzanna</v>
          </cell>
          <cell r="C2126" t="str">
            <v>WASIK</v>
          </cell>
          <cell r="D2126" t="str">
            <v>UKS Junior Wrzosowa</v>
          </cell>
        </row>
        <row r="2127">
          <cell r="A2127" t="str">
            <v>W0440</v>
          </cell>
          <cell r="B2127" t="str">
            <v>Adrian</v>
          </cell>
          <cell r="C2127" t="str">
            <v>WASILEWSKI</v>
          </cell>
          <cell r="D2127" t="str">
            <v>AZSUWM Olsztyn</v>
          </cell>
        </row>
        <row r="2128">
          <cell r="A2128" t="str">
            <v>W5526</v>
          </cell>
          <cell r="B2128" t="str">
            <v>Filip</v>
          </cell>
          <cell r="C2128" t="str">
            <v>WASILEWSKI</v>
          </cell>
          <cell r="D2128" t="str">
            <v>SKB Suwałki</v>
          </cell>
        </row>
        <row r="2129">
          <cell r="A2129" t="str">
            <v>W5355</v>
          </cell>
          <cell r="B2129" t="str">
            <v>Michał</v>
          </cell>
          <cell r="C2129" t="str">
            <v>WASILEWSKI</v>
          </cell>
          <cell r="D2129" t="str">
            <v>UKS Kiko Zamość</v>
          </cell>
        </row>
        <row r="2130">
          <cell r="A2130" t="str">
            <v>W2914</v>
          </cell>
          <cell r="B2130" t="str">
            <v>Piotr</v>
          </cell>
          <cell r="C2130" t="str">
            <v>WASILUK</v>
          </cell>
          <cell r="D2130" t="str">
            <v>LUKS Badminton Choroszcz</v>
          </cell>
        </row>
        <row r="2131">
          <cell r="A2131" t="str">
            <v>W4999</v>
          </cell>
          <cell r="B2131" t="str">
            <v>Krystian</v>
          </cell>
          <cell r="C2131" t="str">
            <v>WASYNIAK</v>
          </cell>
          <cell r="D2131" t="str">
            <v>UKS Smecz Bogatynia</v>
          </cell>
        </row>
        <row r="2132">
          <cell r="A2132" t="str">
            <v>W5853</v>
          </cell>
          <cell r="B2132" t="str">
            <v>Marek</v>
          </cell>
          <cell r="C2132" t="str">
            <v>WASZKOWSKI</v>
          </cell>
          <cell r="D2132" t="str">
            <v>UKS Astra Wrocław</v>
          </cell>
        </row>
        <row r="2133">
          <cell r="A2133" t="str">
            <v>W5196</v>
          </cell>
          <cell r="B2133" t="str">
            <v>Mateusz</v>
          </cell>
          <cell r="C2133" t="str">
            <v>WAWRYK</v>
          </cell>
          <cell r="D2133" t="str">
            <v>UKS Kiko Zamość</v>
          </cell>
        </row>
        <row r="2134">
          <cell r="A2134" t="str">
            <v>W4583</v>
          </cell>
          <cell r="B2134" t="str">
            <v>Patrycja</v>
          </cell>
          <cell r="C2134" t="str">
            <v>WAWRZEŃCZYK</v>
          </cell>
          <cell r="D2134" t="str">
            <v>MKS Orlicz Suchedniów</v>
          </cell>
        </row>
        <row r="2135">
          <cell r="A2135" t="str">
            <v>W5682</v>
          </cell>
          <cell r="B2135" t="str">
            <v>Anna</v>
          </cell>
          <cell r="C2135" t="str">
            <v>WAWRZYNIAK</v>
          </cell>
          <cell r="D2135" t="str">
            <v>----</v>
          </cell>
        </row>
        <row r="2136">
          <cell r="A2136" t="str">
            <v>W4137</v>
          </cell>
          <cell r="B2136" t="str">
            <v>Jakub</v>
          </cell>
          <cell r="C2136" t="str">
            <v>WAWRZYNIAK</v>
          </cell>
          <cell r="D2136" t="str">
            <v>MMKS Kędzierzyn-Koźle</v>
          </cell>
        </row>
        <row r="2137">
          <cell r="A2137" t="str">
            <v>W5877</v>
          </cell>
          <cell r="B2137" t="str">
            <v>Odyseusz</v>
          </cell>
          <cell r="C2137" t="str">
            <v>WĄSIAK</v>
          </cell>
          <cell r="D2137" t="str">
            <v>UKS Smecz Milicz</v>
          </cell>
        </row>
        <row r="2138">
          <cell r="A2138" t="str">
            <v>W1199</v>
          </cell>
          <cell r="B2138" t="str">
            <v>Roman</v>
          </cell>
          <cell r="C2138" t="str">
            <v>WĄSOWICZ</v>
          </cell>
          <cell r="D2138" t="str">
            <v>----</v>
          </cell>
        </row>
        <row r="2139">
          <cell r="A2139" t="str">
            <v>W5855</v>
          </cell>
          <cell r="B2139" t="str">
            <v>Gabriel</v>
          </cell>
          <cell r="C2139" t="str">
            <v>WECHTA</v>
          </cell>
          <cell r="D2139" t="str">
            <v>UKS Astra Wrocław</v>
          </cell>
        </row>
        <row r="2140">
          <cell r="A2140" t="str">
            <v>W2555</v>
          </cell>
          <cell r="B2140" t="str">
            <v>Stefan</v>
          </cell>
          <cell r="C2140" t="str">
            <v>WEŁNIC</v>
          </cell>
          <cell r="D2140" t="str">
            <v>----</v>
          </cell>
        </row>
        <row r="2141">
          <cell r="A2141" t="str">
            <v>W4382</v>
          </cell>
          <cell r="B2141" t="str">
            <v>Kinga</v>
          </cell>
          <cell r="C2141" t="str">
            <v>WENDERSKA</v>
          </cell>
          <cell r="D2141" t="str">
            <v>OTB Lotka Ostrów Wlkp.</v>
          </cell>
        </row>
        <row r="2142">
          <cell r="A2142" t="str">
            <v>W5293</v>
          </cell>
          <cell r="B2142" t="str">
            <v>Patryk</v>
          </cell>
          <cell r="C2142" t="str">
            <v>WERESZYŃSKI</v>
          </cell>
          <cell r="D2142" t="str">
            <v>KS Masovia Płock</v>
          </cell>
        </row>
        <row r="2143">
          <cell r="A2143" t="str">
            <v>W5148</v>
          </cell>
          <cell r="B2143" t="str">
            <v>Jeremiasz</v>
          </cell>
          <cell r="C2143" t="str">
            <v>WESOŁEK</v>
          </cell>
          <cell r="D2143" t="str">
            <v>KSR Wolant Łódź</v>
          </cell>
        </row>
        <row r="2144">
          <cell r="A2144" t="str">
            <v>W2766</v>
          </cell>
          <cell r="B2144" t="str">
            <v>Katarzyna</v>
          </cell>
          <cell r="C2144" t="str">
            <v>WĘŻYK</v>
          </cell>
          <cell r="D2144" t="str">
            <v>KKS Ruch Piotrków Tryb.</v>
          </cell>
        </row>
        <row r="2145">
          <cell r="A2145" t="str">
            <v>W3744</v>
          </cell>
          <cell r="B2145" t="str">
            <v>Małgorzata</v>
          </cell>
          <cell r="C2145" t="str">
            <v>WICHOWSKA</v>
          </cell>
          <cell r="D2145" t="str">
            <v>KS Hubertus Zalesie Górne</v>
          </cell>
        </row>
        <row r="2146">
          <cell r="A2146" t="str">
            <v>W5695</v>
          </cell>
          <cell r="B2146" t="str">
            <v>Filip</v>
          </cell>
          <cell r="C2146" t="str">
            <v>WIECZOREK</v>
          </cell>
          <cell r="D2146" t="str">
            <v>UKS 2 Sobótka</v>
          </cell>
        </row>
        <row r="2147">
          <cell r="A2147" t="str">
            <v>W5845</v>
          </cell>
          <cell r="B2147" t="str">
            <v>Monika</v>
          </cell>
          <cell r="C2147" t="str">
            <v>WIECZOREK</v>
          </cell>
          <cell r="D2147" t="str">
            <v>UKS KSBad Kraków</v>
          </cell>
        </row>
        <row r="2148">
          <cell r="A2148" t="str">
            <v>W3657</v>
          </cell>
          <cell r="B2148" t="str">
            <v>Anna</v>
          </cell>
          <cell r="C2148" t="str">
            <v>WIERCIŃSKA</v>
          </cell>
          <cell r="D2148" t="str">
            <v>UKS 70 Płock</v>
          </cell>
        </row>
        <row r="2149">
          <cell r="A2149" t="str">
            <v>W3992</v>
          </cell>
          <cell r="B2149" t="str">
            <v>Paweł</v>
          </cell>
          <cell r="C2149" t="str">
            <v>WIERCIŃSKI</v>
          </cell>
          <cell r="D2149" t="str">
            <v>KKS Warmia Olsztyn</v>
          </cell>
        </row>
        <row r="2150">
          <cell r="A2150" t="str">
            <v>W4836</v>
          </cell>
          <cell r="B2150" t="str">
            <v>Witold</v>
          </cell>
          <cell r="C2150" t="str">
            <v>WIERSZIN</v>
          </cell>
          <cell r="D2150" t="str">
            <v>----</v>
          </cell>
        </row>
        <row r="2151">
          <cell r="A2151" t="str">
            <v>W4449</v>
          </cell>
          <cell r="B2151" t="str">
            <v>Maciej</v>
          </cell>
          <cell r="C2151" t="str">
            <v>WIERZBICKI</v>
          </cell>
          <cell r="D2151" t="str">
            <v>AZSWAT Warszawa</v>
          </cell>
        </row>
        <row r="2152">
          <cell r="A2152" t="str">
            <v>W4585</v>
          </cell>
          <cell r="B2152" t="str">
            <v>Maria</v>
          </cell>
          <cell r="C2152" t="str">
            <v>WIERZBIŃSKA</v>
          </cell>
          <cell r="D2152" t="str">
            <v>MKS Orlicz Suchedniów</v>
          </cell>
        </row>
        <row r="2153">
          <cell r="A2153" t="str">
            <v>W5635</v>
          </cell>
          <cell r="B2153" t="str">
            <v>Julia</v>
          </cell>
          <cell r="C2153" t="str">
            <v>WIETECKA</v>
          </cell>
          <cell r="D2153" t="str">
            <v>----</v>
          </cell>
        </row>
        <row r="2154">
          <cell r="A2154" t="str">
            <v>W5669</v>
          </cell>
          <cell r="B2154" t="str">
            <v>Jakub</v>
          </cell>
          <cell r="C2154" t="str">
            <v>WIĘCKOWSKI</v>
          </cell>
          <cell r="D2154" t="str">
            <v>LUKS Badminton Choroszcz</v>
          </cell>
        </row>
        <row r="2155">
          <cell r="A2155" t="str">
            <v>W4420</v>
          </cell>
          <cell r="B2155" t="str">
            <v>Hubert</v>
          </cell>
          <cell r="C2155" t="str">
            <v>WIĘCŁAW</v>
          </cell>
          <cell r="D2155" t="str">
            <v>OTB Lotka Ostrów Wlkp.</v>
          </cell>
        </row>
        <row r="2156">
          <cell r="A2156" t="str">
            <v>W2185</v>
          </cell>
          <cell r="B2156" t="str">
            <v>Aleksandra</v>
          </cell>
          <cell r="C2156" t="str">
            <v>WIKŁO</v>
          </cell>
          <cell r="D2156" t="str">
            <v>MKS Orlicz Suchedniów</v>
          </cell>
        </row>
        <row r="2157">
          <cell r="A2157" t="str">
            <v>W2897</v>
          </cell>
          <cell r="B2157" t="str">
            <v>Robert</v>
          </cell>
          <cell r="C2157" t="str">
            <v>WIKŁO</v>
          </cell>
          <cell r="D2157" t="str">
            <v>KS Masovia Płock</v>
          </cell>
        </row>
        <row r="2158">
          <cell r="A2158" t="str">
            <v>W1487</v>
          </cell>
          <cell r="B2158" t="str">
            <v>Stanisław</v>
          </cell>
          <cell r="C2158" t="str">
            <v>WIKŁO</v>
          </cell>
          <cell r="D2158" t="str">
            <v>----</v>
          </cell>
        </row>
        <row r="2159">
          <cell r="A2159" t="str">
            <v>W1930</v>
          </cell>
          <cell r="B2159" t="str">
            <v>Miłosz</v>
          </cell>
          <cell r="C2159" t="str">
            <v>WIKTORCZYK</v>
          </cell>
          <cell r="D2159" t="str">
            <v>UKS Plesbad Pszczyna</v>
          </cell>
        </row>
        <row r="2160">
          <cell r="A2160" t="str">
            <v>W5952</v>
          </cell>
          <cell r="B2160" t="str">
            <v>Małgorzata</v>
          </cell>
          <cell r="C2160" t="str">
            <v>WILCZAK</v>
          </cell>
          <cell r="D2160" t="str">
            <v>----</v>
          </cell>
        </row>
        <row r="2161">
          <cell r="A2161" t="str">
            <v>W4024</v>
          </cell>
          <cell r="B2161" t="str">
            <v>Jakub</v>
          </cell>
          <cell r="C2161" t="str">
            <v>WILCZEWSKI</v>
          </cell>
          <cell r="D2161" t="str">
            <v>UKS 70 Płock</v>
          </cell>
        </row>
        <row r="2162">
          <cell r="A2162" t="str">
            <v>W4322</v>
          </cell>
          <cell r="B2162" t="str">
            <v>Paulina</v>
          </cell>
          <cell r="C2162" t="str">
            <v>WILCZYŃSKA</v>
          </cell>
          <cell r="D2162" t="str">
            <v>UKS Orbitek Straszęcin</v>
          </cell>
        </row>
        <row r="2163">
          <cell r="A2163" t="str">
            <v>W0193</v>
          </cell>
          <cell r="B2163" t="str">
            <v>Sebastian</v>
          </cell>
          <cell r="C2163" t="str">
            <v>WILCZYŃSKI</v>
          </cell>
          <cell r="D2163" t="str">
            <v>----</v>
          </cell>
        </row>
        <row r="2164">
          <cell r="A2164" t="str">
            <v>W5396</v>
          </cell>
          <cell r="B2164" t="str">
            <v>Klaudia</v>
          </cell>
          <cell r="C2164" t="str">
            <v>WILK</v>
          </cell>
          <cell r="D2164" t="str">
            <v>UKS Jagiellonka Medyka</v>
          </cell>
        </row>
        <row r="2165">
          <cell r="A2165" t="str">
            <v>W5787</v>
          </cell>
          <cell r="B2165" t="str">
            <v>Mateusz</v>
          </cell>
          <cell r="C2165" t="str">
            <v>WILK</v>
          </cell>
          <cell r="D2165" t="str">
            <v>UKS Orbitek Straszęcin</v>
          </cell>
        </row>
        <row r="2166">
          <cell r="A2166" t="str">
            <v>W2424</v>
          </cell>
          <cell r="B2166" t="str">
            <v>Jakub</v>
          </cell>
          <cell r="C2166" t="str">
            <v>WILKOS</v>
          </cell>
          <cell r="D2166" t="str">
            <v>UKS Kiko Zamość</v>
          </cell>
        </row>
        <row r="2167">
          <cell r="A2167" t="str">
            <v>W2301</v>
          </cell>
          <cell r="B2167" t="str">
            <v>Wojciech</v>
          </cell>
          <cell r="C2167" t="str">
            <v>WILKOSZ</v>
          </cell>
          <cell r="D2167" t="str">
            <v>UKS Plesbad Pszczyna</v>
          </cell>
        </row>
        <row r="2168">
          <cell r="A2168" t="str">
            <v>W4002</v>
          </cell>
          <cell r="B2168" t="str">
            <v>Agnieszka</v>
          </cell>
          <cell r="C2168" t="str">
            <v>WILMONT</v>
          </cell>
          <cell r="D2168" t="str">
            <v>SKB Piast Słupsk</v>
          </cell>
        </row>
        <row r="2169">
          <cell r="A2169" t="str">
            <v>W3970</v>
          </cell>
          <cell r="B2169" t="str">
            <v>Eryk</v>
          </cell>
          <cell r="C2169" t="str">
            <v>WINTER</v>
          </cell>
          <cell r="D2169" t="str">
            <v>KS Stal Sulęcin</v>
          </cell>
        </row>
        <row r="2170">
          <cell r="A2170" t="str">
            <v>W5117</v>
          </cell>
          <cell r="B2170" t="str">
            <v>Hubert</v>
          </cell>
          <cell r="C2170" t="str">
            <v>WIOREK</v>
          </cell>
          <cell r="D2170" t="str">
            <v>UKS Kometa Sianów</v>
          </cell>
        </row>
        <row r="2171">
          <cell r="A2171" t="str">
            <v>W5981</v>
          </cell>
          <cell r="B2171" t="str">
            <v>Aleksandra</v>
          </cell>
          <cell r="C2171" t="str">
            <v>WIRZINKIEWICZ</v>
          </cell>
          <cell r="D2171" t="str">
            <v>KKS Warmia Olsztyn</v>
          </cell>
        </row>
        <row r="2172">
          <cell r="A2172" t="str">
            <v>W4847</v>
          </cell>
          <cell r="B2172" t="str">
            <v>Paweł</v>
          </cell>
          <cell r="C2172" t="str">
            <v>WIRZINKIEWICZ</v>
          </cell>
          <cell r="D2172" t="str">
            <v>KKS Warmia Olsztyn</v>
          </cell>
        </row>
        <row r="2173">
          <cell r="A2173" t="str">
            <v>W4281</v>
          </cell>
          <cell r="B2173" t="str">
            <v>Ida</v>
          </cell>
          <cell r="C2173" t="str">
            <v>WIŚNIEWSKA</v>
          </cell>
          <cell r="D2173" t="str">
            <v>----</v>
          </cell>
        </row>
        <row r="2174">
          <cell r="A2174" t="str">
            <v>W2256</v>
          </cell>
          <cell r="B2174" t="str">
            <v>Sylwia</v>
          </cell>
          <cell r="C2174" t="str">
            <v>WIŚNIEWSKA</v>
          </cell>
          <cell r="D2174" t="str">
            <v>UKS Ostrówek</v>
          </cell>
        </row>
        <row r="2175">
          <cell r="A2175" t="str">
            <v>W5023</v>
          </cell>
          <cell r="B2175" t="str">
            <v>Rafał</v>
          </cell>
          <cell r="C2175" t="str">
            <v>WIŚNIEWSKI</v>
          </cell>
          <cell r="D2175" t="str">
            <v>ULKS Łączna</v>
          </cell>
        </row>
        <row r="2176">
          <cell r="A2176" t="str">
            <v>W4067</v>
          </cell>
          <cell r="B2176" t="str">
            <v>Szymon</v>
          </cell>
          <cell r="C2176" t="str">
            <v>WIŚNIEWSKI</v>
          </cell>
          <cell r="D2176" t="str">
            <v>----</v>
          </cell>
        </row>
        <row r="2177">
          <cell r="A2177" t="str">
            <v>W2409</v>
          </cell>
          <cell r="B2177" t="str">
            <v>Magdalena</v>
          </cell>
          <cell r="C2177" t="str">
            <v>WITEK</v>
          </cell>
          <cell r="D2177" t="str">
            <v>MLKS Solec Kuj.</v>
          </cell>
        </row>
        <row r="2178">
          <cell r="A2178" t="str">
            <v>W5796</v>
          </cell>
          <cell r="B2178" t="str">
            <v>Przemysław</v>
          </cell>
          <cell r="C2178" t="str">
            <v>WITEK</v>
          </cell>
          <cell r="D2178" t="str">
            <v>KKS Warmia Olsztyn</v>
          </cell>
        </row>
        <row r="2179">
          <cell r="A2179" t="str">
            <v>W5388</v>
          </cell>
          <cell r="B2179" t="str">
            <v>Bartłomiej</v>
          </cell>
          <cell r="C2179" t="str">
            <v>WITKOWICZ</v>
          </cell>
          <cell r="D2179" t="str">
            <v>UKS Iskra Babimost</v>
          </cell>
        </row>
        <row r="2180">
          <cell r="A2180" t="str">
            <v>W2296</v>
          </cell>
          <cell r="B2180" t="str">
            <v>Piotr</v>
          </cell>
          <cell r="C2180" t="str">
            <v>WITKOWSKI</v>
          </cell>
          <cell r="D2180" t="str">
            <v>ŚKBad Harcownik Warszawa</v>
          </cell>
        </row>
        <row r="2181">
          <cell r="A2181" t="str">
            <v>W5659</v>
          </cell>
          <cell r="B2181" t="str">
            <v>Weronika</v>
          </cell>
          <cell r="C2181" t="str">
            <v>WITORZEŃĆ</v>
          </cell>
          <cell r="D2181" t="str">
            <v>LUKS Krokus Góralice</v>
          </cell>
        </row>
        <row r="2182">
          <cell r="A2182" t="str">
            <v>W4744</v>
          </cell>
          <cell r="B2182" t="str">
            <v>Natalia</v>
          </cell>
          <cell r="C2182" t="str">
            <v>WITULSKA</v>
          </cell>
          <cell r="D2182" t="str">
            <v>ZKB Maced Polanów</v>
          </cell>
        </row>
        <row r="2183">
          <cell r="A2183" t="str">
            <v>W4435</v>
          </cell>
          <cell r="B2183" t="str">
            <v>Karolina</v>
          </cell>
          <cell r="C2183" t="str">
            <v>WŁADZIŃSKA</v>
          </cell>
          <cell r="D2183" t="str">
            <v>----</v>
          </cell>
        </row>
        <row r="2184">
          <cell r="A2184" t="str">
            <v>W4277</v>
          </cell>
          <cell r="B2184" t="str">
            <v>Grzegorz</v>
          </cell>
          <cell r="C2184" t="str">
            <v>WŁODARCZYK</v>
          </cell>
          <cell r="D2184" t="str">
            <v>AZSOŚ Łódź</v>
          </cell>
        </row>
        <row r="2185">
          <cell r="A2185" t="str">
            <v>W5443</v>
          </cell>
          <cell r="B2185" t="str">
            <v>Natalia</v>
          </cell>
          <cell r="C2185" t="str">
            <v>WŁODARCZYK</v>
          </cell>
          <cell r="D2185" t="str">
            <v>KKS Ruch Piotrków Tryb.</v>
          </cell>
        </row>
        <row r="2186">
          <cell r="A2186" t="str">
            <v>W5014</v>
          </cell>
          <cell r="B2186" t="str">
            <v>Przemysław</v>
          </cell>
          <cell r="C2186" t="str">
            <v>WŁODEK</v>
          </cell>
          <cell r="D2186" t="str">
            <v>MKSKSOS Kraków</v>
          </cell>
        </row>
        <row r="2187">
          <cell r="A2187" t="str">
            <v>W4083</v>
          </cell>
          <cell r="B2187" t="str">
            <v>Agnieszka</v>
          </cell>
          <cell r="C2187" t="str">
            <v>WŁUDYKA</v>
          </cell>
          <cell r="D2187" t="str">
            <v>AZSWAT Warszawa</v>
          </cell>
        </row>
        <row r="2188">
          <cell r="A2188" t="str">
            <v>W3393</v>
          </cell>
          <cell r="B2188" t="str">
            <v>Aleksandra</v>
          </cell>
          <cell r="C2188" t="str">
            <v>WNUK</v>
          </cell>
          <cell r="D2188" t="str">
            <v>MKS Garwolin</v>
          </cell>
        </row>
        <row r="2189">
          <cell r="A2189" t="str">
            <v>W3545</v>
          </cell>
          <cell r="B2189" t="str">
            <v>Marcin</v>
          </cell>
          <cell r="C2189" t="str">
            <v>WNUK</v>
          </cell>
          <cell r="D2189" t="str">
            <v>MKS Orlicz Suchedniów</v>
          </cell>
        </row>
        <row r="2190">
          <cell r="A2190" t="str">
            <v>W5818</v>
          </cell>
          <cell r="B2190" t="str">
            <v>Victoria</v>
          </cell>
          <cell r="C2190" t="str">
            <v>WOJCIECHOWICZ</v>
          </cell>
          <cell r="D2190" t="str">
            <v>UKSB Milenium Warszawa</v>
          </cell>
        </row>
        <row r="2191">
          <cell r="A2191" t="str">
            <v>W0911</v>
          </cell>
          <cell r="B2191" t="str">
            <v>Marta</v>
          </cell>
          <cell r="C2191" t="str">
            <v>WOJCIECHOWSKA</v>
          </cell>
          <cell r="D2191" t="str">
            <v>SKB Piast Słupsk</v>
          </cell>
        </row>
        <row r="2192">
          <cell r="A2192" t="str">
            <v>W3398</v>
          </cell>
          <cell r="B2192" t="str">
            <v>Przemysław</v>
          </cell>
          <cell r="C2192" t="str">
            <v>WOJCIECHOWSKI</v>
          </cell>
          <cell r="D2192" t="str">
            <v>KKS Ruch Piotrków Tryb.</v>
          </cell>
        </row>
        <row r="2193">
          <cell r="A2193" t="str">
            <v>W5564</v>
          </cell>
          <cell r="B2193" t="str">
            <v>Magdalena</v>
          </cell>
          <cell r="C2193" t="str">
            <v>WOJNIAK</v>
          </cell>
          <cell r="D2193" t="str">
            <v>UKSOSIR Badminton Sławno</v>
          </cell>
        </row>
        <row r="2194">
          <cell r="A2194" t="str">
            <v>W4887</v>
          </cell>
          <cell r="B2194" t="str">
            <v>Ksawery</v>
          </cell>
          <cell r="C2194" t="str">
            <v>WOJTASZEK</v>
          </cell>
          <cell r="D2194" t="str">
            <v>KS Wesoła Warszawa</v>
          </cell>
        </row>
        <row r="2195">
          <cell r="A2195" t="str">
            <v>W0159</v>
          </cell>
          <cell r="B2195" t="str">
            <v>Agnieszka</v>
          </cell>
          <cell r="C2195" t="str">
            <v>WOJTKOWSKA</v>
          </cell>
          <cell r="D2195" t="str">
            <v>LKS Technik Głubczyce</v>
          </cell>
        </row>
        <row r="2196">
          <cell r="A2196" t="str">
            <v>W1340</v>
          </cell>
          <cell r="B2196" t="str">
            <v>Aneta</v>
          </cell>
          <cell r="C2196" t="str">
            <v>WOJTKOWSKA</v>
          </cell>
          <cell r="D2196" t="str">
            <v>LKS Technik Głubczyce</v>
          </cell>
        </row>
        <row r="2197">
          <cell r="A2197" t="str">
            <v>W4419</v>
          </cell>
          <cell r="B2197" t="str">
            <v>Zuzanna</v>
          </cell>
          <cell r="C2197" t="str">
            <v>WOJTYCZKA</v>
          </cell>
          <cell r="D2197" t="str">
            <v>OTB Lotka Ostrów Wlkp.</v>
          </cell>
        </row>
        <row r="2198">
          <cell r="A2198" t="str">
            <v>W5187</v>
          </cell>
          <cell r="B2198" t="str">
            <v>Kacper</v>
          </cell>
          <cell r="C2198" t="str">
            <v>WOJTYNA</v>
          </cell>
          <cell r="D2198" t="str">
            <v>UKS Kiko Zamość</v>
          </cell>
        </row>
        <row r="2199">
          <cell r="A2199" t="str">
            <v>W5341</v>
          </cell>
          <cell r="B2199" t="str">
            <v>Karol</v>
          </cell>
          <cell r="C2199" t="str">
            <v>WOJTYNA</v>
          </cell>
          <cell r="D2199" t="str">
            <v>UKS Kiko Zamość</v>
          </cell>
        </row>
        <row r="2200">
          <cell r="A2200" t="str">
            <v>W3805</v>
          </cell>
          <cell r="B2200" t="str">
            <v>Jan</v>
          </cell>
          <cell r="C2200" t="str">
            <v>WOLAŃCZYK</v>
          </cell>
          <cell r="D2200" t="str">
            <v>KS Match Point Ślęza</v>
          </cell>
        </row>
        <row r="2201">
          <cell r="A2201" t="str">
            <v>W1154</v>
          </cell>
          <cell r="B2201" t="str">
            <v>Waldemar</v>
          </cell>
          <cell r="C2201" t="str">
            <v>WOLAŃSKI</v>
          </cell>
          <cell r="D2201" t="str">
            <v>----</v>
          </cell>
        </row>
        <row r="2202">
          <cell r="A2202" t="str">
            <v>W4757</v>
          </cell>
          <cell r="B2202" t="str">
            <v>Norbert</v>
          </cell>
          <cell r="C2202" t="str">
            <v>WOLNIAK</v>
          </cell>
          <cell r="D2202" t="str">
            <v>MLKS Solec Kuj.</v>
          </cell>
        </row>
        <row r="2203">
          <cell r="A2203" t="str">
            <v>W5498</v>
          </cell>
          <cell r="B2203" t="str">
            <v>Szymon</v>
          </cell>
          <cell r="C2203" t="str">
            <v>WOLNIAK</v>
          </cell>
          <cell r="D2203" t="str">
            <v>MMKS Gdańsk</v>
          </cell>
        </row>
        <row r="2204">
          <cell r="A2204" t="str">
            <v>W4550</v>
          </cell>
          <cell r="B2204" t="str">
            <v>Magdalena</v>
          </cell>
          <cell r="C2204" t="str">
            <v>WOLSKA</v>
          </cell>
          <cell r="D2204" t="str">
            <v>MKB Lednik Miastko</v>
          </cell>
        </row>
        <row r="2205">
          <cell r="A2205" t="str">
            <v>W5939</v>
          </cell>
          <cell r="B2205" t="str">
            <v>Marcin</v>
          </cell>
          <cell r="C2205" t="str">
            <v>WOŁKOWICZ</v>
          </cell>
          <cell r="D2205" t="str">
            <v>MMKS Kędzierzyn-Koźle</v>
          </cell>
        </row>
        <row r="2206">
          <cell r="A2206" t="str">
            <v>W5569</v>
          </cell>
          <cell r="B2206" t="str">
            <v>Barbara</v>
          </cell>
          <cell r="C2206" t="str">
            <v>WOŁOSZYN</v>
          </cell>
          <cell r="D2206" t="str">
            <v>UKSB Volant Mielec</v>
          </cell>
        </row>
        <row r="2207">
          <cell r="A2207" t="str">
            <v>W5774</v>
          </cell>
          <cell r="B2207" t="str">
            <v>Bartłomiej</v>
          </cell>
          <cell r="C2207" t="str">
            <v>WOŹNIAK</v>
          </cell>
          <cell r="D2207" t="str">
            <v>UKS Kiko Zamość</v>
          </cell>
        </row>
        <row r="2208">
          <cell r="A2208" t="str">
            <v>W3645</v>
          </cell>
          <cell r="B2208" t="str">
            <v>Małgorzata</v>
          </cell>
          <cell r="C2208" t="str">
            <v>WOŹNIAK</v>
          </cell>
          <cell r="D2208" t="str">
            <v>----</v>
          </cell>
        </row>
        <row r="2209">
          <cell r="A2209" t="str">
            <v>W4768</v>
          </cell>
          <cell r="B2209" t="str">
            <v>Marcin</v>
          </cell>
          <cell r="C2209" t="str">
            <v>WOŹNIAK</v>
          </cell>
          <cell r="D2209" t="str">
            <v>UKS Feniks Kędzierzyn-Koźle</v>
          </cell>
        </row>
        <row r="2210">
          <cell r="A2210" t="str">
            <v>W5575</v>
          </cell>
          <cell r="B2210" t="str">
            <v>Aleksandra</v>
          </cell>
          <cell r="C2210" t="str">
            <v>WÓJCIAK</v>
          </cell>
          <cell r="D2210" t="str">
            <v>PMKS Chrobry Piotrowice</v>
          </cell>
        </row>
        <row r="2211">
          <cell r="A2211" t="str">
            <v>W5576</v>
          </cell>
          <cell r="B2211" t="str">
            <v>Angelika</v>
          </cell>
          <cell r="C2211" t="str">
            <v>WÓJCIK</v>
          </cell>
          <cell r="D2211" t="str">
            <v>PMKS Chrobry Piotrowice</v>
          </cell>
        </row>
        <row r="2212">
          <cell r="A2212" t="str">
            <v>W3644</v>
          </cell>
          <cell r="B2212" t="str">
            <v>Grzegorz</v>
          </cell>
          <cell r="C2212" t="str">
            <v>WÓJCIK</v>
          </cell>
          <cell r="D2212" t="str">
            <v>UKS Ząbkowice Dąbrowa Górn.</v>
          </cell>
        </row>
        <row r="2213">
          <cell r="A2213" t="str">
            <v>W 079</v>
          </cell>
          <cell r="B2213" t="str">
            <v>Katarzyna</v>
          </cell>
          <cell r="C2213" t="str">
            <v>WÓJCIK</v>
          </cell>
          <cell r="D2213" t="str">
            <v>AZSAGH Kraków</v>
          </cell>
        </row>
        <row r="2214">
          <cell r="A2214" t="str">
            <v>W5468</v>
          </cell>
          <cell r="B2214" t="str">
            <v>Klaudia</v>
          </cell>
          <cell r="C2214" t="str">
            <v>WÓJCIK</v>
          </cell>
          <cell r="D2214" t="str">
            <v>KS Chojnik Jelenia Góra</v>
          </cell>
        </row>
        <row r="2215">
          <cell r="A2215" t="str">
            <v>W5887</v>
          </cell>
          <cell r="B2215" t="str">
            <v>Maciej</v>
          </cell>
          <cell r="C2215" t="str">
            <v>WÓJCIK</v>
          </cell>
          <cell r="D2215" t="str">
            <v>UKS Smecz Milicz</v>
          </cell>
        </row>
        <row r="2216">
          <cell r="A2216" t="str">
            <v>W2731</v>
          </cell>
          <cell r="B2216" t="str">
            <v>Marta</v>
          </cell>
          <cell r="C2216" t="str">
            <v>WÓJCIK</v>
          </cell>
          <cell r="D2216" t="str">
            <v>BKS Kolejarz Częstochowa</v>
          </cell>
        </row>
        <row r="2217">
          <cell r="A2217" t="str">
            <v>W5485</v>
          </cell>
          <cell r="B2217" t="str">
            <v>Ryszard</v>
          </cell>
          <cell r="C2217" t="str">
            <v>WÓJCIK</v>
          </cell>
          <cell r="D2217" t="str">
            <v>----</v>
          </cell>
        </row>
        <row r="2218">
          <cell r="A2218" t="str">
            <v>W5654</v>
          </cell>
          <cell r="B2218" t="str">
            <v>Weronika</v>
          </cell>
          <cell r="C2218" t="str">
            <v>WÓJCIK</v>
          </cell>
          <cell r="D2218" t="str">
            <v>PMKS Chrobry Piotrowice</v>
          </cell>
        </row>
        <row r="2219">
          <cell r="A2219" t="str">
            <v>W5274</v>
          </cell>
          <cell r="B2219" t="str">
            <v>Mateusz</v>
          </cell>
          <cell r="C2219" t="str">
            <v>WRĘGA</v>
          </cell>
          <cell r="D2219" t="str">
            <v>PMKS Chrobry Piotrowice</v>
          </cell>
        </row>
        <row r="2220">
          <cell r="A2220" t="str">
            <v>W5546</v>
          </cell>
          <cell r="B2220" t="str">
            <v>Mateusz</v>
          </cell>
          <cell r="C2220" t="str">
            <v>WRONA</v>
          </cell>
          <cell r="D2220" t="str">
            <v>AZSAGH Kraków</v>
          </cell>
        </row>
        <row r="2221">
          <cell r="A2221" t="str">
            <v>W5903</v>
          </cell>
          <cell r="B2221" t="str">
            <v>Aleksandra</v>
          </cell>
          <cell r="C2221" t="str">
            <v>WROŃSKA</v>
          </cell>
          <cell r="D2221" t="str">
            <v>BKS Kolejarz Katowice</v>
          </cell>
        </row>
        <row r="2222">
          <cell r="A2222" t="str">
            <v>W5902</v>
          </cell>
          <cell r="B2222" t="str">
            <v>Katarzyna</v>
          </cell>
          <cell r="C2222" t="str">
            <v>WROŃSKA</v>
          </cell>
          <cell r="D2222" t="str">
            <v>BKS Kolejarz Katowice</v>
          </cell>
        </row>
        <row r="2223">
          <cell r="A2223" t="str">
            <v>W5300</v>
          </cell>
          <cell r="B2223" t="str">
            <v>Marta</v>
          </cell>
          <cell r="C2223" t="str">
            <v>WROŃSKA</v>
          </cell>
          <cell r="D2223" t="str">
            <v>UKS KSBad Kraków</v>
          </cell>
        </row>
        <row r="2224">
          <cell r="A2224" t="str">
            <v>W5846</v>
          </cell>
          <cell r="B2224" t="str">
            <v>Karol</v>
          </cell>
          <cell r="C2224" t="str">
            <v>WRÓBEL</v>
          </cell>
          <cell r="D2224" t="str">
            <v>UKS KSBad Kraków</v>
          </cell>
        </row>
        <row r="2225">
          <cell r="A2225" t="str">
            <v>W5930</v>
          </cell>
          <cell r="B2225" t="str">
            <v>Martyna</v>
          </cell>
          <cell r="C2225" t="str">
            <v>WRÓBEL</v>
          </cell>
          <cell r="D2225" t="str">
            <v>Górnik Łęczna SA</v>
          </cell>
        </row>
        <row r="2226">
          <cell r="A2226" t="str">
            <v>W4701</v>
          </cell>
          <cell r="B2226" t="str">
            <v>Radosław</v>
          </cell>
          <cell r="C2226" t="str">
            <v>WRÓBEL</v>
          </cell>
          <cell r="D2226" t="str">
            <v>KB Vol-Trick Kępno</v>
          </cell>
        </row>
        <row r="2227">
          <cell r="A2227" t="str">
            <v>W4835</v>
          </cell>
          <cell r="B2227" t="str">
            <v>Roman</v>
          </cell>
          <cell r="C2227" t="str">
            <v>WRÓBEL</v>
          </cell>
          <cell r="D2227" t="str">
            <v>----</v>
          </cell>
        </row>
        <row r="2228">
          <cell r="A2228" t="str">
            <v>W5152</v>
          </cell>
          <cell r="B2228" t="str">
            <v>Mikołaj</v>
          </cell>
          <cell r="C2228" t="str">
            <v>WRZALIK</v>
          </cell>
          <cell r="D2228" t="str">
            <v>KS Match Point Ślęza</v>
          </cell>
        </row>
        <row r="2229">
          <cell r="A2229" t="str">
            <v>W2077</v>
          </cell>
          <cell r="B2229" t="str">
            <v>Magdalena</v>
          </cell>
          <cell r="C2229" t="str">
            <v>WRZEŚNIEWSKA</v>
          </cell>
          <cell r="D2229" t="str">
            <v>PTS Puszczykowo</v>
          </cell>
        </row>
        <row r="2230">
          <cell r="A2230" t="str">
            <v>W3960</v>
          </cell>
          <cell r="B2230" t="str">
            <v>Justyna</v>
          </cell>
          <cell r="C2230" t="str">
            <v>WUDARSKA</v>
          </cell>
          <cell r="D2230" t="str">
            <v>UKS Iskra Sarbice</v>
          </cell>
        </row>
        <row r="2231">
          <cell r="A2231" t="str">
            <v>W5473</v>
          </cell>
          <cell r="B2231" t="str">
            <v>Paulina</v>
          </cell>
          <cell r="C2231" t="str">
            <v>WUDARSKA</v>
          </cell>
          <cell r="D2231" t="str">
            <v>UKS Iskra Sarbice</v>
          </cell>
        </row>
        <row r="2232">
          <cell r="A2232" t="str">
            <v>W3961</v>
          </cell>
          <cell r="B2232" t="str">
            <v>Adam</v>
          </cell>
          <cell r="C2232" t="str">
            <v>WUDARSKI</v>
          </cell>
          <cell r="D2232" t="str">
            <v>UKS Iskra Sarbice</v>
          </cell>
        </row>
        <row r="2233">
          <cell r="A2233" t="str">
            <v>W4049</v>
          </cell>
          <cell r="B2233" t="str">
            <v>Kamil</v>
          </cell>
          <cell r="C2233" t="str">
            <v>WUDARSKI</v>
          </cell>
          <cell r="D2233" t="str">
            <v>UKS Iskra Sarbice</v>
          </cell>
        </row>
        <row r="2234">
          <cell r="A2234" t="str">
            <v>W4651</v>
          </cell>
          <cell r="B2234" t="str">
            <v>Mateusz</v>
          </cell>
          <cell r="C2234" t="str">
            <v>WUDARSKI</v>
          </cell>
          <cell r="D2234" t="str">
            <v>UKS Iskra Sarbice</v>
          </cell>
        </row>
        <row r="2235">
          <cell r="A2235" t="str">
            <v>W4650</v>
          </cell>
          <cell r="B2235" t="str">
            <v>Sebastian</v>
          </cell>
          <cell r="C2235" t="str">
            <v>WUDARSKI</v>
          </cell>
          <cell r="D2235" t="str">
            <v>UKS Iskra Sarbice</v>
          </cell>
        </row>
        <row r="2236">
          <cell r="A2236" t="str">
            <v>W3962</v>
          </cell>
          <cell r="B2236" t="str">
            <v>Sławomir</v>
          </cell>
          <cell r="C2236" t="str">
            <v>WUDARSKI</v>
          </cell>
          <cell r="D2236" t="str">
            <v>UKS Iskra Sarbice</v>
          </cell>
        </row>
        <row r="2237">
          <cell r="A2237" t="str">
            <v>W4090</v>
          </cell>
          <cell r="B2237" t="str">
            <v>Magdalena</v>
          </cell>
          <cell r="C2237" t="str">
            <v>WYCHOWANIEC</v>
          </cell>
          <cell r="D2237" t="str">
            <v>MKS Orlicz Suchedniów</v>
          </cell>
        </row>
        <row r="2238">
          <cell r="A2238" t="str">
            <v>W4429</v>
          </cell>
          <cell r="B2238" t="str">
            <v>Bartłomiej</v>
          </cell>
          <cell r="C2238" t="str">
            <v>WYCISZKIEWICZ</v>
          </cell>
          <cell r="D2238" t="str">
            <v>UKSOSIR Badminton Sławno</v>
          </cell>
        </row>
        <row r="2239">
          <cell r="A2239" t="str">
            <v>W3360</v>
          </cell>
          <cell r="B2239" t="str">
            <v>Janusz</v>
          </cell>
          <cell r="C2239" t="str">
            <v>WYCZAŁKOWSKI</v>
          </cell>
          <cell r="D2239" t="str">
            <v>----</v>
          </cell>
        </row>
        <row r="2240">
          <cell r="A2240" t="str">
            <v>W5936</v>
          </cell>
          <cell r="B2240" t="str">
            <v>Kamil</v>
          </cell>
          <cell r="C2240" t="str">
            <v>WYDERKA</v>
          </cell>
          <cell r="D2240" t="str">
            <v>UKS MixTeam Tarnowiec</v>
          </cell>
        </row>
        <row r="2241">
          <cell r="A2241" t="str">
            <v>W3849</v>
          </cell>
          <cell r="B2241" t="str">
            <v>Jakub</v>
          </cell>
          <cell r="C2241" t="str">
            <v>WYDRA</v>
          </cell>
          <cell r="D2241" t="str">
            <v>MUKS 5 Chełm</v>
          </cell>
        </row>
        <row r="2242">
          <cell r="A2242" t="str">
            <v>W4745</v>
          </cell>
          <cell r="B2242" t="str">
            <v>Szymon</v>
          </cell>
          <cell r="C2242" t="str">
            <v>WYDRA</v>
          </cell>
          <cell r="D2242" t="str">
            <v>MUKS 5 Chełm</v>
          </cell>
        </row>
        <row r="2243">
          <cell r="A2243" t="str">
            <v>W5544</v>
          </cell>
          <cell r="B2243" t="str">
            <v>Tomasz</v>
          </cell>
          <cell r="C2243" t="str">
            <v>WYDRO</v>
          </cell>
          <cell r="D2243" t="str">
            <v>UKSB Volant Mielec</v>
          </cell>
        </row>
        <row r="2244">
          <cell r="A2244" t="str">
            <v>W4743</v>
          </cell>
          <cell r="B2244" t="str">
            <v>Aleksandra</v>
          </cell>
          <cell r="C2244" t="str">
            <v>WYHADAŃCZUK</v>
          </cell>
          <cell r="D2244" t="str">
            <v>MUKS 5 Chełm</v>
          </cell>
        </row>
        <row r="2245">
          <cell r="A2245" t="str">
            <v>W3789</v>
          </cell>
          <cell r="B2245" t="str">
            <v>Aleksandra</v>
          </cell>
          <cell r="C2245" t="str">
            <v>WYROBEK</v>
          </cell>
          <cell r="D2245" t="str">
            <v>UKS Plesbad Pszczyna</v>
          </cell>
        </row>
        <row r="2246">
          <cell r="A2246" t="str">
            <v>W4663</v>
          </cell>
          <cell r="B2246" t="str">
            <v>Jan</v>
          </cell>
          <cell r="C2246" t="str">
            <v>WYRZYKOWSKI</v>
          </cell>
          <cell r="D2246" t="str">
            <v>----</v>
          </cell>
        </row>
        <row r="2247">
          <cell r="A2247" t="str">
            <v>W4073</v>
          </cell>
          <cell r="B2247" t="str">
            <v>Damian</v>
          </cell>
          <cell r="C2247" t="str">
            <v>WYSOKIŃSKI</v>
          </cell>
          <cell r="D2247" t="str">
            <v>KS Wesoła Warszawa</v>
          </cell>
        </row>
        <row r="2248">
          <cell r="A2248" t="str">
            <v>W5158</v>
          </cell>
          <cell r="B2248" t="str">
            <v>Konrad</v>
          </cell>
          <cell r="C2248" t="str">
            <v>WYSOKIŃSKI</v>
          </cell>
          <cell r="D2248" t="str">
            <v>KS Wesoła Warszawa</v>
          </cell>
        </row>
        <row r="2249">
          <cell r="A2249" t="str">
            <v>W4982</v>
          </cell>
          <cell r="B2249" t="str">
            <v>Julia</v>
          </cell>
          <cell r="C2249" t="str">
            <v>WYSOWSKA</v>
          </cell>
          <cell r="D2249" t="str">
            <v>----</v>
          </cell>
        </row>
        <row r="2250">
          <cell r="A2250" t="str">
            <v>W4894</v>
          </cell>
          <cell r="B2250" t="str">
            <v>Olga</v>
          </cell>
          <cell r="C2250" t="str">
            <v>WYSZKOWSKA</v>
          </cell>
          <cell r="D2250" t="str">
            <v>KS Wesoła Warszawa</v>
          </cell>
        </row>
        <row r="2251">
          <cell r="A2251" t="str">
            <v>W4657</v>
          </cell>
          <cell r="B2251" t="str">
            <v>Aleksander</v>
          </cell>
          <cell r="C2251" t="str">
            <v>WYŻYKOWSKI</v>
          </cell>
          <cell r="D2251" t="str">
            <v>KS Hubertus Zalesie Górne</v>
          </cell>
        </row>
        <row r="2252">
          <cell r="A2252" t="str">
            <v>W5766</v>
          </cell>
          <cell r="B2252" t="str">
            <v>Paulina</v>
          </cell>
          <cell r="C2252" t="str">
            <v>WZOREK</v>
          </cell>
          <cell r="D2252" t="str">
            <v>UKS Lotka Łódź</v>
          </cell>
        </row>
        <row r="2253">
          <cell r="A2253" t="str">
            <v>Z5679</v>
          </cell>
          <cell r="B2253" t="str">
            <v>Jakub</v>
          </cell>
          <cell r="C2253" t="str">
            <v>ZABOREK</v>
          </cell>
          <cell r="D2253" t="str">
            <v>UKS Smecz Bogatynia</v>
          </cell>
        </row>
        <row r="2254">
          <cell r="A2254" t="str">
            <v>Z2359</v>
          </cell>
          <cell r="B2254" t="str">
            <v>Wojciech</v>
          </cell>
          <cell r="C2254" t="str">
            <v>ZABOROWSKI</v>
          </cell>
          <cell r="D2254" t="str">
            <v>SKB Suwałki</v>
          </cell>
        </row>
        <row r="2255">
          <cell r="A2255" t="str">
            <v>Z5133</v>
          </cell>
          <cell r="B2255" t="str">
            <v>Eryk</v>
          </cell>
          <cell r="C2255" t="str">
            <v>ZACHARCZYK</v>
          </cell>
          <cell r="D2255" t="str">
            <v>KS Stal Sulęcin</v>
          </cell>
        </row>
        <row r="2256">
          <cell r="A2256" t="str">
            <v>Z1090</v>
          </cell>
          <cell r="B2256" t="str">
            <v>Lech</v>
          </cell>
          <cell r="C2256" t="str">
            <v>ZACHARZEWSKI</v>
          </cell>
          <cell r="D2256" t="str">
            <v>----</v>
          </cell>
        </row>
        <row r="2257">
          <cell r="A2257" t="str">
            <v>Z1414</v>
          </cell>
          <cell r="B2257" t="str">
            <v>Michał</v>
          </cell>
          <cell r="C2257" t="str">
            <v>ZACHEWICZ</v>
          </cell>
          <cell r="D2257" t="str">
            <v>AZSUW Warszawa</v>
          </cell>
        </row>
        <row r="2258">
          <cell r="A2258" t="str">
            <v>Z4607</v>
          </cell>
          <cell r="B2258" t="str">
            <v>Emilia</v>
          </cell>
          <cell r="C2258" t="str">
            <v>ZACKIEWICZ</v>
          </cell>
          <cell r="D2258" t="str">
            <v>SKB Suwałki</v>
          </cell>
        </row>
        <row r="2259">
          <cell r="A2259" t="str">
            <v>Z4329</v>
          </cell>
          <cell r="B2259" t="str">
            <v>Cezary</v>
          </cell>
          <cell r="C2259" t="str">
            <v>ZADARKO</v>
          </cell>
          <cell r="D2259" t="str">
            <v>SKB Suwałki</v>
          </cell>
        </row>
        <row r="2260">
          <cell r="A2260" t="str">
            <v>Z4330</v>
          </cell>
          <cell r="B2260" t="str">
            <v>Jacek</v>
          </cell>
          <cell r="C2260" t="str">
            <v>ZADARKO</v>
          </cell>
          <cell r="D2260" t="str">
            <v>SKB Suwałki</v>
          </cell>
        </row>
        <row r="2261">
          <cell r="A2261" t="str">
            <v>Z4582</v>
          </cell>
          <cell r="B2261" t="str">
            <v>Klaudia</v>
          </cell>
          <cell r="C2261" t="str">
            <v>ZAGAJEWSKA</v>
          </cell>
          <cell r="D2261" t="str">
            <v>OTB Lotka Ostrów Wlkp.</v>
          </cell>
        </row>
        <row r="2262">
          <cell r="A2262" t="str">
            <v>Z5595</v>
          </cell>
          <cell r="B2262" t="str">
            <v>Magdalena</v>
          </cell>
          <cell r="C2262" t="str">
            <v>ZAJĄC</v>
          </cell>
          <cell r="D2262" t="str">
            <v>STB Energia Lubliniec</v>
          </cell>
        </row>
        <row r="2263">
          <cell r="A2263" t="str">
            <v>Z2872</v>
          </cell>
          <cell r="B2263" t="str">
            <v>Alesja</v>
          </cell>
          <cell r="C2263" t="str">
            <v>ZAJTSEVA</v>
          </cell>
          <cell r="D2263" t="str">
            <v>UKS Hubal Białystok</v>
          </cell>
        </row>
        <row r="2264">
          <cell r="A2264" t="str">
            <v>Z5528</v>
          </cell>
          <cell r="B2264" t="str">
            <v>Gabriela</v>
          </cell>
          <cell r="C2264" t="str">
            <v>ZAKRZEWSKA</v>
          </cell>
          <cell r="D2264" t="str">
            <v>SKB Suwałki</v>
          </cell>
        </row>
        <row r="2265">
          <cell r="A2265" t="str">
            <v>Z0271</v>
          </cell>
          <cell r="B2265" t="str">
            <v>Michał</v>
          </cell>
          <cell r="C2265" t="str">
            <v>ZAKRZEWSKI</v>
          </cell>
          <cell r="D2265" t="str">
            <v>UKSB Milenium Warszawa</v>
          </cell>
        </row>
        <row r="2266">
          <cell r="A2266" t="str">
            <v>Z3166</v>
          </cell>
          <cell r="B2266" t="str">
            <v>Bartosz</v>
          </cell>
          <cell r="C2266" t="str">
            <v>ZALEWSKI</v>
          </cell>
          <cell r="D2266" t="str">
            <v>UKS Hubal Białystok</v>
          </cell>
        </row>
        <row r="2267">
          <cell r="A2267" t="str">
            <v>Z5450</v>
          </cell>
          <cell r="B2267" t="str">
            <v>Zuzanna</v>
          </cell>
          <cell r="C2267" t="str">
            <v>ZAŁĘCZNA</v>
          </cell>
          <cell r="D2267" t="str">
            <v>KKS Ruch Piotrków Tryb.</v>
          </cell>
        </row>
        <row r="2268">
          <cell r="A2268" t="str">
            <v>Z0392</v>
          </cell>
          <cell r="B2268" t="str">
            <v>Adam</v>
          </cell>
          <cell r="C2268" t="str">
            <v>ZAŁĘSKI</v>
          </cell>
          <cell r="D2268" t="str">
            <v>UKSB Milenium Warszawa</v>
          </cell>
        </row>
        <row r="2269">
          <cell r="A2269" t="str">
            <v>Z4806</v>
          </cell>
          <cell r="B2269" t="str">
            <v>Katarzyna</v>
          </cell>
          <cell r="C2269" t="str">
            <v>ZAŁUSKA</v>
          </cell>
          <cell r="D2269" t="str">
            <v>UKS Astra Wrocław</v>
          </cell>
        </row>
        <row r="2270">
          <cell r="A2270" t="str">
            <v>Z5817</v>
          </cell>
          <cell r="B2270" t="str">
            <v>Hubert</v>
          </cell>
          <cell r="C2270" t="str">
            <v>ZANIEWSKI</v>
          </cell>
          <cell r="D2270" t="str">
            <v>UKSB Milenium Warszawa</v>
          </cell>
        </row>
        <row r="2271">
          <cell r="A2271" t="str">
            <v>Z4041</v>
          </cell>
          <cell r="B2271" t="str">
            <v>Wiktoria</v>
          </cell>
          <cell r="C2271" t="str">
            <v>ZAPORA</v>
          </cell>
          <cell r="D2271" t="str">
            <v>UKS Kiko Zamość</v>
          </cell>
        </row>
        <row r="2272">
          <cell r="A2272" t="str">
            <v>Z4881</v>
          </cell>
          <cell r="B2272" t="str">
            <v>Eliza</v>
          </cell>
          <cell r="C2272" t="str">
            <v>ZARZYCKA</v>
          </cell>
          <cell r="D2272" t="str">
            <v>UKS Smecz Bogatynia</v>
          </cell>
        </row>
        <row r="2273">
          <cell r="A2273" t="str">
            <v>Z5192</v>
          </cell>
          <cell r="B2273" t="str">
            <v>Izabela</v>
          </cell>
          <cell r="C2273" t="str">
            <v>ZARZYCKA</v>
          </cell>
          <cell r="D2273" t="str">
            <v>UKS Kiko Zamość</v>
          </cell>
        </row>
        <row r="2274">
          <cell r="A2274" t="str">
            <v>Z5577</v>
          </cell>
          <cell r="B2274" t="str">
            <v>Jan</v>
          </cell>
          <cell r="C2274" t="str">
            <v>ZASADA</v>
          </cell>
          <cell r="D2274" t="str">
            <v>PMKS Chrobry Piotrowice</v>
          </cell>
        </row>
        <row r="2275">
          <cell r="A2275" t="str">
            <v>Z5578</v>
          </cell>
          <cell r="B2275" t="str">
            <v>Julia</v>
          </cell>
          <cell r="C2275" t="str">
            <v>ZASADA</v>
          </cell>
          <cell r="D2275" t="str">
            <v>PMKS Chrobry Piotrowice</v>
          </cell>
        </row>
        <row r="2276">
          <cell r="A2276" t="str">
            <v>Z5146</v>
          </cell>
          <cell r="B2276" t="str">
            <v>Robert</v>
          </cell>
          <cell r="C2276" t="str">
            <v>ZATYLNY</v>
          </cell>
          <cell r="D2276" t="str">
            <v>UKS Kopernik Słupca</v>
          </cell>
        </row>
        <row r="2277">
          <cell r="A2277" t="str">
            <v>Z2523</v>
          </cell>
          <cell r="B2277" t="str">
            <v>Justyna</v>
          </cell>
          <cell r="C2277" t="str">
            <v>ZAUCHA</v>
          </cell>
          <cell r="D2277" t="str">
            <v>UKS Orbitek Straszęcin</v>
          </cell>
        </row>
        <row r="2278">
          <cell r="A2278" t="str">
            <v>Z3080</v>
          </cell>
          <cell r="B2278" t="str">
            <v>Konrad</v>
          </cell>
          <cell r="C2278" t="str">
            <v>ZAUCHA</v>
          </cell>
          <cell r="D2278" t="str">
            <v>UKS Orbitek Straszęcin</v>
          </cell>
        </row>
        <row r="2279">
          <cell r="A2279" t="str">
            <v>Z2524</v>
          </cell>
          <cell r="B2279" t="str">
            <v>Michał</v>
          </cell>
          <cell r="C2279" t="str">
            <v>ZAUCHA</v>
          </cell>
          <cell r="D2279" t="str">
            <v>UKS Sokół Ropczyce</v>
          </cell>
        </row>
        <row r="2280">
          <cell r="A2280" t="str">
            <v>Z5181</v>
          </cell>
          <cell r="B2280" t="str">
            <v>Anna</v>
          </cell>
          <cell r="C2280" t="str">
            <v>ZAWADA</v>
          </cell>
          <cell r="D2280" t="str">
            <v>UKS Kiko Zamość</v>
          </cell>
        </row>
        <row r="2281">
          <cell r="A2281" t="str">
            <v>Z4433</v>
          </cell>
          <cell r="B2281" t="str">
            <v>Karol</v>
          </cell>
          <cell r="C2281" t="str">
            <v>ZAWALSKI</v>
          </cell>
          <cell r="D2281" t="str">
            <v>UKS Aktywna Piątka Przemyśl</v>
          </cell>
        </row>
        <row r="2282">
          <cell r="A2282" t="str">
            <v>Z4276</v>
          </cell>
          <cell r="B2282" t="str">
            <v>Piotr</v>
          </cell>
          <cell r="C2282" t="str">
            <v>ZAWIRSKI</v>
          </cell>
          <cell r="D2282" t="str">
            <v>AZSOŚ Łódź</v>
          </cell>
        </row>
        <row r="2283">
          <cell r="A2283" t="str">
            <v>Z2266</v>
          </cell>
          <cell r="B2283" t="str">
            <v>Jacek</v>
          </cell>
          <cell r="C2283" t="str">
            <v>ZBRÓG</v>
          </cell>
          <cell r="D2283" t="str">
            <v>----</v>
          </cell>
        </row>
        <row r="2284">
          <cell r="A2284" t="str">
            <v>Z5522</v>
          </cell>
          <cell r="B2284" t="str">
            <v>Krzysztof</v>
          </cell>
          <cell r="C2284" t="str">
            <v>ZDANCEWICZ</v>
          </cell>
          <cell r="D2284" t="str">
            <v>SKB Suwałki</v>
          </cell>
        </row>
        <row r="2285">
          <cell r="A2285" t="str">
            <v>Z5538</v>
          </cell>
          <cell r="B2285" t="str">
            <v>Magdalena</v>
          </cell>
          <cell r="C2285" t="str">
            <v>ZDANCEWICZ</v>
          </cell>
          <cell r="D2285" t="str">
            <v>SKB Suwałki</v>
          </cell>
        </row>
        <row r="2286">
          <cell r="A2286" t="str">
            <v>Z5524</v>
          </cell>
          <cell r="B2286" t="str">
            <v>Zofia</v>
          </cell>
          <cell r="C2286" t="str">
            <v>ZDANCEWICZ</v>
          </cell>
          <cell r="D2286" t="str">
            <v>SKB Suwałki</v>
          </cell>
        </row>
        <row r="2287">
          <cell r="A2287" t="str">
            <v>Z5808</v>
          </cell>
          <cell r="B2287" t="str">
            <v>Jakub</v>
          </cell>
          <cell r="C2287" t="str">
            <v>ZDROJEWSKI</v>
          </cell>
          <cell r="D2287" t="str">
            <v>AZSUW Warszawa</v>
          </cell>
        </row>
        <row r="2288">
          <cell r="A2288" t="str">
            <v>Z5364</v>
          </cell>
          <cell r="B2288" t="str">
            <v>Bartłomiej</v>
          </cell>
          <cell r="C2288" t="str">
            <v>ZDZIEBKO</v>
          </cell>
          <cell r="D2288" t="str">
            <v>PMKS Chrobry Piotrowice</v>
          </cell>
        </row>
        <row r="2289">
          <cell r="A2289" t="str">
            <v>Z4400</v>
          </cell>
          <cell r="B2289" t="str">
            <v>Anna</v>
          </cell>
          <cell r="C2289" t="str">
            <v>ZDZIENNICKA</v>
          </cell>
          <cell r="D2289" t="str">
            <v>UKS Siódemka Świebodzin</v>
          </cell>
        </row>
        <row r="2290">
          <cell r="A2290" t="str">
            <v>Z3349</v>
          </cell>
          <cell r="B2290" t="str">
            <v>Karolina</v>
          </cell>
          <cell r="C2290" t="str">
            <v>ZDZIENNICKA</v>
          </cell>
          <cell r="D2290" t="str">
            <v>UKS Siódemka Świebodzin</v>
          </cell>
        </row>
        <row r="2291">
          <cell r="A2291" t="str">
            <v>Z3350</v>
          </cell>
          <cell r="B2291" t="str">
            <v>Magdalena</v>
          </cell>
          <cell r="C2291" t="str">
            <v>ZDZIENNICKA</v>
          </cell>
          <cell r="D2291" t="str">
            <v>UKS Siódemka Świebodzin</v>
          </cell>
        </row>
        <row r="2292">
          <cell r="A2292" t="str">
            <v>Z5373</v>
          </cell>
          <cell r="B2292" t="str">
            <v>Paweł</v>
          </cell>
          <cell r="C2292" t="str">
            <v>ZEMANEK</v>
          </cell>
          <cell r="D2292" t="str">
            <v>----</v>
          </cell>
        </row>
        <row r="2293">
          <cell r="A2293" t="str">
            <v>Z5418</v>
          </cell>
          <cell r="B2293" t="str">
            <v>Piotr</v>
          </cell>
          <cell r="C2293" t="str">
            <v>ZEMANEK</v>
          </cell>
          <cell r="D2293" t="str">
            <v>----</v>
          </cell>
        </row>
        <row r="2294">
          <cell r="A2294" t="str">
            <v>Z4883</v>
          </cell>
          <cell r="B2294" t="str">
            <v>Jakub</v>
          </cell>
          <cell r="C2294" t="str">
            <v>ZEMANKIEWICZ</v>
          </cell>
          <cell r="D2294" t="str">
            <v>UKS Smecz Bogatynia</v>
          </cell>
        </row>
        <row r="2295">
          <cell r="A2295" t="str">
            <v>Z5844</v>
          </cell>
          <cell r="B2295" t="str">
            <v>Agata</v>
          </cell>
          <cell r="C2295" t="str">
            <v>ZĘGOTA</v>
          </cell>
          <cell r="D2295" t="str">
            <v>SLKS Tramp Orneta</v>
          </cell>
        </row>
        <row r="2296">
          <cell r="A2296" t="str">
            <v>Z2991</v>
          </cell>
          <cell r="B2296" t="str">
            <v>Paula</v>
          </cell>
          <cell r="C2296" t="str">
            <v>ZGANIACZ</v>
          </cell>
          <cell r="D2296" t="str">
            <v>AZSWAT Warszawa</v>
          </cell>
        </row>
        <row r="2297">
          <cell r="A2297" t="str">
            <v>Z5136</v>
          </cell>
          <cell r="B2297" t="str">
            <v>Wiktor</v>
          </cell>
          <cell r="C2297" t="str">
            <v>ZGLIŃSKI</v>
          </cell>
          <cell r="D2297" t="str">
            <v>KS Masovia Płock</v>
          </cell>
        </row>
        <row r="2298">
          <cell r="A2298" t="str">
            <v>Z5289</v>
          </cell>
          <cell r="B2298" t="str">
            <v>Dariusz</v>
          </cell>
          <cell r="C2298" t="str">
            <v>ZGORZAŁEK</v>
          </cell>
          <cell r="D2298" t="str">
            <v>----</v>
          </cell>
        </row>
        <row r="2299">
          <cell r="A2299" t="str">
            <v>Z4269</v>
          </cell>
          <cell r="B2299" t="str">
            <v>Dawid</v>
          </cell>
          <cell r="C2299" t="str">
            <v>ZIARNIAK</v>
          </cell>
          <cell r="D2299" t="str">
            <v>STB Energia Lubliniec</v>
          </cell>
        </row>
        <row r="2300">
          <cell r="A2300" t="str">
            <v>Z5978</v>
          </cell>
          <cell r="B2300" t="str">
            <v>Aleksander</v>
          </cell>
          <cell r="C2300" t="str">
            <v>ZIELENIEWSKI</v>
          </cell>
          <cell r="D2300" t="str">
            <v>UKS Badminton Stare Babice</v>
          </cell>
        </row>
        <row r="2301">
          <cell r="A2301" t="str">
            <v>Z3354</v>
          </cell>
          <cell r="B2301" t="str">
            <v>Anna</v>
          </cell>
          <cell r="C2301" t="str">
            <v>ZIELIŃSKA</v>
          </cell>
          <cell r="D2301" t="str">
            <v>AZSWAT Warszawa</v>
          </cell>
        </row>
        <row r="2302">
          <cell r="A2302" t="str">
            <v>Z4525</v>
          </cell>
          <cell r="B2302" t="str">
            <v>Karolina</v>
          </cell>
          <cell r="C2302" t="str">
            <v>ZIELIŃSKA</v>
          </cell>
          <cell r="D2302" t="str">
            <v>ŚKBad Harcownik Warszawa</v>
          </cell>
        </row>
        <row r="2303">
          <cell r="A2303" t="str">
            <v>Z5318</v>
          </cell>
          <cell r="B2303" t="str">
            <v>Kornelia</v>
          </cell>
          <cell r="C2303" t="str">
            <v>ZIELIŃSKA</v>
          </cell>
          <cell r="D2303" t="str">
            <v>SKB Suwałki</v>
          </cell>
        </row>
        <row r="2304">
          <cell r="A2304" t="str">
            <v>Z4775</v>
          </cell>
          <cell r="B2304" t="str">
            <v>Urszula</v>
          </cell>
          <cell r="C2304" t="str">
            <v>ZIELIŃSKA</v>
          </cell>
          <cell r="D2304" t="str">
            <v>----</v>
          </cell>
        </row>
        <row r="2305">
          <cell r="A2305" t="str">
            <v>Z4617</v>
          </cell>
          <cell r="B2305" t="str">
            <v>Klaudia</v>
          </cell>
          <cell r="C2305" t="str">
            <v>ZIELNIK</v>
          </cell>
          <cell r="D2305" t="str">
            <v>SLKS Tramp Orneta</v>
          </cell>
        </row>
        <row r="2306">
          <cell r="A2306" t="str">
            <v>Z5502</v>
          </cell>
          <cell r="B2306" t="str">
            <v>Aleksandra</v>
          </cell>
          <cell r="C2306" t="str">
            <v>ZIEMIAŃSKA</v>
          </cell>
          <cell r="D2306" t="str">
            <v>ZKB Maced Polanów</v>
          </cell>
        </row>
        <row r="2307">
          <cell r="A2307" t="str">
            <v>Z4822</v>
          </cell>
          <cell r="B2307" t="str">
            <v>Julia</v>
          </cell>
          <cell r="C2307" t="str">
            <v>ZIEMIŃSKA</v>
          </cell>
          <cell r="D2307" t="str">
            <v>UKS Kiko Zamość</v>
          </cell>
        </row>
        <row r="2308">
          <cell r="A2308" t="str">
            <v>Z3852</v>
          </cell>
          <cell r="B2308" t="str">
            <v>Mateusz</v>
          </cell>
          <cell r="C2308" t="str">
            <v>ZIEMŁA</v>
          </cell>
          <cell r="D2308" t="str">
            <v>KS Hubertus Zalesie Górne</v>
          </cell>
        </row>
        <row r="2309">
          <cell r="A2309" t="str">
            <v>Z3408</v>
          </cell>
          <cell r="B2309" t="str">
            <v>Zenon</v>
          </cell>
          <cell r="C2309" t="str">
            <v>ZIENKOWICZ</v>
          </cell>
          <cell r="D2309" t="str">
            <v>----</v>
          </cell>
        </row>
        <row r="2310">
          <cell r="A2310" t="str">
            <v>Z0180</v>
          </cell>
          <cell r="B2310" t="str">
            <v>Dariusz</v>
          </cell>
          <cell r="C2310" t="str">
            <v>ZIĘBA</v>
          </cell>
          <cell r="D2310" t="str">
            <v>LUKS Badminton Choroszcz</v>
          </cell>
        </row>
        <row r="2311">
          <cell r="A2311" t="str">
            <v>Z4461</v>
          </cell>
          <cell r="B2311" t="str">
            <v>Katarzyna</v>
          </cell>
          <cell r="C2311" t="str">
            <v>ZIĘBA</v>
          </cell>
          <cell r="D2311" t="str">
            <v>MKS Orlicz Suchedniów</v>
          </cell>
        </row>
        <row r="2312">
          <cell r="A2312" t="str">
            <v>Z5021</v>
          </cell>
          <cell r="B2312" t="str">
            <v>Mateusz</v>
          </cell>
          <cell r="C2312" t="str">
            <v>ZIĘBA</v>
          </cell>
          <cell r="D2312" t="str">
            <v>MKS Orlicz Suchedniów</v>
          </cell>
        </row>
        <row r="2313">
          <cell r="A2313" t="str">
            <v>Z0652</v>
          </cell>
          <cell r="B2313" t="str">
            <v>Nadieżda</v>
          </cell>
          <cell r="C2313" t="str">
            <v>ZIĘBA</v>
          </cell>
          <cell r="D2313" t="str">
            <v>UKS Hubal Białystok</v>
          </cell>
        </row>
        <row r="2314">
          <cell r="A2314" t="str">
            <v>Z2604</v>
          </cell>
          <cell r="B2314" t="str">
            <v>Dominik</v>
          </cell>
          <cell r="C2314" t="str">
            <v>ZIĘTEK</v>
          </cell>
          <cell r="D2314" t="str">
            <v>MLKS Solec Kuj.</v>
          </cell>
        </row>
        <row r="2315">
          <cell r="A2315" t="str">
            <v>Z5988</v>
          </cell>
          <cell r="B2315" t="str">
            <v>Daria</v>
          </cell>
          <cell r="C2315" t="str">
            <v>ZIMNOL</v>
          </cell>
          <cell r="D2315" t="str">
            <v>UKS Plesbad Pszczyna</v>
          </cell>
        </row>
        <row r="2316">
          <cell r="A2316" t="str">
            <v>Z4412</v>
          </cell>
          <cell r="B2316" t="str">
            <v>Łukasz</v>
          </cell>
          <cell r="C2316" t="str">
            <v>ZIMOWSKI</v>
          </cell>
          <cell r="D2316" t="str">
            <v>UKS Badmin Gorlice</v>
          </cell>
        </row>
        <row r="2317">
          <cell r="A2317" t="str">
            <v>Z1475</v>
          </cell>
          <cell r="B2317" t="str">
            <v>Czesław</v>
          </cell>
          <cell r="C2317" t="str">
            <v>ZIOBRO</v>
          </cell>
          <cell r="D2317" t="str">
            <v>----</v>
          </cell>
        </row>
        <row r="2318">
          <cell r="A2318" t="str">
            <v>Z3838</v>
          </cell>
          <cell r="B2318" t="str">
            <v>Jakub</v>
          </cell>
          <cell r="C2318" t="str">
            <v>ZMUDA</v>
          </cell>
          <cell r="D2318" t="str">
            <v>UKS Orkan Przeźmierowo</v>
          </cell>
        </row>
        <row r="2319">
          <cell r="A2319" t="str">
            <v>Z3839</v>
          </cell>
          <cell r="B2319" t="str">
            <v>Maksymilian</v>
          </cell>
          <cell r="C2319" t="str">
            <v>ZMUDA</v>
          </cell>
          <cell r="D2319" t="str">
            <v>UKS Orkan Przeźmierowo</v>
          </cell>
        </row>
        <row r="2320">
          <cell r="A2320" t="str">
            <v>Z5400</v>
          </cell>
          <cell r="B2320" t="str">
            <v>Aleksandra</v>
          </cell>
          <cell r="C2320" t="str">
            <v>ZUCHNIARZ</v>
          </cell>
          <cell r="D2320" t="str">
            <v>PMKS Chrobry Piotrowice</v>
          </cell>
        </row>
        <row r="2321">
          <cell r="A2321" t="str">
            <v>Z4671</v>
          </cell>
          <cell r="B2321" t="str">
            <v>Michał</v>
          </cell>
          <cell r="C2321" t="str">
            <v>ZUCHOWSKI</v>
          </cell>
          <cell r="D2321" t="str">
            <v>OTB Lotka Ostrów Wlkp.</v>
          </cell>
        </row>
        <row r="2322">
          <cell r="A2322" t="str">
            <v>Z3158</v>
          </cell>
          <cell r="B2322" t="str">
            <v>Aleksandra</v>
          </cell>
          <cell r="C2322" t="str">
            <v>ZWIERZCHOWSKA</v>
          </cell>
          <cell r="D2322" t="str">
            <v>UKSB Milenium Warszawa</v>
          </cell>
        </row>
        <row r="2323">
          <cell r="A2323" t="str">
            <v>Z4312</v>
          </cell>
          <cell r="B2323" t="str">
            <v>Łukasz</v>
          </cell>
          <cell r="C2323" t="str">
            <v>ZWIERZCHOWSKI</v>
          </cell>
          <cell r="D2323" t="str">
            <v>UKSB Milenium Warszawa</v>
          </cell>
        </row>
        <row r="2324">
          <cell r="A2324" t="str">
            <v>Z5775</v>
          </cell>
          <cell r="B2324" t="str">
            <v>Kacper</v>
          </cell>
          <cell r="C2324" t="str">
            <v>ZWOLAN</v>
          </cell>
          <cell r="D2324" t="str">
            <v>UKS Kiko Zamość</v>
          </cell>
        </row>
        <row r="2325">
          <cell r="A2325" t="str">
            <v>Z3682</v>
          </cell>
          <cell r="B2325" t="str">
            <v>Katarzyna</v>
          </cell>
          <cell r="C2325" t="str">
            <v>ZYSK</v>
          </cell>
          <cell r="D2325" t="str">
            <v>UKS Kopernik Słupca</v>
          </cell>
        </row>
        <row r="2326">
          <cell r="A2326" t="str">
            <v>Z5935</v>
          </cell>
          <cell r="B2326" t="str">
            <v>Małgorzata</v>
          </cell>
          <cell r="C2326" t="str">
            <v>ZYWERT</v>
          </cell>
          <cell r="D2326" t="str">
            <v>UKS Plesbad Pszczyna</v>
          </cell>
        </row>
        <row r="2327">
          <cell r="A2327" t="str">
            <v>Ż4627</v>
          </cell>
          <cell r="B2327" t="str">
            <v>Wiktor</v>
          </cell>
          <cell r="C2327" t="str">
            <v>ŻABIŃSKI</v>
          </cell>
          <cell r="D2327" t="str">
            <v>UKS 70 Płock</v>
          </cell>
        </row>
        <row r="2328">
          <cell r="A2328" t="str">
            <v>Ż5859</v>
          </cell>
          <cell r="B2328" t="str">
            <v>Piotr</v>
          </cell>
          <cell r="C2328" t="str">
            <v>ŻAK</v>
          </cell>
          <cell r="D2328" t="str">
            <v>----</v>
          </cell>
        </row>
        <row r="2329">
          <cell r="A2329" t="str">
            <v>Ż3184</v>
          </cell>
          <cell r="B2329" t="str">
            <v>Klaudia</v>
          </cell>
          <cell r="C2329" t="str">
            <v>ŻALEJKO</v>
          </cell>
          <cell r="D2329" t="str">
            <v>UKS Kometa Sianów</v>
          </cell>
        </row>
        <row r="2330">
          <cell r="A2330" t="str">
            <v>Ż5885</v>
          </cell>
          <cell r="B2330" t="str">
            <v>Alicja</v>
          </cell>
          <cell r="C2330" t="str">
            <v>ŻARCZYŃSKA</v>
          </cell>
          <cell r="D2330" t="str">
            <v>UKS Smecz Milicz</v>
          </cell>
        </row>
        <row r="2331">
          <cell r="A2331" t="str">
            <v>Ż5308</v>
          </cell>
          <cell r="B2331" t="str">
            <v>Dagobert</v>
          </cell>
          <cell r="C2331" t="str">
            <v>ŻARCZYŃSKI</v>
          </cell>
          <cell r="D2331" t="str">
            <v>UKS Smecz Milicz</v>
          </cell>
        </row>
        <row r="2332">
          <cell r="A2332" t="str">
            <v>Ż5216</v>
          </cell>
          <cell r="B2332" t="str">
            <v>Patryk</v>
          </cell>
          <cell r="C2332" t="str">
            <v>ŻEGARSKI</v>
          </cell>
          <cell r="D2332" t="str">
            <v>SKB Suwałki</v>
          </cell>
        </row>
        <row r="2333">
          <cell r="A2333" t="str">
            <v>Ż3369</v>
          </cell>
          <cell r="B2333" t="str">
            <v>Mariusz</v>
          </cell>
          <cell r="C2333" t="str">
            <v>ŻEREK</v>
          </cell>
          <cell r="D2333" t="str">
            <v>KKS Ruch Piotrków Tryb.</v>
          </cell>
        </row>
        <row r="2334">
          <cell r="A2334" t="str">
            <v>Ż4490</v>
          </cell>
          <cell r="B2334" t="str">
            <v>Martyna</v>
          </cell>
          <cell r="C2334" t="str">
            <v>ŻMIJEWSKA</v>
          </cell>
          <cell r="D2334" t="str">
            <v>UKS Dwójka Wesoła</v>
          </cell>
        </row>
        <row r="2335">
          <cell r="A2335" t="str">
            <v>Ż4858</v>
          </cell>
          <cell r="B2335" t="str">
            <v>Dawid</v>
          </cell>
          <cell r="C2335" t="str">
            <v>ŻMÓJDZIN</v>
          </cell>
          <cell r="D2335" t="str">
            <v>UKS Hubal Białystok</v>
          </cell>
        </row>
        <row r="2336">
          <cell r="A2336" t="str">
            <v>Ż1449</v>
          </cell>
          <cell r="B2336" t="str">
            <v>Maciej</v>
          </cell>
          <cell r="C2336" t="str">
            <v>ŻMUDZIŃSKI</v>
          </cell>
          <cell r="D2336" t="str">
            <v>----</v>
          </cell>
        </row>
        <row r="2337">
          <cell r="A2337" t="str">
            <v>Ż0811</v>
          </cell>
          <cell r="B2337" t="str">
            <v>Piotr</v>
          </cell>
          <cell r="C2337" t="str">
            <v>ŻOŁĄDEK</v>
          </cell>
          <cell r="D2337" t="str">
            <v>SKB Piast Słupsk</v>
          </cell>
        </row>
        <row r="2338">
          <cell r="A2338" t="str">
            <v>Ż2552</v>
          </cell>
          <cell r="B2338" t="str">
            <v>Jan</v>
          </cell>
          <cell r="C2338" t="str">
            <v>ŻÓRAWIŃSKI</v>
          </cell>
          <cell r="D2338" t="str">
            <v>----</v>
          </cell>
        </row>
        <row r="2339">
          <cell r="A2339" t="str">
            <v>Ż4352</v>
          </cell>
          <cell r="B2339" t="str">
            <v>Filip</v>
          </cell>
          <cell r="C2339" t="str">
            <v>ŻUBER</v>
          </cell>
          <cell r="D2339" t="str">
            <v>----</v>
          </cell>
        </row>
        <row r="2340">
          <cell r="A2340" t="str">
            <v>Ż5193</v>
          </cell>
          <cell r="B2340" t="str">
            <v>Natalia</v>
          </cell>
          <cell r="C2340" t="str">
            <v>ŻUJEWSKA</v>
          </cell>
          <cell r="D2340" t="str">
            <v>UKS Kiko Zamość</v>
          </cell>
        </row>
        <row r="2341">
          <cell r="A2341" t="str">
            <v>Ż5247</v>
          </cell>
          <cell r="B2341" t="str">
            <v>Magdalena</v>
          </cell>
          <cell r="C2341" t="str">
            <v>ŻUK</v>
          </cell>
          <cell r="D2341" t="str">
            <v>UKS Kiko Zamość</v>
          </cell>
        </row>
        <row r="2342">
          <cell r="A2342" t="str">
            <v>Ż5592</v>
          </cell>
          <cell r="B2342" t="str">
            <v>Nina</v>
          </cell>
          <cell r="C2342" t="str">
            <v>ŻWAN</v>
          </cell>
          <cell r="D2342" t="str">
            <v>UTS Akro-Bad Warszawa</v>
          </cell>
        </row>
        <row r="2343">
          <cell r="A2343" t="str">
            <v>Ż5010</v>
          </cell>
          <cell r="B2343" t="str">
            <v>Karolina</v>
          </cell>
          <cell r="C2343" t="str">
            <v>ŻYGADŁO</v>
          </cell>
          <cell r="D2343" t="str">
            <v>MMKS Kędzierzyn-Koźle</v>
          </cell>
        </row>
        <row r="2344">
          <cell r="A2344" t="str">
            <v>X01</v>
          </cell>
          <cell r="B2344" t="str">
            <v>Sofija</v>
          </cell>
          <cell r="C2344" t="str">
            <v>ORLOVAITE</v>
          </cell>
          <cell r="D2344" t="str">
            <v>Litwa</v>
          </cell>
          <cell r="E2344">
            <v>36161</v>
          </cell>
        </row>
        <row r="2345">
          <cell r="A2345" t="str">
            <v>X02</v>
          </cell>
          <cell r="B2345" t="str">
            <v>Matas</v>
          </cell>
          <cell r="C2345" t="str">
            <v>GELZINIS</v>
          </cell>
          <cell r="D2345" t="str">
            <v>Litwa</v>
          </cell>
          <cell r="E2345">
            <v>36526</v>
          </cell>
        </row>
        <row r="2346">
          <cell r="A2346" t="str">
            <v>X03</v>
          </cell>
          <cell r="B2346" t="str">
            <v>Ugne</v>
          </cell>
          <cell r="C2346" t="str">
            <v>MASILIONYTE</v>
          </cell>
          <cell r="D2346" t="str">
            <v>Litwa</v>
          </cell>
          <cell r="E2346">
            <v>36161</v>
          </cell>
        </row>
        <row r="2347">
          <cell r="A2347" t="str">
            <v>X04</v>
          </cell>
          <cell r="B2347" t="str">
            <v xml:space="preserve">Mantes </v>
          </cell>
          <cell r="C2347" t="str">
            <v>MAULE</v>
          </cell>
          <cell r="D2347" t="str">
            <v>Litwa</v>
          </cell>
          <cell r="E2347">
            <v>36161</v>
          </cell>
        </row>
        <row r="2348">
          <cell r="A2348" t="str">
            <v>X05</v>
          </cell>
          <cell r="B2348" t="str">
            <v xml:space="preserve">Alesia </v>
          </cell>
          <cell r="C2348" t="str">
            <v>KRAMCHANINA</v>
          </cell>
          <cell r="D2348" t="str">
            <v>Białoruś</v>
          </cell>
          <cell r="E2348">
            <v>36892</v>
          </cell>
        </row>
        <row r="2349">
          <cell r="A2349" t="str">
            <v>X06</v>
          </cell>
          <cell r="B2349" t="str">
            <v>Uliana</v>
          </cell>
          <cell r="C2349" t="str">
            <v>ZACHROVA</v>
          </cell>
          <cell r="D2349" t="str">
            <v>Brześć Białoruś</v>
          </cell>
          <cell r="E2349">
            <v>36161</v>
          </cell>
        </row>
        <row r="2350">
          <cell r="A2350" t="str">
            <v>X07</v>
          </cell>
          <cell r="B2350" t="str">
            <v>Tatiana</v>
          </cell>
          <cell r="C2350" t="str">
            <v>BONDARIENKA</v>
          </cell>
          <cell r="D2350" t="str">
            <v>Brześć Białoruś</v>
          </cell>
          <cell r="E2350">
            <v>36161</v>
          </cell>
        </row>
        <row r="2351">
          <cell r="A2351" t="str">
            <v>X08</v>
          </cell>
          <cell r="B2351" t="str">
            <v>Ilia</v>
          </cell>
          <cell r="C2351" t="str">
            <v>LARUSIN</v>
          </cell>
          <cell r="D2351" t="str">
            <v>Brześć Białoruś</v>
          </cell>
          <cell r="E2351">
            <v>37124</v>
          </cell>
        </row>
        <row r="2352">
          <cell r="A2352" t="str">
            <v>X09</v>
          </cell>
          <cell r="B2352" t="str">
            <v>Mariana</v>
          </cell>
          <cell r="C2352" t="str">
            <v>VERBITSKA</v>
          </cell>
          <cell r="D2352" t="str">
            <v>Brześć Białoruś</v>
          </cell>
          <cell r="E2352">
            <v>35556</v>
          </cell>
        </row>
        <row r="2353">
          <cell r="A2353" t="str">
            <v>X10</v>
          </cell>
          <cell r="B2353" t="str">
            <v>Dmitry</v>
          </cell>
          <cell r="C2353" t="str">
            <v>KUSIMITSKI</v>
          </cell>
          <cell r="D2353" t="str">
            <v>Brześć Białoruś</v>
          </cell>
          <cell r="E2353">
            <v>35556</v>
          </cell>
        </row>
        <row r="2354">
          <cell r="A2354" t="str">
            <v>X11</v>
          </cell>
          <cell r="B2354" t="str">
            <v>Pavel</v>
          </cell>
          <cell r="C2354" t="str">
            <v>SUGAEV</v>
          </cell>
          <cell r="D2354" t="str">
            <v>Brześć Białoruś</v>
          </cell>
          <cell r="E2354">
            <v>35556</v>
          </cell>
        </row>
        <row r="2355">
          <cell r="A2355" t="str">
            <v>N5960</v>
          </cell>
          <cell r="B2355" t="str">
            <v>Andrzej</v>
          </cell>
          <cell r="C2355" t="str">
            <v>NICZYPORUK</v>
          </cell>
          <cell r="D2355" t="str">
            <v>AZSUW Warszawa</v>
          </cell>
          <cell r="E2355">
            <v>37622</v>
          </cell>
        </row>
        <row r="2356">
          <cell r="A2356" t="str">
            <v>G5951</v>
          </cell>
          <cell r="B2356" t="str">
            <v>Laura</v>
          </cell>
          <cell r="C2356" t="str">
            <v>GRONKIEWICZ</v>
          </cell>
          <cell r="D2356" t="str">
            <v>KS Masovia Płock</v>
          </cell>
          <cell r="E2356">
            <v>37124</v>
          </cell>
        </row>
        <row r="2357">
          <cell r="A2357" t="str">
            <v>K5950</v>
          </cell>
          <cell r="B2357" t="str">
            <v xml:space="preserve">Olga </v>
          </cell>
          <cell r="C2357" t="str">
            <v>KRZEMIŃSKA</v>
          </cell>
          <cell r="D2357" t="str">
            <v>KS Masovia Płock</v>
          </cell>
          <cell r="E2357">
            <v>37124</v>
          </cell>
        </row>
        <row r="2358">
          <cell r="A2358" t="str">
            <v>X12</v>
          </cell>
          <cell r="B2358" t="str">
            <v>Katsiaryna</v>
          </cell>
          <cell r="C2358" t="str">
            <v>ZABLOTSKAYA</v>
          </cell>
          <cell r="D2358" t="str">
            <v>Mińsk Białoruś</v>
          </cell>
          <cell r="E2358">
            <v>36161</v>
          </cell>
        </row>
        <row r="2359">
          <cell r="A2359" t="str">
            <v>X13</v>
          </cell>
          <cell r="B2359" t="str">
            <v>Ylija</v>
          </cell>
          <cell r="C2359" t="str">
            <v>BITSOUKOVA</v>
          </cell>
          <cell r="D2359" t="str">
            <v>Mińsk Białoruś</v>
          </cell>
          <cell r="E2359">
            <v>36161</v>
          </cell>
        </row>
        <row r="2360">
          <cell r="A2360" t="str">
            <v>X14</v>
          </cell>
          <cell r="B2360" t="str">
            <v xml:space="preserve">Yana </v>
          </cell>
          <cell r="C2360" t="str">
            <v>ZDROK</v>
          </cell>
          <cell r="D2360" t="str">
            <v>Mińsk Białoruś</v>
          </cell>
          <cell r="E2360">
            <v>36161</v>
          </cell>
        </row>
        <row r="2361">
          <cell r="A2361" t="str">
            <v>X15</v>
          </cell>
          <cell r="B2361" t="str">
            <v>Ilya</v>
          </cell>
          <cell r="C2361" t="str">
            <v>SHCHARBENKA</v>
          </cell>
          <cell r="D2361" t="str">
            <v>Mińsk Białoruś</v>
          </cell>
          <cell r="E2361">
            <v>36161</v>
          </cell>
        </row>
        <row r="2362">
          <cell r="A2362" t="str">
            <v>X16</v>
          </cell>
          <cell r="B2362" t="str">
            <v>Yelizaveta</v>
          </cell>
          <cell r="C2362" t="str">
            <v>KAMINSKAYA</v>
          </cell>
          <cell r="D2362" t="str">
            <v>Mińsk Białoruś</v>
          </cell>
          <cell r="E2362">
            <v>37124</v>
          </cell>
        </row>
        <row r="2363">
          <cell r="A2363" t="str">
            <v>X17</v>
          </cell>
          <cell r="B2363" t="str">
            <v>Anna</v>
          </cell>
          <cell r="C2363" t="str">
            <v>BANDARENKA</v>
          </cell>
          <cell r="D2363" t="str">
            <v>Mińsk Białoruś</v>
          </cell>
          <cell r="E2363">
            <v>37124</v>
          </cell>
        </row>
        <row r="2364">
          <cell r="A2364" t="str">
            <v>X18</v>
          </cell>
          <cell r="B2364" t="str">
            <v>Veranika</v>
          </cell>
          <cell r="C2364" t="str">
            <v>TARUSAVA</v>
          </cell>
          <cell r="D2364" t="str">
            <v>Mińsk Białoruś</v>
          </cell>
          <cell r="E2364">
            <v>37854</v>
          </cell>
        </row>
        <row r="2365">
          <cell r="A2365" t="str">
            <v>X19</v>
          </cell>
          <cell r="B2365" t="str">
            <v>Oleksandra</v>
          </cell>
          <cell r="C2365" t="str">
            <v>LUGOVYKH</v>
          </cell>
          <cell r="D2365" t="str">
            <v>Vinnica Ukraina</v>
          </cell>
          <cell r="E2365">
            <v>35556</v>
          </cell>
        </row>
        <row r="2366">
          <cell r="A2366" t="str">
            <v>X20</v>
          </cell>
          <cell r="B2366" t="str">
            <v>Inna</v>
          </cell>
          <cell r="C2366" t="str">
            <v>SEBOVA</v>
          </cell>
          <cell r="D2366" t="str">
            <v>Vinnica Ukraina</v>
          </cell>
          <cell r="E2366">
            <v>35556</v>
          </cell>
        </row>
        <row r="2367">
          <cell r="A2367" t="str">
            <v>X21</v>
          </cell>
          <cell r="B2367" t="str">
            <v>Tetiana</v>
          </cell>
          <cell r="C2367" t="str">
            <v>ABRAMOVA</v>
          </cell>
          <cell r="D2367" t="str">
            <v>Vinnica Ukraina</v>
          </cell>
          <cell r="E2367">
            <v>36161</v>
          </cell>
        </row>
        <row r="2368">
          <cell r="A2368" t="str">
            <v>X22</v>
          </cell>
          <cell r="B2368" t="str">
            <v>Elyzaveta</v>
          </cell>
          <cell r="C2368" t="str">
            <v>NIKOLAEVA</v>
          </cell>
          <cell r="D2368" t="str">
            <v>Vinnica Ukraina</v>
          </cell>
          <cell r="E2368">
            <v>36161</v>
          </cell>
        </row>
        <row r="2369">
          <cell r="A2369" t="str">
            <v>X23</v>
          </cell>
          <cell r="B2369" t="str">
            <v>Bogdan</v>
          </cell>
          <cell r="C2369" t="str">
            <v>BRYCHUK</v>
          </cell>
          <cell r="D2369" t="str">
            <v>Vinnica Ukraina</v>
          </cell>
          <cell r="E2369">
            <v>36161</v>
          </cell>
        </row>
        <row r="2370">
          <cell r="A2370" t="str">
            <v>X24</v>
          </cell>
          <cell r="B2370" t="str">
            <v xml:space="preserve">Anna </v>
          </cell>
          <cell r="C2370" t="str">
            <v>POLISCHUK</v>
          </cell>
          <cell r="D2370" t="str">
            <v>Lwów Ukraina</v>
          </cell>
          <cell r="E2370">
            <v>36161</v>
          </cell>
        </row>
        <row r="2371">
          <cell r="A2371" t="str">
            <v>X25</v>
          </cell>
          <cell r="B2371" t="str">
            <v xml:space="preserve">Yana </v>
          </cell>
          <cell r="C2371" t="str">
            <v>HALYTSKA</v>
          </cell>
          <cell r="D2371" t="str">
            <v>Vinnica Ukraina</v>
          </cell>
          <cell r="E2371">
            <v>37124</v>
          </cell>
        </row>
        <row r="2372">
          <cell r="A2372" t="str">
            <v>X26</v>
          </cell>
          <cell r="B2372" t="str">
            <v>Igor</v>
          </cell>
          <cell r="C2372" t="str">
            <v>SENICHKYN</v>
          </cell>
          <cell r="D2372" t="str">
            <v>Vinnica Ukraina</v>
          </cell>
          <cell r="E2372">
            <v>37124</v>
          </cell>
        </row>
        <row r="2373">
          <cell r="A2373" t="str">
            <v>X27</v>
          </cell>
          <cell r="B2373" t="str">
            <v>Viktoria</v>
          </cell>
          <cell r="C2373" t="str">
            <v>PONOMARENKO</v>
          </cell>
          <cell r="D2373" t="str">
            <v>Vinnica Ukraina</v>
          </cell>
          <cell r="E2373">
            <v>37622</v>
          </cell>
        </row>
        <row r="2374">
          <cell r="A2374" t="str">
            <v>X28</v>
          </cell>
          <cell r="B2374" t="str">
            <v>Yulia</v>
          </cell>
          <cell r="C2374" t="str">
            <v>BAYAROUSKAYA</v>
          </cell>
          <cell r="D2374" t="str">
            <v>Białoruś</v>
          </cell>
          <cell r="E2374">
            <v>35891</v>
          </cell>
        </row>
        <row r="2375">
          <cell r="A2375" t="str">
            <v>X29</v>
          </cell>
          <cell r="B2375" t="str">
            <v>Anastasiya</v>
          </cell>
          <cell r="C2375" t="str">
            <v>KHOMICH</v>
          </cell>
          <cell r="D2375" t="str">
            <v>Białoruś</v>
          </cell>
          <cell r="E2375">
            <v>37444</v>
          </cell>
        </row>
        <row r="2376">
          <cell r="A2376" t="str">
            <v>X30</v>
          </cell>
          <cell r="B2376" t="str">
            <v>Lizaveta</v>
          </cell>
          <cell r="C2376" t="str">
            <v>BAYAROUSKAYA</v>
          </cell>
          <cell r="D2376" t="str">
            <v>Białoruś</v>
          </cell>
          <cell r="E2376">
            <v>37444</v>
          </cell>
        </row>
        <row r="2377">
          <cell r="A2377" t="str">
            <v>X31</v>
          </cell>
          <cell r="B2377" t="str">
            <v>Kseniya</v>
          </cell>
          <cell r="C2377" t="str">
            <v>MATYSIK</v>
          </cell>
          <cell r="D2377" t="str">
            <v>Białoruś</v>
          </cell>
          <cell r="E2377">
            <v>37444</v>
          </cell>
        </row>
        <row r="2378">
          <cell r="A2378" t="str">
            <v>X32</v>
          </cell>
          <cell r="B2378" t="str">
            <v>Anastsiya</v>
          </cell>
          <cell r="C2378" t="str">
            <v>TAMASHEUSKAYA</v>
          </cell>
          <cell r="D2378" t="str">
            <v>Białoruś</v>
          </cell>
          <cell r="E2378">
            <v>37444</v>
          </cell>
        </row>
        <row r="2379">
          <cell r="A2379" t="str">
            <v>X33</v>
          </cell>
          <cell r="B2379" t="str">
            <v>Kseniya</v>
          </cell>
          <cell r="C2379" t="str">
            <v>YAROSHUK</v>
          </cell>
          <cell r="D2379" t="str">
            <v>Białoruś</v>
          </cell>
          <cell r="E2379">
            <v>37444</v>
          </cell>
        </row>
        <row r="2380">
          <cell r="A2380" t="str">
            <v>X34</v>
          </cell>
          <cell r="B2380" t="str">
            <v>Marina</v>
          </cell>
          <cell r="C2380" t="str">
            <v>YANBAYEVA</v>
          </cell>
          <cell r="D2380" t="str">
            <v>Białoruś</v>
          </cell>
          <cell r="E2380">
            <v>37987</v>
          </cell>
        </row>
        <row r="2381">
          <cell r="A2381" t="str">
            <v>X35</v>
          </cell>
          <cell r="B2381" t="str">
            <v>Hanna</v>
          </cell>
          <cell r="C2381" t="str">
            <v>ABRAMAVA</v>
          </cell>
          <cell r="D2381" t="str">
            <v>Białoruś</v>
          </cell>
          <cell r="E2381">
            <v>37622</v>
          </cell>
        </row>
        <row r="2382">
          <cell r="A2382" t="str">
            <v>X36</v>
          </cell>
          <cell r="B2382" t="str">
            <v>Aliaksndra</v>
          </cell>
          <cell r="C2382" t="str">
            <v>PILIPTSEVICH</v>
          </cell>
          <cell r="D2382" t="str">
            <v>Białoruś</v>
          </cell>
          <cell r="E2382">
            <v>37987</v>
          </cell>
        </row>
        <row r="2383">
          <cell r="A2383" t="str">
            <v>X37</v>
          </cell>
          <cell r="B2383" t="str">
            <v>Anastasiya</v>
          </cell>
          <cell r="C2383" t="str">
            <v>POPAR</v>
          </cell>
          <cell r="D2383" t="str">
            <v>Białoruś</v>
          </cell>
          <cell r="E2383">
            <v>37622</v>
          </cell>
        </row>
        <row r="2384">
          <cell r="A2384" t="str">
            <v>W5952</v>
          </cell>
          <cell r="B2384" t="str">
            <v>Małgorzata</v>
          </cell>
          <cell r="C2384" t="str">
            <v>WILCZAK</v>
          </cell>
          <cell r="D2384" t="str">
            <v>----</v>
          </cell>
          <cell r="E2384">
            <v>37124</v>
          </cell>
        </row>
        <row r="2385">
          <cell r="A2385" t="str">
            <v>X38</v>
          </cell>
          <cell r="B2385" t="str">
            <v>Tatiana</v>
          </cell>
          <cell r="C2385" t="str">
            <v>LEMA</v>
          </cell>
          <cell r="D2385" t="str">
            <v>Lwów Ukraina</v>
          </cell>
          <cell r="E2385">
            <v>35195</v>
          </cell>
        </row>
        <row r="2386">
          <cell r="A2386" t="str">
            <v>X39</v>
          </cell>
          <cell r="B2386" t="str">
            <v>Adam</v>
          </cell>
          <cell r="C2386" t="str">
            <v xml:space="preserve">Šářec </v>
          </cell>
          <cell r="D2386" t="str">
            <v>Slavoj Cesky Tesin</v>
          </cell>
          <cell r="E2386">
            <v>35556</v>
          </cell>
        </row>
        <row r="2387">
          <cell r="A2387" t="str">
            <v>X40</v>
          </cell>
          <cell r="B2387" t="str">
            <v>Wojciech</v>
          </cell>
          <cell r="C2387" t="str">
            <v xml:space="preserve">Mendrek </v>
          </cell>
          <cell r="D2387" t="str">
            <v>Slavoj Cesky Tesin</v>
          </cell>
          <cell r="E2387">
            <v>35556</v>
          </cell>
        </row>
        <row r="2388">
          <cell r="A2388" t="str">
            <v>X41</v>
          </cell>
          <cell r="B2388" t="str">
            <v>Marek</v>
          </cell>
          <cell r="C2388" t="str">
            <v xml:space="preserve">Kufa </v>
          </cell>
          <cell r="D2388" t="str">
            <v>Slavoj Cesky Tesin</v>
          </cell>
          <cell r="E2388">
            <v>36161</v>
          </cell>
        </row>
        <row r="2389">
          <cell r="A2389" t="str">
            <v>X42</v>
          </cell>
          <cell r="B2389" t="str">
            <v>Karolina</v>
          </cell>
          <cell r="C2389" t="str">
            <v xml:space="preserve">Grygierová </v>
          </cell>
          <cell r="D2389" t="str">
            <v>Slavoj Cesky Tesin</v>
          </cell>
          <cell r="E2389">
            <v>35556</v>
          </cell>
        </row>
        <row r="2390">
          <cell r="A2390" t="str">
            <v>X43</v>
          </cell>
          <cell r="B2390" t="str">
            <v>Marta</v>
          </cell>
          <cell r="C2390" t="str">
            <v>PROSTAK</v>
          </cell>
          <cell r="D2390" t="str">
            <v>Lwów Ukraina</v>
          </cell>
          <cell r="E2390">
            <v>37096</v>
          </cell>
        </row>
        <row r="2391">
          <cell r="A2391" t="str">
            <v>X44</v>
          </cell>
          <cell r="B2391" t="str">
            <v>Myroslav</v>
          </cell>
          <cell r="C2391" t="str">
            <v>KLYUCHOVSKYY</v>
          </cell>
          <cell r="D2391" t="str">
            <v>Lwów Ukraina</v>
          </cell>
          <cell r="E2391">
            <v>37984</v>
          </cell>
        </row>
        <row r="2392">
          <cell r="A2392" t="str">
            <v>X45</v>
          </cell>
          <cell r="B2392" t="str">
            <v>Marietta</v>
          </cell>
          <cell r="C2392" t="str">
            <v>KAZIMIERCZAK</v>
          </cell>
          <cell r="D2392" t="str">
            <v>UKS Korona Pabianice</v>
          </cell>
          <cell r="E2392">
            <v>37987</v>
          </cell>
        </row>
        <row r="2393">
          <cell r="A2393" t="str">
            <v>X46</v>
          </cell>
          <cell r="B2393" t="str">
            <v xml:space="preserve">Julia </v>
          </cell>
          <cell r="C2393" t="str">
            <v>GRENDA</v>
          </cell>
          <cell r="D2393" t="str">
            <v>UKS Korona Pabianice</v>
          </cell>
          <cell r="E2393">
            <v>37987</v>
          </cell>
        </row>
        <row r="2394">
          <cell r="A2394" t="str">
            <v>X47</v>
          </cell>
          <cell r="B2394" t="str">
            <v>Jan</v>
          </cell>
          <cell r="C2394" t="str">
            <v>Hrabiec</v>
          </cell>
          <cell r="D2394" t="str">
            <v>Slavoj Cesky Tesin</v>
          </cell>
          <cell r="E2394">
            <v>37124</v>
          </cell>
        </row>
        <row r="2395">
          <cell r="A2395" t="str">
            <v>X48</v>
          </cell>
          <cell r="B2395" t="str">
            <v>Tom</v>
          </cell>
          <cell r="C2395" t="str">
            <v xml:space="preserve">Kůr </v>
          </cell>
          <cell r="D2395" t="str">
            <v>Slavoj Cesky Tesin</v>
          </cell>
          <cell r="E2395">
            <v>37124</v>
          </cell>
        </row>
        <row r="2396">
          <cell r="A2396" t="str">
            <v>X49</v>
          </cell>
          <cell r="B2396" t="str">
            <v>Tomas</v>
          </cell>
          <cell r="C2396" t="str">
            <v xml:space="preserve">Miksa </v>
          </cell>
          <cell r="D2396" t="str">
            <v>Slavoj Cesky Tesin</v>
          </cell>
          <cell r="E2396">
            <v>37124</v>
          </cell>
        </row>
        <row r="2397">
          <cell r="A2397" t="str">
            <v>X50</v>
          </cell>
          <cell r="B2397" t="str">
            <v>Sara</v>
          </cell>
          <cell r="C2397" t="str">
            <v xml:space="preserve">Skoupilová </v>
          </cell>
          <cell r="D2397" t="str">
            <v>Slavoj Cesky Tesin</v>
          </cell>
          <cell r="E2397">
            <v>37124</v>
          </cell>
        </row>
        <row r="2398">
          <cell r="A2398" t="str">
            <v>X52</v>
          </cell>
          <cell r="B2398" t="str">
            <v xml:space="preserve">Nikola </v>
          </cell>
          <cell r="C2398" t="str">
            <v>NOWIŃSKA</v>
          </cell>
          <cell r="D2398" t="str">
            <v>UKS Korona Pabianice</v>
          </cell>
          <cell r="E2398">
            <v>37987</v>
          </cell>
        </row>
        <row r="2399">
          <cell r="A2399" t="str">
            <v>X53</v>
          </cell>
          <cell r="B2399" t="str">
            <v>Kacper</v>
          </cell>
          <cell r="C2399" t="str">
            <v>KRAWCZYK</v>
          </cell>
          <cell r="D2399" t="str">
            <v>UKS Korona Pabianice</v>
          </cell>
          <cell r="E2399">
            <v>37987</v>
          </cell>
        </row>
        <row r="2400">
          <cell r="A2400" t="str">
            <v>X54</v>
          </cell>
          <cell r="B2400" t="str">
            <v>Adrian</v>
          </cell>
          <cell r="C2400" t="str">
            <v>KRAWCZYK</v>
          </cell>
          <cell r="D2400" t="str">
            <v>UKS Korona Pabianice</v>
          </cell>
          <cell r="E2400">
            <v>37987</v>
          </cell>
        </row>
        <row r="2401">
          <cell r="A2401" t="str">
            <v>R5590</v>
          </cell>
          <cell r="B2401" t="str">
            <v xml:space="preserve">Julia </v>
          </cell>
          <cell r="C2401" t="str">
            <v>RUSZKOWSKA</v>
          </cell>
          <cell r="D2401" t="str">
            <v>SRKS Wolant Łódź</v>
          </cell>
          <cell r="E2401">
            <v>36161</v>
          </cell>
        </row>
        <row r="2402">
          <cell r="A2402" t="str">
            <v>K5975</v>
          </cell>
          <cell r="B2402" t="str">
            <v>Izabela</v>
          </cell>
          <cell r="C2402" t="str">
            <v>KAMOLA</v>
          </cell>
          <cell r="D2402" t="str">
            <v>UKS Badninton Babice Stare</v>
          </cell>
          <cell r="E2402">
            <v>37987</v>
          </cell>
        </row>
        <row r="2403">
          <cell r="A2403" t="str">
            <v>S5976</v>
          </cell>
          <cell r="B2403" t="str">
            <v xml:space="preserve">Andrzej </v>
          </cell>
          <cell r="C2403" t="str">
            <v>SZCZEPANEK</v>
          </cell>
          <cell r="D2403" t="str">
            <v>UKS Badninton Babice Stare</v>
          </cell>
          <cell r="E2403">
            <v>37987</v>
          </cell>
        </row>
        <row r="2404">
          <cell r="A2404" t="str">
            <v>X57</v>
          </cell>
          <cell r="B2404" t="str">
            <v>Yuliya</v>
          </cell>
          <cell r="C2404" t="str">
            <v>PRACH</v>
          </cell>
          <cell r="D2404" t="str">
            <v>Vinnica Ukraina</v>
          </cell>
          <cell r="E2404">
            <v>34700</v>
          </cell>
        </row>
        <row r="2405">
          <cell r="A2405" t="str">
            <v>X56</v>
          </cell>
          <cell r="B2405" t="str">
            <v>Artem</v>
          </cell>
          <cell r="C2405" t="str">
            <v>TKACHUK</v>
          </cell>
          <cell r="D2405" t="str">
            <v>Vinnica Ukraina</v>
          </cell>
          <cell r="E2405">
            <v>35431</v>
          </cell>
        </row>
        <row r="2406">
          <cell r="A2406" t="str">
            <v>K5949</v>
          </cell>
          <cell r="B2406" t="str">
            <v xml:space="preserve">Joanna </v>
          </cell>
          <cell r="C2406" t="str">
            <v>KLIMCZAK</v>
          </cell>
          <cell r="D2406" t="str">
            <v>UKS Korona Pabianice</v>
          </cell>
          <cell r="E2406">
            <v>36161</v>
          </cell>
        </row>
        <row r="2407">
          <cell r="A2407" t="str">
            <v>D5992</v>
          </cell>
          <cell r="B2407" t="str">
            <v>Marta</v>
          </cell>
          <cell r="C2407" t="str">
            <v>DOLNIAK</v>
          </cell>
          <cell r="D2407" t="str">
            <v>SKSR Wolant Łódź</v>
          </cell>
          <cell r="E2407">
            <v>37987</v>
          </cell>
        </row>
        <row r="2408">
          <cell r="A2408" t="str">
            <v>C5991</v>
          </cell>
          <cell r="B2408" t="str">
            <v>Gabriela</v>
          </cell>
          <cell r="C2408" t="str">
            <v>CZARNECKA</v>
          </cell>
          <cell r="D2408" t="str">
            <v>SKSR Wolant Łódź</v>
          </cell>
          <cell r="E2408">
            <v>37987</v>
          </cell>
        </row>
        <row r="2409">
          <cell r="A2409" t="str">
            <v>X60</v>
          </cell>
          <cell r="B2409" t="str">
            <v xml:space="preserve">Julia </v>
          </cell>
          <cell r="C2409" t="str">
            <v>RACHOWSKA</v>
          </cell>
          <cell r="D2409" t="str">
            <v>SKSR Wolant Łódź</v>
          </cell>
          <cell r="E2409">
            <v>37987</v>
          </cell>
        </row>
        <row r="2410">
          <cell r="A2410" t="str">
            <v>X61</v>
          </cell>
          <cell r="B2410" t="str">
            <v>Oleg</v>
          </cell>
          <cell r="C2410" t="str">
            <v>KONEV</v>
          </cell>
          <cell r="D2410" t="str">
            <v>Vinnica Ukraina</v>
          </cell>
          <cell r="E2410">
            <v>37987</v>
          </cell>
        </row>
        <row r="2411">
          <cell r="A2411" t="str">
            <v>X62</v>
          </cell>
          <cell r="B2411" t="str">
            <v>Ilya</v>
          </cell>
          <cell r="C2411" t="str">
            <v>SOLONOVICH</v>
          </cell>
          <cell r="D2411" t="str">
            <v>Brześć 2 Białoruś</v>
          </cell>
          <cell r="E2411">
            <v>36161</v>
          </cell>
        </row>
        <row r="2412">
          <cell r="A2412" t="str">
            <v>X63</v>
          </cell>
          <cell r="B2412" t="str">
            <v xml:space="preserve">Anna </v>
          </cell>
          <cell r="C2412" t="str">
            <v>KRAMCHANINA</v>
          </cell>
          <cell r="D2412" t="str">
            <v>Brześć 2 Białoruś</v>
          </cell>
          <cell r="E2412">
            <v>36393</v>
          </cell>
        </row>
        <row r="2413">
          <cell r="A2413" t="str">
            <v>X64</v>
          </cell>
          <cell r="B2413" t="str">
            <v>Ulyana</v>
          </cell>
          <cell r="C2413" t="str">
            <v>VOLSKAYA</v>
          </cell>
          <cell r="D2413" t="str">
            <v>Brześć 2 Białoruś</v>
          </cell>
          <cell r="E2413">
            <v>37622</v>
          </cell>
        </row>
        <row r="2414">
          <cell r="A2414" t="str">
            <v>X65</v>
          </cell>
          <cell r="B2414" t="str">
            <v>Veronika</v>
          </cell>
          <cell r="C2414" t="str">
            <v>STANKEVICH</v>
          </cell>
          <cell r="D2414" t="str">
            <v>Brześć 2 Białoruś</v>
          </cell>
          <cell r="E2414">
            <v>38718</v>
          </cell>
        </row>
        <row r="2415">
          <cell r="A2415" t="str">
            <v>X66</v>
          </cell>
          <cell r="B2415" t="str">
            <v>Maksim</v>
          </cell>
          <cell r="C2415" t="str">
            <v>SLIBA</v>
          </cell>
          <cell r="D2415" t="str">
            <v>Brześć 2 Białoruś</v>
          </cell>
          <cell r="E2415">
            <v>37622</v>
          </cell>
        </row>
        <row r="2416">
          <cell r="A2416" t="str">
            <v>X67</v>
          </cell>
          <cell r="B2416" t="str">
            <v>Katerina</v>
          </cell>
          <cell r="C2416" t="str">
            <v>BORYSOV</v>
          </cell>
          <cell r="D2416" t="str">
            <v>Rosja</v>
          </cell>
          <cell r="E2416">
            <v>35796</v>
          </cell>
        </row>
        <row r="2417">
          <cell r="A2417" t="str">
            <v>X68</v>
          </cell>
          <cell r="B2417" t="str">
            <v>Dmitry</v>
          </cell>
          <cell r="C2417" t="str">
            <v>LARUSIN</v>
          </cell>
          <cell r="D2417" t="str">
            <v>Brześć Białoruś</v>
          </cell>
          <cell r="E2417">
            <v>36393</v>
          </cell>
        </row>
      </sheetData>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sheetName val="plan gier"/>
      <sheetName val="gry"/>
      <sheetName val="grup-puch"/>
      <sheetName val="puch"/>
      <sheetName val="tabelki"/>
      <sheetName val="drabinki"/>
      <sheetName val="sędziowie"/>
      <sheetName val="zawodnicy"/>
      <sheetName val="1"/>
      <sheetName val="2"/>
      <sheetName val="3"/>
      <sheetName val="4"/>
      <sheetName val="5"/>
      <sheetName val="6"/>
      <sheetName val="7"/>
      <sheetName val="8"/>
      <sheetName val="9"/>
      <sheetName val="10"/>
      <sheetName val="Moduł1"/>
      <sheetName val="Moduł2"/>
    </sheetNames>
    <sheetDataSet>
      <sheetData sheetId="0">
        <row r="2">
          <cell r="D2" t="str">
            <v>XIII MAZOVIA JUNIOR CUP</v>
          </cell>
        </row>
        <row r="3">
          <cell r="D3" t="str">
            <v>Płońsk, 25-27.10.2013</v>
          </cell>
          <cell r="J3" t="str">
            <v>pojedyncza dziewcząt JM</v>
          </cell>
        </row>
        <row r="4">
          <cell r="J4" t="str">
            <v>pojedyncza dziewcząt M</v>
          </cell>
        </row>
        <row r="5">
          <cell r="J5" t="str">
            <v>pojedyncza dziewcząt MM</v>
          </cell>
        </row>
        <row r="6">
          <cell r="J6" t="str">
            <v>pojedyncza dziewcząt Ż</v>
          </cell>
        </row>
        <row r="7">
          <cell r="J7" t="str">
            <v>pojedyncza kobiet J</v>
          </cell>
        </row>
        <row r="8">
          <cell r="J8" t="str">
            <v>pojedyncza chłopców JM</v>
          </cell>
        </row>
        <row r="9">
          <cell r="J9" t="str">
            <v>pojedyncza chłopców M</v>
          </cell>
        </row>
        <row r="10">
          <cell r="J10" t="str">
            <v>pojedyncza chłopców MM</v>
          </cell>
        </row>
        <row r="11">
          <cell r="J11" t="str">
            <v>pojedyncza chłopców Ż</v>
          </cell>
        </row>
        <row r="12">
          <cell r="J12" t="str">
            <v>pojedyncza mężczyzn J</v>
          </cell>
        </row>
        <row r="13">
          <cell r="J13" t="str">
            <v>podwójna dziewcząt JM</v>
          </cell>
        </row>
        <row r="14">
          <cell r="J14" t="str">
            <v>podwójna dziewcząt M</v>
          </cell>
        </row>
        <row r="15">
          <cell r="J15" t="str">
            <v>podwójna dziewcząt MM</v>
          </cell>
        </row>
        <row r="16">
          <cell r="J16" t="str">
            <v>podwójna dziewcząt Ż</v>
          </cell>
        </row>
        <row r="17">
          <cell r="J17" t="str">
            <v>podwójna kobiet J</v>
          </cell>
        </row>
        <row r="18">
          <cell r="J18" t="str">
            <v>podwójna chłopców JM</v>
          </cell>
        </row>
        <row r="19">
          <cell r="J19" t="str">
            <v>podwójna chłopców M</v>
          </cell>
        </row>
        <row r="20">
          <cell r="J20" t="str">
            <v>podwójna chłopców MM</v>
          </cell>
        </row>
        <row r="21">
          <cell r="J21" t="str">
            <v>podwójna chłopców Ż</v>
          </cell>
        </row>
        <row r="22">
          <cell r="J22" t="str">
            <v>podwójna mężczyzn J</v>
          </cell>
        </row>
        <row r="23">
          <cell r="J23" t="str">
            <v>mieszana JM</v>
          </cell>
        </row>
        <row r="24">
          <cell r="J24" t="str">
            <v>mieszana M</v>
          </cell>
        </row>
        <row r="25">
          <cell r="J25" t="str">
            <v>mieszana MM</v>
          </cell>
        </row>
        <row r="26">
          <cell r="J26" t="str">
            <v>mieszana Ż</v>
          </cell>
        </row>
        <row r="27">
          <cell r="J27" t="str">
            <v>mieszana J</v>
          </cell>
        </row>
      </sheetData>
      <sheetData sheetId="1">
        <row r="1">
          <cell r="C1" t="str">
            <v>Boisko</v>
          </cell>
          <cell r="D1">
            <v>1</v>
          </cell>
          <cell r="E1">
            <v>2</v>
          </cell>
          <cell r="F1">
            <v>3</v>
          </cell>
          <cell r="G1">
            <v>4</v>
          </cell>
          <cell r="H1">
            <v>5</v>
          </cell>
          <cell r="I1">
            <v>6</v>
          </cell>
          <cell r="J1">
            <v>7</v>
          </cell>
          <cell r="K1">
            <v>8</v>
          </cell>
          <cell r="L1">
            <v>9</v>
          </cell>
          <cell r="M1">
            <v>10</v>
          </cell>
          <cell r="N1" t="str">
            <v>Nr gry</v>
          </cell>
          <cell r="S1">
            <v>41572</v>
          </cell>
        </row>
        <row r="2">
          <cell r="A2" t="str">
            <v xml:space="preserve">Nr </v>
          </cell>
          <cell r="D2" t="str">
            <v>Drukowanie prorokółów</v>
          </cell>
          <cell r="N2">
            <v>1</v>
          </cell>
          <cell r="X2" t="str">
            <v>*</v>
          </cell>
        </row>
        <row r="3">
          <cell r="A3" t="str">
            <v>meczu</v>
          </cell>
          <cell r="S3">
            <v>41575</v>
          </cell>
          <cell r="X3" t="str">
            <v>nr gry</v>
          </cell>
          <cell r="Z3" t="str">
            <v>zawodnicy</v>
          </cell>
          <cell r="AD3" t="str">
            <v>awans</v>
          </cell>
          <cell r="AF3" t="str">
            <v>rezultat</v>
          </cell>
          <cell r="AI3" t="str">
            <v>1 set</v>
          </cell>
          <cell r="AK3" t="str">
            <v>2 set</v>
          </cell>
          <cell r="AM3" t="str">
            <v>3 set</v>
          </cell>
        </row>
        <row r="4">
          <cell r="B4">
            <v>1</v>
          </cell>
          <cell r="C4" t="str">
            <v>dzień turnieju.</v>
          </cell>
          <cell r="I4" t="str">
            <v>Nr meczu</v>
          </cell>
          <cell r="N4" t="str">
            <v>Godz.</v>
          </cell>
          <cell r="R4" t="str">
            <v>S. prow.</v>
          </cell>
          <cell r="AF4" t="str">
            <v>wygrany</v>
          </cell>
          <cell r="AG4" t="str">
            <v>przegrany</v>
          </cell>
        </row>
        <row r="5">
          <cell r="B5" t="str">
            <v>Boisko</v>
          </cell>
          <cell r="C5" t="str">
            <v>Gra</v>
          </cell>
          <cell r="I5">
            <v>1</v>
          </cell>
          <cell r="N5" t="str">
            <v>rozp.</v>
          </cell>
          <cell r="P5" t="str">
            <v>zak.</v>
          </cell>
          <cell r="R5" t="str">
            <v>S. serw.</v>
          </cell>
        </row>
        <row r="6">
          <cell r="A6">
            <v>1</v>
          </cell>
          <cell r="B6">
            <v>1</v>
          </cell>
          <cell r="C6" t="str">
            <v>mieszana JM</v>
          </cell>
          <cell r="H6">
            <v>22</v>
          </cell>
          <cell r="I6">
            <v>20</v>
          </cell>
          <cell r="J6">
            <v>21</v>
          </cell>
          <cell r="K6">
            <v>15</v>
          </cell>
          <cell r="N6">
            <v>0.47916666666666669</v>
          </cell>
          <cell r="P6">
            <v>0.50694444444444442</v>
          </cell>
          <cell r="R6">
            <v>2.7777777777777735E-2</v>
          </cell>
          <cell r="S6" t="str">
            <v>pt 11:30</v>
          </cell>
          <cell r="X6">
            <v>1</v>
          </cell>
          <cell r="Y6" t="str">
            <v>mieszana JM</v>
          </cell>
          <cell r="Z6" t="str">
            <v>J3436</v>
          </cell>
          <cell r="AA6" t="str">
            <v>K3437</v>
          </cell>
          <cell r="AB6" t="str">
            <v>R3535</v>
          </cell>
          <cell r="AC6" t="str">
            <v>X28</v>
          </cell>
          <cell r="AD6" t="str">
            <v>J3436</v>
          </cell>
          <cell r="AE6" t="str">
            <v>K3437</v>
          </cell>
          <cell r="AF6" t="str">
            <v>22:20,21:15</v>
          </cell>
          <cell r="AG6" t="str">
            <v>20:22,15:21</v>
          </cell>
          <cell r="AH6" t="str">
            <v/>
          </cell>
          <cell r="AI6">
            <v>22</v>
          </cell>
          <cell r="AJ6">
            <v>20</v>
          </cell>
          <cell r="AK6">
            <v>21</v>
          </cell>
          <cell r="AL6">
            <v>15</v>
          </cell>
          <cell r="AM6">
            <v>0</v>
          </cell>
          <cell r="AN6">
            <v>0</v>
          </cell>
        </row>
        <row r="7">
          <cell r="A7" t="str">
            <v/>
          </cell>
          <cell r="B7" t="str">
            <v>Patryk JAS (UKS Kometa Sianów)</v>
          </cell>
          <cell r="H7" t="str">
            <v>J3436</v>
          </cell>
          <cell r="K7" t="str">
            <v>R3535</v>
          </cell>
          <cell r="N7" t="str">
            <v>Nikodem RATKOWSKI (ZKB Maced Polanów)</v>
          </cell>
        </row>
        <row r="8">
          <cell r="A8" t="str">
            <v/>
          </cell>
          <cell r="B8" t="str">
            <v>Kornelia KOWALCZYK (UKS Kometa Sianów)</v>
          </cell>
          <cell r="H8" t="str">
            <v>K3437</v>
          </cell>
          <cell r="K8" t="str">
            <v>X28</v>
          </cell>
          <cell r="N8" t="str">
            <v>Yulia BAYAROUSKAYA (Białoruś)</v>
          </cell>
        </row>
        <row r="10">
          <cell r="B10" t="str">
            <v>zwycięzca(cy): 22:20,21:15</v>
          </cell>
          <cell r="K10" t="str">
            <v/>
          </cell>
        </row>
        <row r="11">
          <cell r="B11">
            <v>1</v>
          </cell>
          <cell r="C11" t="str">
            <v>dzień turnieju.</v>
          </cell>
          <cell r="I11" t="str">
            <v>Nr meczu</v>
          </cell>
          <cell r="N11" t="str">
            <v>Godz.</v>
          </cell>
          <cell r="R11" t="str">
            <v>S. prow.</v>
          </cell>
          <cell r="AF11" t="str">
            <v>wygrany</v>
          </cell>
          <cell r="AG11" t="str">
            <v>przegrany</v>
          </cell>
        </row>
        <row r="12">
          <cell r="B12" t="str">
            <v>Boisko</v>
          </cell>
          <cell r="C12" t="str">
            <v>Gra</v>
          </cell>
          <cell r="I12">
            <v>2</v>
          </cell>
          <cell r="N12" t="str">
            <v>rozp.</v>
          </cell>
          <cell r="P12" t="str">
            <v>zak.</v>
          </cell>
          <cell r="R12" t="str">
            <v>S. serw.</v>
          </cell>
        </row>
        <row r="13">
          <cell r="A13">
            <v>2</v>
          </cell>
          <cell r="B13">
            <v>2</v>
          </cell>
          <cell r="C13" t="str">
            <v>mieszana JM</v>
          </cell>
          <cell r="H13">
            <v>18</v>
          </cell>
          <cell r="I13">
            <v>21</v>
          </cell>
          <cell r="J13">
            <v>11</v>
          </cell>
          <cell r="K13">
            <v>21</v>
          </cell>
          <cell r="N13">
            <v>0.47916666666666669</v>
          </cell>
          <cell r="P13">
            <v>0.49513888888888885</v>
          </cell>
          <cell r="R13">
            <v>1.5972222222222165E-2</v>
          </cell>
          <cell r="S13" t="str">
            <v>pt 11:30</v>
          </cell>
          <cell r="X13">
            <v>2</v>
          </cell>
          <cell r="Y13" t="str">
            <v>mieszana JM</v>
          </cell>
          <cell r="Z13" t="str">
            <v>B4388</v>
          </cell>
          <cell r="AA13" t="str">
            <v>B4184</v>
          </cell>
          <cell r="AB13" t="str">
            <v>M3524</v>
          </cell>
          <cell r="AC13" t="str">
            <v>S3617</v>
          </cell>
          <cell r="AD13" t="str">
            <v>M3524</v>
          </cell>
          <cell r="AE13" t="str">
            <v>S3617</v>
          </cell>
          <cell r="AF13" t="str">
            <v>21:18,21:11</v>
          </cell>
          <cell r="AG13" t="str">
            <v>18:21,11:21</v>
          </cell>
          <cell r="AH13" t="str">
            <v/>
          </cell>
          <cell r="AI13">
            <v>18</v>
          </cell>
          <cell r="AJ13">
            <v>21</v>
          </cell>
          <cell r="AK13">
            <v>11</v>
          </cell>
          <cell r="AL13">
            <v>21</v>
          </cell>
          <cell r="AM13">
            <v>0</v>
          </cell>
          <cell r="AN13">
            <v>0</v>
          </cell>
        </row>
        <row r="14">
          <cell r="A14" t="str">
            <v/>
          </cell>
          <cell r="B14" t="str">
            <v>Adrian BONDAROW (SKB Suwałki)</v>
          </cell>
          <cell r="H14" t="str">
            <v>B4388</v>
          </cell>
          <cell r="K14" t="str">
            <v>M3524</v>
          </cell>
          <cell r="N14" t="str">
            <v>Dawid MAZUR (LKS Technik Głubczyce)</v>
          </cell>
        </row>
        <row r="15">
          <cell r="A15" t="str">
            <v/>
          </cell>
          <cell r="B15" t="str">
            <v>Milena BAŁON (SKB Suwałki)</v>
          </cell>
          <cell r="H15" t="str">
            <v>B4184</v>
          </cell>
          <cell r="K15" t="str">
            <v>S3617</v>
          </cell>
          <cell r="N15" t="str">
            <v>Katarzyna SŁOMBA (UKSB Volant Mielec)</v>
          </cell>
        </row>
        <row r="17">
          <cell r="B17" t="str">
            <v/>
          </cell>
          <cell r="K17" t="str">
            <v>zwycięzca(cy): 21:18,21:11</v>
          </cell>
        </row>
        <row r="18">
          <cell r="B18">
            <v>1</v>
          </cell>
          <cell r="C18" t="str">
            <v>dzień turnieju.</v>
          </cell>
          <cell r="I18" t="str">
            <v>Nr meczu</v>
          </cell>
          <cell r="N18" t="str">
            <v>Godz.</v>
          </cell>
          <cell r="R18" t="str">
            <v>S. prow.</v>
          </cell>
          <cell r="AF18" t="str">
            <v>wygrany</v>
          </cell>
          <cell r="AG18" t="str">
            <v>przegrany</v>
          </cell>
        </row>
        <row r="19">
          <cell r="B19" t="str">
            <v>Boisko</v>
          </cell>
          <cell r="C19" t="str">
            <v>Gra</v>
          </cell>
          <cell r="I19">
            <v>3</v>
          </cell>
          <cell r="N19" t="str">
            <v>rozp.</v>
          </cell>
          <cell r="P19" t="str">
            <v>zak.</v>
          </cell>
          <cell r="R19" t="str">
            <v>S. serw.</v>
          </cell>
        </row>
        <row r="20">
          <cell r="A20">
            <v>3</v>
          </cell>
          <cell r="B20">
            <v>3</v>
          </cell>
          <cell r="C20" t="str">
            <v>mieszana JM</v>
          </cell>
          <cell r="H20">
            <v>14</v>
          </cell>
          <cell r="I20">
            <v>21</v>
          </cell>
          <cell r="J20">
            <v>9</v>
          </cell>
          <cell r="K20">
            <v>21</v>
          </cell>
          <cell r="N20">
            <v>0.47916666666666669</v>
          </cell>
          <cell r="P20">
            <v>0.49374999999999997</v>
          </cell>
          <cell r="R20">
            <v>1.4583333333333282E-2</v>
          </cell>
          <cell r="S20" t="str">
            <v>pt 11:30</v>
          </cell>
          <cell r="X20">
            <v>3</v>
          </cell>
          <cell r="Y20" t="str">
            <v>mieszana JM</v>
          </cell>
          <cell r="Z20" t="str">
            <v>S4544</v>
          </cell>
          <cell r="AA20" t="str">
            <v>B5199</v>
          </cell>
          <cell r="AB20" t="str">
            <v>M4225</v>
          </cell>
          <cell r="AC20" t="str">
            <v>Ś3779</v>
          </cell>
          <cell r="AD20" t="str">
            <v>M4225</v>
          </cell>
          <cell r="AE20" t="str">
            <v>Ś3779</v>
          </cell>
          <cell r="AF20" t="str">
            <v>21:14,21:9</v>
          </cell>
          <cell r="AG20" t="str">
            <v>14:21,9:21</v>
          </cell>
          <cell r="AH20" t="str">
            <v/>
          </cell>
          <cell r="AI20">
            <v>14</v>
          </cell>
          <cell r="AJ20">
            <v>21</v>
          </cell>
          <cell r="AK20">
            <v>9</v>
          </cell>
          <cell r="AL20">
            <v>21</v>
          </cell>
          <cell r="AM20">
            <v>0</v>
          </cell>
          <cell r="AN20">
            <v>0</v>
          </cell>
        </row>
        <row r="21">
          <cell r="A21" t="str">
            <v/>
          </cell>
          <cell r="B21" t="str">
            <v>Paweł SZWEDA (MKB Lednik Miastko)</v>
          </cell>
          <cell r="H21" t="str">
            <v>S4544</v>
          </cell>
          <cell r="K21" t="str">
            <v>M4225</v>
          </cell>
          <cell r="N21" t="str">
            <v>Bartosz MARKIEWICZ (MLKS Solec Kuj.)</v>
          </cell>
        </row>
        <row r="22">
          <cell r="A22" t="str">
            <v/>
          </cell>
          <cell r="B22" t="str">
            <v>Olivia BATKO (MKB Lednik Miastko)</v>
          </cell>
          <cell r="H22" t="str">
            <v>B5199</v>
          </cell>
          <cell r="K22" t="str">
            <v>Ś3779</v>
          </cell>
          <cell r="N22" t="str">
            <v>Magdalena ŚWIERCZYŃSKA (UKS Orkan Przeźmierowo)</v>
          </cell>
        </row>
        <row r="24">
          <cell r="B24" t="str">
            <v/>
          </cell>
          <cell r="K24" t="str">
            <v>zwycięzca(cy): 21:14,21:9</v>
          </cell>
        </row>
        <row r="25">
          <cell r="B25">
            <v>1</v>
          </cell>
          <cell r="C25" t="str">
            <v>dzień turnieju.</v>
          </cell>
          <cell r="I25" t="str">
            <v>Nr meczu</v>
          </cell>
          <cell r="N25" t="str">
            <v>Godz.</v>
          </cell>
          <cell r="R25" t="str">
            <v>S. prow.</v>
          </cell>
          <cell r="AF25" t="str">
            <v>wygrany</v>
          </cell>
          <cell r="AG25" t="str">
            <v>przegrany</v>
          </cell>
        </row>
        <row r="26">
          <cell r="B26" t="str">
            <v>Boisko</v>
          </cell>
          <cell r="C26" t="str">
            <v>Gra</v>
          </cell>
          <cell r="I26">
            <v>4</v>
          </cell>
          <cell r="N26" t="str">
            <v>rozp.</v>
          </cell>
          <cell r="P26" t="str">
            <v>zak.</v>
          </cell>
          <cell r="R26" t="str">
            <v>S. serw.</v>
          </cell>
        </row>
        <row r="27">
          <cell r="A27">
            <v>4</v>
          </cell>
          <cell r="B27">
            <v>4</v>
          </cell>
          <cell r="C27" t="str">
            <v>mieszana JM</v>
          </cell>
          <cell r="H27">
            <v>21</v>
          </cell>
          <cell r="I27">
            <v>13</v>
          </cell>
          <cell r="J27">
            <v>21</v>
          </cell>
          <cell r="K27">
            <v>13</v>
          </cell>
          <cell r="N27">
            <v>0.47916666666666669</v>
          </cell>
          <cell r="P27">
            <v>0.49652777777777773</v>
          </cell>
          <cell r="R27">
            <v>1.7361111111111049E-2</v>
          </cell>
          <cell r="S27" t="str">
            <v>pt 11:30</v>
          </cell>
          <cell r="X27">
            <v>4</v>
          </cell>
          <cell r="Y27" t="str">
            <v>mieszana JM</v>
          </cell>
          <cell r="Z27" t="str">
            <v>W4049</v>
          </cell>
          <cell r="AA27" t="str">
            <v>C3958</v>
          </cell>
          <cell r="AB27" t="str">
            <v>O2779</v>
          </cell>
          <cell r="AC27" t="str">
            <v>K4084</v>
          </cell>
          <cell r="AD27" t="str">
            <v>W4049</v>
          </cell>
          <cell r="AE27" t="str">
            <v>C3958</v>
          </cell>
          <cell r="AF27" t="str">
            <v>21:13,21:13</v>
          </cell>
          <cell r="AG27" t="str">
            <v>13:21,13:21</v>
          </cell>
          <cell r="AH27" t="str">
            <v/>
          </cell>
          <cell r="AI27">
            <v>21</v>
          </cell>
          <cell r="AJ27">
            <v>13</v>
          </cell>
          <cell r="AK27">
            <v>21</v>
          </cell>
          <cell r="AL27">
            <v>13</v>
          </cell>
          <cell r="AM27">
            <v>0</v>
          </cell>
          <cell r="AN27">
            <v>0</v>
          </cell>
        </row>
        <row r="28">
          <cell r="A28" t="str">
            <v/>
          </cell>
          <cell r="B28" t="str">
            <v>Kamil WUDARSKI (UKS Iskra Sarbice)</v>
          </cell>
          <cell r="H28" t="str">
            <v>W4049</v>
          </cell>
          <cell r="K28" t="str">
            <v>O2779</v>
          </cell>
          <cell r="N28" t="str">
            <v>Szymon OLEARCZUK (AZSWAT Warszawa)</v>
          </cell>
        </row>
        <row r="29">
          <cell r="A29" t="str">
            <v/>
          </cell>
          <cell r="B29" t="str">
            <v>Milena CICHOMSKA (UKS Iskra Sarbice)</v>
          </cell>
          <cell r="H29" t="str">
            <v>C3958</v>
          </cell>
          <cell r="K29" t="str">
            <v>K4084</v>
          </cell>
          <cell r="N29" t="str">
            <v>Magdalena KOKOSZKA (AZSWAT Warszawa)</v>
          </cell>
        </row>
        <row r="31">
          <cell r="B31" t="str">
            <v>zwycięzca(cy): 21:13,21:13</v>
          </cell>
          <cell r="K31" t="str">
            <v/>
          </cell>
        </row>
        <row r="32">
          <cell r="B32">
            <v>1</v>
          </cell>
          <cell r="C32" t="str">
            <v>dzień turnieju.</v>
          </cell>
          <cell r="I32" t="str">
            <v>Nr meczu</v>
          </cell>
          <cell r="N32" t="str">
            <v>Godz.</v>
          </cell>
          <cell r="R32" t="str">
            <v>S. prow.</v>
          </cell>
          <cell r="S32" t="str">
            <v>JANECKI Andrzej</v>
          </cell>
          <cell r="AF32" t="str">
            <v>wygrany</v>
          </cell>
          <cell r="AG32" t="str">
            <v>przegrany</v>
          </cell>
        </row>
        <row r="33">
          <cell r="B33" t="str">
            <v>Boisko</v>
          </cell>
          <cell r="C33" t="str">
            <v>Gra</v>
          </cell>
          <cell r="I33">
            <v>5</v>
          </cell>
          <cell r="N33" t="str">
            <v>rozp.</v>
          </cell>
          <cell r="P33" t="str">
            <v>zak.</v>
          </cell>
          <cell r="R33" t="str">
            <v>S. serw.</v>
          </cell>
        </row>
        <row r="34">
          <cell r="A34">
            <v>5</v>
          </cell>
          <cell r="B34">
            <v>5</v>
          </cell>
          <cell r="C34" t="str">
            <v>mieszana JM</v>
          </cell>
          <cell r="H34">
            <v>13</v>
          </cell>
          <cell r="I34">
            <v>21</v>
          </cell>
          <cell r="J34">
            <v>21</v>
          </cell>
          <cell r="K34">
            <v>19</v>
          </cell>
          <cell r="L34">
            <v>19</v>
          </cell>
          <cell r="M34">
            <v>21</v>
          </cell>
          <cell r="N34">
            <v>0.47916666666666669</v>
          </cell>
          <cell r="P34">
            <v>0.50416666666666665</v>
          </cell>
          <cell r="R34">
            <v>2.4999999999999967E-2</v>
          </cell>
          <cell r="S34" t="str">
            <v>pt 11:30</v>
          </cell>
          <cell r="X34">
            <v>5</v>
          </cell>
          <cell r="Y34" t="str">
            <v>mieszana JM</v>
          </cell>
          <cell r="Z34" t="str">
            <v>M3704</v>
          </cell>
          <cell r="AA34" t="str">
            <v>M3661</v>
          </cell>
          <cell r="AB34" t="str">
            <v>X10</v>
          </cell>
          <cell r="AC34" t="str">
            <v>X09</v>
          </cell>
          <cell r="AD34" t="str">
            <v>X10</v>
          </cell>
          <cell r="AE34" t="str">
            <v>X09</v>
          </cell>
          <cell r="AF34" t="str">
            <v>21:13,19:21,21:19</v>
          </cell>
          <cell r="AG34" t="str">
            <v>13:21,21:19,19:21</v>
          </cell>
          <cell r="AH34" t="str">
            <v/>
          </cell>
          <cell r="AI34">
            <v>13</v>
          </cell>
          <cell r="AJ34">
            <v>21</v>
          </cell>
          <cell r="AK34">
            <v>21</v>
          </cell>
          <cell r="AL34">
            <v>19</v>
          </cell>
          <cell r="AM34">
            <v>19</v>
          </cell>
          <cell r="AN34">
            <v>21</v>
          </cell>
        </row>
        <row r="35">
          <cell r="A35" t="str">
            <v/>
          </cell>
          <cell r="B35" t="str">
            <v>Rafał MARKOWICZ (UKS Orliki Ropica Polska)</v>
          </cell>
          <cell r="H35" t="str">
            <v>M3704</v>
          </cell>
          <cell r="K35" t="str">
            <v>X10</v>
          </cell>
          <cell r="N35" t="str">
            <v>Dmitry KUSIMITSKI (Brześć Białoruś)</v>
          </cell>
        </row>
        <row r="36">
          <cell r="A36" t="str">
            <v/>
          </cell>
          <cell r="B36" t="str">
            <v>Magdalena MACHNIK (UKS Orbitek Straszęcin)</v>
          </cell>
          <cell r="H36" t="str">
            <v>M3661</v>
          </cell>
          <cell r="K36" t="str">
            <v>X09</v>
          </cell>
          <cell r="N36" t="str">
            <v>Mariana VERBITSKA (Brześć Białoruś)</v>
          </cell>
        </row>
        <row r="38">
          <cell r="B38" t="str">
            <v/>
          </cell>
          <cell r="K38" t="str">
            <v>zwycięzca(cy): 21:13,19:21,21:19</v>
          </cell>
        </row>
        <row r="39">
          <cell r="B39">
            <v>1</v>
          </cell>
          <cell r="C39" t="str">
            <v>dzień turnieju.</v>
          </cell>
          <cell r="I39" t="str">
            <v>Nr meczu</v>
          </cell>
          <cell r="N39" t="str">
            <v>Godz.</v>
          </cell>
          <cell r="R39" t="str">
            <v>S. prow.</v>
          </cell>
          <cell r="AF39" t="str">
            <v>wygrany</v>
          </cell>
          <cell r="AG39" t="str">
            <v>przegrany</v>
          </cell>
        </row>
        <row r="40">
          <cell r="B40" t="str">
            <v>Boisko</v>
          </cell>
          <cell r="C40" t="str">
            <v>Gra</v>
          </cell>
          <cell r="I40">
            <v>6</v>
          </cell>
          <cell r="N40" t="str">
            <v>rozp.</v>
          </cell>
          <cell r="P40" t="str">
            <v>zak.</v>
          </cell>
          <cell r="R40" t="str">
            <v>S. serw.</v>
          </cell>
        </row>
        <row r="41">
          <cell r="A41">
            <v>6</v>
          </cell>
          <cell r="B41">
            <v>6</v>
          </cell>
          <cell r="C41" t="str">
            <v>mieszana JM</v>
          </cell>
          <cell r="H41">
            <v>21</v>
          </cell>
          <cell r="I41">
            <v>17</v>
          </cell>
          <cell r="J41">
            <v>21</v>
          </cell>
          <cell r="K41">
            <v>19</v>
          </cell>
          <cell r="N41">
            <v>0.47916666666666669</v>
          </cell>
          <cell r="P41">
            <v>0.50694444444444442</v>
          </cell>
          <cell r="R41">
            <v>2.7777777777777735E-2</v>
          </cell>
          <cell r="S41" t="str">
            <v>pt 11:30</v>
          </cell>
          <cell r="X41">
            <v>6</v>
          </cell>
          <cell r="Y41" t="str">
            <v>mieszana JM</v>
          </cell>
          <cell r="Z41" t="str">
            <v>D3323</v>
          </cell>
          <cell r="AA41" t="str">
            <v>W4435</v>
          </cell>
          <cell r="AB41" t="str">
            <v>N3834</v>
          </cell>
          <cell r="AC41" t="str">
            <v>S3951</v>
          </cell>
          <cell r="AD41" t="str">
            <v>D3323</v>
          </cell>
          <cell r="AE41" t="str">
            <v>W4435</v>
          </cell>
          <cell r="AF41" t="str">
            <v>21:17,21:19</v>
          </cell>
          <cell r="AG41" t="str">
            <v>17:21,19:21</v>
          </cell>
          <cell r="AH41" t="str">
            <v/>
          </cell>
          <cell r="AI41">
            <v>21</v>
          </cell>
          <cell r="AJ41">
            <v>17</v>
          </cell>
          <cell r="AK41">
            <v>21</v>
          </cell>
          <cell r="AL41">
            <v>19</v>
          </cell>
          <cell r="AM41">
            <v>0</v>
          </cell>
          <cell r="AN41">
            <v>0</v>
          </cell>
        </row>
        <row r="42">
          <cell r="A42" t="str">
            <v/>
          </cell>
          <cell r="B42" t="str">
            <v>Mateusz DANIELAK (KKS Ruch Piotrków Tryb.)</v>
          </cell>
          <cell r="H42" t="str">
            <v>D3323</v>
          </cell>
          <cell r="K42" t="str">
            <v>N3834</v>
          </cell>
          <cell r="N42" t="str">
            <v>Jędrzej NOWAK (KS Chojnik Jelenia Góra)</v>
          </cell>
        </row>
        <row r="43">
          <cell r="A43" t="str">
            <v/>
          </cell>
          <cell r="B43" t="str">
            <v>Karolina WŁADZIŃSKA (----)</v>
          </cell>
          <cell r="H43" t="str">
            <v>W4435</v>
          </cell>
          <cell r="K43" t="str">
            <v>S3951</v>
          </cell>
          <cell r="N43" t="str">
            <v>Oliwia SOCHA (KS Chojnik Jelenia Góra)</v>
          </cell>
        </row>
        <row r="45">
          <cell r="B45" t="str">
            <v>zwycięzca(cy): 21:17,21:19</v>
          </cell>
          <cell r="K45" t="str">
            <v/>
          </cell>
        </row>
        <row r="46">
          <cell r="B46">
            <v>1</v>
          </cell>
          <cell r="C46" t="str">
            <v>dzień turnieju.</v>
          </cell>
          <cell r="I46" t="str">
            <v>Nr meczu</v>
          </cell>
          <cell r="N46" t="str">
            <v>Godz.</v>
          </cell>
          <cell r="R46" t="str">
            <v>S. prow.</v>
          </cell>
          <cell r="AF46" t="str">
            <v>wygrany</v>
          </cell>
          <cell r="AG46" t="str">
            <v>przegrany</v>
          </cell>
        </row>
        <row r="47">
          <cell r="B47" t="str">
            <v>Boisko</v>
          </cell>
          <cell r="C47" t="str">
            <v>Gra</v>
          </cell>
          <cell r="I47">
            <v>7</v>
          </cell>
          <cell r="N47" t="str">
            <v>rozp.</v>
          </cell>
          <cell r="P47" t="str">
            <v>zak.</v>
          </cell>
          <cell r="R47" t="str">
            <v>S. serw.</v>
          </cell>
        </row>
        <row r="48">
          <cell r="A48">
            <v>7</v>
          </cell>
          <cell r="B48">
            <v>7</v>
          </cell>
          <cell r="C48" t="str">
            <v>mieszana JM</v>
          </cell>
          <cell r="H48">
            <v>21</v>
          </cell>
          <cell r="I48">
            <v>12</v>
          </cell>
          <cell r="J48">
            <v>21</v>
          </cell>
          <cell r="K48">
            <v>7</v>
          </cell>
          <cell r="N48">
            <v>0.47916666666666669</v>
          </cell>
          <cell r="P48">
            <v>0.49513888888888885</v>
          </cell>
          <cell r="R48">
            <v>1.5972222222222165E-2</v>
          </cell>
          <cell r="S48" t="str">
            <v>pt 11:30</v>
          </cell>
          <cell r="X48">
            <v>7</v>
          </cell>
          <cell r="Y48" t="str">
            <v>mieszana JM</v>
          </cell>
          <cell r="Z48" t="str">
            <v>K4248</v>
          </cell>
          <cell r="AA48" t="str">
            <v>R3686</v>
          </cell>
          <cell r="AB48" t="str">
            <v>Z4433</v>
          </cell>
          <cell r="AC48" t="str">
            <v>G4721</v>
          </cell>
          <cell r="AD48" t="str">
            <v>K4248</v>
          </cell>
          <cell r="AE48" t="str">
            <v>R3686</v>
          </cell>
          <cell r="AF48" t="str">
            <v>21:12,21:7</v>
          </cell>
          <cell r="AG48" t="str">
            <v>12:21,7:21</v>
          </cell>
          <cell r="AH48" t="str">
            <v/>
          </cell>
          <cell r="AI48">
            <v>21</v>
          </cell>
          <cell r="AJ48">
            <v>12</v>
          </cell>
          <cell r="AK48">
            <v>21</v>
          </cell>
          <cell r="AL48">
            <v>7</v>
          </cell>
          <cell r="AM48">
            <v>0</v>
          </cell>
          <cell r="AN48">
            <v>0</v>
          </cell>
        </row>
        <row r="49">
          <cell r="A49" t="str">
            <v/>
          </cell>
          <cell r="B49" t="str">
            <v>Michał KIKOSICKI (KSR Wolant Łódź)</v>
          </cell>
          <cell r="H49" t="str">
            <v>K4248</v>
          </cell>
          <cell r="K49" t="str">
            <v>Z4433</v>
          </cell>
          <cell r="N49" t="str">
            <v>Karol ZAWALSKI (UKS Aktywna Piątka Przemyśl)</v>
          </cell>
        </row>
        <row r="50">
          <cell r="A50" t="str">
            <v/>
          </cell>
          <cell r="B50" t="str">
            <v>Julita RYBAŁT (UKS Hubal Białystok)</v>
          </cell>
          <cell r="H50" t="str">
            <v>R3686</v>
          </cell>
          <cell r="K50" t="str">
            <v>G4721</v>
          </cell>
          <cell r="N50" t="str">
            <v>Kinga GURZ (UKS Sokół Ropczyce)</v>
          </cell>
        </row>
        <row r="52">
          <cell r="B52" t="str">
            <v>zwycięzca(cy): 21:12,21:7</v>
          </cell>
          <cell r="K52" t="str">
            <v/>
          </cell>
        </row>
        <row r="53">
          <cell r="B53">
            <v>1</v>
          </cell>
          <cell r="C53" t="str">
            <v>dzień turnieju.</v>
          </cell>
          <cell r="I53" t="str">
            <v>Nr meczu</v>
          </cell>
          <cell r="N53" t="str">
            <v>Godz.</v>
          </cell>
          <cell r="R53" t="str">
            <v>S. prow.</v>
          </cell>
          <cell r="AF53" t="str">
            <v>wygrany</v>
          </cell>
          <cell r="AG53" t="str">
            <v>przegrany</v>
          </cell>
        </row>
        <row r="54">
          <cell r="B54" t="str">
            <v>Boisko</v>
          </cell>
          <cell r="C54" t="str">
            <v>Gra</v>
          </cell>
          <cell r="I54">
            <v>8</v>
          </cell>
          <cell r="N54" t="str">
            <v>rozp.</v>
          </cell>
          <cell r="P54" t="str">
            <v>zak.</v>
          </cell>
          <cell r="R54" t="str">
            <v>S. serw.</v>
          </cell>
        </row>
        <row r="55">
          <cell r="A55">
            <v>8</v>
          </cell>
          <cell r="B55">
            <v>2</v>
          </cell>
          <cell r="C55" t="str">
            <v>podwójna dziewcząt JM</v>
          </cell>
          <cell r="H55">
            <v>21</v>
          </cell>
          <cell r="I55">
            <v>10</v>
          </cell>
          <cell r="J55">
            <v>18</v>
          </cell>
          <cell r="K55">
            <v>21</v>
          </cell>
          <cell r="L55">
            <v>13</v>
          </cell>
          <cell r="M55">
            <v>21</v>
          </cell>
          <cell r="N55">
            <v>0.5</v>
          </cell>
          <cell r="P55">
            <v>0.52638888888888891</v>
          </cell>
          <cell r="R55">
            <v>2.6388888888888906E-2</v>
          </cell>
          <cell r="S55" t="str">
            <v>pt 12:00</v>
          </cell>
          <cell r="X55">
            <v>8</v>
          </cell>
          <cell r="Y55" t="str">
            <v>podwójna dziewcząt JM</v>
          </cell>
          <cell r="Z55" t="str">
            <v>C3958</v>
          </cell>
          <cell r="AA55" t="str">
            <v>M3959</v>
          </cell>
          <cell r="AB55" t="str">
            <v>K4207</v>
          </cell>
          <cell r="AC55" t="str">
            <v>N3738</v>
          </cell>
          <cell r="AD55" t="str">
            <v>K4207</v>
          </cell>
          <cell r="AE55" t="str">
            <v>N3738</v>
          </cell>
          <cell r="AF55" t="str">
            <v>10:21,21:18,21:13</v>
          </cell>
          <cell r="AG55" t="str">
            <v>21:10,18:21,13:21</v>
          </cell>
          <cell r="AH55" t="str">
            <v/>
          </cell>
          <cell r="AI55">
            <v>21</v>
          </cell>
          <cell r="AJ55">
            <v>10</v>
          </cell>
          <cell r="AK55">
            <v>18</v>
          </cell>
          <cell r="AL55">
            <v>21</v>
          </cell>
          <cell r="AM55">
            <v>13</v>
          </cell>
          <cell r="AN55">
            <v>21</v>
          </cell>
        </row>
        <row r="56">
          <cell r="A56" t="str">
            <v/>
          </cell>
          <cell r="B56" t="str">
            <v>Milena CICHOMSKA (UKS Iskra Sarbice)</v>
          </cell>
          <cell r="H56" t="str">
            <v>C3958</v>
          </cell>
          <cell r="K56" t="str">
            <v>K4207</v>
          </cell>
          <cell r="N56" t="str">
            <v>Urszula KARWOWSKA (UKSB Milenium Warszawa)</v>
          </cell>
        </row>
        <row r="57">
          <cell r="A57" t="str">
            <v/>
          </cell>
          <cell r="B57" t="str">
            <v>Łucja MIGAS (UKS Iskra Sarbice)</v>
          </cell>
          <cell r="H57" t="str">
            <v>M3959</v>
          </cell>
          <cell r="K57" t="str">
            <v>N3738</v>
          </cell>
          <cell r="N57" t="str">
            <v>Aneta NIKLAS (ULKS U-2 Lotka Bytów)</v>
          </cell>
        </row>
        <row r="59">
          <cell r="B59" t="str">
            <v/>
          </cell>
          <cell r="K59" t="str">
            <v>zwycięzca(cy): 10:21,21:18,21:13</v>
          </cell>
        </row>
        <row r="60">
          <cell r="B60">
            <v>1</v>
          </cell>
          <cell r="C60" t="str">
            <v>dzień turnieju.</v>
          </cell>
          <cell r="I60" t="str">
            <v>Nr meczu</v>
          </cell>
          <cell r="N60" t="str">
            <v>Godz.</v>
          </cell>
          <cell r="R60" t="str">
            <v>S. prow.</v>
          </cell>
          <cell r="AF60" t="str">
            <v>wygrany</v>
          </cell>
          <cell r="AG60" t="str">
            <v>przegrany</v>
          </cell>
        </row>
        <row r="61">
          <cell r="B61" t="str">
            <v>Boisko</v>
          </cell>
          <cell r="C61" t="str">
            <v>Gra</v>
          </cell>
          <cell r="I61">
            <v>9</v>
          </cell>
          <cell r="N61" t="str">
            <v>rozp.</v>
          </cell>
          <cell r="P61" t="str">
            <v>zak.</v>
          </cell>
          <cell r="R61" t="str">
            <v>S. serw.</v>
          </cell>
        </row>
        <row r="62">
          <cell r="A62">
            <v>9</v>
          </cell>
          <cell r="B62">
            <v>1</v>
          </cell>
          <cell r="C62" t="str">
            <v>podwójna dziewcząt JM</v>
          </cell>
          <cell r="H62">
            <v>17</v>
          </cell>
          <cell r="I62">
            <v>21</v>
          </cell>
          <cell r="J62">
            <v>22</v>
          </cell>
          <cell r="K62">
            <v>24</v>
          </cell>
          <cell r="N62">
            <v>0.51388888888888895</v>
          </cell>
          <cell r="P62">
            <v>0.53680555555555554</v>
          </cell>
          <cell r="R62">
            <v>2.2916666666666585E-2</v>
          </cell>
          <cell r="S62" t="str">
            <v>pt 12:00</v>
          </cell>
          <cell r="X62">
            <v>9</v>
          </cell>
          <cell r="Y62" t="str">
            <v>podwójna dziewcząt JM</v>
          </cell>
          <cell r="Z62" t="str">
            <v>K4084</v>
          </cell>
          <cell r="AA62" t="str">
            <v>R3720</v>
          </cell>
          <cell r="AB62" t="str">
            <v>X28</v>
          </cell>
          <cell r="AC62" t="str">
            <v>G4721</v>
          </cell>
          <cell r="AD62" t="str">
            <v>X28</v>
          </cell>
          <cell r="AE62" t="str">
            <v>G4721</v>
          </cell>
          <cell r="AF62" t="str">
            <v>21:17,24:22</v>
          </cell>
          <cell r="AG62" t="str">
            <v>17:21,22:24</v>
          </cell>
          <cell r="AH62" t="str">
            <v/>
          </cell>
          <cell r="AI62">
            <v>17</v>
          </cell>
          <cell r="AJ62">
            <v>21</v>
          </cell>
          <cell r="AK62">
            <v>22</v>
          </cell>
          <cell r="AL62">
            <v>24</v>
          </cell>
          <cell r="AM62">
            <v>0</v>
          </cell>
          <cell r="AN62">
            <v>0</v>
          </cell>
        </row>
        <row r="63">
          <cell r="A63" t="str">
            <v/>
          </cell>
          <cell r="B63" t="str">
            <v>Magdalena KOKOSZKA (AZSWAT Warszawa)</v>
          </cell>
          <cell r="H63" t="str">
            <v>K4084</v>
          </cell>
          <cell r="K63" t="str">
            <v>X28</v>
          </cell>
          <cell r="N63" t="str">
            <v>Yulia BAYAROUSKAYA (Białoruś)</v>
          </cell>
        </row>
        <row r="64">
          <cell r="A64" t="str">
            <v/>
          </cell>
          <cell r="B64" t="str">
            <v>Barbara RUTKOWSKA (ŚKBad Harcownik Warszawa)</v>
          </cell>
          <cell r="H64" t="str">
            <v>R3720</v>
          </cell>
          <cell r="K64" t="str">
            <v>G4721</v>
          </cell>
          <cell r="N64" t="str">
            <v>Kinga GURZ (UKS Sokół Ropczyce)</v>
          </cell>
        </row>
        <row r="66">
          <cell r="B66" t="str">
            <v/>
          </cell>
          <cell r="K66" t="str">
            <v>zwycięzca(cy): 21:17,24:22</v>
          </cell>
        </row>
        <row r="67">
          <cell r="B67">
            <v>1</v>
          </cell>
          <cell r="C67" t="str">
            <v>dzień turnieju.</v>
          </cell>
          <cell r="I67" t="str">
            <v>Nr meczu</v>
          </cell>
          <cell r="N67" t="str">
            <v>Godz.</v>
          </cell>
          <cell r="R67" t="str">
            <v>S. prow.</v>
          </cell>
          <cell r="AF67" t="str">
            <v>wygrany</v>
          </cell>
          <cell r="AG67" t="str">
            <v>przegrany</v>
          </cell>
        </row>
        <row r="68">
          <cell r="B68" t="str">
            <v>Boisko</v>
          </cell>
          <cell r="C68" t="str">
            <v>Gra</v>
          </cell>
          <cell r="I68">
            <v>10</v>
          </cell>
          <cell r="N68" t="str">
            <v>rozp.</v>
          </cell>
          <cell r="P68" t="str">
            <v>zak.</v>
          </cell>
          <cell r="R68" t="str">
            <v>S. serw.</v>
          </cell>
        </row>
        <row r="69">
          <cell r="A69">
            <v>10</v>
          </cell>
          <cell r="B69">
            <v>3</v>
          </cell>
          <cell r="C69" t="str">
            <v>podwójna dziewcząt JM</v>
          </cell>
          <cell r="H69">
            <v>21</v>
          </cell>
          <cell r="I69">
            <v>11</v>
          </cell>
          <cell r="J69">
            <v>21</v>
          </cell>
          <cell r="K69">
            <v>13</v>
          </cell>
          <cell r="N69">
            <v>0.52083333333333337</v>
          </cell>
          <cell r="P69">
            <v>0.53472222222222221</v>
          </cell>
          <cell r="R69">
            <v>1.388888888888884E-2</v>
          </cell>
          <cell r="S69" t="str">
            <v>pt 12:00</v>
          </cell>
          <cell r="X69">
            <v>10</v>
          </cell>
          <cell r="Y69" t="str">
            <v>podwójna dziewcząt JM</v>
          </cell>
          <cell r="Z69" t="str">
            <v>B4205</v>
          </cell>
          <cell r="AA69" t="str">
            <v>I4204</v>
          </cell>
          <cell r="AB69" t="str">
            <v>K3764</v>
          </cell>
          <cell r="AC69" t="str">
            <v>P4482</v>
          </cell>
          <cell r="AD69" t="str">
            <v>B4205</v>
          </cell>
          <cell r="AE69" t="str">
            <v>I4204</v>
          </cell>
          <cell r="AF69" t="str">
            <v>21:11,21:13</v>
          </cell>
          <cell r="AG69" t="str">
            <v>11:21,13:21</v>
          </cell>
          <cell r="AH69" t="str">
            <v/>
          </cell>
          <cell r="AI69">
            <v>21</v>
          </cell>
          <cell r="AJ69">
            <v>11</v>
          </cell>
          <cell r="AK69">
            <v>21</v>
          </cell>
          <cell r="AL69">
            <v>13</v>
          </cell>
          <cell r="AM69">
            <v>0</v>
          </cell>
          <cell r="AN69">
            <v>0</v>
          </cell>
        </row>
        <row r="70">
          <cell r="A70" t="str">
            <v/>
          </cell>
          <cell r="B70" t="str">
            <v>Daniela BIELIŃSKA (UKS Unia Bieruń)</v>
          </cell>
          <cell r="H70" t="str">
            <v>B4205</v>
          </cell>
          <cell r="K70" t="str">
            <v>K3764</v>
          </cell>
          <cell r="N70" t="str">
            <v>Sandra KUDYK (UKS Kiko Zamość)</v>
          </cell>
        </row>
        <row r="71">
          <cell r="A71" t="str">
            <v/>
          </cell>
          <cell r="B71" t="str">
            <v>Agata ISKRA (UKS Unia Bieruń)</v>
          </cell>
          <cell r="H71" t="str">
            <v>I4204</v>
          </cell>
          <cell r="K71" t="str">
            <v>P4482</v>
          </cell>
          <cell r="N71" t="str">
            <v>Oliwia PIOTROWSKA (UKS Kiko Zamość)</v>
          </cell>
        </row>
        <row r="73">
          <cell r="B73" t="str">
            <v>zwycięzca(cy): 21:11,21:13</v>
          </cell>
          <cell r="K73" t="str">
            <v/>
          </cell>
        </row>
        <row r="74">
          <cell r="B74">
            <v>1</v>
          </cell>
          <cell r="C74" t="str">
            <v>dzień turnieju.</v>
          </cell>
          <cell r="I74" t="str">
            <v>Nr meczu</v>
          </cell>
          <cell r="N74" t="str">
            <v>Godz.</v>
          </cell>
          <cell r="R74" t="str">
            <v>S. prow.</v>
          </cell>
          <cell r="AF74" t="str">
            <v>wygrany</v>
          </cell>
          <cell r="AG74" t="str">
            <v>przegrany</v>
          </cell>
        </row>
        <row r="75">
          <cell r="B75" t="str">
            <v>Boisko</v>
          </cell>
          <cell r="C75" t="str">
            <v>Gra</v>
          </cell>
          <cell r="I75">
            <v>11</v>
          </cell>
          <cell r="N75" t="str">
            <v>rozp.</v>
          </cell>
          <cell r="P75" t="str">
            <v>zak.</v>
          </cell>
          <cell r="R75" t="str">
            <v>S. serw.</v>
          </cell>
        </row>
        <row r="76">
          <cell r="A76">
            <v>11</v>
          </cell>
          <cell r="B76">
            <v>4</v>
          </cell>
          <cell r="C76" t="str">
            <v>podwójna dziewcząt JM</v>
          </cell>
          <cell r="H76">
            <v>21</v>
          </cell>
          <cell r="I76">
            <v>10</v>
          </cell>
          <cell r="J76">
            <v>21</v>
          </cell>
          <cell r="K76">
            <v>5</v>
          </cell>
          <cell r="N76">
            <v>0.51388888888888895</v>
          </cell>
          <cell r="P76">
            <v>0.53125</v>
          </cell>
          <cell r="R76">
            <v>1.7361111111111049E-2</v>
          </cell>
          <cell r="S76" t="str">
            <v>pt 12:00</v>
          </cell>
          <cell r="X76">
            <v>11</v>
          </cell>
          <cell r="Y76" t="str">
            <v>podwójna dziewcząt JM</v>
          </cell>
          <cell r="Z76" t="str">
            <v>J3786</v>
          </cell>
          <cell r="AA76" t="str">
            <v>M3661</v>
          </cell>
          <cell r="AB76" t="str">
            <v>B4184</v>
          </cell>
          <cell r="AC76" t="str">
            <v>K3474</v>
          </cell>
          <cell r="AD76" t="str">
            <v>J3786</v>
          </cell>
          <cell r="AE76" t="str">
            <v>M3661</v>
          </cell>
          <cell r="AF76" t="str">
            <v>21:10,21:5</v>
          </cell>
          <cell r="AG76" t="str">
            <v>10:21,5:21</v>
          </cell>
          <cell r="AH76" t="str">
            <v/>
          </cell>
          <cell r="AI76">
            <v>21</v>
          </cell>
          <cell r="AJ76">
            <v>10</v>
          </cell>
          <cell r="AK76">
            <v>21</v>
          </cell>
          <cell r="AL76">
            <v>5</v>
          </cell>
          <cell r="AM76">
            <v>0</v>
          </cell>
          <cell r="AN76">
            <v>0</v>
          </cell>
        </row>
        <row r="77">
          <cell r="A77" t="str">
            <v/>
          </cell>
          <cell r="B77" t="str">
            <v>Emilia JAWORSKA (MKS Spartakus Niepołomice)</v>
          </cell>
          <cell r="H77" t="str">
            <v>J3786</v>
          </cell>
          <cell r="K77" t="str">
            <v>B4184</v>
          </cell>
          <cell r="N77" t="str">
            <v>Milena BAŁON (SKB Suwałki)</v>
          </cell>
        </row>
        <row r="78">
          <cell r="A78" t="str">
            <v/>
          </cell>
          <cell r="B78" t="str">
            <v>Magdalena MACHNIK (UKS Orbitek Straszęcin)</v>
          </cell>
          <cell r="H78" t="str">
            <v>M3661</v>
          </cell>
          <cell r="K78" t="str">
            <v>K3474</v>
          </cell>
          <cell r="N78" t="str">
            <v>Joanna KRYSIAK (SKB Suwałki)</v>
          </cell>
        </row>
        <row r="80">
          <cell r="B80" t="str">
            <v>zwycięzca(cy): 21:10,21:5</v>
          </cell>
          <cell r="K80" t="str">
            <v/>
          </cell>
        </row>
        <row r="81">
          <cell r="B81">
            <v>1</v>
          </cell>
          <cell r="C81" t="str">
            <v>dzień turnieju.</v>
          </cell>
          <cell r="I81" t="str">
            <v>Nr meczu</v>
          </cell>
          <cell r="N81" t="str">
            <v>Godz.</v>
          </cell>
          <cell r="R81" t="str">
            <v>S. prow.</v>
          </cell>
          <cell r="S81" t="str">
            <v>JANECKI Andrzej</v>
          </cell>
          <cell r="AF81" t="str">
            <v>wygrany</v>
          </cell>
          <cell r="AG81" t="str">
            <v>przegrany</v>
          </cell>
        </row>
        <row r="82">
          <cell r="B82" t="str">
            <v>Boisko</v>
          </cell>
          <cell r="C82" t="str">
            <v>Gra</v>
          </cell>
          <cell r="I82">
            <v>12</v>
          </cell>
          <cell r="N82" t="str">
            <v>rozp.</v>
          </cell>
          <cell r="P82" t="str">
            <v>zak.</v>
          </cell>
          <cell r="R82" t="str">
            <v>S. serw.</v>
          </cell>
        </row>
        <row r="83">
          <cell r="A83">
            <v>12</v>
          </cell>
          <cell r="B83">
            <v>5</v>
          </cell>
          <cell r="C83" t="str">
            <v>podwójna dziewcząt JM</v>
          </cell>
          <cell r="H83">
            <v>21</v>
          </cell>
          <cell r="I83">
            <v>19</v>
          </cell>
          <cell r="J83">
            <v>21</v>
          </cell>
          <cell r="K83">
            <v>14</v>
          </cell>
          <cell r="N83">
            <v>0.51874999999999993</v>
          </cell>
          <cell r="P83">
            <v>0.53402777777777777</v>
          </cell>
          <cell r="R83">
            <v>1.5277777777777835E-2</v>
          </cell>
          <cell r="S83" t="str">
            <v>pt 12:00</v>
          </cell>
          <cell r="X83">
            <v>12</v>
          </cell>
          <cell r="Y83" t="str">
            <v>podwójna dziewcząt JM</v>
          </cell>
          <cell r="Z83" t="str">
            <v>Ś3779</v>
          </cell>
          <cell r="AA83" t="str">
            <v>W4435</v>
          </cell>
          <cell r="AB83" t="str">
            <v>K3437</v>
          </cell>
          <cell r="AC83" t="str">
            <v>M3790</v>
          </cell>
          <cell r="AD83" t="str">
            <v>Ś3779</v>
          </cell>
          <cell r="AE83" t="str">
            <v>W4435</v>
          </cell>
          <cell r="AF83" t="str">
            <v>21:19,21:14</v>
          </cell>
          <cell r="AG83" t="str">
            <v>19:21,14:21</v>
          </cell>
          <cell r="AH83" t="str">
            <v/>
          </cell>
          <cell r="AI83">
            <v>21</v>
          </cell>
          <cell r="AJ83">
            <v>19</v>
          </cell>
          <cell r="AK83">
            <v>21</v>
          </cell>
          <cell r="AL83">
            <v>14</v>
          </cell>
          <cell r="AM83">
            <v>0</v>
          </cell>
          <cell r="AN83">
            <v>0</v>
          </cell>
        </row>
        <row r="84">
          <cell r="A84" t="str">
            <v/>
          </cell>
          <cell r="B84" t="str">
            <v>Magdalena ŚWIERCZYŃSKA (UKS Orkan Przeźmierowo)</v>
          </cell>
          <cell r="H84" t="str">
            <v>Ś3779</v>
          </cell>
          <cell r="K84" t="str">
            <v>K3437</v>
          </cell>
          <cell r="N84" t="str">
            <v>Kornelia KOWALCZYK (UKS Kometa Sianów)</v>
          </cell>
        </row>
        <row r="85">
          <cell r="A85" t="str">
            <v/>
          </cell>
          <cell r="B85" t="str">
            <v>Karolina WŁADZIŃSKA (----)</v>
          </cell>
          <cell r="H85" t="str">
            <v>W4435</v>
          </cell>
          <cell r="K85" t="str">
            <v>M3790</v>
          </cell>
          <cell r="N85" t="str">
            <v>Kornelia MARCZAK (UKS Plesbad Pszczyna)</v>
          </cell>
        </row>
        <row r="87">
          <cell r="B87" t="str">
            <v>zwycięzca(cy): 21:19,21:14</v>
          </cell>
          <cell r="K87" t="str">
            <v/>
          </cell>
        </row>
        <row r="88">
          <cell r="B88">
            <v>1</v>
          </cell>
          <cell r="C88" t="str">
            <v>dzień turnieju.</v>
          </cell>
          <cell r="I88" t="str">
            <v>Nr meczu</v>
          </cell>
          <cell r="N88" t="str">
            <v>Godz.</v>
          </cell>
          <cell r="R88" t="str">
            <v>S. prow.</v>
          </cell>
          <cell r="AF88" t="str">
            <v>wygrany</v>
          </cell>
          <cell r="AG88" t="str">
            <v>przegrany</v>
          </cell>
        </row>
        <row r="89">
          <cell r="B89" t="str">
            <v>Boisko</v>
          </cell>
          <cell r="C89" t="str">
            <v>Gra</v>
          </cell>
          <cell r="I89">
            <v>13</v>
          </cell>
          <cell r="N89" t="str">
            <v>rozp.</v>
          </cell>
          <cell r="P89" t="str">
            <v>zak.</v>
          </cell>
          <cell r="R89" t="str">
            <v>S. serw.</v>
          </cell>
        </row>
        <row r="90">
          <cell r="A90">
            <v>13</v>
          </cell>
          <cell r="B90">
            <v>8</v>
          </cell>
          <cell r="C90" t="str">
            <v>podwójna chłopców JM</v>
          </cell>
          <cell r="H90">
            <v>22</v>
          </cell>
          <cell r="I90">
            <v>24</v>
          </cell>
          <cell r="J90">
            <v>21</v>
          </cell>
          <cell r="K90">
            <v>8</v>
          </cell>
          <cell r="L90">
            <v>21</v>
          </cell>
          <cell r="M90">
            <v>16</v>
          </cell>
          <cell r="N90">
            <v>0.51388888888888895</v>
          </cell>
          <cell r="P90">
            <v>0.53333333333333333</v>
          </cell>
          <cell r="R90">
            <v>1.9444444444444375E-2</v>
          </cell>
          <cell r="S90" t="str">
            <v>pt 12:30</v>
          </cell>
          <cell r="X90">
            <v>13</v>
          </cell>
          <cell r="Y90" t="str">
            <v>podwójna chłopców JM</v>
          </cell>
          <cell r="Z90" t="str">
            <v>F4048</v>
          </cell>
          <cell r="AA90" t="str">
            <v>W4049</v>
          </cell>
          <cell r="AB90" t="str">
            <v>K4841</v>
          </cell>
          <cell r="AC90" t="str">
            <v>S3778</v>
          </cell>
          <cell r="AD90" t="str">
            <v>F4048</v>
          </cell>
          <cell r="AE90" t="str">
            <v>W4049</v>
          </cell>
          <cell r="AF90" t="str">
            <v>22:24,21:8,21:16</v>
          </cell>
          <cell r="AG90" t="str">
            <v>24:22,8:21,16:21</v>
          </cell>
          <cell r="AH90" t="str">
            <v/>
          </cell>
          <cell r="AI90">
            <v>22</v>
          </cell>
          <cell r="AJ90">
            <v>24</v>
          </cell>
          <cell r="AK90">
            <v>21</v>
          </cell>
          <cell r="AL90">
            <v>8</v>
          </cell>
          <cell r="AM90">
            <v>21</v>
          </cell>
          <cell r="AN90">
            <v>16</v>
          </cell>
        </row>
        <row r="91">
          <cell r="A91" t="str">
            <v/>
          </cell>
          <cell r="B91" t="str">
            <v>Konrad FRĄTCZAK (UKS Iskra Sarbice)</v>
          </cell>
          <cell r="H91" t="str">
            <v>F4048</v>
          </cell>
          <cell r="K91" t="str">
            <v>K4841</v>
          </cell>
          <cell r="N91" t="str">
            <v>Mateusz KĘDZIORA (PTS Puszczykowo)</v>
          </cell>
        </row>
        <row r="92">
          <cell r="A92" t="str">
            <v/>
          </cell>
          <cell r="B92" t="str">
            <v>Kamil WUDARSKI (UKS Iskra Sarbice)</v>
          </cell>
          <cell r="H92" t="str">
            <v>W4049</v>
          </cell>
          <cell r="K92" t="str">
            <v>S3778</v>
          </cell>
          <cell r="N92" t="str">
            <v>Damian SADALSKI (UKS Orkan Przeźmierowo)</v>
          </cell>
        </row>
        <row r="94">
          <cell r="B94" t="str">
            <v>zwycięzca(cy): 22:24,21:8,21:16</v>
          </cell>
          <cell r="K94" t="str">
            <v/>
          </cell>
        </row>
        <row r="95">
          <cell r="B95">
            <v>1</v>
          </cell>
          <cell r="C95" t="str">
            <v>dzień turnieju.</v>
          </cell>
          <cell r="I95" t="str">
            <v>Nr meczu</v>
          </cell>
          <cell r="N95" t="str">
            <v>Godz.</v>
          </cell>
          <cell r="R95" t="str">
            <v>S. prow.</v>
          </cell>
          <cell r="AF95" t="str">
            <v>wygrany</v>
          </cell>
          <cell r="AG95" t="str">
            <v>przegrany</v>
          </cell>
        </row>
        <row r="96">
          <cell r="B96" t="str">
            <v>Boisko</v>
          </cell>
          <cell r="C96" t="str">
            <v>Gra</v>
          </cell>
          <cell r="I96">
            <v>14</v>
          </cell>
          <cell r="N96" t="str">
            <v>rozp.</v>
          </cell>
          <cell r="P96" t="str">
            <v>zak.</v>
          </cell>
          <cell r="R96" t="str">
            <v>S. serw.</v>
          </cell>
        </row>
        <row r="97">
          <cell r="A97">
            <v>14</v>
          </cell>
          <cell r="B97">
            <v>2</v>
          </cell>
          <cell r="C97" t="str">
            <v>podwójna chłopców JM</v>
          </cell>
          <cell r="H97">
            <v>15</v>
          </cell>
          <cell r="I97">
            <v>21</v>
          </cell>
          <cell r="J97">
            <v>12</v>
          </cell>
          <cell r="K97">
            <v>21</v>
          </cell>
          <cell r="N97">
            <v>0.52777777777777779</v>
          </cell>
          <cell r="P97">
            <v>0.54166666666666663</v>
          </cell>
          <cell r="R97">
            <v>1.388888888888884E-2</v>
          </cell>
          <cell r="S97" t="str">
            <v>pt 12:30</v>
          </cell>
          <cell r="X97">
            <v>14</v>
          </cell>
          <cell r="Y97" t="str">
            <v>podwójna chłopców JM</v>
          </cell>
          <cell r="Z97" t="str">
            <v>G4333</v>
          </cell>
          <cell r="AA97" t="str">
            <v>L4037</v>
          </cell>
          <cell r="AB97" t="str">
            <v>F4256</v>
          </cell>
          <cell r="AC97" t="str">
            <v>O2779</v>
          </cell>
          <cell r="AD97" t="str">
            <v>F4256</v>
          </cell>
          <cell r="AE97" t="str">
            <v>O2779</v>
          </cell>
          <cell r="AF97" t="str">
            <v>21:15,21:12</v>
          </cell>
          <cell r="AG97" t="str">
            <v>15:21,12:21</v>
          </cell>
          <cell r="AH97" t="str">
            <v/>
          </cell>
          <cell r="AI97">
            <v>15</v>
          </cell>
          <cell r="AJ97">
            <v>21</v>
          </cell>
          <cell r="AK97">
            <v>12</v>
          </cell>
          <cell r="AL97">
            <v>21</v>
          </cell>
          <cell r="AM97">
            <v>0</v>
          </cell>
          <cell r="AN97">
            <v>0</v>
          </cell>
        </row>
        <row r="98">
          <cell r="A98" t="str">
            <v/>
          </cell>
          <cell r="B98" t="str">
            <v>Michał GIELECKI (UKS Kiko Zamość)</v>
          </cell>
          <cell r="H98" t="str">
            <v>G4333</v>
          </cell>
          <cell r="K98" t="str">
            <v>F4256</v>
          </cell>
          <cell r="N98" t="str">
            <v>Kacper FRYSZCZYN (KS Hubertus Zalesie Górne)</v>
          </cell>
        </row>
        <row r="99">
          <cell r="A99" t="str">
            <v/>
          </cell>
          <cell r="B99" t="str">
            <v>Patryk LEPIANKA (UKS Kiko Zamość)</v>
          </cell>
          <cell r="H99" t="str">
            <v>L4037</v>
          </cell>
          <cell r="K99" t="str">
            <v>O2779</v>
          </cell>
          <cell r="N99" t="str">
            <v>Szymon OLEARCZUK (AZSWAT Warszawa)</v>
          </cell>
        </row>
        <row r="101">
          <cell r="B101" t="str">
            <v/>
          </cell>
          <cell r="K101" t="str">
            <v>zwycięzca(cy): 21:15,21:12</v>
          </cell>
        </row>
        <row r="102">
          <cell r="B102">
            <v>1</v>
          </cell>
          <cell r="C102" t="str">
            <v>dzień turnieju.</v>
          </cell>
          <cell r="I102" t="str">
            <v>Nr meczu</v>
          </cell>
          <cell r="N102" t="str">
            <v>Godz.</v>
          </cell>
          <cell r="R102" t="str">
            <v>S. prow.</v>
          </cell>
          <cell r="AF102" t="str">
            <v>wygrany</v>
          </cell>
          <cell r="AG102" t="str">
            <v>przegrany</v>
          </cell>
        </row>
        <row r="103">
          <cell r="B103" t="str">
            <v>Boisko</v>
          </cell>
          <cell r="C103" t="str">
            <v>Gra</v>
          </cell>
          <cell r="I103">
            <v>15</v>
          </cell>
          <cell r="N103" t="str">
            <v>rozp.</v>
          </cell>
          <cell r="P103" t="str">
            <v>zak.</v>
          </cell>
          <cell r="R103" t="str">
            <v>S. serw.</v>
          </cell>
        </row>
        <row r="104">
          <cell r="A104">
            <v>15</v>
          </cell>
          <cell r="B104">
            <v>6</v>
          </cell>
          <cell r="C104" t="str">
            <v>podwójna chłopców JM</v>
          </cell>
          <cell r="H104">
            <v>15</v>
          </cell>
          <cell r="I104">
            <v>21</v>
          </cell>
          <cell r="J104">
            <v>22</v>
          </cell>
          <cell r="K104">
            <v>24</v>
          </cell>
          <cell r="N104">
            <v>0.52083333333333337</v>
          </cell>
          <cell r="P104">
            <v>0.54027777777777775</v>
          </cell>
          <cell r="R104">
            <v>1.9444444444444375E-2</v>
          </cell>
          <cell r="S104" t="str">
            <v>pt 12:30</v>
          </cell>
          <cell r="X104">
            <v>15</v>
          </cell>
          <cell r="Y104" t="str">
            <v>podwójna chłopców JM</v>
          </cell>
          <cell r="Z104" t="str">
            <v>B4079</v>
          </cell>
          <cell r="AA104" t="str">
            <v>L4078</v>
          </cell>
          <cell r="AB104" t="str">
            <v>D3323</v>
          </cell>
          <cell r="AC104" t="str">
            <v>M4225</v>
          </cell>
          <cell r="AD104" t="str">
            <v>D3323</v>
          </cell>
          <cell r="AE104" t="str">
            <v>M4225</v>
          </cell>
          <cell r="AF104" t="str">
            <v>21:15,24:22</v>
          </cell>
          <cell r="AG104" t="str">
            <v>15:21,22:24</v>
          </cell>
          <cell r="AH104" t="str">
            <v/>
          </cell>
          <cell r="AI104">
            <v>15</v>
          </cell>
          <cell r="AJ104">
            <v>21</v>
          </cell>
          <cell r="AK104">
            <v>22</v>
          </cell>
          <cell r="AL104">
            <v>24</v>
          </cell>
          <cell r="AM104">
            <v>0</v>
          </cell>
          <cell r="AN104">
            <v>0</v>
          </cell>
        </row>
        <row r="105">
          <cell r="A105" t="str">
            <v/>
          </cell>
          <cell r="B105" t="str">
            <v>Kamil BARTKIEWICZ (UKS Ząbkowice Dąbrowa Górn.)</v>
          </cell>
          <cell r="H105" t="str">
            <v>B4079</v>
          </cell>
          <cell r="K105" t="str">
            <v>D3323</v>
          </cell>
          <cell r="N105" t="str">
            <v>Mateusz DANIELAK (KKS Ruch Piotrków Tryb.)</v>
          </cell>
        </row>
        <row r="106">
          <cell r="A106" t="str">
            <v/>
          </cell>
          <cell r="B106" t="str">
            <v>Norbert LECH (UKS Ząbkowice Dąbrowa Górn.)</v>
          </cell>
          <cell r="H106" t="str">
            <v>L4078</v>
          </cell>
          <cell r="K106" t="str">
            <v>M4225</v>
          </cell>
          <cell r="N106" t="str">
            <v>Bartosz MARKIEWICZ (MLKS Solec Kuj.)</v>
          </cell>
        </row>
        <row r="108">
          <cell r="B108" t="str">
            <v/>
          </cell>
          <cell r="K108" t="str">
            <v>zwycięzca(cy): 21:15,24:22</v>
          </cell>
        </row>
        <row r="109">
          <cell r="B109">
            <v>1</v>
          </cell>
          <cell r="C109" t="str">
            <v>dzień turnieju.</v>
          </cell>
          <cell r="I109" t="str">
            <v>Nr meczu</v>
          </cell>
          <cell r="N109" t="str">
            <v>Godz.</v>
          </cell>
          <cell r="R109" t="str">
            <v>S. prow.</v>
          </cell>
          <cell r="AF109" t="str">
            <v>wygrany</v>
          </cell>
          <cell r="AG109" t="str">
            <v>przegrany</v>
          </cell>
        </row>
        <row r="110">
          <cell r="B110" t="str">
            <v>Boisko</v>
          </cell>
          <cell r="C110" t="str">
            <v>Gra</v>
          </cell>
          <cell r="I110">
            <v>16</v>
          </cell>
          <cell r="N110" t="str">
            <v>rozp.</v>
          </cell>
          <cell r="P110" t="str">
            <v>zak.</v>
          </cell>
          <cell r="R110" t="str">
            <v>S. serw.</v>
          </cell>
        </row>
        <row r="111">
          <cell r="A111">
            <v>16</v>
          </cell>
          <cell r="B111">
            <v>7</v>
          </cell>
          <cell r="C111" t="str">
            <v>podwójna chłopców JM</v>
          </cell>
          <cell r="H111">
            <v>21</v>
          </cell>
          <cell r="I111">
            <v>11</v>
          </cell>
          <cell r="J111">
            <v>21</v>
          </cell>
          <cell r="K111">
            <v>12</v>
          </cell>
          <cell r="N111">
            <v>0.52083333333333337</v>
          </cell>
          <cell r="P111">
            <v>0.54027777777777775</v>
          </cell>
          <cell r="R111">
            <v>1.9444444444444375E-2</v>
          </cell>
          <cell r="S111" t="str">
            <v>pt 12:30</v>
          </cell>
          <cell r="X111">
            <v>16</v>
          </cell>
          <cell r="Y111" t="str">
            <v>podwójna chłopców JM</v>
          </cell>
          <cell r="Z111" t="str">
            <v>M3524</v>
          </cell>
          <cell r="AA111" t="str">
            <v>M4193</v>
          </cell>
          <cell r="AB111" t="str">
            <v>K3867</v>
          </cell>
          <cell r="AC111" t="str">
            <v>Ś3865</v>
          </cell>
          <cell r="AD111" t="str">
            <v>M3524</v>
          </cell>
          <cell r="AE111" t="str">
            <v>M4193</v>
          </cell>
          <cell r="AF111" t="str">
            <v>21:11,21:12</v>
          </cell>
          <cell r="AG111" t="str">
            <v>11:21,12:21</v>
          </cell>
          <cell r="AH111" t="str">
            <v/>
          </cell>
          <cell r="AI111">
            <v>21</v>
          </cell>
          <cell r="AJ111">
            <v>11</v>
          </cell>
          <cell r="AK111">
            <v>21</v>
          </cell>
          <cell r="AL111">
            <v>12</v>
          </cell>
          <cell r="AM111">
            <v>0</v>
          </cell>
          <cell r="AN111">
            <v>0</v>
          </cell>
        </row>
        <row r="112">
          <cell r="A112" t="str">
            <v/>
          </cell>
          <cell r="B112" t="str">
            <v>Dawid MAZUR (LKS Technik Głubczyce)</v>
          </cell>
          <cell r="H112" t="str">
            <v>M3524</v>
          </cell>
          <cell r="K112" t="str">
            <v>K3867</v>
          </cell>
          <cell r="N112" t="str">
            <v>Patryk KOPEĆ (MKS Stal Nowa Dęba)</v>
          </cell>
        </row>
        <row r="113">
          <cell r="A113" t="str">
            <v/>
          </cell>
          <cell r="B113" t="str">
            <v>Robert MIRGA (LKS Technik Głubczyce)</v>
          </cell>
          <cell r="H113" t="str">
            <v>M4193</v>
          </cell>
          <cell r="K113" t="str">
            <v>Ś3865</v>
          </cell>
          <cell r="N113" t="str">
            <v>Ernest ŚCIPIEŃ (MKS Stal Nowa Dęba)</v>
          </cell>
        </row>
        <row r="115">
          <cell r="B115" t="str">
            <v>zwycięzca(cy): 21:11,21:12</v>
          </cell>
          <cell r="K115" t="str">
            <v/>
          </cell>
        </row>
        <row r="116">
          <cell r="B116">
            <v>1</v>
          </cell>
          <cell r="C116" t="str">
            <v>dzień turnieju.</v>
          </cell>
          <cell r="I116" t="str">
            <v>Nr meczu</v>
          </cell>
          <cell r="N116" t="str">
            <v>Godz.</v>
          </cell>
          <cell r="R116" t="str">
            <v>S. prow.</v>
          </cell>
          <cell r="AF116" t="str">
            <v>wygrany</v>
          </cell>
          <cell r="AG116" t="str">
            <v>przegrany</v>
          </cell>
        </row>
        <row r="117">
          <cell r="B117" t="str">
            <v>Boisko</v>
          </cell>
          <cell r="C117" t="str">
            <v>Gra</v>
          </cell>
          <cell r="I117">
            <v>17</v>
          </cell>
          <cell r="N117" t="str">
            <v>rozp.</v>
          </cell>
          <cell r="P117" t="str">
            <v>zak.</v>
          </cell>
          <cell r="R117" t="str">
            <v>S. serw.</v>
          </cell>
        </row>
        <row r="118">
          <cell r="A118">
            <v>17</v>
          </cell>
          <cell r="B118">
            <v>4</v>
          </cell>
          <cell r="C118" t="str">
            <v>podwójna chłopców JM</v>
          </cell>
          <cell r="H118">
            <v>15</v>
          </cell>
          <cell r="I118">
            <v>21</v>
          </cell>
          <cell r="J118">
            <v>13</v>
          </cell>
          <cell r="K118">
            <v>21</v>
          </cell>
          <cell r="N118">
            <v>0.53472222222222221</v>
          </cell>
          <cell r="P118">
            <v>0.55208333333333337</v>
          </cell>
          <cell r="R118">
            <v>1.736111111111116E-2</v>
          </cell>
          <cell r="S118" t="str">
            <v>pt 12:30</v>
          </cell>
          <cell r="X118">
            <v>17</v>
          </cell>
          <cell r="Y118" t="str">
            <v>podwójna chłopców JM</v>
          </cell>
          <cell r="Z118" t="str">
            <v>P4202</v>
          </cell>
          <cell r="AA118" t="str">
            <v>W4270</v>
          </cell>
          <cell r="AB118" t="str">
            <v>J2970</v>
          </cell>
          <cell r="AC118" t="str">
            <v>J3436</v>
          </cell>
          <cell r="AD118" t="str">
            <v>J2970</v>
          </cell>
          <cell r="AE118" t="str">
            <v>J3436</v>
          </cell>
          <cell r="AF118" t="str">
            <v>21:15,21:13</v>
          </cell>
          <cell r="AG118" t="str">
            <v>15:21,13:21</v>
          </cell>
          <cell r="AH118" t="str">
            <v/>
          </cell>
          <cell r="AI118">
            <v>15</v>
          </cell>
          <cell r="AJ118">
            <v>21</v>
          </cell>
          <cell r="AK118">
            <v>13</v>
          </cell>
          <cell r="AL118">
            <v>21</v>
          </cell>
          <cell r="AM118">
            <v>0</v>
          </cell>
          <cell r="AN118">
            <v>0</v>
          </cell>
        </row>
        <row r="119">
          <cell r="A119" t="str">
            <v/>
          </cell>
          <cell r="B119" t="str">
            <v>Bartłomiej PARYSZ (UKS Unia Bieruń)</v>
          </cell>
          <cell r="H119" t="str">
            <v>P4202</v>
          </cell>
          <cell r="K119" t="str">
            <v>J2970</v>
          </cell>
          <cell r="N119" t="str">
            <v>Aleksander JABŁOŃSKI (UKS Hubal Białystok)</v>
          </cell>
        </row>
        <row r="120">
          <cell r="A120" t="str">
            <v/>
          </cell>
          <cell r="B120" t="str">
            <v>Jędrzej WACHOWSKI (STB Energia Lubliniec)</v>
          </cell>
          <cell r="H120" t="str">
            <v>W4270</v>
          </cell>
          <cell r="K120" t="str">
            <v>J3436</v>
          </cell>
          <cell r="N120" t="str">
            <v>Patryk JAS (UKS Kometa Sianów)</v>
          </cell>
        </row>
        <row r="122">
          <cell r="B122" t="str">
            <v/>
          </cell>
          <cell r="K122" t="str">
            <v>zwycięzca(cy): 21:15,21:13</v>
          </cell>
        </row>
        <row r="123">
          <cell r="B123">
            <v>1</v>
          </cell>
          <cell r="C123" t="str">
            <v>dzień turnieju.</v>
          </cell>
          <cell r="I123" t="str">
            <v>Nr meczu</v>
          </cell>
          <cell r="N123" t="str">
            <v>Godz.</v>
          </cell>
          <cell r="R123" t="str">
            <v>S. prow.</v>
          </cell>
          <cell r="AF123" t="str">
            <v>wygrany</v>
          </cell>
          <cell r="AG123" t="str">
            <v>przegrany</v>
          </cell>
        </row>
        <row r="124">
          <cell r="B124" t="str">
            <v>Boisko</v>
          </cell>
          <cell r="C124" t="str">
            <v>Gra</v>
          </cell>
          <cell r="I124">
            <v>18</v>
          </cell>
          <cell r="N124" t="str">
            <v>rozp.</v>
          </cell>
          <cell r="P124" t="str">
            <v>zak.</v>
          </cell>
          <cell r="R124" t="str">
            <v>S. serw.</v>
          </cell>
        </row>
        <row r="125">
          <cell r="A125">
            <v>18</v>
          </cell>
          <cell r="C125" t="str">
            <v>pojedyncza dziewcząt JM</v>
          </cell>
          <cell r="H125">
            <v>21</v>
          </cell>
          <cell r="I125">
            <v>0</v>
          </cell>
          <cell r="J125">
            <v>21</v>
          </cell>
          <cell r="K125">
            <v>0</v>
          </cell>
          <cell r="R125">
            <v>0</v>
          </cell>
          <cell r="S125" t="str">
            <v>pt 13:00</v>
          </cell>
          <cell r="X125">
            <v>18</v>
          </cell>
          <cell r="Y125" t="str">
            <v>pojedyncza dziewcząt JM</v>
          </cell>
          <cell r="Z125" t="str">
            <v>W4435</v>
          </cell>
          <cell r="AA125" t="str">
            <v/>
          </cell>
          <cell r="AB125" t="str">
            <v>X42</v>
          </cell>
          <cell r="AC125" t="str">
            <v/>
          </cell>
          <cell r="AD125" t="str">
            <v>W4435</v>
          </cell>
          <cell r="AE125" t="str">
            <v/>
          </cell>
          <cell r="AF125" t="str">
            <v>21:0,21:0</v>
          </cell>
          <cell r="AG125" t="str">
            <v>0:21,0:21</v>
          </cell>
          <cell r="AH125" t="str">
            <v/>
          </cell>
          <cell r="AI125">
            <v>21</v>
          </cell>
          <cell r="AJ125">
            <v>0</v>
          </cell>
          <cell r="AK125">
            <v>21</v>
          </cell>
          <cell r="AL125">
            <v>0</v>
          </cell>
          <cell r="AM125">
            <v>0</v>
          </cell>
          <cell r="AN125">
            <v>0</v>
          </cell>
        </row>
        <row r="126">
          <cell r="A126" t="str">
            <v/>
          </cell>
          <cell r="B126" t="str">
            <v>Karolina WŁADZIŃSKA (----)</v>
          </cell>
          <cell r="H126" t="str">
            <v>W4435</v>
          </cell>
          <cell r="K126" t="str">
            <v>X42</v>
          </cell>
          <cell r="N126" t="str">
            <v>Karolina Grygierová  (Slavoj Cesky Tesin)</v>
          </cell>
        </row>
        <row r="127">
          <cell r="A127" t="str">
            <v/>
          </cell>
          <cell r="B127" t="str">
            <v/>
          </cell>
          <cell r="H127" t="str">
            <v/>
          </cell>
          <cell r="K127" t="str">
            <v/>
          </cell>
          <cell r="N127" t="str">
            <v/>
          </cell>
        </row>
        <row r="129">
          <cell r="B129" t="str">
            <v>zwycięzca(cy): 21:0,21:0</v>
          </cell>
          <cell r="K129" t="str">
            <v/>
          </cell>
        </row>
        <row r="130">
          <cell r="B130">
            <v>1</v>
          </cell>
          <cell r="C130" t="str">
            <v>dzień turnieju.</v>
          </cell>
          <cell r="I130" t="str">
            <v>Nr meczu</v>
          </cell>
          <cell r="N130" t="str">
            <v>Godz.</v>
          </cell>
          <cell r="R130" t="str">
            <v>S. prow.</v>
          </cell>
          <cell r="AF130" t="str">
            <v>wygrany</v>
          </cell>
          <cell r="AG130" t="str">
            <v>przegrany</v>
          </cell>
        </row>
        <row r="131">
          <cell r="B131" t="str">
            <v>Boisko</v>
          </cell>
          <cell r="C131" t="str">
            <v>Gra</v>
          </cell>
          <cell r="I131">
            <v>19</v>
          </cell>
          <cell r="N131" t="str">
            <v>rozp.</v>
          </cell>
          <cell r="P131" t="str">
            <v>zak.</v>
          </cell>
          <cell r="R131" t="str">
            <v>S. serw.</v>
          </cell>
        </row>
        <row r="132">
          <cell r="A132">
            <v>19</v>
          </cell>
          <cell r="B132">
            <v>2</v>
          </cell>
          <cell r="C132" t="str">
            <v>pojedyncza dziewcząt JM</v>
          </cell>
          <cell r="H132">
            <v>21</v>
          </cell>
          <cell r="I132">
            <v>3</v>
          </cell>
          <cell r="J132">
            <v>21</v>
          </cell>
          <cell r="K132">
            <v>7</v>
          </cell>
          <cell r="N132">
            <v>0.54513888888888895</v>
          </cell>
          <cell r="P132">
            <v>0.55555555555555558</v>
          </cell>
          <cell r="R132">
            <v>1.041666666666663E-2</v>
          </cell>
          <cell r="S132" t="str">
            <v>pt 13:00</v>
          </cell>
          <cell r="X132">
            <v>19</v>
          </cell>
          <cell r="Y132" t="str">
            <v>pojedyncza dziewcząt JM</v>
          </cell>
          <cell r="Z132" t="str">
            <v>n3738</v>
          </cell>
          <cell r="AA132" t="str">
            <v/>
          </cell>
          <cell r="AB132" t="str">
            <v>P4482</v>
          </cell>
          <cell r="AC132" t="str">
            <v/>
          </cell>
          <cell r="AD132" t="str">
            <v>n3738</v>
          </cell>
          <cell r="AE132" t="str">
            <v/>
          </cell>
          <cell r="AF132" t="str">
            <v>21:3,21:7</v>
          </cell>
          <cell r="AG132" t="str">
            <v>3:21,7:21</v>
          </cell>
          <cell r="AH132" t="str">
            <v/>
          </cell>
          <cell r="AI132">
            <v>21</v>
          </cell>
          <cell r="AJ132">
            <v>3</v>
          </cell>
          <cell r="AK132">
            <v>21</v>
          </cell>
          <cell r="AL132">
            <v>7</v>
          </cell>
          <cell r="AM132">
            <v>0</v>
          </cell>
          <cell r="AN132">
            <v>0</v>
          </cell>
        </row>
        <row r="133">
          <cell r="A133" t="str">
            <v/>
          </cell>
          <cell r="B133" t="str">
            <v>Aneta NIKLAS (ULKS U-2 Lotka Bytów)</v>
          </cell>
          <cell r="H133" t="str">
            <v>n3738</v>
          </cell>
          <cell r="K133" t="str">
            <v>P4482</v>
          </cell>
          <cell r="N133" t="str">
            <v>Oliwia PIOTROWSKA (UKS Kiko Zamość)</v>
          </cell>
        </row>
        <row r="134">
          <cell r="A134" t="str">
            <v/>
          </cell>
          <cell r="B134" t="str">
            <v/>
          </cell>
          <cell r="H134" t="str">
            <v/>
          </cell>
          <cell r="K134" t="str">
            <v/>
          </cell>
          <cell r="N134" t="str">
            <v/>
          </cell>
        </row>
        <row r="136">
          <cell r="B136" t="str">
            <v>zwycięzca(cy): 21:3,21:7</v>
          </cell>
          <cell r="K136" t="str">
            <v/>
          </cell>
        </row>
        <row r="137">
          <cell r="B137">
            <v>1</v>
          </cell>
          <cell r="C137" t="str">
            <v>dzień turnieju.</v>
          </cell>
          <cell r="I137" t="str">
            <v>Nr meczu</v>
          </cell>
          <cell r="N137" t="str">
            <v>Godz.</v>
          </cell>
          <cell r="R137" t="str">
            <v>S. prow.</v>
          </cell>
          <cell r="S137" t="str">
            <v>JANECKI Andrzej</v>
          </cell>
          <cell r="AF137" t="str">
            <v>wygrany</v>
          </cell>
          <cell r="AG137" t="str">
            <v>przegrany</v>
          </cell>
        </row>
        <row r="138">
          <cell r="B138" t="str">
            <v>Boisko</v>
          </cell>
          <cell r="C138" t="str">
            <v>Gra</v>
          </cell>
          <cell r="I138">
            <v>20</v>
          </cell>
          <cell r="N138" t="str">
            <v>rozp.</v>
          </cell>
          <cell r="P138" t="str">
            <v>zak.</v>
          </cell>
          <cell r="R138" t="str">
            <v>S. serw.</v>
          </cell>
        </row>
        <row r="139">
          <cell r="A139">
            <v>20</v>
          </cell>
          <cell r="B139">
            <v>3</v>
          </cell>
          <cell r="C139" t="str">
            <v>pojedyncza dziewcząt JM</v>
          </cell>
          <cell r="H139">
            <v>21</v>
          </cell>
          <cell r="I139">
            <v>0</v>
          </cell>
          <cell r="J139">
            <v>21</v>
          </cell>
          <cell r="K139">
            <v>0</v>
          </cell>
          <cell r="N139">
            <v>0.54166666666666663</v>
          </cell>
          <cell r="P139">
            <v>0.54513888888888895</v>
          </cell>
          <cell r="R139">
            <v>3.4722222222223209E-3</v>
          </cell>
          <cell r="S139" t="str">
            <v>pt 13:00</v>
          </cell>
          <cell r="X139">
            <v>20</v>
          </cell>
          <cell r="Y139" t="str">
            <v>pojedyncza dziewcząt JM</v>
          </cell>
          <cell r="Z139" t="str">
            <v>J3786</v>
          </cell>
          <cell r="AA139" t="str">
            <v/>
          </cell>
          <cell r="AB139" t="str">
            <v>X67</v>
          </cell>
          <cell r="AC139" t="str">
            <v/>
          </cell>
          <cell r="AD139" t="str">
            <v>J3786</v>
          </cell>
          <cell r="AE139" t="str">
            <v/>
          </cell>
          <cell r="AF139" t="str">
            <v>21:0,21:0</v>
          </cell>
          <cell r="AG139" t="str">
            <v>0:21,0:21</v>
          </cell>
          <cell r="AH139" t="str">
            <v/>
          </cell>
          <cell r="AI139">
            <v>21</v>
          </cell>
          <cell r="AJ139">
            <v>0</v>
          </cell>
          <cell r="AK139">
            <v>21</v>
          </cell>
          <cell r="AL139">
            <v>0</v>
          </cell>
          <cell r="AM139">
            <v>0</v>
          </cell>
          <cell r="AN139">
            <v>0</v>
          </cell>
        </row>
        <row r="140">
          <cell r="A140" t="str">
            <v/>
          </cell>
          <cell r="B140" t="str">
            <v>Emilia JAWORSKA (MKS Spartakus Niepołomice)</v>
          </cell>
          <cell r="H140" t="str">
            <v>J3786</v>
          </cell>
          <cell r="K140" t="str">
            <v>X67</v>
          </cell>
          <cell r="N140" t="str">
            <v>Katerina BORYSOV (Rosja)</v>
          </cell>
        </row>
        <row r="141">
          <cell r="A141" t="str">
            <v/>
          </cell>
          <cell r="B141" t="str">
            <v/>
          </cell>
          <cell r="H141" t="str">
            <v/>
          </cell>
          <cell r="K141" t="str">
            <v/>
          </cell>
          <cell r="N141" t="str">
            <v/>
          </cell>
        </row>
        <row r="143">
          <cell r="B143" t="str">
            <v>zwycięzca(cy): 21:0,21:0</v>
          </cell>
          <cell r="K143" t="str">
            <v/>
          </cell>
        </row>
        <row r="144">
          <cell r="B144">
            <v>1</v>
          </cell>
          <cell r="C144" t="str">
            <v>dzień turnieju.</v>
          </cell>
          <cell r="I144" t="str">
            <v>Nr meczu</v>
          </cell>
          <cell r="N144" t="str">
            <v>Godz.</v>
          </cell>
          <cell r="R144" t="str">
            <v>S. prow.</v>
          </cell>
          <cell r="S144" t="str">
            <v>JANECKI Andrzej</v>
          </cell>
          <cell r="AF144" t="str">
            <v>wygrany</v>
          </cell>
          <cell r="AG144" t="str">
            <v>przegrany</v>
          </cell>
        </row>
        <row r="145">
          <cell r="B145" t="str">
            <v>Boisko</v>
          </cell>
          <cell r="C145" t="str">
            <v>Gra</v>
          </cell>
          <cell r="I145">
            <v>21</v>
          </cell>
          <cell r="N145" t="str">
            <v>rozp.</v>
          </cell>
          <cell r="P145" t="str">
            <v>zak.</v>
          </cell>
          <cell r="R145" t="str">
            <v>S. serw.</v>
          </cell>
        </row>
        <row r="146">
          <cell r="A146">
            <v>21</v>
          </cell>
          <cell r="B146">
            <v>5</v>
          </cell>
          <cell r="C146" t="str">
            <v>pojedyncza dziewcząt JM</v>
          </cell>
          <cell r="H146">
            <v>21</v>
          </cell>
          <cell r="I146">
            <v>18</v>
          </cell>
          <cell r="J146">
            <v>17</v>
          </cell>
          <cell r="K146">
            <v>21</v>
          </cell>
          <cell r="L146">
            <v>21</v>
          </cell>
          <cell r="M146">
            <v>23</v>
          </cell>
          <cell r="N146">
            <v>0.55347222222222225</v>
          </cell>
          <cell r="P146">
            <v>0.57708333333333328</v>
          </cell>
          <cell r="R146">
            <v>2.3611111111111027E-2</v>
          </cell>
          <cell r="S146" t="str">
            <v>pt 13:00</v>
          </cell>
          <cell r="X146">
            <v>21</v>
          </cell>
          <cell r="Y146" t="str">
            <v>pojedyncza dziewcząt JM</v>
          </cell>
          <cell r="Z146" t="str">
            <v>I4204</v>
          </cell>
          <cell r="AA146" t="str">
            <v/>
          </cell>
          <cell r="AB146" t="str">
            <v>X09</v>
          </cell>
          <cell r="AC146" t="str">
            <v/>
          </cell>
          <cell r="AD146" t="str">
            <v>X09</v>
          </cell>
          <cell r="AE146" t="str">
            <v/>
          </cell>
          <cell r="AF146" t="str">
            <v>18:21,21:17,23:21</v>
          </cell>
          <cell r="AG146" t="str">
            <v>21:18,17:21,21:23</v>
          </cell>
          <cell r="AH146" t="str">
            <v/>
          </cell>
          <cell r="AI146">
            <v>21</v>
          </cell>
          <cell r="AJ146">
            <v>18</v>
          </cell>
          <cell r="AK146">
            <v>17</v>
          </cell>
          <cell r="AL146">
            <v>21</v>
          </cell>
          <cell r="AM146">
            <v>21</v>
          </cell>
          <cell r="AN146">
            <v>23</v>
          </cell>
        </row>
        <row r="147">
          <cell r="A147" t="str">
            <v/>
          </cell>
          <cell r="B147" t="str">
            <v>Agata ISKRA (UKS Unia Bieruń)</v>
          </cell>
          <cell r="H147" t="str">
            <v>I4204</v>
          </cell>
          <cell r="K147" t="str">
            <v>X09</v>
          </cell>
          <cell r="N147" t="str">
            <v>Mariana VERBITSKA (Brześć Białoruś)</v>
          </cell>
        </row>
        <row r="148">
          <cell r="A148" t="str">
            <v/>
          </cell>
          <cell r="B148" t="str">
            <v/>
          </cell>
          <cell r="H148" t="str">
            <v/>
          </cell>
          <cell r="K148" t="str">
            <v/>
          </cell>
          <cell r="N148" t="str">
            <v/>
          </cell>
        </row>
        <row r="150">
          <cell r="B150" t="str">
            <v/>
          </cell>
          <cell r="K150" t="str">
            <v>zwycięzca(cy): 18:21,21:17,23:21</v>
          </cell>
        </row>
        <row r="151">
          <cell r="B151">
            <v>1</v>
          </cell>
          <cell r="C151" t="str">
            <v>dzień turnieju.</v>
          </cell>
          <cell r="I151" t="str">
            <v>Nr meczu</v>
          </cell>
          <cell r="N151" t="str">
            <v>Godz.</v>
          </cell>
          <cell r="R151" t="str">
            <v>S. prow.</v>
          </cell>
          <cell r="AF151" t="str">
            <v>wygrany</v>
          </cell>
          <cell r="AG151" t="str">
            <v>przegrany</v>
          </cell>
        </row>
        <row r="152">
          <cell r="B152" t="str">
            <v>Boisko</v>
          </cell>
          <cell r="C152" t="str">
            <v>Gra</v>
          </cell>
          <cell r="I152">
            <v>22</v>
          </cell>
          <cell r="N152" t="str">
            <v>rozp.</v>
          </cell>
          <cell r="P152" t="str">
            <v>zak.</v>
          </cell>
          <cell r="R152" t="str">
            <v>S. serw.</v>
          </cell>
        </row>
        <row r="153">
          <cell r="A153">
            <v>22</v>
          </cell>
          <cell r="B153">
            <v>1</v>
          </cell>
          <cell r="C153" t="str">
            <v>pojedyncza dziewcząt JM</v>
          </cell>
          <cell r="H153">
            <v>21</v>
          </cell>
          <cell r="I153">
            <v>11</v>
          </cell>
          <cell r="J153">
            <v>21</v>
          </cell>
          <cell r="K153">
            <v>8</v>
          </cell>
          <cell r="N153">
            <v>0.54166666666666663</v>
          </cell>
          <cell r="P153">
            <v>0.55555555555555558</v>
          </cell>
          <cell r="R153">
            <v>1.3888888888888951E-2</v>
          </cell>
          <cell r="S153" t="str">
            <v>pt 13:00</v>
          </cell>
          <cell r="X153">
            <v>22</v>
          </cell>
          <cell r="Y153" t="str">
            <v>pojedyncza dziewcząt JM</v>
          </cell>
          <cell r="Z153" t="str">
            <v>S3617</v>
          </cell>
          <cell r="AA153" t="str">
            <v/>
          </cell>
          <cell r="AB153" t="str">
            <v>M5127</v>
          </cell>
          <cell r="AC153" t="str">
            <v/>
          </cell>
          <cell r="AD153" t="str">
            <v>S3617</v>
          </cell>
          <cell r="AE153" t="str">
            <v/>
          </cell>
          <cell r="AF153" t="str">
            <v>21:11,21:8</v>
          </cell>
          <cell r="AG153" t="str">
            <v>11:21,8:21</v>
          </cell>
          <cell r="AH153" t="str">
            <v/>
          </cell>
          <cell r="AI153">
            <v>21</v>
          </cell>
          <cell r="AJ153">
            <v>11</v>
          </cell>
          <cell r="AK153">
            <v>21</v>
          </cell>
          <cell r="AL153">
            <v>8</v>
          </cell>
          <cell r="AM153">
            <v>0</v>
          </cell>
          <cell r="AN153">
            <v>0</v>
          </cell>
        </row>
        <row r="154">
          <cell r="A154" t="str">
            <v/>
          </cell>
          <cell r="B154" t="str">
            <v>Katarzyna SŁOMBA (UKSB Volant Mielec)</v>
          </cell>
          <cell r="H154" t="str">
            <v>S3617</v>
          </cell>
          <cell r="K154" t="str">
            <v>M5127</v>
          </cell>
          <cell r="N154" t="str">
            <v>Natalia MRÓZ (UKS Korona Pabianice)</v>
          </cell>
        </row>
        <row r="155">
          <cell r="A155" t="str">
            <v/>
          </cell>
          <cell r="B155" t="str">
            <v/>
          </cell>
          <cell r="H155" t="str">
            <v/>
          </cell>
          <cell r="K155" t="str">
            <v/>
          </cell>
          <cell r="N155" t="str">
            <v/>
          </cell>
        </row>
        <row r="157">
          <cell r="B157" t="str">
            <v>zwycięzca(cy): 21:11,21:8</v>
          </cell>
          <cell r="K157" t="str">
            <v/>
          </cell>
        </row>
        <row r="158">
          <cell r="B158">
            <v>1</v>
          </cell>
          <cell r="C158" t="str">
            <v>dzień turnieju.</v>
          </cell>
          <cell r="I158" t="str">
            <v>Nr meczu</v>
          </cell>
          <cell r="N158" t="str">
            <v>Godz.</v>
          </cell>
          <cell r="R158" t="str">
            <v>S. prow.</v>
          </cell>
          <cell r="AF158" t="str">
            <v>wygrany</v>
          </cell>
          <cell r="AG158" t="str">
            <v>przegrany</v>
          </cell>
        </row>
        <row r="159">
          <cell r="B159" t="str">
            <v>Boisko</v>
          </cell>
          <cell r="C159" t="str">
            <v>Gra</v>
          </cell>
          <cell r="I159">
            <v>23</v>
          </cell>
          <cell r="N159" t="str">
            <v>rozp.</v>
          </cell>
          <cell r="P159" t="str">
            <v>zak.</v>
          </cell>
          <cell r="R159" t="str">
            <v>S. serw.</v>
          </cell>
        </row>
        <row r="160">
          <cell r="A160">
            <v>23</v>
          </cell>
          <cell r="B160">
            <v>6</v>
          </cell>
          <cell r="C160" t="str">
            <v>pojedyncza dziewcząt JM</v>
          </cell>
          <cell r="H160">
            <v>21</v>
          </cell>
          <cell r="I160">
            <v>5</v>
          </cell>
          <cell r="J160">
            <v>21</v>
          </cell>
          <cell r="K160">
            <v>1</v>
          </cell>
          <cell r="N160">
            <v>0.54513888888888895</v>
          </cell>
          <cell r="P160">
            <v>0.5625</v>
          </cell>
          <cell r="R160">
            <v>1.7361111111111049E-2</v>
          </cell>
          <cell r="S160" t="str">
            <v>pt 13:00</v>
          </cell>
          <cell r="X160">
            <v>23</v>
          </cell>
          <cell r="Y160" t="str">
            <v>pojedyncza dziewcząt JM</v>
          </cell>
          <cell r="Z160" t="str">
            <v>S4168</v>
          </cell>
          <cell r="AA160" t="str">
            <v/>
          </cell>
          <cell r="AB160" t="str">
            <v>R3720</v>
          </cell>
          <cell r="AC160" t="str">
            <v/>
          </cell>
          <cell r="AD160" t="str">
            <v>S4168</v>
          </cell>
          <cell r="AE160" t="str">
            <v/>
          </cell>
          <cell r="AF160" t="str">
            <v>21:5,21:1</v>
          </cell>
          <cell r="AG160" t="str">
            <v>5:21,1:21</v>
          </cell>
          <cell r="AH160" t="str">
            <v/>
          </cell>
          <cell r="AI160">
            <v>21</v>
          </cell>
          <cell r="AJ160">
            <v>5</v>
          </cell>
          <cell r="AK160">
            <v>21</v>
          </cell>
          <cell r="AL160">
            <v>1</v>
          </cell>
          <cell r="AM160">
            <v>0</v>
          </cell>
          <cell r="AN160">
            <v>0</v>
          </cell>
        </row>
        <row r="161">
          <cell r="A161" t="str">
            <v/>
          </cell>
          <cell r="B161" t="str">
            <v>Agnieszka SZYMASZEK (UKS Orbitek Straszęcin)</v>
          </cell>
          <cell r="H161" t="str">
            <v>S4168</v>
          </cell>
          <cell r="K161" t="str">
            <v>R3720</v>
          </cell>
          <cell r="N161" t="str">
            <v>Barbara RUTKOWSKA (ŚKBad Harcownik Warszawa)</v>
          </cell>
        </row>
        <row r="162">
          <cell r="A162" t="str">
            <v/>
          </cell>
          <cell r="B162" t="str">
            <v/>
          </cell>
          <cell r="H162" t="str">
            <v/>
          </cell>
          <cell r="K162" t="str">
            <v/>
          </cell>
          <cell r="N162" t="str">
            <v/>
          </cell>
        </row>
        <row r="164">
          <cell r="B164" t="str">
            <v>zwycięzca(cy): 21:5,21:1</v>
          </cell>
          <cell r="K164" t="str">
            <v/>
          </cell>
        </row>
        <row r="165">
          <cell r="B165">
            <v>1</v>
          </cell>
          <cell r="C165" t="str">
            <v>dzień turnieju.</v>
          </cell>
          <cell r="I165" t="str">
            <v>Nr meczu</v>
          </cell>
          <cell r="N165" t="str">
            <v>Godz.</v>
          </cell>
          <cell r="R165" t="str">
            <v>S. prow.</v>
          </cell>
          <cell r="AF165" t="str">
            <v>wygrany</v>
          </cell>
          <cell r="AG165" t="str">
            <v>przegrany</v>
          </cell>
        </row>
        <row r="166">
          <cell r="B166" t="str">
            <v>Boisko</v>
          </cell>
          <cell r="C166" t="str">
            <v>Gra</v>
          </cell>
          <cell r="I166">
            <v>24</v>
          </cell>
          <cell r="N166" t="str">
            <v>rozp.</v>
          </cell>
          <cell r="P166" t="str">
            <v>zak.</v>
          </cell>
          <cell r="R166" t="str">
            <v>S. serw.</v>
          </cell>
        </row>
        <row r="167">
          <cell r="A167">
            <v>24</v>
          </cell>
          <cell r="B167">
            <v>3</v>
          </cell>
          <cell r="C167" t="str">
            <v>pojedyncza dziewcząt JM</v>
          </cell>
          <cell r="H167">
            <v>21</v>
          </cell>
          <cell r="I167">
            <v>17</v>
          </cell>
          <cell r="J167">
            <v>21</v>
          </cell>
          <cell r="K167">
            <v>10</v>
          </cell>
          <cell r="N167">
            <v>0.55208333333333337</v>
          </cell>
          <cell r="P167">
            <v>0.56805555555555554</v>
          </cell>
          <cell r="R167">
            <v>1.5972222222222165E-2</v>
          </cell>
          <cell r="S167" t="str">
            <v>pt 13:30</v>
          </cell>
          <cell r="X167">
            <v>24</v>
          </cell>
          <cell r="Y167" t="str">
            <v>pojedyncza dziewcząt JM</v>
          </cell>
          <cell r="Z167" t="str">
            <v>K4207</v>
          </cell>
          <cell r="AA167" t="str">
            <v/>
          </cell>
          <cell r="AB167" t="str">
            <v>K3764</v>
          </cell>
          <cell r="AC167" t="str">
            <v/>
          </cell>
          <cell r="AD167" t="str">
            <v>K4207</v>
          </cell>
          <cell r="AE167" t="str">
            <v/>
          </cell>
          <cell r="AF167" t="str">
            <v>21:17,21:10</v>
          </cell>
          <cell r="AG167" t="str">
            <v>17:21,10:21</v>
          </cell>
          <cell r="AH167" t="str">
            <v/>
          </cell>
          <cell r="AI167">
            <v>21</v>
          </cell>
          <cell r="AJ167">
            <v>17</v>
          </cell>
          <cell r="AK167">
            <v>21</v>
          </cell>
          <cell r="AL167">
            <v>10</v>
          </cell>
          <cell r="AM167">
            <v>0</v>
          </cell>
          <cell r="AN167">
            <v>0</v>
          </cell>
        </row>
        <row r="168">
          <cell r="A168" t="str">
            <v/>
          </cell>
          <cell r="B168" t="str">
            <v>Urszula KARWOWSKA (UKSB Milenium Warszawa)</v>
          </cell>
          <cell r="H168" t="str">
            <v>K4207</v>
          </cell>
          <cell r="K168" t="str">
            <v>K3764</v>
          </cell>
          <cell r="N168" t="str">
            <v>Sandra KUDYK (UKS Kiko Zamość)</v>
          </cell>
        </row>
        <row r="169">
          <cell r="A169" t="str">
            <v/>
          </cell>
          <cell r="B169" t="str">
            <v/>
          </cell>
          <cell r="H169" t="str">
            <v/>
          </cell>
          <cell r="K169" t="str">
            <v/>
          </cell>
          <cell r="N169" t="str">
            <v/>
          </cell>
        </row>
        <row r="171">
          <cell r="B171" t="str">
            <v>zwycięzca(cy): 21:17,21:10</v>
          </cell>
          <cell r="K171" t="str">
            <v/>
          </cell>
        </row>
        <row r="172">
          <cell r="B172">
            <v>1</v>
          </cell>
          <cell r="C172" t="str">
            <v>dzień turnieju.</v>
          </cell>
          <cell r="I172" t="str">
            <v>Nr meczu</v>
          </cell>
          <cell r="N172" t="str">
            <v>Godz.</v>
          </cell>
          <cell r="R172" t="str">
            <v>S. prow.</v>
          </cell>
          <cell r="AF172" t="str">
            <v>wygrany</v>
          </cell>
          <cell r="AG172" t="str">
            <v>przegrany</v>
          </cell>
        </row>
        <row r="173">
          <cell r="B173" t="str">
            <v>Boisko</v>
          </cell>
          <cell r="C173" t="str">
            <v>Gra</v>
          </cell>
          <cell r="I173">
            <v>25</v>
          </cell>
          <cell r="N173" t="str">
            <v>rozp.</v>
          </cell>
          <cell r="P173" t="str">
            <v>zak.</v>
          </cell>
          <cell r="R173" t="str">
            <v>S. serw.</v>
          </cell>
        </row>
        <row r="174">
          <cell r="A174">
            <v>25</v>
          </cell>
          <cell r="B174">
            <v>4</v>
          </cell>
          <cell r="C174" t="str">
            <v>pojedyncza dziewcząt JM</v>
          </cell>
          <cell r="H174">
            <v>21</v>
          </cell>
          <cell r="I174">
            <v>13</v>
          </cell>
          <cell r="J174">
            <v>21</v>
          </cell>
          <cell r="K174">
            <v>9</v>
          </cell>
          <cell r="N174">
            <v>0.55555555555555558</v>
          </cell>
          <cell r="P174">
            <v>0.56944444444444442</v>
          </cell>
          <cell r="R174">
            <v>1.388888888888884E-2</v>
          </cell>
          <cell r="S174" t="str">
            <v>pt 13:30</v>
          </cell>
          <cell r="X174">
            <v>25</v>
          </cell>
          <cell r="Y174" t="str">
            <v>pojedyncza dziewcząt JM</v>
          </cell>
          <cell r="Z174" t="str">
            <v>Ś3779</v>
          </cell>
          <cell r="AA174" t="str">
            <v/>
          </cell>
          <cell r="AB174" t="str">
            <v>G4721</v>
          </cell>
          <cell r="AC174" t="str">
            <v/>
          </cell>
          <cell r="AD174" t="str">
            <v>Ś3779</v>
          </cell>
          <cell r="AE174" t="str">
            <v/>
          </cell>
          <cell r="AF174" t="str">
            <v>21:13,21:9</v>
          </cell>
          <cell r="AG174" t="str">
            <v>13:21,9:21</v>
          </cell>
          <cell r="AH174" t="str">
            <v/>
          </cell>
          <cell r="AI174">
            <v>21</v>
          </cell>
          <cell r="AJ174">
            <v>13</v>
          </cell>
          <cell r="AK174">
            <v>21</v>
          </cell>
          <cell r="AL174">
            <v>9</v>
          </cell>
          <cell r="AM174">
            <v>0</v>
          </cell>
          <cell r="AN174">
            <v>0</v>
          </cell>
        </row>
        <row r="175">
          <cell r="A175" t="str">
            <v/>
          </cell>
          <cell r="B175" t="str">
            <v>Magdalena ŚWIERCZYŃSKA (UKS Orkan Przeźmierowo)</v>
          </cell>
          <cell r="H175" t="str">
            <v>Ś3779</v>
          </cell>
          <cell r="K175" t="str">
            <v>G4721</v>
          </cell>
          <cell r="N175" t="str">
            <v>Kinga GURZ (UKS Sokół Ropczyce)</v>
          </cell>
        </row>
        <row r="176">
          <cell r="A176" t="str">
            <v/>
          </cell>
          <cell r="B176" t="str">
            <v/>
          </cell>
          <cell r="H176" t="str">
            <v/>
          </cell>
          <cell r="K176" t="str">
            <v/>
          </cell>
          <cell r="N176" t="str">
            <v/>
          </cell>
        </row>
        <row r="178">
          <cell r="B178" t="str">
            <v>zwycięzca(cy): 21:13,21:9</v>
          </cell>
          <cell r="K178" t="str">
            <v/>
          </cell>
        </row>
        <row r="179">
          <cell r="B179">
            <v>1</v>
          </cell>
          <cell r="C179" t="str">
            <v>dzień turnieju.</v>
          </cell>
          <cell r="I179" t="str">
            <v>Nr meczu</v>
          </cell>
          <cell r="N179" t="str">
            <v>Godz.</v>
          </cell>
          <cell r="R179" t="str">
            <v>S. prow.</v>
          </cell>
          <cell r="AF179" t="str">
            <v>wygrany</v>
          </cell>
          <cell r="AG179" t="str">
            <v>przegrany</v>
          </cell>
        </row>
        <row r="180">
          <cell r="B180" t="str">
            <v>Boisko</v>
          </cell>
          <cell r="C180" t="str">
            <v>Gra</v>
          </cell>
          <cell r="I180">
            <v>26</v>
          </cell>
          <cell r="N180" t="str">
            <v>rozp.</v>
          </cell>
          <cell r="P180" t="str">
            <v>zak.</v>
          </cell>
          <cell r="R180" t="str">
            <v>S. serw.</v>
          </cell>
        </row>
        <row r="181">
          <cell r="A181">
            <v>26</v>
          </cell>
          <cell r="B181">
            <v>7</v>
          </cell>
          <cell r="C181" t="str">
            <v>pojedyncza dziewcząt JM</v>
          </cell>
          <cell r="H181">
            <v>21</v>
          </cell>
          <cell r="I181">
            <v>11</v>
          </cell>
          <cell r="J181">
            <v>21</v>
          </cell>
          <cell r="K181">
            <v>10</v>
          </cell>
          <cell r="N181">
            <v>0.5625</v>
          </cell>
          <cell r="P181">
            <v>0.57638888888888895</v>
          </cell>
          <cell r="R181">
            <v>1.3888888888888951E-2</v>
          </cell>
          <cell r="S181" t="str">
            <v>pt 13:30</v>
          </cell>
          <cell r="X181">
            <v>26</v>
          </cell>
          <cell r="Y181" t="str">
            <v>pojedyncza dziewcząt JM</v>
          </cell>
          <cell r="Z181" t="str">
            <v>K3437</v>
          </cell>
          <cell r="AA181" t="str">
            <v/>
          </cell>
          <cell r="AB181" t="str">
            <v>B5199</v>
          </cell>
          <cell r="AC181" t="str">
            <v/>
          </cell>
          <cell r="AD181" t="str">
            <v>K3437</v>
          </cell>
          <cell r="AE181" t="str">
            <v/>
          </cell>
          <cell r="AF181" t="str">
            <v>21:11,21:10</v>
          </cell>
          <cell r="AG181" t="str">
            <v>11:21,10:21</v>
          </cell>
          <cell r="AH181" t="str">
            <v/>
          </cell>
          <cell r="AI181">
            <v>21</v>
          </cell>
          <cell r="AJ181">
            <v>11</v>
          </cell>
          <cell r="AK181">
            <v>21</v>
          </cell>
          <cell r="AL181">
            <v>10</v>
          </cell>
          <cell r="AM181">
            <v>0</v>
          </cell>
          <cell r="AN181">
            <v>0</v>
          </cell>
        </row>
        <row r="182">
          <cell r="A182" t="str">
            <v/>
          </cell>
          <cell r="B182" t="str">
            <v>Kornelia KOWALCZYK (UKS Kometa Sianów)</v>
          </cell>
          <cell r="H182" t="str">
            <v>K3437</v>
          </cell>
          <cell r="K182" t="str">
            <v>B5199</v>
          </cell>
          <cell r="N182" t="str">
            <v>Olivia BATKO (MKB Lednik Miastko)</v>
          </cell>
        </row>
        <row r="183">
          <cell r="A183" t="str">
            <v/>
          </cell>
          <cell r="B183" t="str">
            <v/>
          </cell>
          <cell r="H183" t="str">
            <v/>
          </cell>
          <cell r="K183" t="str">
            <v/>
          </cell>
          <cell r="N183" t="str">
            <v/>
          </cell>
        </row>
        <row r="185">
          <cell r="B185" t="str">
            <v>zwycięzca(cy): 21:11,21:10</v>
          </cell>
          <cell r="K185" t="str">
            <v/>
          </cell>
        </row>
        <row r="186">
          <cell r="B186">
            <v>1</v>
          </cell>
          <cell r="C186" t="str">
            <v>dzień turnieju.</v>
          </cell>
          <cell r="I186" t="str">
            <v>Nr meczu</v>
          </cell>
          <cell r="N186" t="str">
            <v>Godz.</v>
          </cell>
          <cell r="R186" t="str">
            <v>S. prow.</v>
          </cell>
          <cell r="AF186" t="str">
            <v>wygrany</v>
          </cell>
          <cell r="AG186" t="str">
            <v>przegrany</v>
          </cell>
        </row>
        <row r="187">
          <cell r="B187" t="str">
            <v>Boisko</v>
          </cell>
          <cell r="C187" t="str">
            <v>Gra</v>
          </cell>
          <cell r="I187">
            <v>27</v>
          </cell>
          <cell r="N187" t="str">
            <v>rozp.</v>
          </cell>
          <cell r="P187" t="str">
            <v>zak.</v>
          </cell>
          <cell r="R187" t="str">
            <v>S. serw.</v>
          </cell>
        </row>
        <row r="188">
          <cell r="A188">
            <v>27</v>
          </cell>
          <cell r="B188">
            <v>1</v>
          </cell>
          <cell r="C188" t="str">
            <v>pojedyncza chłopców JM</v>
          </cell>
          <cell r="H188">
            <v>21</v>
          </cell>
          <cell r="I188">
            <v>8</v>
          </cell>
          <cell r="J188">
            <v>21</v>
          </cell>
          <cell r="K188">
            <v>11</v>
          </cell>
          <cell r="N188">
            <v>0.60416666666666663</v>
          </cell>
          <cell r="P188">
            <v>0.61805555555555558</v>
          </cell>
          <cell r="R188">
            <v>1.3888888888888951E-2</v>
          </cell>
          <cell r="S188" t="str">
            <v>pt 14:30</v>
          </cell>
          <cell r="X188">
            <v>27</v>
          </cell>
          <cell r="Y188" t="str">
            <v>pojedyncza chłopców JM</v>
          </cell>
          <cell r="Z188" t="str">
            <v>J2970</v>
          </cell>
          <cell r="AA188" t="str">
            <v/>
          </cell>
          <cell r="AB188" t="str">
            <v>S4544</v>
          </cell>
          <cell r="AC188" t="str">
            <v/>
          </cell>
          <cell r="AD188" t="str">
            <v>J2970</v>
          </cell>
          <cell r="AE188" t="str">
            <v/>
          </cell>
          <cell r="AF188" t="str">
            <v>21:8,21:11</v>
          </cell>
          <cell r="AG188" t="str">
            <v>8:21,11:21</v>
          </cell>
          <cell r="AH188" t="str">
            <v/>
          </cell>
          <cell r="AI188">
            <v>21</v>
          </cell>
          <cell r="AJ188">
            <v>8</v>
          </cell>
          <cell r="AK188">
            <v>21</v>
          </cell>
          <cell r="AL188">
            <v>11</v>
          </cell>
          <cell r="AM188">
            <v>0</v>
          </cell>
          <cell r="AN188">
            <v>0</v>
          </cell>
        </row>
        <row r="189">
          <cell r="A189" t="str">
            <v/>
          </cell>
          <cell r="B189" t="str">
            <v>Aleksander JABŁOŃSKI (UKS Hubal Białystok)</v>
          </cell>
          <cell r="H189" t="str">
            <v>J2970</v>
          </cell>
          <cell r="K189" t="str">
            <v>S4544</v>
          </cell>
          <cell r="N189" t="str">
            <v>Paweł SZWEDA (MKB Lednik Miastko)</v>
          </cell>
        </row>
        <row r="190">
          <cell r="A190" t="str">
            <v/>
          </cell>
          <cell r="B190" t="str">
            <v/>
          </cell>
          <cell r="H190" t="str">
            <v/>
          </cell>
          <cell r="K190" t="str">
            <v/>
          </cell>
          <cell r="N190" t="str">
            <v/>
          </cell>
        </row>
        <row r="192">
          <cell r="B192" t="str">
            <v>zwycięzca(cy): 21:8,21:11</v>
          </cell>
          <cell r="K192" t="str">
            <v/>
          </cell>
        </row>
        <row r="193">
          <cell r="B193">
            <v>1</v>
          </cell>
          <cell r="C193" t="str">
            <v>dzień turnieju.</v>
          </cell>
          <cell r="I193" t="str">
            <v>Nr meczu</v>
          </cell>
          <cell r="N193" t="str">
            <v>Godz.</v>
          </cell>
          <cell r="R193" t="str">
            <v>S. prow.</v>
          </cell>
          <cell r="AF193" t="str">
            <v>wygrany</v>
          </cell>
          <cell r="AG193" t="str">
            <v>przegrany</v>
          </cell>
        </row>
        <row r="194">
          <cell r="B194" t="str">
            <v>Boisko</v>
          </cell>
          <cell r="C194" t="str">
            <v>Gra</v>
          </cell>
          <cell r="I194">
            <v>28</v>
          </cell>
          <cell r="N194" t="str">
            <v>rozp.</v>
          </cell>
          <cell r="P194" t="str">
            <v>zak.</v>
          </cell>
          <cell r="R194" t="str">
            <v>S. serw.</v>
          </cell>
        </row>
        <row r="195">
          <cell r="A195">
            <v>28</v>
          </cell>
          <cell r="B195">
            <v>2</v>
          </cell>
          <cell r="C195" t="str">
            <v>pojedyncza chłopców JM</v>
          </cell>
          <cell r="H195">
            <v>18</v>
          </cell>
          <cell r="I195">
            <v>21</v>
          </cell>
          <cell r="J195">
            <v>21</v>
          </cell>
          <cell r="K195">
            <v>11</v>
          </cell>
          <cell r="L195">
            <v>21</v>
          </cell>
          <cell r="M195">
            <v>15</v>
          </cell>
          <cell r="N195">
            <v>0.59375</v>
          </cell>
          <cell r="P195">
            <v>0.61458333333333337</v>
          </cell>
          <cell r="R195">
            <v>2.083333333333337E-2</v>
          </cell>
          <cell r="S195" t="str">
            <v>pt 14:30</v>
          </cell>
          <cell r="X195">
            <v>28</v>
          </cell>
          <cell r="Y195" t="str">
            <v>pojedyncza chłopców JM</v>
          </cell>
          <cell r="Z195" t="str">
            <v>K3867</v>
          </cell>
          <cell r="AA195" t="str">
            <v/>
          </cell>
          <cell r="AB195" t="str">
            <v>Ł4234</v>
          </cell>
          <cell r="AC195" t="str">
            <v/>
          </cell>
          <cell r="AD195" t="str">
            <v>K3867</v>
          </cell>
          <cell r="AE195" t="str">
            <v/>
          </cell>
          <cell r="AF195" t="str">
            <v>18:21,21:11,21:15</v>
          </cell>
          <cell r="AG195" t="str">
            <v>21:18,11:21,15:21</v>
          </cell>
          <cell r="AH195" t="str">
            <v/>
          </cell>
          <cell r="AI195">
            <v>18</v>
          </cell>
          <cell r="AJ195">
            <v>21</v>
          </cell>
          <cell r="AK195">
            <v>21</v>
          </cell>
          <cell r="AL195">
            <v>11</v>
          </cell>
          <cell r="AM195">
            <v>21</v>
          </cell>
          <cell r="AN195">
            <v>15</v>
          </cell>
        </row>
        <row r="196">
          <cell r="A196" t="str">
            <v/>
          </cell>
          <cell r="B196" t="str">
            <v>Patryk KOPEĆ (MKS Stal Nowa Dęba)</v>
          </cell>
          <cell r="H196" t="str">
            <v>K3867</v>
          </cell>
          <cell r="K196" t="str">
            <v>Ł4234</v>
          </cell>
          <cell r="N196" t="str">
            <v>Krzysztof ŁUKOMSKI (BKS Kolejarz Częstochowa)</v>
          </cell>
        </row>
        <row r="197">
          <cell r="A197" t="str">
            <v/>
          </cell>
          <cell r="B197" t="str">
            <v/>
          </cell>
          <cell r="H197" t="str">
            <v/>
          </cell>
          <cell r="K197" t="str">
            <v/>
          </cell>
          <cell r="N197" t="str">
            <v/>
          </cell>
        </row>
        <row r="199">
          <cell r="B199" t="str">
            <v>zwycięzca(cy): 18:21,21:11,21:15</v>
          </cell>
          <cell r="K199" t="str">
            <v/>
          </cell>
        </row>
        <row r="200">
          <cell r="B200">
            <v>1</v>
          </cell>
          <cell r="C200" t="str">
            <v>dzień turnieju.</v>
          </cell>
          <cell r="I200" t="str">
            <v>Nr meczu</v>
          </cell>
          <cell r="N200" t="str">
            <v>Godz.</v>
          </cell>
          <cell r="R200" t="str">
            <v>S. prow.</v>
          </cell>
          <cell r="AF200" t="str">
            <v>wygrany</v>
          </cell>
          <cell r="AG200" t="str">
            <v>przegrany</v>
          </cell>
        </row>
        <row r="201">
          <cell r="B201" t="str">
            <v>Boisko</v>
          </cell>
          <cell r="C201" t="str">
            <v>Gra</v>
          </cell>
          <cell r="I201">
            <v>29</v>
          </cell>
          <cell r="N201" t="str">
            <v>rozp.</v>
          </cell>
          <cell r="P201" t="str">
            <v>zak.</v>
          </cell>
          <cell r="R201" t="str">
            <v>S. serw.</v>
          </cell>
        </row>
        <row r="202">
          <cell r="A202">
            <v>29</v>
          </cell>
          <cell r="B202">
            <v>3</v>
          </cell>
          <cell r="C202" t="str">
            <v>pojedyncza chłopców JM</v>
          </cell>
          <cell r="H202">
            <v>6</v>
          </cell>
          <cell r="I202">
            <v>21</v>
          </cell>
          <cell r="J202">
            <v>18</v>
          </cell>
          <cell r="K202">
            <v>21</v>
          </cell>
          <cell r="N202">
            <v>0.60416666666666663</v>
          </cell>
          <cell r="P202">
            <v>0.61944444444444446</v>
          </cell>
          <cell r="R202">
            <v>1.5277777777777835E-2</v>
          </cell>
          <cell r="S202" t="str">
            <v>pt 14:30</v>
          </cell>
          <cell r="X202">
            <v>29</v>
          </cell>
          <cell r="Y202" t="str">
            <v>pojedyncza chłopców JM</v>
          </cell>
          <cell r="Z202" t="str">
            <v>W4270</v>
          </cell>
          <cell r="AA202" t="str">
            <v/>
          </cell>
          <cell r="AB202" t="str">
            <v>X10</v>
          </cell>
          <cell r="AC202" t="str">
            <v/>
          </cell>
          <cell r="AD202" t="str">
            <v>X10</v>
          </cell>
          <cell r="AE202" t="str">
            <v/>
          </cell>
          <cell r="AF202" t="str">
            <v>21:6,21:18</v>
          </cell>
          <cell r="AG202" t="str">
            <v>6:21,18:21</v>
          </cell>
          <cell r="AH202" t="str">
            <v/>
          </cell>
          <cell r="AI202">
            <v>6</v>
          </cell>
          <cell r="AJ202">
            <v>21</v>
          </cell>
          <cell r="AK202">
            <v>18</v>
          </cell>
          <cell r="AL202">
            <v>21</v>
          </cell>
          <cell r="AM202">
            <v>0</v>
          </cell>
          <cell r="AN202">
            <v>0</v>
          </cell>
        </row>
        <row r="203">
          <cell r="A203" t="str">
            <v/>
          </cell>
          <cell r="B203" t="str">
            <v>Jędrzej WACHOWSKI (STB Energia Lubliniec)</v>
          </cell>
          <cell r="H203" t="str">
            <v>W4270</v>
          </cell>
          <cell r="K203" t="str">
            <v>X10</v>
          </cell>
          <cell r="N203" t="str">
            <v>Dmitry KUSIMITSKI (Brześć Białoruś)</v>
          </cell>
        </row>
        <row r="204">
          <cell r="A204" t="str">
            <v/>
          </cell>
          <cell r="B204" t="str">
            <v/>
          </cell>
          <cell r="H204" t="str">
            <v/>
          </cell>
          <cell r="K204" t="str">
            <v/>
          </cell>
          <cell r="N204" t="str">
            <v/>
          </cell>
        </row>
        <row r="206">
          <cell r="B206" t="str">
            <v/>
          </cell>
          <cell r="K206" t="str">
            <v>zwycięzca(cy): 21:6,21:18</v>
          </cell>
        </row>
        <row r="207">
          <cell r="B207">
            <v>1</v>
          </cell>
          <cell r="C207" t="str">
            <v>dzień turnieju.</v>
          </cell>
          <cell r="I207" t="str">
            <v>Nr meczu</v>
          </cell>
          <cell r="N207" t="str">
            <v>Godz.</v>
          </cell>
          <cell r="R207" t="str">
            <v>S. prow.</v>
          </cell>
          <cell r="AF207" t="str">
            <v>wygrany</v>
          </cell>
          <cell r="AG207" t="str">
            <v>przegrany</v>
          </cell>
        </row>
        <row r="208">
          <cell r="B208" t="str">
            <v>Boisko</v>
          </cell>
          <cell r="C208" t="str">
            <v>Gra</v>
          </cell>
          <cell r="I208">
            <v>30</v>
          </cell>
          <cell r="N208" t="str">
            <v>rozp.</v>
          </cell>
          <cell r="P208" t="str">
            <v>zak.</v>
          </cell>
          <cell r="R208" t="str">
            <v>S. serw.</v>
          </cell>
        </row>
        <row r="209">
          <cell r="A209">
            <v>30</v>
          </cell>
          <cell r="B209">
            <v>4</v>
          </cell>
          <cell r="C209" t="str">
            <v>pojedyncza chłopców JM</v>
          </cell>
          <cell r="H209">
            <v>12</v>
          </cell>
          <cell r="I209">
            <v>21</v>
          </cell>
          <cell r="J209">
            <v>10</v>
          </cell>
          <cell r="K209">
            <v>21</v>
          </cell>
          <cell r="N209">
            <v>0.60416666666666663</v>
          </cell>
          <cell r="P209">
            <v>0.62083333333333335</v>
          </cell>
          <cell r="R209">
            <v>1.6666666666666718E-2</v>
          </cell>
          <cell r="S209" t="str">
            <v>pt 14:30</v>
          </cell>
          <cell r="X209">
            <v>30</v>
          </cell>
          <cell r="Y209" t="str">
            <v>pojedyncza chłopców JM</v>
          </cell>
          <cell r="Z209" t="str">
            <v>M4225</v>
          </cell>
          <cell r="AA209" t="str">
            <v/>
          </cell>
          <cell r="AB209" t="str">
            <v>X56</v>
          </cell>
          <cell r="AC209" t="str">
            <v/>
          </cell>
          <cell r="AD209" t="str">
            <v>X56</v>
          </cell>
          <cell r="AE209" t="str">
            <v/>
          </cell>
          <cell r="AF209" t="str">
            <v>21:12,21:10</v>
          </cell>
          <cell r="AG209" t="str">
            <v>12:21,10:21</v>
          </cell>
          <cell r="AH209" t="str">
            <v/>
          </cell>
          <cell r="AI209">
            <v>12</v>
          </cell>
          <cell r="AJ209">
            <v>21</v>
          </cell>
          <cell r="AK209">
            <v>10</v>
          </cell>
          <cell r="AL209">
            <v>21</v>
          </cell>
          <cell r="AM209">
            <v>0</v>
          </cell>
          <cell r="AN209">
            <v>0</v>
          </cell>
        </row>
        <row r="210">
          <cell r="A210" t="str">
            <v/>
          </cell>
          <cell r="B210" t="str">
            <v>Bartosz MARKIEWICZ (MLKS Solec Kuj.)</v>
          </cell>
          <cell r="H210" t="str">
            <v>M4225</v>
          </cell>
          <cell r="K210" t="str">
            <v>X56</v>
          </cell>
          <cell r="N210" t="str">
            <v>Artem TKACHUK (Vinnica Ukraina)</v>
          </cell>
        </row>
        <row r="211">
          <cell r="A211" t="str">
            <v/>
          </cell>
          <cell r="B211" t="str">
            <v/>
          </cell>
          <cell r="H211" t="str">
            <v/>
          </cell>
          <cell r="K211" t="str">
            <v/>
          </cell>
          <cell r="N211" t="str">
            <v/>
          </cell>
        </row>
        <row r="213">
          <cell r="B213" t="str">
            <v/>
          </cell>
          <cell r="K213" t="str">
            <v>zwycięzca(cy): 21:12,21:10</v>
          </cell>
        </row>
        <row r="214">
          <cell r="B214">
            <v>1</v>
          </cell>
          <cell r="C214" t="str">
            <v>dzień turnieju.</v>
          </cell>
          <cell r="I214" t="str">
            <v>Nr meczu</v>
          </cell>
          <cell r="N214" t="str">
            <v>Godz.</v>
          </cell>
          <cell r="R214" t="str">
            <v>S. prow.</v>
          </cell>
          <cell r="S214" t="str">
            <v>JANECKI Andrzej</v>
          </cell>
          <cell r="AF214" t="str">
            <v>wygrany</v>
          </cell>
          <cell r="AG214" t="str">
            <v>przegrany</v>
          </cell>
        </row>
        <row r="215">
          <cell r="B215" t="str">
            <v>Boisko</v>
          </cell>
          <cell r="C215" t="str">
            <v>Gra</v>
          </cell>
          <cell r="I215">
            <v>31</v>
          </cell>
          <cell r="N215" t="str">
            <v>rozp.</v>
          </cell>
          <cell r="P215" t="str">
            <v>zak.</v>
          </cell>
          <cell r="R215" t="str">
            <v>S. serw.</v>
          </cell>
        </row>
        <row r="216">
          <cell r="A216">
            <v>31</v>
          </cell>
          <cell r="B216">
            <v>5</v>
          </cell>
          <cell r="C216" t="str">
            <v>pojedyncza chłopców JM</v>
          </cell>
          <cell r="H216">
            <v>18</v>
          </cell>
          <cell r="I216">
            <v>21</v>
          </cell>
          <cell r="J216">
            <v>21</v>
          </cell>
          <cell r="K216">
            <v>11</v>
          </cell>
          <cell r="L216">
            <v>21</v>
          </cell>
          <cell r="M216">
            <v>16</v>
          </cell>
          <cell r="N216">
            <v>0.60416666666666663</v>
          </cell>
          <cell r="P216">
            <v>0.63055555555555554</v>
          </cell>
          <cell r="R216">
            <v>2.6388888888888906E-2</v>
          </cell>
          <cell r="S216" t="str">
            <v>pt 14:30</v>
          </cell>
          <cell r="X216">
            <v>31</v>
          </cell>
          <cell r="Y216" t="str">
            <v>pojedyncza chłopców JM</v>
          </cell>
          <cell r="Z216" t="str">
            <v>M3731</v>
          </cell>
          <cell r="AA216" t="str">
            <v/>
          </cell>
          <cell r="AB216" t="str">
            <v>O2779</v>
          </cell>
          <cell r="AC216" t="str">
            <v/>
          </cell>
          <cell r="AD216" t="str">
            <v>M3731</v>
          </cell>
          <cell r="AE216" t="str">
            <v/>
          </cell>
          <cell r="AF216" t="str">
            <v>18:21,21:11,21:16</v>
          </cell>
          <cell r="AG216" t="str">
            <v>21:18,11:21,16:21</v>
          </cell>
          <cell r="AH216" t="str">
            <v/>
          </cell>
          <cell r="AI216">
            <v>18</v>
          </cell>
          <cell r="AJ216">
            <v>21</v>
          </cell>
          <cell r="AK216">
            <v>21</v>
          </cell>
          <cell r="AL216">
            <v>11</v>
          </cell>
          <cell r="AM216">
            <v>21</v>
          </cell>
          <cell r="AN216">
            <v>16</v>
          </cell>
        </row>
        <row r="217">
          <cell r="A217" t="str">
            <v/>
          </cell>
          <cell r="B217" t="str">
            <v>Jakub MOSORZEWSKI (UKS Kiko Zamość)</v>
          </cell>
          <cell r="H217" t="str">
            <v>M3731</v>
          </cell>
          <cell r="K217" t="str">
            <v>O2779</v>
          </cell>
          <cell r="N217" t="str">
            <v>Szymon OLEARCZUK (AZSWAT Warszawa)</v>
          </cell>
        </row>
        <row r="218">
          <cell r="A218" t="str">
            <v/>
          </cell>
          <cell r="B218" t="str">
            <v/>
          </cell>
          <cell r="H218" t="str">
            <v/>
          </cell>
          <cell r="K218" t="str">
            <v/>
          </cell>
          <cell r="N218" t="str">
            <v/>
          </cell>
        </row>
        <row r="220">
          <cell r="B220" t="str">
            <v>zwycięzca(cy): 18:21,21:11,21:16</v>
          </cell>
          <cell r="K220" t="str">
            <v/>
          </cell>
        </row>
        <row r="221">
          <cell r="B221">
            <v>1</v>
          </cell>
          <cell r="C221" t="str">
            <v>dzień turnieju.</v>
          </cell>
          <cell r="I221" t="str">
            <v>Nr meczu</v>
          </cell>
          <cell r="N221" t="str">
            <v>Godz.</v>
          </cell>
          <cell r="R221" t="str">
            <v>S. prow.</v>
          </cell>
          <cell r="AF221" t="str">
            <v>wygrany</v>
          </cell>
          <cell r="AG221" t="str">
            <v>przegrany</v>
          </cell>
        </row>
        <row r="222">
          <cell r="B222" t="str">
            <v>Boisko</v>
          </cell>
          <cell r="C222" t="str">
            <v>Gra</v>
          </cell>
          <cell r="I222">
            <v>32</v>
          </cell>
          <cell r="N222" t="str">
            <v>rozp.</v>
          </cell>
          <cell r="P222" t="str">
            <v>zak.</v>
          </cell>
          <cell r="R222" t="str">
            <v>S. serw.</v>
          </cell>
        </row>
        <row r="223">
          <cell r="A223">
            <v>32</v>
          </cell>
          <cell r="B223">
            <v>6</v>
          </cell>
          <cell r="C223" t="str">
            <v>pojedyncza chłopców JM</v>
          </cell>
          <cell r="H223">
            <v>21</v>
          </cell>
          <cell r="I223">
            <v>13</v>
          </cell>
          <cell r="J223">
            <v>21</v>
          </cell>
          <cell r="K223">
            <v>10</v>
          </cell>
          <cell r="N223">
            <v>0.61805555555555558</v>
          </cell>
          <cell r="P223">
            <v>0.62777777777777777</v>
          </cell>
          <cell r="R223">
            <v>9.7222222222221877E-3</v>
          </cell>
          <cell r="S223" t="str">
            <v>pt 14:30</v>
          </cell>
          <cell r="X223">
            <v>32</v>
          </cell>
          <cell r="Y223" t="str">
            <v>pojedyncza chłopców JM</v>
          </cell>
          <cell r="Z223" t="str">
            <v>J3436</v>
          </cell>
          <cell r="AA223" t="str">
            <v/>
          </cell>
          <cell r="AB223" t="str">
            <v>K4841</v>
          </cell>
          <cell r="AC223" t="str">
            <v/>
          </cell>
          <cell r="AD223" t="str">
            <v>J3436</v>
          </cell>
          <cell r="AE223" t="str">
            <v/>
          </cell>
          <cell r="AF223" t="str">
            <v>21:13,21:10</v>
          </cell>
          <cell r="AG223" t="str">
            <v>13:21,10:21</v>
          </cell>
          <cell r="AH223" t="str">
            <v/>
          </cell>
          <cell r="AI223">
            <v>21</v>
          </cell>
          <cell r="AJ223">
            <v>13</v>
          </cell>
          <cell r="AK223">
            <v>21</v>
          </cell>
          <cell r="AL223">
            <v>10</v>
          </cell>
          <cell r="AM223">
            <v>0</v>
          </cell>
          <cell r="AN223">
            <v>0</v>
          </cell>
        </row>
        <row r="224">
          <cell r="A224" t="str">
            <v/>
          </cell>
          <cell r="B224" t="str">
            <v>Patryk JAS (UKS Kometa Sianów)</v>
          </cell>
          <cell r="H224" t="str">
            <v>J3436</v>
          </cell>
          <cell r="K224" t="str">
            <v>K4841</v>
          </cell>
          <cell r="N224" t="str">
            <v>Mateusz KĘDZIORA (PTS Puszczykowo)</v>
          </cell>
        </row>
        <row r="225">
          <cell r="A225" t="str">
            <v/>
          </cell>
          <cell r="B225" t="str">
            <v/>
          </cell>
          <cell r="H225" t="str">
            <v/>
          </cell>
          <cell r="K225" t="str">
            <v/>
          </cell>
          <cell r="N225" t="str">
            <v/>
          </cell>
        </row>
        <row r="227">
          <cell r="B227" t="str">
            <v>zwycięzca(cy): 21:13,21:10</v>
          </cell>
          <cell r="K227" t="str">
            <v/>
          </cell>
        </row>
        <row r="228">
          <cell r="B228">
            <v>1</v>
          </cell>
          <cell r="C228" t="str">
            <v>dzień turnieju.</v>
          </cell>
          <cell r="I228" t="str">
            <v>Nr meczu</v>
          </cell>
          <cell r="N228" t="str">
            <v>Godz.</v>
          </cell>
          <cell r="R228" t="str">
            <v>S. prow.</v>
          </cell>
          <cell r="AF228" t="str">
            <v>wygrany</v>
          </cell>
          <cell r="AG228" t="str">
            <v>przegrany</v>
          </cell>
        </row>
        <row r="229">
          <cell r="B229" t="str">
            <v>Boisko</v>
          </cell>
          <cell r="C229" t="str">
            <v>Gra</v>
          </cell>
          <cell r="I229">
            <v>33</v>
          </cell>
          <cell r="N229" t="str">
            <v>rozp.</v>
          </cell>
          <cell r="P229" t="str">
            <v>zak.</v>
          </cell>
          <cell r="R229" t="str">
            <v>S. serw.</v>
          </cell>
        </row>
        <row r="230">
          <cell r="A230">
            <v>33</v>
          </cell>
          <cell r="B230">
            <v>7</v>
          </cell>
          <cell r="C230" t="str">
            <v>pojedyncza chłopców JM</v>
          </cell>
          <cell r="H230">
            <v>25</v>
          </cell>
          <cell r="I230">
            <v>27</v>
          </cell>
          <cell r="J230">
            <v>20</v>
          </cell>
          <cell r="K230">
            <v>22</v>
          </cell>
          <cell r="N230">
            <v>0.60416666666666663</v>
          </cell>
          <cell r="P230">
            <v>0.63194444444444442</v>
          </cell>
          <cell r="R230">
            <v>2.777777777777779E-2</v>
          </cell>
          <cell r="S230" t="str">
            <v>pt 14:30</v>
          </cell>
          <cell r="X230">
            <v>33</v>
          </cell>
          <cell r="Y230" t="str">
            <v>pojedyncza chłopców JM</v>
          </cell>
          <cell r="Z230" t="str">
            <v>P4202</v>
          </cell>
          <cell r="AA230" t="str">
            <v/>
          </cell>
          <cell r="AB230" t="str">
            <v>B4079</v>
          </cell>
          <cell r="AC230" t="str">
            <v/>
          </cell>
          <cell r="AD230" t="str">
            <v>B4079</v>
          </cell>
          <cell r="AE230" t="str">
            <v/>
          </cell>
          <cell r="AF230" t="str">
            <v>27:25,22:20</v>
          </cell>
          <cell r="AG230" t="str">
            <v>25:27,20:22</v>
          </cell>
          <cell r="AH230" t="str">
            <v/>
          </cell>
          <cell r="AI230">
            <v>25</v>
          </cell>
          <cell r="AJ230">
            <v>27</v>
          </cell>
          <cell r="AK230">
            <v>20</v>
          </cell>
          <cell r="AL230">
            <v>22</v>
          </cell>
          <cell r="AM230">
            <v>0</v>
          </cell>
          <cell r="AN230">
            <v>0</v>
          </cell>
        </row>
        <row r="231">
          <cell r="A231" t="str">
            <v/>
          </cell>
          <cell r="B231" t="str">
            <v>Bartłomiej PARYSZ (UKS Unia Bieruń)</v>
          </cell>
          <cell r="H231" t="str">
            <v>P4202</v>
          </cell>
          <cell r="K231" t="str">
            <v>B4079</v>
          </cell>
          <cell r="N231" t="str">
            <v>Kamil BARTKIEWICZ (UKS Ząbkowice Dąbrowa Górn.)</v>
          </cell>
        </row>
        <row r="232">
          <cell r="A232" t="str">
            <v/>
          </cell>
          <cell r="B232" t="str">
            <v/>
          </cell>
          <cell r="H232" t="str">
            <v/>
          </cell>
          <cell r="K232" t="str">
            <v/>
          </cell>
          <cell r="N232" t="str">
            <v/>
          </cell>
        </row>
        <row r="234">
          <cell r="B234" t="str">
            <v/>
          </cell>
          <cell r="K234" t="str">
            <v>zwycięzca(cy): 27:25,22:20</v>
          </cell>
        </row>
        <row r="235">
          <cell r="B235">
            <v>1</v>
          </cell>
          <cell r="C235" t="str">
            <v>dzień turnieju.</v>
          </cell>
          <cell r="I235" t="str">
            <v>Nr meczu</v>
          </cell>
          <cell r="N235" t="str">
            <v>Godz.</v>
          </cell>
          <cell r="R235" t="str">
            <v>S. prow.</v>
          </cell>
          <cell r="AF235" t="str">
            <v>wygrany</v>
          </cell>
          <cell r="AG235" t="str">
            <v>przegrany</v>
          </cell>
        </row>
        <row r="236">
          <cell r="B236" t="str">
            <v>Boisko</v>
          </cell>
          <cell r="C236" t="str">
            <v>Gra</v>
          </cell>
          <cell r="I236">
            <v>34</v>
          </cell>
          <cell r="N236" t="str">
            <v>rozp.</v>
          </cell>
          <cell r="P236" t="str">
            <v>zak.</v>
          </cell>
          <cell r="R236" t="str">
            <v>S. serw.</v>
          </cell>
        </row>
        <row r="237">
          <cell r="A237">
            <v>34</v>
          </cell>
          <cell r="B237">
            <v>8</v>
          </cell>
          <cell r="C237" t="str">
            <v>pojedyncza chłopców JM</v>
          </cell>
          <cell r="H237">
            <v>21</v>
          </cell>
          <cell r="I237">
            <v>11</v>
          </cell>
          <cell r="J237">
            <v>21</v>
          </cell>
          <cell r="K237">
            <v>8</v>
          </cell>
          <cell r="N237">
            <v>0.60416666666666663</v>
          </cell>
          <cell r="P237">
            <v>0.62013888888888891</v>
          </cell>
          <cell r="R237">
            <v>1.5972222222222276E-2</v>
          </cell>
          <cell r="S237" t="str">
            <v>pt 14:30</v>
          </cell>
          <cell r="X237">
            <v>34</v>
          </cell>
          <cell r="Y237" t="str">
            <v>pojedyncza chłopców JM</v>
          </cell>
          <cell r="Z237" t="str">
            <v>M4193</v>
          </cell>
          <cell r="AA237" t="str">
            <v/>
          </cell>
          <cell r="AB237" t="str">
            <v>X41</v>
          </cell>
          <cell r="AC237" t="str">
            <v/>
          </cell>
          <cell r="AD237" t="str">
            <v>M4193</v>
          </cell>
          <cell r="AE237" t="str">
            <v/>
          </cell>
          <cell r="AF237" t="str">
            <v>21:11,21:8</v>
          </cell>
          <cell r="AG237" t="str">
            <v>11:21,8:21</v>
          </cell>
          <cell r="AH237" t="str">
            <v/>
          </cell>
          <cell r="AI237">
            <v>21</v>
          </cell>
          <cell r="AJ237">
            <v>11</v>
          </cell>
          <cell r="AK237">
            <v>21</v>
          </cell>
          <cell r="AL237">
            <v>8</v>
          </cell>
          <cell r="AM237">
            <v>0</v>
          </cell>
          <cell r="AN237">
            <v>0</v>
          </cell>
        </row>
        <row r="238">
          <cell r="A238" t="str">
            <v/>
          </cell>
          <cell r="B238" t="str">
            <v>Robert MIRGA (LKS Technik Głubczyce)</v>
          </cell>
          <cell r="H238" t="str">
            <v>M4193</v>
          </cell>
          <cell r="K238" t="str">
            <v>X41</v>
          </cell>
          <cell r="N238" t="str">
            <v>Marek Kufa  (Slavoj Cesky Tesin)</v>
          </cell>
        </row>
        <row r="239">
          <cell r="A239" t="str">
            <v/>
          </cell>
          <cell r="B239" t="str">
            <v/>
          </cell>
          <cell r="H239" t="str">
            <v/>
          </cell>
          <cell r="K239" t="str">
            <v/>
          </cell>
          <cell r="N239" t="str">
            <v/>
          </cell>
        </row>
        <row r="241">
          <cell r="B241" t="str">
            <v>zwycięzca(cy): 21:11,21:8</v>
          </cell>
          <cell r="K241" t="str">
            <v/>
          </cell>
        </row>
        <row r="242">
          <cell r="B242">
            <v>1</v>
          </cell>
          <cell r="C242" t="str">
            <v>dzień turnieju.</v>
          </cell>
          <cell r="I242" t="str">
            <v>Nr meczu</v>
          </cell>
          <cell r="N242" t="str">
            <v>Godz.</v>
          </cell>
          <cell r="R242" t="str">
            <v>S. prow.</v>
          </cell>
          <cell r="AF242" t="str">
            <v>wygrany</v>
          </cell>
          <cell r="AG242" t="str">
            <v>przegrany</v>
          </cell>
        </row>
        <row r="243">
          <cell r="B243" t="str">
            <v>Boisko</v>
          </cell>
          <cell r="C243" t="str">
            <v>Gra</v>
          </cell>
          <cell r="I243">
            <v>35</v>
          </cell>
          <cell r="N243" t="str">
            <v>rozp.</v>
          </cell>
          <cell r="P243" t="str">
            <v>zak.</v>
          </cell>
          <cell r="R243" t="str">
            <v>S. serw.</v>
          </cell>
        </row>
        <row r="244">
          <cell r="A244">
            <v>35</v>
          </cell>
          <cell r="B244">
            <v>2</v>
          </cell>
          <cell r="C244" t="str">
            <v>pojedyncza chłopców JM</v>
          </cell>
          <cell r="H244">
            <v>21</v>
          </cell>
          <cell r="I244">
            <v>16</v>
          </cell>
          <cell r="J244">
            <v>21</v>
          </cell>
          <cell r="K244">
            <v>14</v>
          </cell>
          <cell r="N244">
            <v>0.61805555555555558</v>
          </cell>
          <cell r="P244">
            <v>0.6333333333333333</v>
          </cell>
          <cell r="R244">
            <v>1.5277777777777724E-2</v>
          </cell>
          <cell r="S244" t="str">
            <v>pt 14:30</v>
          </cell>
          <cell r="X244">
            <v>35</v>
          </cell>
          <cell r="Y244" t="str">
            <v>pojedyncza chłopców JM</v>
          </cell>
          <cell r="Z244" t="str">
            <v>D3323</v>
          </cell>
          <cell r="AA244" t="str">
            <v/>
          </cell>
          <cell r="AB244" t="str">
            <v>X11</v>
          </cell>
          <cell r="AC244" t="str">
            <v/>
          </cell>
          <cell r="AD244" t="str">
            <v>D3323</v>
          </cell>
          <cell r="AE244" t="str">
            <v/>
          </cell>
          <cell r="AF244" t="str">
            <v>21:16,21:14</v>
          </cell>
          <cell r="AG244" t="str">
            <v>16:21,14:21</v>
          </cell>
          <cell r="AH244" t="str">
            <v/>
          </cell>
          <cell r="AI244">
            <v>21</v>
          </cell>
          <cell r="AJ244">
            <v>16</v>
          </cell>
          <cell r="AK244">
            <v>21</v>
          </cell>
          <cell r="AL244">
            <v>14</v>
          </cell>
          <cell r="AM244">
            <v>0</v>
          </cell>
          <cell r="AN244">
            <v>0</v>
          </cell>
        </row>
        <row r="245">
          <cell r="A245" t="str">
            <v/>
          </cell>
          <cell r="B245" t="str">
            <v>Mateusz DANIELAK (KKS Ruch Piotrków Tryb.)</v>
          </cell>
          <cell r="H245" t="str">
            <v>D3323</v>
          </cell>
          <cell r="K245" t="str">
            <v>X11</v>
          </cell>
          <cell r="N245" t="str">
            <v>Pavel SUGAEV (Brześć Białoruś)</v>
          </cell>
        </row>
        <row r="246">
          <cell r="A246" t="str">
            <v/>
          </cell>
          <cell r="B246" t="str">
            <v/>
          </cell>
          <cell r="H246" t="str">
            <v/>
          </cell>
          <cell r="K246" t="str">
            <v/>
          </cell>
          <cell r="N246" t="str">
            <v/>
          </cell>
        </row>
        <row r="248">
          <cell r="B248" t="str">
            <v>zwycięzca(cy): 21:16,21:14</v>
          </cell>
          <cell r="K248" t="str">
            <v/>
          </cell>
        </row>
        <row r="249">
          <cell r="B249">
            <v>1</v>
          </cell>
          <cell r="C249" t="str">
            <v>dzień turnieju.</v>
          </cell>
          <cell r="I249" t="str">
            <v>Nr meczu</v>
          </cell>
          <cell r="N249" t="str">
            <v>Godz.</v>
          </cell>
          <cell r="R249" t="str">
            <v>S. prow.</v>
          </cell>
          <cell r="AF249" t="str">
            <v>wygrany</v>
          </cell>
          <cell r="AG249" t="str">
            <v>przegrany</v>
          </cell>
        </row>
        <row r="250">
          <cell r="B250" t="str">
            <v>Boisko</v>
          </cell>
          <cell r="C250" t="str">
            <v>Gra</v>
          </cell>
          <cell r="I250">
            <v>36</v>
          </cell>
          <cell r="N250" t="str">
            <v>rozp.</v>
          </cell>
          <cell r="P250" t="str">
            <v>zak.</v>
          </cell>
          <cell r="R250" t="str">
            <v>S. serw.</v>
          </cell>
        </row>
        <row r="251">
          <cell r="A251">
            <v>36</v>
          </cell>
          <cell r="B251">
            <v>1</v>
          </cell>
          <cell r="C251" t="str">
            <v>pojedyncza chłopców JM</v>
          </cell>
          <cell r="H251">
            <v>21</v>
          </cell>
          <cell r="I251">
            <v>16</v>
          </cell>
          <cell r="J251">
            <v>21</v>
          </cell>
          <cell r="K251">
            <v>17</v>
          </cell>
          <cell r="N251">
            <v>0.61805555555555558</v>
          </cell>
          <cell r="P251">
            <v>0.63055555555555554</v>
          </cell>
          <cell r="R251">
            <v>1.2499999999999956E-2</v>
          </cell>
          <cell r="S251" t="str">
            <v>pt 14:30</v>
          </cell>
          <cell r="X251">
            <v>36</v>
          </cell>
          <cell r="Y251" t="str">
            <v>pojedyncza chłopców JM</v>
          </cell>
          <cell r="Z251" t="str">
            <v>N3834</v>
          </cell>
          <cell r="AA251" t="str">
            <v/>
          </cell>
          <cell r="AB251" t="str">
            <v>B4388</v>
          </cell>
          <cell r="AC251" t="str">
            <v/>
          </cell>
          <cell r="AD251" t="str">
            <v>N3834</v>
          </cell>
          <cell r="AE251" t="str">
            <v/>
          </cell>
          <cell r="AF251" t="str">
            <v>21:16,21:17</v>
          </cell>
          <cell r="AG251" t="str">
            <v>16:21,17:21</v>
          </cell>
          <cell r="AH251" t="str">
            <v/>
          </cell>
          <cell r="AI251">
            <v>21</v>
          </cell>
          <cell r="AJ251">
            <v>16</v>
          </cell>
          <cell r="AK251">
            <v>21</v>
          </cell>
          <cell r="AL251">
            <v>17</v>
          </cell>
          <cell r="AM251">
            <v>0</v>
          </cell>
          <cell r="AN251">
            <v>0</v>
          </cell>
        </row>
        <row r="252">
          <cell r="A252" t="str">
            <v/>
          </cell>
          <cell r="B252" t="str">
            <v>Jędrzej NOWAK (KS Chojnik Jelenia Góra)</v>
          </cell>
          <cell r="H252" t="str">
            <v>N3834</v>
          </cell>
          <cell r="K252" t="str">
            <v>B4388</v>
          </cell>
          <cell r="N252" t="str">
            <v>Adrian BONDAROW (SKB Suwałki)</v>
          </cell>
        </row>
        <row r="253">
          <cell r="A253" t="str">
            <v/>
          </cell>
          <cell r="B253" t="str">
            <v/>
          </cell>
          <cell r="H253" t="str">
            <v/>
          </cell>
          <cell r="K253" t="str">
            <v/>
          </cell>
          <cell r="N253" t="str">
            <v/>
          </cell>
        </row>
        <row r="255">
          <cell r="B255" t="str">
            <v>zwycięzca(cy): 21:16,21:17</v>
          </cell>
          <cell r="K255" t="str">
            <v/>
          </cell>
        </row>
        <row r="256">
          <cell r="B256">
            <v>1</v>
          </cell>
          <cell r="C256" t="str">
            <v>dzień turnieju.</v>
          </cell>
          <cell r="I256" t="str">
            <v>Nr meczu</v>
          </cell>
          <cell r="N256" t="str">
            <v>Godz.</v>
          </cell>
          <cell r="R256" t="str">
            <v>S. prow.</v>
          </cell>
          <cell r="AF256" t="str">
            <v>wygrany</v>
          </cell>
          <cell r="AG256" t="str">
            <v>przegrany</v>
          </cell>
        </row>
        <row r="257">
          <cell r="B257" t="str">
            <v>Boisko</v>
          </cell>
          <cell r="C257" t="str">
            <v>Gra</v>
          </cell>
          <cell r="I257">
            <v>37</v>
          </cell>
          <cell r="N257" t="str">
            <v>rozp.</v>
          </cell>
          <cell r="P257" t="str">
            <v>zak.</v>
          </cell>
          <cell r="R257" t="str">
            <v>S. serw.</v>
          </cell>
        </row>
        <row r="258">
          <cell r="A258">
            <v>37</v>
          </cell>
          <cell r="B258">
            <v>3</v>
          </cell>
          <cell r="C258" t="str">
            <v>pojedyncza chłopców JM</v>
          </cell>
          <cell r="H258">
            <v>7</v>
          </cell>
          <cell r="I258">
            <v>21</v>
          </cell>
          <cell r="J258">
            <v>11</v>
          </cell>
          <cell r="K258">
            <v>21</v>
          </cell>
          <cell r="N258">
            <v>0.61805555555555558</v>
          </cell>
          <cell r="P258">
            <v>0.63194444444444442</v>
          </cell>
          <cell r="R258">
            <v>1.388888888888884E-2</v>
          </cell>
          <cell r="S258" t="str">
            <v>pt 14:30</v>
          </cell>
          <cell r="X258">
            <v>37</v>
          </cell>
          <cell r="Y258" t="str">
            <v>pojedyncza chłopców JM</v>
          </cell>
          <cell r="Z258" t="str">
            <v>L4037</v>
          </cell>
          <cell r="AA258" t="str">
            <v/>
          </cell>
          <cell r="AB258" t="str">
            <v>S3778</v>
          </cell>
          <cell r="AC258" t="str">
            <v/>
          </cell>
          <cell r="AD258" t="str">
            <v>S3778</v>
          </cell>
          <cell r="AE258" t="str">
            <v/>
          </cell>
          <cell r="AF258" t="str">
            <v>21:7,21:11</v>
          </cell>
          <cell r="AG258" t="str">
            <v>7:21,11:21</v>
          </cell>
          <cell r="AH258" t="str">
            <v/>
          </cell>
          <cell r="AI258">
            <v>7</v>
          </cell>
          <cell r="AJ258">
            <v>21</v>
          </cell>
          <cell r="AK258">
            <v>11</v>
          </cell>
          <cell r="AL258">
            <v>21</v>
          </cell>
          <cell r="AM258">
            <v>0</v>
          </cell>
          <cell r="AN258">
            <v>0</v>
          </cell>
        </row>
        <row r="259">
          <cell r="A259" t="str">
            <v/>
          </cell>
          <cell r="B259" t="str">
            <v>Patryk LEPIANKA (UKS Kiko Zamość)</v>
          </cell>
          <cell r="H259" t="str">
            <v>L4037</v>
          </cell>
          <cell r="K259" t="str">
            <v>S3778</v>
          </cell>
          <cell r="N259" t="str">
            <v>Damian SADALSKI (UKS Orkan Przeźmierowo)</v>
          </cell>
        </row>
        <row r="260">
          <cell r="A260" t="str">
            <v/>
          </cell>
          <cell r="B260" t="str">
            <v/>
          </cell>
          <cell r="H260" t="str">
            <v/>
          </cell>
          <cell r="K260" t="str">
            <v/>
          </cell>
          <cell r="N260" t="str">
            <v/>
          </cell>
        </row>
        <row r="262">
          <cell r="B262" t="str">
            <v/>
          </cell>
          <cell r="K262" t="str">
            <v>zwycięzca(cy): 21:7,21:11</v>
          </cell>
        </row>
        <row r="263">
          <cell r="B263">
            <v>1</v>
          </cell>
          <cell r="C263" t="str">
            <v>dzień turnieju.</v>
          </cell>
          <cell r="I263" t="str">
            <v>Nr meczu</v>
          </cell>
          <cell r="N263" t="str">
            <v>Godz.</v>
          </cell>
          <cell r="R263" t="str">
            <v>S. prow.</v>
          </cell>
          <cell r="AF263" t="str">
            <v>wygrany</v>
          </cell>
          <cell r="AG263" t="str">
            <v>przegrany</v>
          </cell>
        </row>
        <row r="264">
          <cell r="B264" t="str">
            <v>Boisko</v>
          </cell>
          <cell r="C264" t="str">
            <v>Gra</v>
          </cell>
          <cell r="I264">
            <v>38</v>
          </cell>
          <cell r="N264" t="str">
            <v>rozp.</v>
          </cell>
          <cell r="P264" t="str">
            <v>zak.</v>
          </cell>
          <cell r="R264" t="str">
            <v>S. serw.</v>
          </cell>
        </row>
        <row r="265">
          <cell r="A265">
            <v>38</v>
          </cell>
          <cell r="B265">
            <v>4</v>
          </cell>
          <cell r="C265" t="str">
            <v>pojedyncza chłopców JM</v>
          </cell>
          <cell r="H265">
            <v>21</v>
          </cell>
          <cell r="I265">
            <v>13</v>
          </cell>
          <cell r="J265">
            <v>21</v>
          </cell>
          <cell r="K265">
            <v>9</v>
          </cell>
          <cell r="N265">
            <v>0.61805555555555558</v>
          </cell>
          <cell r="P265">
            <v>0.63402777777777775</v>
          </cell>
          <cell r="R265">
            <v>1.5972222222222165E-2</v>
          </cell>
          <cell r="S265" t="str">
            <v>pt 14:30</v>
          </cell>
          <cell r="X265">
            <v>38</v>
          </cell>
          <cell r="Y265" t="str">
            <v>pojedyncza chłopców JM</v>
          </cell>
          <cell r="Z265" t="str">
            <v>K4248</v>
          </cell>
          <cell r="AA265" t="str">
            <v/>
          </cell>
          <cell r="AB265" t="str">
            <v>Z4433</v>
          </cell>
          <cell r="AC265" t="str">
            <v/>
          </cell>
          <cell r="AD265" t="str">
            <v>K4248</v>
          </cell>
          <cell r="AE265" t="str">
            <v/>
          </cell>
          <cell r="AF265" t="str">
            <v>21:13,21:9</v>
          </cell>
          <cell r="AG265" t="str">
            <v>13:21,9:21</v>
          </cell>
          <cell r="AH265" t="str">
            <v/>
          </cell>
          <cell r="AI265">
            <v>21</v>
          </cell>
          <cell r="AJ265">
            <v>13</v>
          </cell>
          <cell r="AK265">
            <v>21</v>
          </cell>
          <cell r="AL265">
            <v>9</v>
          </cell>
          <cell r="AM265">
            <v>0</v>
          </cell>
          <cell r="AN265">
            <v>0</v>
          </cell>
        </row>
        <row r="266">
          <cell r="A266" t="str">
            <v/>
          </cell>
          <cell r="B266" t="str">
            <v>Michał KIKOSICKI (KSR Wolant Łódź)</v>
          </cell>
          <cell r="H266" t="str">
            <v>K4248</v>
          </cell>
          <cell r="K266" t="str">
            <v>Z4433</v>
          </cell>
          <cell r="N266" t="str">
            <v>Karol ZAWALSKI (UKS Aktywna Piątka Przemyśl)</v>
          </cell>
        </row>
        <row r="267">
          <cell r="A267" t="str">
            <v/>
          </cell>
          <cell r="B267" t="str">
            <v/>
          </cell>
          <cell r="H267" t="str">
            <v/>
          </cell>
          <cell r="K267" t="str">
            <v/>
          </cell>
          <cell r="N267" t="str">
            <v/>
          </cell>
        </row>
        <row r="269">
          <cell r="B269" t="str">
            <v>zwycięzca(cy): 21:13,21:9</v>
          </cell>
          <cell r="K269" t="str">
            <v/>
          </cell>
        </row>
        <row r="270">
          <cell r="B270">
            <v>1</v>
          </cell>
          <cell r="C270" t="str">
            <v>dzień turnieju.</v>
          </cell>
          <cell r="I270" t="str">
            <v>Nr meczu</v>
          </cell>
          <cell r="N270" t="str">
            <v>Godz.</v>
          </cell>
          <cell r="R270" t="str">
            <v>S. prow.</v>
          </cell>
          <cell r="AF270" t="str">
            <v>wygrany</v>
          </cell>
          <cell r="AG270" t="str">
            <v>przegrany</v>
          </cell>
        </row>
        <row r="271">
          <cell r="B271" t="str">
            <v>Boisko</v>
          </cell>
          <cell r="C271" t="str">
            <v>Gra</v>
          </cell>
          <cell r="I271">
            <v>39</v>
          </cell>
          <cell r="N271" t="str">
            <v>rozp.</v>
          </cell>
          <cell r="P271" t="str">
            <v>zak.</v>
          </cell>
          <cell r="R271" t="str">
            <v>S. serw.</v>
          </cell>
        </row>
        <row r="272">
          <cell r="A272">
            <v>39</v>
          </cell>
          <cell r="B272">
            <v>4</v>
          </cell>
          <cell r="C272" t="str">
            <v>mieszana J</v>
          </cell>
          <cell r="H272">
            <v>21</v>
          </cell>
          <cell r="I272">
            <v>16</v>
          </cell>
          <cell r="J272">
            <v>21</v>
          </cell>
          <cell r="K272">
            <v>10</v>
          </cell>
          <cell r="N272">
            <v>0.65625</v>
          </cell>
          <cell r="P272">
            <v>0.67013888888888884</v>
          </cell>
          <cell r="R272">
            <v>1.388888888888884E-2</v>
          </cell>
          <cell r="S272" t="str">
            <v>pt 16:00</v>
          </cell>
          <cell r="X272">
            <v>39</v>
          </cell>
          <cell r="Y272" t="str">
            <v>mieszana J</v>
          </cell>
          <cell r="Z272" t="str">
            <v>W2914</v>
          </cell>
          <cell r="AA272" t="str">
            <v>J2971</v>
          </cell>
          <cell r="AB272" t="str">
            <v>K3935</v>
          </cell>
          <cell r="AC272" t="str">
            <v>Ś3664</v>
          </cell>
          <cell r="AD272" t="str">
            <v>W2914</v>
          </cell>
          <cell r="AE272" t="str">
            <v>J2971</v>
          </cell>
          <cell r="AF272" t="str">
            <v>21:16,21:10</v>
          </cell>
          <cell r="AG272" t="str">
            <v>16:21,10:21</v>
          </cell>
          <cell r="AH272" t="str">
            <v/>
          </cell>
          <cell r="AI272">
            <v>21</v>
          </cell>
          <cell r="AJ272">
            <v>16</v>
          </cell>
          <cell r="AK272">
            <v>21</v>
          </cell>
          <cell r="AL272">
            <v>10</v>
          </cell>
          <cell r="AM272">
            <v>0</v>
          </cell>
          <cell r="AN272">
            <v>0</v>
          </cell>
        </row>
        <row r="273">
          <cell r="A273" t="str">
            <v/>
          </cell>
          <cell r="B273" t="str">
            <v>Piotr WASILUK (LUKS Badminton Choroszcz)</v>
          </cell>
          <cell r="H273" t="str">
            <v>W2914</v>
          </cell>
          <cell r="K273" t="str">
            <v>K3935</v>
          </cell>
          <cell r="N273" t="str">
            <v>Michał KAŹMIERCZAK (UKS Feniks Kędzierzyn-Koźle)</v>
          </cell>
        </row>
        <row r="274">
          <cell r="A274" t="str">
            <v/>
          </cell>
          <cell r="B274" t="str">
            <v>Karolina JANOWSKA (UKS Hubal Białystok)</v>
          </cell>
          <cell r="H274" t="str">
            <v>J2971</v>
          </cell>
          <cell r="K274" t="str">
            <v>Ś3664</v>
          </cell>
          <cell r="N274" t="str">
            <v>Gabriela ŚLISZ (UKS Orbitek Straszęcin)</v>
          </cell>
        </row>
        <row r="276">
          <cell r="B276" t="str">
            <v>zwycięzca(cy): 21:16,21:10</v>
          </cell>
          <cell r="K276" t="str">
            <v/>
          </cell>
        </row>
        <row r="277">
          <cell r="B277">
            <v>1</v>
          </cell>
          <cell r="C277" t="str">
            <v>dzień turnieju.</v>
          </cell>
          <cell r="I277" t="str">
            <v>Nr meczu</v>
          </cell>
          <cell r="N277" t="str">
            <v>Godz.</v>
          </cell>
          <cell r="R277" t="str">
            <v>S. prow.</v>
          </cell>
          <cell r="AF277" t="str">
            <v>wygrany</v>
          </cell>
          <cell r="AG277" t="str">
            <v>przegrany</v>
          </cell>
        </row>
        <row r="278">
          <cell r="B278" t="str">
            <v>Boisko</v>
          </cell>
          <cell r="C278" t="str">
            <v>Gra</v>
          </cell>
          <cell r="I278">
            <v>40</v>
          </cell>
          <cell r="N278" t="str">
            <v>rozp.</v>
          </cell>
          <cell r="P278" t="str">
            <v>zak.</v>
          </cell>
          <cell r="R278" t="str">
            <v>S. serw.</v>
          </cell>
        </row>
        <row r="279">
          <cell r="A279">
            <v>40</v>
          </cell>
          <cell r="B279">
            <v>3</v>
          </cell>
          <cell r="C279" t="str">
            <v>mieszana J</v>
          </cell>
          <cell r="H279">
            <v>21</v>
          </cell>
          <cell r="I279">
            <v>14</v>
          </cell>
          <cell r="J279">
            <v>17</v>
          </cell>
          <cell r="K279">
            <v>21</v>
          </cell>
          <cell r="L279">
            <v>21</v>
          </cell>
          <cell r="M279">
            <v>11</v>
          </cell>
          <cell r="N279">
            <v>0.65972222222222221</v>
          </cell>
          <cell r="P279">
            <v>0.68402777777777779</v>
          </cell>
          <cell r="R279">
            <v>2.430555555555558E-2</v>
          </cell>
          <cell r="S279" t="str">
            <v>pt 16:00</v>
          </cell>
          <cell r="X279">
            <v>40</v>
          </cell>
          <cell r="Y279" t="str">
            <v>mieszana J</v>
          </cell>
          <cell r="Z279" t="str">
            <v>P3707</v>
          </cell>
          <cell r="AA279" t="str">
            <v>M3309</v>
          </cell>
          <cell r="AB279" t="str">
            <v>S3365</v>
          </cell>
          <cell r="AC279" t="str">
            <v>P2838</v>
          </cell>
          <cell r="AD279" t="str">
            <v>P3707</v>
          </cell>
          <cell r="AE279" t="str">
            <v>M3309</v>
          </cell>
          <cell r="AF279" t="str">
            <v>21:14,17:21,21:11</v>
          </cell>
          <cell r="AG279" t="str">
            <v>14:21,21:17,11:21</v>
          </cell>
          <cell r="AH279" t="str">
            <v/>
          </cell>
          <cell r="AI279">
            <v>21</v>
          </cell>
          <cell r="AJ279">
            <v>14</v>
          </cell>
          <cell r="AK279">
            <v>17</v>
          </cell>
          <cell r="AL279">
            <v>21</v>
          </cell>
          <cell r="AM279">
            <v>21</v>
          </cell>
          <cell r="AN279">
            <v>11</v>
          </cell>
        </row>
        <row r="280">
          <cell r="A280" t="str">
            <v/>
          </cell>
          <cell r="B280" t="str">
            <v>Bartosz PIEKARZ (UKS Orliki Ropica Polska)</v>
          </cell>
          <cell r="H280" t="str">
            <v>P3707</v>
          </cell>
          <cell r="K280" t="str">
            <v>S3365</v>
          </cell>
          <cell r="N280" t="str">
            <v>Bartosz SZUKAŁA (UKS Orkan Przeźmierowo)</v>
          </cell>
        </row>
        <row r="281">
          <cell r="A281" t="str">
            <v/>
          </cell>
          <cell r="B281" t="str">
            <v>Edyta MIETŁA (MKS Spartakus Niepołomice)</v>
          </cell>
          <cell r="H281" t="str">
            <v>M3309</v>
          </cell>
          <cell r="K281" t="str">
            <v>P2838</v>
          </cell>
          <cell r="N281" t="str">
            <v>Aleksandra PAPRZYCKA (MKB Lednik Miastko)</v>
          </cell>
        </row>
        <row r="283">
          <cell r="B283" t="str">
            <v>zwycięzca(cy): 21:14,17:21,21:11</v>
          </cell>
          <cell r="K283" t="str">
            <v/>
          </cell>
        </row>
        <row r="284">
          <cell r="B284">
            <v>1</v>
          </cell>
          <cell r="C284" t="str">
            <v>dzień turnieju.</v>
          </cell>
          <cell r="I284" t="str">
            <v>Nr meczu</v>
          </cell>
          <cell r="N284" t="str">
            <v>Godz.</v>
          </cell>
          <cell r="R284" t="str">
            <v>S. prow.</v>
          </cell>
          <cell r="AF284" t="str">
            <v>wygrany</v>
          </cell>
          <cell r="AG284" t="str">
            <v>przegrany</v>
          </cell>
        </row>
        <row r="285">
          <cell r="B285" t="str">
            <v>Boisko</v>
          </cell>
          <cell r="C285" t="str">
            <v>Gra</v>
          </cell>
          <cell r="I285">
            <v>41</v>
          </cell>
          <cell r="N285" t="str">
            <v>rozp.</v>
          </cell>
          <cell r="P285" t="str">
            <v>zak.</v>
          </cell>
          <cell r="R285" t="str">
            <v>S. serw.</v>
          </cell>
        </row>
        <row r="286">
          <cell r="A286">
            <v>41</v>
          </cell>
          <cell r="B286">
            <v>5</v>
          </cell>
          <cell r="C286" t="str">
            <v>mieszana J</v>
          </cell>
          <cell r="H286">
            <v>11</v>
          </cell>
          <cell r="I286">
            <v>21</v>
          </cell>
          <cell r="J286">
            <v>15</v>
          </cell>
          <cell r="K286">
            <v>21</v>
          </cell>
          <cell r="N286">
            <v>0.65972222222222221</v>
          </cell>
          <cell r="P286">
            <v>0.67708333333333337</v>
          </cell>
          <cell r="R286">
            <v>1.736111111111116E-2</v>
          </cell>
          <cell r="S286" t="str">
            <v>pt 16:00</v>
          </cell>
          <cell r="X286">
            <v>41</v>
          </cell>
          <cell r="Y286" t="str">
            <v>mieszana J</v>
          </cell>
          <cell r="Z286" t="str">
            <v>O3926</v>
          </cell>
          <cell r="AA286" t="str">
            <v>B3862</v>
          </cell>
          <cell r="AB286" t="str">
            <v>L3566</v>
          </cell>
          <cell r="AC286" t="str">
            <v>P3555</v>
          </cell>
          <cell r="AD286" t="str">
            <v>L3566</v>
          </cell>
          <cell r="AE286" t="str">
            <v>P3555</v>
          </cell>
          <cell r="AF286" t="str">
            <v>21:11,21:15</v>
          </cell>
          <cell r="AG286" t="str">
            <v>11:21,15:21</v>
          </cell>
          <cell r="AH286" t="str">
            <v/>
          </cell>
          <cell r="AI286">
            <v>11</v>
          </cell>
          <cell r="AJ286">
            <v>21</v>
          </cell>
          <cell r="AK286">
            <v>15</v>
          </cell>
          <cell r="AL286">
            <v>21</v>
          </cell>
          <cell r="AM286">
            <v>0</v>
          </cell>
          <cell r="AN286">
            <v>0</v>
          </cell>
        </row>
        <row r="287">
          <cell r="A287" t="str">
            <v/>
          </cell>
          <cell r="B287" t="str">
            <v>Sebastian OBRYCKI (LKS Technik Głubczyce)</v>
          </cell>
          <cell r="H287" t="str">
            <v>O3926</v>
          </cell>
          <cell r="K287" t="str">
            <v>L3566</v>
          </cell>
          <cell r="N287" t="str">
            <v>Paweł LEPIANKA (UKS Kiko Zamość)</v>
          </cell>
        </row>
        <row r="288">
          <cell r="A288" t="str">
            <v/>
          </cell>
          <cell r="B288" t="str">
            <v>Aleksandra BIAŁEK (UKS Start Widełka)</v>
          </cell>
          <cell r="H288" t="str">
            <v>B3862</v>
          </cell>
          <cell r="K288" t="str">
            <v>P3555</v>
          </cell>
          <cell r="N288" t="str">
            <v>Kinga PALONKA (UKS Kiko Zamość)</v>
          </cell>
        </row>
        <row r="290">
          <cell r="B290" t="str">
            <v/>
          </cell>
          <cell r="K290" t="str">
            <v>zwycięzca(cy): 21:11,21:15</v>
          </cell>
        </row>
        <row r="291">
          <cell r="B291">
            <v>1</v>
          </cell>
          <cell r="C291" t="str">
            <v>dzień turnieju.</v>
          </cell>
          <cell r="I291" t="str">
            <v>Nr meczu</v>
          </cell>
          <cell r="N291" t="str">
            <v>Godz.</v>
          </cell>
          <cell r="R291" t="str">
            <v>S. prow.</v>
          </cell>
          <cell r="AF291" t="str">
            <v>wygrany</v>
          </cell>
          <cell r="AG291" t="str">
            <v>przegrany</v>
          </cell>
        </row>
        <row r="292">
          <cell r="B292" t="str">
            <v>Boisko</v>
          </cell>
          <cell r="C292" t="str">
            <v>Gra</v>
          </cell>
          <cell r="I292">
            <v>42</v>
          </cell>
          <cell r="N292" t="str">
            <v>rozp.</v>
          </cell>
          <cell r="P292" t="str">
            <v>zak.</v>
          </cell>
          <cell r="R292" t="str">
            <v>S. serw.</v>
          </cell>
        </row>
        <row r="293">
          <cell r="A293">
            <v>42</v>
          </cell>
          <cell r="B293">
            <v>6</v>
          </cell>
          <cell r="C293" t="str">
            <v>mieszana J</v>
          </cell>
          <cell r="H293">
            <v>21</v>
          </cell>
          <cell r="I293">
            <v>13</v>
          </cell>
          <cell r="J293">
            <v>21</v>
          </cell>
          <cell r="K293">
            <v>14</v>
          </cell>
          <cell r="N293">
            <v>0.67708333333333337</v>
          </cell>
          <cell r="P293">
            <v>0.69444444444444453</v>
          </cell>
          <cell r="R293">
            <v>1.736111111111116E-2</v>
          </cell>
          <cell r="S293" t="str">
            <v>pt 16:00</v>
          </cell>
          <cell r="X293">
            <v>42</v>
          </cell>
          <cell r="Y293" t="str">
            <v>mieszana J</v>
          </cell>
          <cell r="Z293" t="str">
            <v>K3149</v>
          </cell>
          <cell r="AA293" t="str">
            <v>P3283</v>
          </cell>
          <cell r="AB293" t="str">
            <v>K4685</v>
          </cell>
          <cell r="AC293" t="str">
            <v>X57</v>
          </cell>
          <cell r="AD293" t="str">
            <v>K3149</v>
          </cell>
          <cell r="AE293" t="str">
            <v>P3283</v>
          </cell>
          <cell r="AF293" t="str">
            <v>21:13,21:14</v>
          </cell>
          <cell r="AG293" t="str">
            <v>13:21,14:21</v>
          </cell>
          <cell r="AH293" t="str">
            <v/>
          </cell>
          <cell r="AI293">
            <v>21</v>
          </cell>
          <cell r="AJ293">
            <v>13</v>
          </cell>
          <cell r="AK293">
            <v>21</v>
          </cell>
          <cell r="AL293">
            <v>14</v>
          </cell>
          <cell r="AM293">
            <v>0</v>
          </cell>
          <cell r="AN293">
            <v>0</v>
          </cell>
        </row>
        <row r="294">
          <cell r="A294" t="str">
            <v/>
          </cell>
          <cell r="B294" t="str">
            <v>Dominik KRZĘCIO (AZSWAT Warszawa)</v>
          </cell>
          <cell r="H294" t="str">
            <v>K3149</v>
          </cell>
          <cell r="K294" t="str">
            <v>K4685</v>
          </cell>
          <cell r="N294" t="str">
            <v>Patryk KOSTRZEWSKI (KSR Wolant Łódź)</v>
          </cell>
        </row>
        <row r="295">
          <cell r="A295" t="str">
            <v/>
          </cell>
          <cell r="B295" t="str">
            <v>Magdalena POPRZECZKO (UKS Badminton Stare Babice)</v>
          </cell>
          <cell r="H295" t="str">
            <v>P3283</v>
          </cell>
          <cell r="K295" t="str">
            <v>X57</v>
          </cell>
          <cell r="N295" t="str">
            <v>Yuliya PRACH (Vinnica Ukraina)</v>
          </cell>
        </row>
        <row r="297">
          <cell r="B297" t="str">
            <v>zwycięzca(cy): 21:13,21:14</v>
          </cell>
          <cell r="K297" t="str">
            <v/>
          </cell>
        </row>
        <row r="298">
          <cell r="B298">
            <v>1</v>
          </cell>
          <cell r="C298" t="str">
            <v>dzień turnieju.</v>
          </cell>
          <cell r="I298" t="str">
            <v>Nr meczu</v>
          </cell>
          <cell r="N298" t="str">
            <v>Godz.</v>
          </cell>
          <cell r="R298" t="str">
            <v>S. prow.</v>
          </cell>
          <cell r="AF298" t="str">
            <v>wygrany</v>
          </cell>
          <cell r="AG298" t="str">
            <v>przegrany</v>
          </cell>
        </row>
        <row r="299">
          <cell r="B299" t="str">
            <v>Boisko</v>
          </cell>
          <cell r="C299" t="str">
            <v>Gra</v>
          </cell>
          <cell r="I299">
            <v>43</v>
          </cell>
          <cell r="N299" t="str">
            <v>rozp.</v>
          </cell>
          <cell r="P299" t="str">
            <v>zak.</v>
          </cell>
          <cell r="R299" t="str">
            <v>S. serw.</v>
          </cell>
        </row>
        <row r="300">
          <cell r="A300">
            <v>43</v>
          </cell>
          <cell r="B300">
            <v>7</v>
          </cell>
          <cell r="C300" t="str">
            <v>mieszana J</v>
          </cell>
          <cell r="H300">
            <v>21</v>
          </cell>
          <cell r="I300">
            <v>16</v>
          </cell>
          <cell r="J300">
            <v>21</v>
          </cell>
          <cell r="K300">
            <v>12</v>
          </cell>
          <cell r="N300">
            <v>0.66319444444444442</v>
          </cell>
          <cell r="P300">
            <v>0.68055555555555547</v>
          </cell>
          <cell r="R300">
            <v>1.7361111111111049E-2</v>
          </cell>
          <cell r="S300" t="str">
            <v>pt 16:00</v>
          </cell>
          <cell r="X300">
            <v>43</v>
          </cell>
          <cell r="Y300" t="str">
            <v>mieszana J</v>
          </cell>
          <cell r="Z300" t="str">
            <v>Z3080</v>
          </cell>
          <cell r="AA300" t="str">
            <v>G3134</v>
          </cell>
          <cell r="AB300" t="str">
            <v>S3245</v>
          </cell>
          <cell r="AC300" t="str">
            <v>R3364</v>
          </cell>
          <cell r="AD300" t="str">
            <v>Z3080</v>
          </cell>
          <cell r="AE300" t="str">
            <v>G3134</v>
          </cell>
          <cell r="AF300" t="str">
            <v>21:16,21:12</v>
          </cell>
          <cell r="AG300" t="str">
            <v>16:21,12:21</v>
          </cell>
          <cell r="AH300" t="str">
            <v/>
          </cell>
          <cell r="AI300">
            <v>21</v>
          </cell>
          <cell r="AJ300">
            <v>16</v>
          </cell>
          <cell r="AK300">
            <v>21</v>
          </cell>
          <cell r="AL300">
            <v>12</v>
          </cell>
          <cell r="AM300">
            <v>0</v>
          </cell>
          <cell r="AN300">
            <v>0</v>
          </cell>
        </row>
        <row r="301">
          <cell r="A301" t="str">
            <v/>
          </cell>
          <cell r="B301" t="str">
            <v>Konrad ZAUCHA (UKS Orbitek Straszęcin)</v>
          </cell>
          <cell r="H301" t="str">
            <v>Z3080</v>
          </cell>
          <cell r="K301" t="str">
            <v>S3245</v>
          </cell>
          <cell r="N301" t="str">
            <v>Arkadiusz SŁUPEK (KS Chojnik Jelenia Góra)</v>
          </cell>
        </row>
        <row r="302">
          <cell r="A302" t="str">
            <v/>
          </cell>
          <cell r="B302" t="str">
            <v>Katarzyna GRUSZKA (UKS Orbitek Straszęcin)</v>
          </cell>
          <cell r="H302" t="str">
            <v>G3134</v>
          </cell>
          <cell r="K302" t="str">
            <v>R3364</v>
          </cell>
          <cell r="N302" t="str">
            <v>Kinga ROGALSKA (UKS 2 Sobótka)</v>
          </cell>
        </row>
        <row r="304">
          <cell r="B304" t="str">
            <v>zwycięzca(cy): 21:16,21:12</v>
          </cell>
          <cell r="K304" t="str">
            <v/>
          </cell>
        </row>
        <row r="305">
          <cell r="B305">
            <v>1</v>
          </cell>
          <cell r="C305" t="str">
            <v>dzień turnieju.</v>
          </cell>
          <cell r="I305" t="str">
            <v>Nr meczu</v>
          </cell>
          <cell r="N305" t="str">
            <v>Godz.</v>
          </cell>
          <cell r="R305" t="str">
            <v>S. prow.</v>
          </cell>
          <cell r="AF305" t="str">
            <v>wygrany</v>
          </cell>
          <cell r="AG305" t="str">
            <v>przegrany</v>
          </cell>
        </row>
        <row r="306">
          <cell r="B306" t="str">
            <v>Boisko</v>
          </cell>
          <cell r="C306" t="str">
            <v>Gra</v>
          </cell>
          <cell r="I306">
            <v>44</v>
          </cell>
          <cell r="N306" t="str">
            <v>rozp.</v>
          </cell>
          <cell r="P306" t="str">
            <v>zak.</v>
          </cell>
          <cell r="R306" t="str">
            <v>S. serw.</v>
          </cell>
        </row>
        <row r="307">
          <cell r="A307">
            <v>44</v>
          </cell>
          <cell r="B307">
            <v>2</v>
          </cell>
          <cell r="C307" t="str">
            <v>mieszana J</v>
          </cell>
          <cell r="H307">
            <v>21</v>
          </cell>
          <cell r="I307">
            <v>19</v>
          </cell>
          <cell r="J307">
            <v>11</v>
          </cell>
          <cell r="K307">
            <v>21</v>
          </cell>
          <cell r="L307">
            <v>22</v>
          </cell>
          <cell r="M307">
            <v>20</v>
          </cell>
          <cell r="N307">
            <v>0.66319444444444442</v>
          </cell>
          <cell r="P307">
            <v>0.69236111111111109</v>
          </cell>
          <cell r="R307">
            <v>2.9166666666666674E-2</v>
          </cell>
          <cell r="S307" t="str">
            <v>pt 16:00</v>
          </cell>
          <cell r="X307">
            <v>44</v>
          </cell>
          <cell r="Y307" t="str">
            <v>mieszana J</v>
          </cell>
          <cell r="Z307" t="str">
            <v>N3333</v>
          </cell>
          <cell r="AA307" t="str">
            <v>S3950</v>
          </cell>
          <cell r="AB307" t="str">
            <v>K4230</v>
          </cell>
          <cell r="AC307" t="str">
            <v>K3151</v>
          </cell>
          <cell r="AD307" t="str">
            <v>N3333</v>
          </cell>
          <cell r="AE307" t="str">
            <v>S3950</v>
          </cell>
          <cell r="AF307" t="str">
            <v>21:19,11:21,22:20</v>
          </cell>
          <cell r="AG307" t="str">
            <v>19:21,21:11,20:22</v>
          </cell>
          <cell r="AH307" t="str">
            <v/>
          </cell>
          <cell r="AI307">
            <v>21</v>
          </cell>
          <cell r="AJ307">
            <v>19</v>
          </cell>
          <cell r="AK307">
            <v>11</v>
          </cell>
          <cell r="AL307">
            <v>21</v>
          </cell>
          <cell r="AM307">
            <v>22</v>
          </cell>
          <cell r="AN307">
            <v>20</v>
          </cell>
        </row>
        <row r="308">
          <cell r="A308" t="str">
            <v/>
          </cell>
          <cell r="B308" t="str">
            <v>Marcin NOWAK (UKS Smecz Bogatynia)</v>
          </cell>
          <cell r="H308" t="str">
            <v>N3333</v>
          </cell>
          <cell r="K308" t="str">
            <v>K4230</v>
          </cell>
          <cell r="N308" t="str">
            <v>Wiktor KRAWCZYK (UKSB Milenium Warszawa)</v>
          </cell>
        </row>
        <row r="309">
          <cell r="A309" t="str">
            <v/>
          </cell>
          <cell r="B309" t="str">
            <v>Klaudia SOCHA (KS Chojnik Jelenia Góra)</v>
          </cell>
          <cell r="H309" t="str">
            <v>S3950</v>
          </cell>
          <cell r="K309" t="str">
            <v>K3151</v>
          </cell>
          <cell r="N309" t="str">
            <v>Maria KOPYT (UKSB Milenium Warszawa)</v>
          </cell>
        </row>
        <row r="311">
          <cell r="B311" t="str">
            <v>zwycięzca(cy): 21:19,11:21,22:20</v>
          </cell>
          <cell r="K311" t="str">
            <v/>
          </cell>
        </row>
        <row r="312">
          <cell r="B312">
            <v>1</v>
          </cell>
          <cell r="C312" t="str">
            <v>dzień turnieju.</v>
          </cell>
          <cell r="I312" t="str">
            <v>Nr meczu</v>
          </cell>
          <cell r="N312" t="str">
            <v>Godz.</v>
          </cell>
          <cell r="R312" t="str">
            <v>S. prow.</v>
          </cell>
          <cell r="AF312" t="str">
            <v>wygrany</v>
          </cell>
          <cell r="AG312" t="str">
            <v>przegrany</v>
          </cell>
        </row>
        <row r="313">
          <cell r="B313" t="str">
            <v>Boisko</v>
          </cell>
          <cell r="C313" t="str">
            <v>Gra</v>
          </cell>
          <cell r="I313">
            <v>45</v>
          </cell>
          <cell r="N313" t="str">
            <v>rozp.</v>
          </cell>
          <cell r="P313" t="str">
            <v>zak.</v>
          </cell>
          <cell r="R313" t="str">
            <v>S. serw.</v>
          </cell>
        </row>
        <row r="314">
          <cell r="A314">
            <v>45</v>
          </cell>
          <cell r="B314">
            <v>8</v>
          </cell>
          <cell r="C314" t="str">
            <v>mieszana J</v>
          </cell>
          <cell r="H314">
            <v>21</v>
          </cell>
          <cell r="I314">
            <v>14</v>
          </cell>
          <cell r="J314">
            <v>21</v>
          </cell>
          <cell r="K314">
            <v>19</v>
          </cell>
          <cell r="N314">
            <v>0.66319444444444442</v>
          </cell>
          <cell r="P314">
            <v>0.6791666666666667</v>
          </cell>
          <cell r="R314">
            <v>1.5972222222222276E-2</v>
          </cell>
          <cell r="S314" t="str">
            <v>pt 16:00</v>
          </cell>
          <cell r="X314">
            <v>45</v>
          </cell>
          <cell r="Y314" t="str">
            <v>mieszana J</v>
          </cell>
          <cell r="Z314" t="str">
            <v>T3923</v>
          </cell>
          <cell r="AA314" t="str">
            <v>Ł4427</v>
          </cell>
          <cell r="AB314" t="str">
            <v>W3805</v>
          </cell>
          <cell r="AC314" t="str">
            <v>B3564</v>
          </cell>
          <cell r="AD314" t="str">
            <v>T3923</v>
          </cell>
          <cell r="AE314" t="str">
            <v>Ł4427</v>
          </cell>
          <cell r="AF314" t="str">
            <v>21:14,21:19</v>
          </cell>
          <cell r="AG314" t="str">
            <v>14:21,19:21</v>
          </cell>
          <cell r="AH314" t="str">
            <v/>
          </cell>
          <cell r="AI314">
            <v>21</v>
          </cell>
          <cell r="AJ314">
            <v>14</v>
          </cell>
          <cell r="AK314">
            <v>21</v>
          </cell>
          <cell r="AL314">
            <v>19</v>
          </cell>
          <cell r="AM314">
            <v>0</v>
          </cell>
          <cell r="AN314">
            <v>0</v>
          </cell>
        </row>
        <row r="315">
          <cell r="A315" t="str">
            <v/>
          </cell>
          <cell r="B315" t="str">
            <v>Paweł TOMASZEWSKI (MKS Orlicz Suchedniów)</v>
          </cell>
          <cell r="H315" t="str">
            <v>T3923</v>
          </cell>
          <cell r="K315" t="str">
            <v>W3805</v>
          </cell>
          <cell r="N315" t="str">
            <v>Jan WOLAŃCZYK (KS Match Point Ślęza)</v>
          </cell>
        </row>
        <row r="316">
          <cell r="A316" t="str">
            <v/>
          </cell>
          <cell r="B316" t="str">
            <v>Magda ŁUKASIAK (MKS Orlicz Suchedniów)</v>
          </cell>
          <cell r="H316" t="str">
            <v>Ł4427</v>
          </cell>
          <cell r="K316" t="str">
            <v>B3564</v>
          </cell>
          <cell r="N316" t="str">
            <v>Kinga BARNA (UKS 2 Sobótka)</v>
          </cell>
        </row>
        <row r="318">
          <cell r="B318" t="str">
            <v>zwycięzca(cy): 21:14,21:19</v>
          </cell>
          <cell r="K318" t="str">
            <v/>
          </cell>
        </row>
        <row r="319">
          <cell r="B319">
            <v>1</v>
          </cell>
          <cell r="C319" t="str">
            <v>dzień turnieju.</v>
          </cell>
          <cell r="I319" t="str">
            <v>Nr meczu</v>
          </cell>
          <cell r="N319" t="str">
            <v>Godz.</v>
          </cell>
          <cell r="R319" t="str">
            <v>S. prow.</v>
          </cell>
          <cell r="AF319" t="str">
            <v>wygrany</v>
          </cell>
          <cell r="AG319" t="str">
            <v>przegrany</v>
          </cell>
        </row>
        <row r="320">
          <cell r="B320" t="str">
            <v>Boisko</v>
          </cell>
          <cell r="C320" t="str">
            <v>Gra</v>
          </cell>
          <cell r="I320">
            <v>46</v>
          </cell>
          <cell r="N320" t="str">
            <v>rozp.</v>
          </cell>
          <cell r="P320" t="str">
            <v>zak.</v>
          </cell>
          <cell r="R320" t="str">
            <v>S. serw.</v>
          </cell>
        </row>
        <row r="321">
          <cell r="A321">
            <v>46</v>
          </cell>
          <cell r="C321" t="str">
            <v>mieszana J</v>
          </cell>
          <cell r="H321">
            <v>21</v>
          </cell>
          <cell r="I321">
            <v>0</v>
          </cell>
          <cell r="J321">
            <v>21</v>
          </cell>
          <cell r="K321">
            <v>0</v>
          </cell>
          <cell r="R321">
            <v>0</v>
          </cell>
          <cell r="S321" t="str">
            <v>pt 16:00</v>
          </cell>
          <cell r="X321">
            <v>46</v>
          </cell>
          <cell r="Y321" t="str">
            <v>mieszana J</v>
          </cell>
          <cell r="Z321" t="str">
            <v>S3502</v>
          </cell>
          <cell r="AA321" t="str">
            <v>K3863</v>
          </cell>
          <cell r="AB321" t="str">
            <v>K3241</v>
          </cell>
          <cell r="AC321" t="str">
            <v>K3257</v>
          </cell>
          <cell r="AD321" t="str">
            <v>S3502</v>
          </cell>
          <cell r="AE321" t="str">
            <v>K3863</v>
          </cell>
          <cell r="AF321" t="str">
            <v>21:0,21:0</v>
          </cell>
          <cell r="AG321" t="str">
            <v>0:21,0:21</v>
          </cell>
          <cell r="AH321" t="str">
            <v/>
          </cell>
          <cell r="AI321">
            <v>21</v>
          </cell>
          <cell r="AJ321">
            <v>0</v>
          </cell>
          <cell r="AK321">
            <v>21</v>
          </cell>
          <cell r="AL321">
            <v>0</v>
          </cell>
          <cell r="AM321">
            <v>0</v>
          </cell>
          <cell r="AN321">
            <v>0</v>
          </cell>
        </row>
        <row r="322">
          <cell r="A322" t="str">
            <v/>
          </cell>
          <cell r="B322" t="str">
            <v>Jakub SMAJDA (UKS Ząbkowice Dąbrowa Górn.)</v>
          </cell>
          <cell r="H322" t="str">
            <v>S3502</v>
          </cell>
          <cell r="K322" t="str">
            <v>K3241</v>
          </cell>
          <cell r="N322" t="str">
            <v>Jakub KACHNIARZ (UKS Ząbkowice Dąbrowa Górn.)</v>
          </cell>
        </row>
        <row r="323">
          <cell r="A323" t="str">
            <v/>
          </cell>
          <cell r="B323" t="str">
            <v>Katarzyna KUTACHA (UKS Start Widełka)</v>
          </cell>
          <cell r="H323" t="str">
            <v>K3863</v>
          </cell>
          <cell r="K323" t="str">
            <v>K3257</v>
          </cell>
          <cell r="N323" t="str">
            <v>Nikola KOSZMIDER (UKS Feniks Kędzierzyn-Koźle)</v>
          </cell>
        </row>
        <row r="325">
          <cell r="B325" t="str">
            <v>zwycięzca(cy): 21:0,21:0</v>
          </cell>
          <cell r="K325" t="str">
            <v/>
          </cell>
        </row>
        <row r="326">
          <cell r="B326">
            <v>1</v>
          </cell>
          <cell r="C326" t="str">
            <v>dzień turnieju.</v>
          </cell>
          <cell r="I326" t="str">
            <v>Nr meczu</v>
          </cell>
          <cell r="N326" t="str">
            <v>Godz.</v>
          </cell>
          <cell r="R326" t="str">
            <v>S. prow.</v>
          </cell>
          <cell r="AF326" t="str">
            <v>wygrany</v>
          </cell>
          <cell r="AG326" t="str">
            <v>przegrany</v>
          </cell>
        </row>
        <row r="327">
          <cell r="B327" t="str">
            <v>Boisko</v>
          </cell>
          <cell r="C327" t="str">
            <v>Gra</v>
          </cell>
          <cell r="I327">
            <v>47</v>
          </cell>
          <cell r="N327" t="str">
            <v>rozp.</v>
          </cell>
          <cell r="P327" t="str">
            <v>zak.</v>
          </cell>
          <cell r="R327" t="str">
            <v>S. serw.</v>
          </cell>
        </row>
        <row r="328">
          <cell r="A328">
            <v>47</v>
          </cell>
          <cell r="B328">
            <v>4</v>
          </cell>
          <cell r="C328" t="str">
            <v>podwójna kobiet J</v>
          </cell>
          <cell r="H328">
            <v>21</v>
          </cell>
          <cell r="I328">
            <v>10</v>
          </cell>
          <cell r="J328">
            <v>21</v>
          </cell>
          <cell r="K328">
            <v>10</v>
          </cell>
          <cell r="N328">
            <v>0.70486111111111116</v>
          </cell>
          <cell r="P328">
            <v>0.71597222222222223</v>
          </cell>
          <cell r="R328">
            <v>1.1111111111111072E-2</v>
          </cell>
          <cell r="S328" t="str">
            <v>pt 16:30</v>
          </cell>
          <cell r="X328">
            <v>47</v>
          </cell>
          <cell r="Y328" t="str">
            <v>podwójna kobiet J</v>
          </cell>
          <cell r="Z328" t="str">
            <v>G3560</v>
          </cell>
          <cell r="AA328" t="str">
            <v>P3555</v>
          </cell>
          <cell r="AB328" t="str">
            <v>Ł4427</v>
          </cell>
          <cell r="AC328" t="str">
            <v>X57</v>
          </cell>
          <cell r="AD328" t="str">
            <v>G3560</v>
          </cell>
          <cell r="AE328" t="str">
            <v>P3555</v>
          </cell>
          <cell r="AF328" t="str">
            <v>21:10,21:10</v>
          </cell>
          <cell r="AG328" t="str">
            <v>10:21,10:21</v>
          </cell>
          <cell r="AH328" t="str">
            <v/>
          </cell>
          <cell r="AI328">
            <v>21</v>
          </cell>
          <cell r="AJ328">
            <v>10</v>
          </cell>
          <cell r="AK328">
            <v>21</v>
          </cell>
          <cell r="AL328">
            <v>10</v>
          </cell>
          <cell r="AM328">
            <v>0</v>
          </cell>
          <cell r="AN328">
            <v>0</v>
          </cell>
        </row>
        <row r="329">
          <cell r="A329" t="str">
            <v/>
          </cell>
          <cell r="B329" t="str">
            <v>Daria GUJSKA (UKS Kiko Zamość)</v>
          </cell>
          <cell r="H329" t="str">
            <v>G3560</v>
          </cell>
          <cell r="K329" t="str">
            <v>Ł4427</v>
          </cell>
          <cell r="N329" t="str">
            <v>Magda ŁUKASIAK (MKS Orlicz Suchedniów)</v>
          </cell>
        </row>
        <row r="330">
          <cell r="A330" t="str">
            <v/>
          </cell>
          <cell r="B330" t="str">
            <v>Kinga PALONKA (UKS Kiko Zamość)</v>
          </cell>
          <cell r="H330" t="str">
            <v>P3555</v>
          </cell>
          <cell r="K330" t="str">
            <v>X57</v>
          </cell>
          <cell r="N330" t="str">
            <v>Yuliya PRACH (Vinnica Ukraina)</v>
          </cell>
        </row>
        <row r="332">
          <cell r="B332" t="str">
            <v>zwycięzca(cy): 21:10,21:10</v>
          </cell>
          <cell r="K332" t="str">
            <v/>
          </cell>
        </row>
        <row r="333">
          <cell r="B333">
            <v>1</v>
          </cell>
          <cell r="C333" t="str">
            <v>dzień turnieju.</v>
          </cell>
          <cell r="I333" t="str">
            <v>Nr meczu</v>
          </cell>
          <cell r="N333" t="str">
            <v>Godz.</v>
          </cell>
          <cell r="R333" t="str">
            <v>S. prow.</v>
          </cell>
          <cell r="AF333" t="str">
            <v>wygrany</v>
          </cell>
          <cell r="AG333" t="str">
            <v>przegrany</v>
          </cell>
        </row>
        <row r="334">
          <cell r="B334" t="str">
            <v>Boisko</v>
          </cell>
          <cell r="C334" t="str">
            <v>Gra</v>
          </cell>
          <cell r="I334">
            <v>48</v>
          </cell>
          <cell r="N334" t="str">
            <v>rozp.</v>
          </cell>
          <cell r="P334" t="str">
            <v>zak.</v>
          </cell>
          <cell r="R334" t="str">
            <v>S. serw.</v>
          </cell>
        </row>
        <row r="335">
          <cell r="A335">
            <v>48</v>
          </cell>
          <cell r="B335">
            <v>5</v>
          </cell>
          <cell r="C335" t="str">
            <v>podwójna kobiet J</v>
          </cell>
          <cell r="H335">
            <v>10</v>
          </cell>
          <cell r="I335">
            <v>21</v>
          </cell>
          <cell r="J335">
            <v>17</v>
          </cell>
          <cell r="K335">
            <v>21</v>
          </cell>
          <cell r="N335">
            <v>0.6875</v>
          </cell>
          <cell r="P335">
            <v>0.70138888888888884</v>
          </cell>
          <cell r="R335">
            <v>1.388888888888884E-2</v>
          </cell>
          <cell r="S335" t="str">
            <v>pt 16:30</v>
          </cell>
          <cell r="X335">
            <v>48</v>
          </cell>
          <cell r="Y335" t="str">
            <v>podwójna kobiet J</v>
          </cell>
          <cell r="Z335" t="str">
            <v>M3662</v>
          </cell>
          <cell r="AA335" t="str">
            <v>Ś3664</v>
          </cell>
          <cell r="AB335" t="str">
            <v>D3155</v>
          </cell>
          <cell r="AC335" t="str">
            <v>T3157</v>
          </cell>
          <cell r="AD335" t="str">
            <v>D3155</v>
          </cell>
          <cell r="AE335" t="str">
            <v>T3157</v>
          </cell>
          <cell r="AF335" t="str">
            <v>21:10,21:17</v>
          </cell>
          <cell r="AG335" t="str">
            <v>10:21,17:21</v>
          </cell>
          <cell r="AH335" t="str">
            <v/>
          </cell>
          <cell r="AI335">
            <v>10</v>
          </cell>
          <cell r="AJ335">
            <v>21</v>
          </cell>
          <cell r="AK335">
            <v>17</v>
          </cell>
          <cell r="AL335">
            <v>21</v>
          </cell>
          <cell r="AM335">
            <v>0</v>
          </cell>
          <cell r="AN335">
            <v>0</v>
          </cell>
        </row>
        <row r="336">
          <cell r="A336" t="str">
            <v/>
          </cell>
          <cell r="B336" t="str">
            <v>Anita MIELNICZEK (UKS Orbitek Straszęcin)</v>
          </cell>
          <cell r="H336" t="str">
            <v>M3662</v>
          </cell>
          <cell r="K336" t="str">
            <v>D3155</v>
          </cell>
          <cell r="N336" t="str">
            <v>Anna DĘBSKA (UKSB Milenium Warszawa)</v>
          </cell>
        </row>
        <row r="337">
          <cell r="A337" t="str">
            <v/>
          </cell>
          <cell r="B337" t="str">
            <v>Gabriela ŚLISZ (UKS Orbitek Straszęcin)</v>
          </cell>
          <cell r="H337" t="str">
            <v>Ś3664</v>
          </cell>
          <cell r="K337" t="str">
            <v>T3157</v>
          </cell>
          <cell r="N337" t="str">
            <v>Adrianna TATAJ (UKSB Milenium Warszawa)</v>
          </cell>
        </row>
        <row r="339">
          <cell r="B339" t="str">
            <v/>
          </cell>
          <cell r="K339" t="str">
            <v>zwycięzca(cy): 21:10,21:17</v>
          </cell>
        </row>
        <row r="340">
          <cell r="B340">
            <v>1</v>
          </cell>
          <cell r="C340" t="str">
            <v>dzień turnieju.</v>
          </cell>
          <cell r="I340" t="str">
            <v>Nr meczu</v>
          </cell>
          <cell r="N340" t="str">
            <v>Godz.</v>
          </cell>
          <cell r="R340" t="str">
            <v>S. prow.</v>
          </cell>
          <cell r="AF340" t="str">
            <v>wygrany</v>
          </cell>
          <cell r="AG340" t="str">
            <v>przegrany</v>
          </cell>
        </row>
        <row r="341">
          <cell r="B341" t="str">
            <v>Boisko</v>
          </cell>
          <cell r="C341" t="str">
            <v>Gra</v>
          </cell>
          <cell r="I341">
            <v>49</v>
          </cell>
          <cell r="N341" t="str">
            <v>rozp.</v>
          </cell>
          <cell r="P341" t="str">
            <v>zak.</v>
          </cell>
          <cell r="R341" t="str">
            <v>S. serw.</v>
          </cell>
        </row>
        <row r="342">
          <cell r="A342">
            <v>49</v>
          </cell>
          <cell r="B342">
            <v>3</v>
          </cell>
          <cell r="C342" t="str">
            <v>podwójna kobiet J</v>
          </cell>
          <cell r="H342">
            <v>21</v>
          </cell>
          <cell r="I342">
            <v>18</v>
          </cell>
          <cell r="J342">
            <v>21</v>
          </cell>
          <cell r="K342">
            <v>17</v>
          </cell>
          <cell r="N342">
            <v>0.6875</v>
          </cell>
          <cell r="P342">
            <v>0.70624999999999993</v>
          </cell>
          <cell r="R342">
            <v>1.8749999999999933E-2</v>
          </cell>
          <cell r="S342" t="str">
            <v>pt 16:30</v>
          </cell>
          <cell r="X342">
            <v>49</v>
          </cell>
          <cell r="Y342" t="str">
            <v>podwójna kobiet J</v>
          </cell>
          <cell r="Z342" t="str">
            <v>G2661</v>
          </cell>
          <cell r="AA342" t="str">
            <v>K3351</v>
          </cell>
          <cell r="AB342" t="str">
            <v>B3564</v>
          </cell>
          <cell r="AC342" t="str">
            <v>R3364</v>
          </cell>
          <cell r="AD342" t="str">
            <v>G2661</v>
          </cell>
          <cell r="AE342" t="str">
            <v>K3351</v>
          </cell>
          <cell r="AF342" t="str">
            <v>21:18,21:17</v>
          </cell>
          <cell r="AG342" t="str">
            <v>18:21,17:21</v>
          </cell>
          <cell r="AH342" t="str">
            <v/>
          </cell>
          <cell r="AI342">
            <v>21</v>
          </cell>
          <cell r="AJ342">
            <v>18</v>
          </cell>
          <cell r="AK342">
            <v>21</v>
          </cell>
          <cell r="AL342">
            <v>17</v>
          </cell>
          <cell r="AM342">
            <v>0</v>
          </cell>
          <cell r="AN342">
            <v>0</v>
          </cell>
        </row>
        <row r="343">
          <cell r="A343" t="str">
            <v/>
          </cell>
          <cell r="B343" t="str">
            <v>Diana GŁOWACKA (LUKS Księżyno)</v>
          </cell>
          <cell r="H343" t="str">
            <v>G2661</v>
          </cell>
          <cell r="K343" t="str">
            <v>B3564</v>
          </cell>
          <cell r="N343" t="str">
            <v>Kinga BARNA (UKS 2 Sobótka)</v>
          </cell>
        </row>
        <row r="344">
          <cell r="A344" t="str">
            <v/>
          </cell>
          <cell r="B344" t="str">
            <v>Paulina KACZOROWSKA (KS Chojnik Jelenia Góra)</v>
          </cell>
          <cell r="H344" t="str">
            <v>K3351</v>
          </cell>
          <cell r="K344" t="str">
            <v>R3364</v>
          </cell>
          <cell r="N344" t="str">
            <v>Kinga ROGALSKA (UKS 2 Sobótka)</v>
          </cell>
        </row>
        <row r="346">
          <cell r="B346" t="str">
            <v>zwycięzca(cy): 21:18,21:17</v>
          </cell>
          <cell r="K346" t="str">
            <v/>
          </cell>
        </row>
        <row r="347">
          <cell r="B347">
            <v>1</v>
          </cell>
          <cell r="C347" t="str">
            <v>dzień turnieju.</v>
          </cell>
          <cell r="I347" t="str">
            <v>Nr meczu</v>
          </cell>
          <cell r="N347" t="str">
            <v>Godz.</v>
          </cell>
          <cell r="R347" t="str">
            <v>S. prow.</v>
          </cell>
          <cell r="S347" t="str">
            <v>JANECKI Andrzej</v>
          </cell>
          <cell r="AF347" t="str">
            <v>wygrany</v>
          </cell>
          <cell r="AG347" t="str">
            <v>przegrany</v>
          </cell>
        </row>
        <row r="348">
          <cell r="B348" t="str">
            <v>Boisko</v>
          </cell>
          <cell r="C348" t="str">
            <v>Gra</v>
          </cell>
          <cell r="I348">
            <v>50</v>
          </cell>
          <cell r="N348" t="str">
            <v>rozp.</v>
          </cell>
          <cell r="P348" t="str">
            <v>zak.</v>
          </cell>
          <cell r="R348" t="str">
            <v>S. serw.</v>
          </cell>
        </row>
        <row r="349">
          <cell r="A349">
            <v>50</v>
          </cell>
          <cell r="B349">
            <v>2</v>
          </cell>
          <cell r="C349" t="str">
            <v>podwójna mężczyzn J</v>
          </cell>
          <cell r="H349">
            <v>22</v>
          </cell>
          <cell r="I349">
            <v>20</v>
          </cell>
          <cell r="J349">
            <v>17</v>
          </cell>
          <cell r="K349">
            <v>21</v>
          </cell>
          <cell r="L349">
            <v>19</v>
          </cell>
          <cell r="M349">
            <v>21</v>
          </cell>
          <cell r="N349">
            <v>0.70486111111111116</v>
          </cell>
          <cell r="P349">
            <v>0.72777777777777775</v>
          </cell>
          <cell r="R349">
            <v>2.2916666666666585E-2</v>
          </cell>
          <cell r="S349" t="str">
            <v>pt 16:30</v>
          </cell>
          <cell r="X349">
            <v>50</v>
          </cell>
          <cell r="Y349" t="str">
            <v>podwójna mężczyzn J</v>
          </cell>
          <cell r="Z349" t="str">
            <v>K4230</v>
          </cell>
          <cell r="AA349" t="str">
            <v>N3148</v>
          </cell>
          <cell r="AB349" t="str">
            <v>K3935</v>
          </cell>
          <cell r="AC349" t="str">
            <v>S3502</v>
          </cell>
          <cell r="AD349" t="str">
            <v>K3935</v>
          </cell>
          <cell r="AE349" t="str">
            <v>S3502</v>
          </cell>
          <cell r="AF349" t="str">
            <v>20:22,21:17,21:19</v>
          </cell>
          <cell r="AG349" t="str">
            <v>22:20,17:21,19:21</v>
          </cell>
          <cell r="AH349" t="str">
            <v/>
          </cell>
          <cell r="AI349">
            <v>22</v>
          </cell>
          <cell r="AJ349">
            <v>20</v>
          </cell>
          <cell r="AK349">
            <v>17</v>
          </cell>
          <cell r="AL349">
            <v>21</v>
          </cell>
          <cell r="AM349">
            <v>19</v>
          </cell>
          <cell r="AN349">
            <v>21</v>
          </cell>
        </row>
        <row r="350">
          <cell r="A350" t="str">
            <v/>
          </cell>
          <cell r="B350" t="str">
            <v>Wiktor KRAWCZYK (UKSB Milenium Warszawa)</v>
          </cell>
          <cell r="H350" t="str">
            <v>K4230</v>
          </cell>
          <cell r="K350" t="str">
            <v>K3935</v>
          </cell>
          <cell r="N350" t="str">
            <v>Michał KAŹMIERCZAK (UKS Feniks Kędzierzyn-Koźle)</v>
          </cell>
        </row>
        <row r="351">
          <cell r="A351" t="str">
            <v/>
          </cell>
          <cell r="B351" t="str">
            <v>Kamil NASIŁOWSKI (UKSB Milenium Warszawa)</v>
          </cell>
          <cell r="H351" t="str">
            <v>N3148</v>
          </cell>
          <cell r="K351" t="str">
            <v>S3502</v>
          </cell>
          <cell r="N351" t="str">
            <v>Jakub SMAJDA (UKS Ząbkowice Dąbrowa Górn.)</v>
          </cell>
        </row>
        <row r="353">
          <cell r="B353" t="str">
            <v/>
          </cell>
          <cell r="K353" t="str">
            <v>zwycięzca(cy): 20:22,21:17,21:19</v>
          </cell>
        </row>
        <row r="354">
          <cell r="B354">
            <v>1</v>
          </cell>
          <cell r="C354" t="str">
            <v>dzień turnieju.</v>
          </cell>
          <cell r="I354" t="str">
            <v>Nr meczu</v>
          </cell>
          <cell r="N354" t="str">
            <v>Godz.</v>
          </cell>
          <cell r="R354" t="str">
            <v>S. prow.</v>
          </cell>
          <cell r="AF354" t="str">
            <v>wygrany</v>
          </cell>
          <cell r="AG354" t="str">
            <v>przegrany</v>
          </cell>
        </row>
        <row r="355">
          <cell r="B355" t="str">
            <v>Boisko</v>
          </cell>
          <cell r="C355" t="str">
            <v>Gra</v>
          </cell>
          <cell r="I355">
            <v>51</v>
          </cell>
          <cell r="N355" t="str">
            <v>rozp.</v>
          </cell>
          <cell r="P355" t="str">
            <v>zak.</v>
          </cell>
          <cell r="R355" t="str">
            <v>S. serw.</v>
          </cell>
        </row>
        <row r="356">
          <cell r="A356">
            <v>51</v>
          </cell>
          <cell r="B356">
            <v>1</v>
          </cell>
          <cell r="C356" t="str">
            <v>podwójna mężczyzn J</v>
          </cell>
          <cell r="H356">
            <v>21</v>
          </cell>
          <cell r="I356">
            <v>18</v>
          </cell>
          <cell r="J356">
            <v>21</v>
          </cell>
          <cell r="K356">
            <v>13</v>
          </cell>
          <cell r="N356">
            <v>0.6875</v>
          </cell>
          <cell r="P356">
            <v>0.70833333333333337</v>
          </cell>
          <cell r="R356">
            <v>2.083333333333337E-2</v>
          </cell>
          <cell r="S356" t="str">
            <v>pt 16:30</v>
          </cell>
          <cell r="X356">
            <v>51</v>
          </cell>
          <cell r="Y356" t="str">
            <v>podwójna mężczyzn J</v>
          </cell>
          <cell r="Z356" t="str">
            <v>P3707</v>
          </cell>
          <cell r="AA356" t="str">
            <v>S3365</v>
          </cell>
          <cell r="AB356" t="str">
            <v>U4307</v>
          </cell>
          <cell r="AC356" t="str">
            <v>W3545</v>
          </cell>
          <cell r="AD356" t="str">
            <v>P3707</v>
          </cell>
          <cell r="AE356" t="str">
            <v>S3365</v>
          </cell>
          <cell r="AF356" t="str">
            <v>21:18,21:13</v>
          </cell>
          <cell r="AG356" t="str">
            <v>18:21,13:21</v>
          </cell>
          <cell r="AH356" t="str">
            <v/>
          </cell>
          <cell r="AI356">
            <v>21</v>
          </cell>
          <cell r="AJ356">
            <v>18</v>
          </cell>
          <cell r="AK356">
            <v>21</v>
          </cell>
          <cell r="AL356">
            <v>13</v>
          </cell>
          <cell r="AM356">
            <v>0</v>
          </cell>
          <cell r="AN356">
            <v>0</v>
          </cell>
        </row>
        <row r="357">
          <cell r="A357" t="str">
            <v/>
          </cell>
          <cell r="B357" t="str">
            <v>Bartosz PIEKARZ (UKS Orliki Ropica Polska)</v>
          </cell>
          <cell r="H357" t="str">
            <v>P3707</v>
          </cell>
          <cell r="K357" t="str">
            <v>U4307</v>
          </cell>
          <cell r="N357" t="str">
            <v>Michał USTIMOWICZ (LKS Technik Głubczyce)</v>
          </cell>
        </row>
        <row r="358">
          <cell r="A358" t="str">
            <v/>
          </cell>
          <cell r="B358" t="str">
            <v>Bartosz SZUKAŁA (UKS Orkan Przeźmierowo)</v>
          </cell>
          <cell r="H358" t="str">
            <v>S3365</v>
          </cell>
          <cell r="K358" t="str">
            <v>W3545</v>
          </cell>
          <cell r="N358" t="str">
            <v>Marcin WNUK (MKS Orlicz Suchedniów)</v>
          </cell>
        </row>
        <row r="360">
          <cell r="B360" t="str">
            <v>zwycięzca(cy): 21:18,21:13</v>
          </cell>
          <cell r="K360" t="str">
            <v/>
          </cell>
        </row>
        <row r="361">
          <cell r="B361">
            <v>1</v>
          </cell>
          <cell r="C361" t="str">
            <v>dzień turnieju.</v>
          </cell>
          <cell r="I361" t="str">
            <v>Nr meczu</v>
          </cell>
          <cell r="N361" t="str">
            <v>Godz.</v>
          </cell>
          <cell r="R361" t="str">
            <v>S. prow.</v>
          </cell>
          <cell r="AF361" t="str">
            <v>wygrany</v>
          </cell>
          <cell r="AG361" t="str">
            <v>przegrany</v>
          </cell>
        </row>
        <row r="362">
          <cell r="B362" t="str">
            <v>Boisko</v>
          </cell>
          <cell r="C362" t="str">
            <v>Gra</v>
          </cell>
          <cell r="I362">
            <v>52</v>
          </cell>
          <cell r="N362" t="str">
            <v>rozp.</v>
          </cell>
          <cell r="P362" t="str">
            <v>zak.</v>
          </cell>
          <cell r="R362" t="str">
            <v>S. serw.</v>
          </cell>
        </row>
        <row r="363">
          <cell r="A363">
            <v>52</v>
          </cell>
          <cell r="B363">
            <v>5</v>
          </cell>
          <cell r="C363" t="str">
            <v>podwójna mężczyzn J</v>
          </cell>
          <cell r="H363">
            <v>23</v>
          </cell>
          <cell r="I363">
            <v>25</v>
          </cell>
          <cell r="J363">
            <v>21</v>
          </cell>
          <cell r="K363">
            <v>18</v>
          </cell>
          <cell r="L363">
            <v>10</v>
          </cell>
          <cell r="M363">
            <v>21</v>
          </cell>
          <cell r="P363">
            <v>0.75486111111111109</v>
          </cell>
          <cell r="R363">
            <v>0.75486111111111109</v>
          </cell>
          <cell r="S363" t="str">
            <v>pt 16:30</v>
          </cell>
          <cell r="X363">
            <v>52</v>
          </cell>
          <cell r="Y363" t="str">
            <v>podwójna mężczyzn J</v>
          </cell>
          <cell r="Z363" t="str">
            <v>P3934</v>
          </cell>
          <cell r="AA363" t="str">
            <v>S3245</v>
          </cell>
          <cell r="AB363" t="str">
            <v>K3149</v>
          </cell>
          <cell r="AC363" t="str">
            <v>T3923</v>
          </cell>
          <cell r="AD363" t="str">
            <v>K3149</v>
          </cell>
          <cell r="AE363" t="str">
            <v>T3923</v>
          </cell>
          <cell r="AF363" t="str">
            <v>25:23,18:21,21:10</v>
          </cell>
          <cell r="AG363" t="str">
            <v>23:25,21:18,10:21</v>
          </cell>
          <cell r="AH363" t="str">
            <v/>
          </cell>
          <cell r="AI363">
            <v>23</v>
          </cell>
          <cell r="AJ363">
            <v>25</v>
          </cell>
          <cell r="AK363">
            <v>21</v>
          </cell>
          <cell r="AL363">
            <v>18</v>
          </cell>
          <cell r="AM363">
            <v>10</v>
          </cell>
          <cell r="AN363">
            <v>21</v>
          </cell>
        </row>
        <row r="364">
          <cell r="A364" t="str">
            <v/>
          </cell>
          <cell r="B364" t="str">
            <v>Patryk PŁAZA (UKS Smecz Bogatynia)</v>
          </cell>
          <cell r="H364" t="str">
            <v>P3934</v>
          </cell>
          <cell r="K364" t="str">
            <v>K3149</v>
          </cell>
          <cell r="N364" t="str">
            <v>Dominik KRZĘCIO (AZSWAT Warszawa)</v>
          </cell>
        </row>
        <row r="365">
          <cell r="A365" t="str">
            <v/>
          </cell>
          <cell r="B365" t="str">
            <v>Arkadiusz SŁUPEK (KS Chojnik Jelenia Góra)</v>
          </cell>
          <cell r="H365" t="str">
            <v>S3245</v>
          </cell>
          <cell r="K365" t="str">
            <v>T3923</v>
          </cell>
          <cell r="N365" t="str">
            <v>Paweł TOMASZEWSKI (MKS Orlicz Suchedniów)</v>
          </cell>
        </row>
        <row r="367">
          <cell r="B367" t="str">
            <v/>
          </cell>
          <cell r="K367" t="str">
            <v>zwycięzca(cy): 25:23,18:21,21:10</v>
          </cell>
        </row>
        <row r="368">
          <cell r="B368">
            <v>1</v>
          </cell>
          <cell r="C368" t="str">
            <v>dzień turnieju.</v>
          </cell>
          <cell r="I368" t="str">
            <v>Nr meczu</v>
          </cell>
          <cell r="N368" t="str">
            <v>Godz.</v>
          </cell>
          <cell r="R368" t="str">
            <v>S. prow.</v>
          </cell>
          <cell r="AF368" t="str">
            <v>wygrany</v>
          </cell>
          <cell r="AG368" t="str">
            <v>przegrany</v>
          </cell>
        </row>
        <row r="369">
          <cell r="B369" t="str">
            <v>Boisko</v>
          </cell>
          <cell r="C369" t="str">
            <v>Gra</v>
          </cell>
          <cell r="I369">
            <v>53</v>
          </cell>
          <cell r="N369" t="str">
            <v>rozp.</v>
          </cell>
          <cell r="P369" t="str">
            <v>zak.</v>
          </cell>
          <cell r="R369" t="str">
            <v>S. serw.</v>
          </cell>
        </row>
        <row r="370">
          <cell r="A370">
            <v>53</v>
          </cell>
          <cell r="B370">
            <v>8</v>
          </cell>
          <cell r="C370" t="str">
            <v>podwójna mężczyzn J</v>
          </cell>
          <cell r="H370">
            <v>21</v>
          </cell>
          <cell r="I370">
            <v>10</v>
          </cell>
          <cell r="J370">
            <v>21</v>
          </cell>
          <cell r="K370">
            <v>7</v>
          </cell>
          <cell r="N370">
            <v>0.69444444444444453</v>
          </cell>
          <cell r="P370">
            <v>0.70833333333333337</v>
          </cell>
          <cell r="R370">
            <v>1.388888888888884E-2</v>
          </cell>
          <cell r="S370" t="str">
            <v>pt 16:30</v>
          </cell>
          <cell r="X370">
            <v>53</v>
          </cell>
          <cell r="Y370" t="str">
            <v>podwójna mężczyzn J</v>
          </cell>
          <cell r="Z370" t="str">
            <v>B2621</v>
          </cell>
          <cell r="AA370" t="str">
            <v>S2695</v>
          </cell>
          <cell r="AB370" t="str">
            <v>R3804</v>
          </cell>
          <cell r="AC370" t="str">
            <v>W3805</v>
          </cell>
          <cell r="AD370" t="str">
            <v>B2621</v>
          </cell>
          <cell r="AE370" t="str">
            <v>S2695</v>
          </cell>
          <cell r="AF370" t="str">
            <v>21:10,21:7</v>
          </cell>
          <cell r="AG370" t="str">
            <v>10:21,7:21</v>
          </cell>
          <cell r="AH370" t="str">
            <v/>
          </cell>
          <cell r="AI370">
            <v>21</v>
          </cell>
          <cell r="AJ370">
            <v>10</v>
          </cell>
          <cell r="AK370">
            <v>21</v>
          </cell>
          <cell r="AL370">
            <v>7</v>
          </cell>
          <cell r="AM370">
            <v>0</v>
          </cell>
          <cell r="AN370">
            <v>0</v>
          </cell>
        </row>
        <row r="371">
          <cell r="A371" t="str">
            <v/>
          </cell>
          <cell r="B371" t="str">
            <v>Mateusz BIERNACKI (UKS Hubal Białystok)</v>
          </cell>
          <cell r="H371" t="str">
            <v>B2621</v>
          </cell>
          <cell r="K371" t="str">
            <v>R3804</v>
          </cell>
          <cell r="N371" t="str">
            <v>Sebastian REGEŃCZUK (KS Match Point Ślęza)</v>
          </cell>
        </row>
        <row r="372">
          <cell r="A372" t="str">
            <v/>
          </cell>
          <cell r="B372" t="str">
            <v>Przemysław SZYDŁOWSKI (LKS Technik Głubczyce)</v>
          </cell>
          <cell r="H372" t="str">
            <v>S2695</v>
          </cell>
          <cell r="K372" t="str">
            <v>W3805</v>
          </cell>
          <cell r="N372" t="str">
            <v>Jan WOLAŃCZYK (KS Match Point Ślęza)</v>
          </cell>
        </row>
        <row r="374">
          <cell r="B374" t="str">
            <v>zwycięzca(cy): 21:10,21:7</v>
          </cell>
          <cell r="K374" t="str">
            <v/>
          </cell>
        </row>
        <row r="375">
          <cell r="B375">
            <v>1</v>
          </cell>
          <cell r="C375" t="str">
            <v>dzień turnieju.</v>
          </cell>
          <cell r="I375" t="str">
            <v>Nr meczu</v>
          </cell>
          <cell r="N375" t="str">
            <v>Godz.</v>
          </cell>
          <cell r="R375" t="str">
            <v>S. prow.</v>
          </cell>
          <cell r="AF375" t="str">
            <v>wygrany</v>
          </cell>
          <cell r="AG375" t="str">
            <v>przegrany</v>
          </cell>
        </row>
        <row r="376">
          <cell r="B376" t="str">
            <v>Boisko</v>
          </cell>
          <cell r="C376" t="str">
            <v>Gra</v>
          </cell>
          <cell r="I376">
            <v>54</v>
          </cell>
          <cell r="N376" t="str">
            <v>rozp.</v>
          </cell>
          <cell r="P376" t="str">
            <v>zak.</v>
          </cell>
          <cell r="R376" t="str">
            <v>S. serw.</v>
          </cell>
        </row>
        <row r="377">
          <cell r="A377">
            <v>54</v>
          </cell>
          <cell r="B377">
            <v>6</v>
          </cell>
          <cell r="C377" t="str">
            <v>pojedyncza kobiet J</v>
          </cell>
          <cell r="H377">
            <v>21</v>
          </cell>
          <cell r="I377">
            <v>10</v>
          </cell>
          <cell r="J377">
            <v>21</v>
          </cell>
          <cell r="K377">
            <v>11</v>
          </cell>
          <cell r="N377">
            <v>0.71875</v>
          </cell>
          <cell r="P377">
            <v>0.73125000000000007</v>
          </cell>
          <cell r="R377">
            <v>1.2500000000000067E-2</v>
          </cell>
          <cell r="S377" t="str">
            <v>pt 17:00</v>
          </cell>
          <cell r="X377">
            <v>54</v>
          </cell>
          <cell r="Y377" t="str">
            <v>pojedyncza kobiet J</v>
          </cell>
          <cell r="Z377" t="str">
            <v>J2971</v>
          </cell>
          <cell r="AA377" t="str">
            <v/>
          </cell>
          <cell r="AB377" t="str">
            <v>Ł4427</v>
          </cell>
          <cell r="AC377" t="str">
            <v/>
          </cell>
          <cell r="AD377" t="str">
            <v>J2971</v>
          </cell>
          <cell r="AE377" t="str">
            <v/>
          </cell>
          <cell r="AF377" t="str">
            <v>21:10,21:11</v>
          </cell>
          <cell r="AG377" t="str">
            <v>10:21,11:21</v>
          </cell>
          <cell r="AH377" t="str">
            <v/>
          </cell>
          <cell r="AI377">
            <v>21</v>
          </cell>
          <cell r="AJ377">
            <v>10</v>
          </cell>
          <cell r="AK377">
            <v>21</v>
          </cell>
          <cell r="AL377">
            <v>11</v>
          </cell>
          <cell r="AM377">
            <v>0</v>
          </cell>
          <cell r="AN377">
            <v>0</v>
          </cell>
        </row>
        <row r="378">
          <cell r="A378" t="str">
            <v/>
          </cell>
          <cell r="B378" t="str">
            <v>Karolina JANOWSKA (UKS Hubal Białystok)</v>
          </cell>
          <cell r="H378" t="str">
            <v>J2971</v>
          </cell>
          <cell r="K378" t="str">
            <v>Ł4427</v>
          </cell>
          <cell r="N378" t="str">
            <v>Magda ŁUKASIAK (MKS Orlicz Suchedniów)</v>
          </cell>
        </row>
        <row r="379">
          <cell r="A379" t="str">
            <v/>
          </cell>
          <cell r="B379" t="str">
            <v/>
          </cell>
          <cell r="H379" t="str">
            <v/>
          </cell>
          <cell r="K379" t="str">
            <v/>
          </cell>
          <cell r="N379" t="str">
            <v/>
          </cell>
        </row>
        <row r="381">
          <cell r="B381" t="str">
            <v>zwycięzca(cy): 21:10,21:11</v>
          </cell>
          <cell r="K381" t="str">
            <v/>
          </cell>
        </row>
        <row r="382">
          <cell r="B382">
            <v>1</v>
          </cell>
          <cell r="C382" t="str">
            <v>dzień turnieju.</v>
          </cell>
          <cell r="I382" t="str">
            <v>Nr meczu</v>
          </cell>
          <cell r="N382" t="str">
            <v>Godz.</v>
          </cell>
          <cell r="R382" t="str">
            <v>S. prow.</v>
          </cell>
          <cell r="AF382" t="str">
            <v>wygrany</v>
          </cell>
          <cell r="AG382" t="str">
            <v>przegrany</v>
          </cell>
        </row>
        <row r="383">
          <cell r="B383" t="str">
            <v>Boisko</v>
          </cell>
          <cell r="C383" t="str">
            <v>Gra</v>
          </cell>
          <cell r="I383">
            <v>55</v>
          </cell>
          <cell r="N383" t="str">
            <v>rozp.</v>
          </cell>
          <cell r="P383" t="str">
            <v>zak.</v>
          </cell>
          <cell r="R383" t="str">
            <v>S. serw.</v>
          </cell>
        </row>
        <row r="384">
          <cell r="A384">
            <v>55</v>
          </cell>
          <cell r="B384">
            <v>3</v>
          </cell>
          <cell r="C384" t="str">
            <v>pojedyncza kobiet J</v>
          </cell>
          <cell r="H384">
            <v>21</v>
          </cell>
          <cell r="I384">
            <v>18</v>
          </cell>
          <cell r="J384">
            <v>22</v>
          </cell>
          <cell r="K384">
            <v>20</v>
          </cell>
          <cell r="P384">
            <v>0.73819444444444438</v>
          </cell>
          <cell r="R384">
            <v>0.73819444444444438</v>
          </cell>
          <cell r="S384" t="str">
            <v>pt 17:00</v>
          </cell>
          <cell r="X384">
            <v>55</v>
          </cell>
          <cell r="Y384" t="str">
            <v>pojedyncza kobiet J</v>
          </cell>
          <cell r="Z384" t="str">
            <v>M3309</v>
          </cell>
          <cell r="AA384" t="str">
            <v/>
          </cell>
          <cell r="AB384" t="str">
            <v>K3351</v>
          </cell>
          <cell r="AC384" t="str">
            <v/>
          </cell>
          <cell r="AD384" t="str">
            <v>M3309</v>
          </cell>
          <cell r="AE384" t="str">
            <v/>
          </cell>
          <cell r="AF384" t="str">
            <v>21:18,22:20</v>
          </cell>
          <cell r="AG384" t="str">
            <v>18:21,20:22</v>
          </cell>
          <cell r="AH384" t="str">
            <v/>
          </cell>
          <cell r="AI384">
            <v>21</v>
          </cell>
          <cell r="AJ384">
            <v>18</v>
          </cell>
          <cell r="AK384">
            <v>22</v>
          </cell>
          <cell r="AL384">
            <v>20</v>
          </cell>
          <cell r="AM384">
            <v>0</v>
          </cell>
          <cell r="AN384">
            <v>0</v>
          </cell>
        </row>
        <row r="385">
          <cell r="A385" t="str">
            <v/>
          </cell>
          <cell r="B385" t="str">
            <v>Edyta MIETŁA (MKS Spartakus Niepołomice)</v>
          </cell>
          <cell r="H385" t="str">
            <v>M3309</v>
          </cell>
          <cell r="K385" t="str">
            <v>K3351</v>
          </cell>
          <cell r="N385" t="str">
            <v>Paulina KACZOROWSKA (KS Chojnik Jelenia Góra)</v>
          </cell>
        </row>
        <row r="386">
          <cell r="A386" t="str">
            <v/>
          </cell>
          <cell r="B386" t="str">
            <v/>
          </cell>
          <cell r="H386" t="str">
            <v/>
          </cell>
          <cell r="K386" t="str">
            <v/>
          </cell>
          <cell r="N386" t="str">
            <v/>
          </cell>
        </row>
        <row r="388">
          <cell r="B388" t="str">
            <v>zwycięzca(cy): 21:18,22:20</v>
          </cell>
          <cell r="K388" t="str">
            <v/>
          </cell>
        </row>
        <row r="389">
          <cell r="B389">
            <v>1</v>
          </cell>
          <cell r="C389" t="str">
            <v>dzień turnieju.</v>
          </cell>
          <cell r="I389" t="str">
            <v>Nr meczu</v>
          </cell>
          <cell r="N389" t="str">
            <v>Godz.</v>
          </cell>
          <cell r="R389" t="str">
            <v>S. prow.</v>
          </cell>
          <cell r="AF389" t="str">
            <v>wygrany</v>
          </cell>
          <cell r="AG389" t="str">
            <v>przegrany</v>
          </cell>
        </row>
        <row r="390">
          <cell r="B390" t="str">
            <v>Boisko</v>
          </cell>
          <cell r="C390" t="str">
            <v>Gra</v>
          </cell>
          <cell r="I390">
            <v>56</v>
          </cell>
          <cell r="N390" t="str">
            <v>rozp.</v>
          </cell>
          <cell r="P390" t="str">
            <v>zak.</v>
          </cell>
          <cell r="R390" t="str">
            <v>S. serw.</v>
          </cell>
        </row>
        <row r="391">
          <cell r="A391">
            <v>56</v>
          </cell>
          <cell r="B391">
            <v>1</v>
          </cell>
          <cell r="C391" t="str">
            <v>pojedyncza kobiet J</v>
          </cell>
          <cell r="H391">
            <v>21</v>
          </cell>
          <cell r="I391">
            <v>14</v>
          </cell>
          <cell r="J391">
            <v>21</v>
          </cell>
          <cell r="K391">
            <v>14</v>
          </cell>
          <cell r="P391">
            <v>0.73333333333333339</v>
          </cell>
          <cell r="R391">
            <v>0.73333333333333339</v>
          </cell>
          <cell r="S391" t="str">
            <v>pt 17:00</v>
          </cell>
          <cell r="X391">
            <v>56</v>
          </cell>
          <cell r="Y391" t="str">
            <v>pojedyncza kobiet J</v>
          </cell>
          <cell r="Z391" t="str">
            <v>K3863</v>
          </cell>
          <cell r="AA391" t="str">
            <v/>
          </cell>
          <cell r="AB391" t="str">
            <v>P3283</v>
          </cell>
          <cell r="AC391" t="str">
            <v/>
          </cell>
          <cell r="AD391" t="str">
            <v>K3863</v>
          </cell>
          <cell r="AE391" t="str">
            <v/>
          </cell>
          <cell r="AF391" t="str">
            <v>21:14,21:14</v>
          </cell>
          <cell r="AG391" t="str">
            <v>14:21,14:21</v>
          </cell>
          <cell r="AH391" t="str">
            <v/>
          </cell>
          <cell r="AI391">
            <v>21</v>
          </cell>
          <cell r="AJ391">
            <v>14</v>
          </cell>
          <cell r="AK391">
            <v>21</v>
          </cell>
          <cell r="AL391">
            <v>14</v>
          </cell>
          <cell r="AM391">
            <v>0</v>
          </cell>
          <cell r="AN391">
            <v>0</v>
          </cell>
        </row>
        <row r="392">
          <cell r="A392" t="str">
            <v/>
          </cell>
          <cell r="B392" t="str">
            <v>Katarzyna KUTACHA (UKS Start Widełka)</v>
          </cell>
          <cell r="H392" t="str">
            <v>K3863</v>
          </cell>
          <cell r="K392" t="str">
            <v>P3283</v>
          </cell>
          <cell r="N392" t="str">
            <v>Magdalena POPRZECZKO (UKS Badminton Stare Babice)</v>
          </cell>
        </row>
        <row r="393">
          <cell r="A393" t="str">
            <v/>
          </cell>
          <cell r="B393" t="str">
            <v/>
          </cell>
          <cell r="H393" t="str">
            <v/>
          </cell>
          <cell r="K393" t="str">
            <v/>
          </cell>
          <cell r="N393" t="str">
            <v/>
          </cell>
        </row>
        <row r="395">
          <cell r="B395" t="str">
            <v>zwycięzca(cy): 21:14,21:14</v>
          </cell>
          <cell r="K395" t="str">
            <v/>
          </cell>
        </row>
        <row r="396">
          <cell r="B396">
            <v>1</v>
          </cell>
          <cell r="C396" t="str">
            <v>dzień turnieju.</v>
          </cell>
          <cell r="I396" t="str">
            <v>Nr meczu</v>
          </cell>
          <cell r="N396" t="str">
            <v>Godz.</v>
          </cell>
          <cell r="R396" t="str">
            <v>S. prow.</v>
          </cell>
          <cell r="AF396" t="str">
            <v>wygrany</v>
          </cell>
          <cell r="AG396" t="str">
            <v>przegrany</v>
          </cell>
        </row>
        <row r="397">
          <cell r="B397" t="str">
            <v>Boisko</v>
          </cell>
          <cell r="C397" t="str">
            <v>Gra</v>
          </cell>
          <cell r="I397">
            <v>57</v>
          </cell>
          <cell r="N397" t="str">
            <v>rozp.</v>
          </cell>
          <cell r="P397" t="str">
            <v>zak.</v>
          </cell>
          <cell r="R397" t="str">
            <v>S. serw.</v>
          </cell>
        </row>
        <row r="398">
          <cell r="A398">
            <v>57</v>
          </cell>
          <cell r="B398">
            <v>6</v>
          </cell>
          <cell r="C398" t="str">
            <v>pojedyncza kobiet J</v>
          </cell>
          <cell r="H398">
            <v>9</v>
          </cell>
          <cell r="I398">
            <v>21</v>
          </cell>
          <cell r="J398">
            <v>17</v>
          </cell>
          <cell r="K398">
            <v>21</v>
          </cell>
          <cell r="N398">
            <v>0.73263888888888884</v>
          </cell>
          <cell r="P398">
            <v>0.74791666666666667</v>
          </cell>
          <cell r="R398">
            <v>1.5277777777777835E-2</v>
          </cell>
          <cell r="S398" t="str">
            <v>pt 17:00</v>
          </cell>
          <cell r="X398">
            <v>57</v>
          </cell>
          <cell r="Y398" t="str">
            <v>pojedyncza kobiet J</v>
          </cell>
          <cell r="Z398" t="str">
            <v>G3560</v>
          </cell>
          <cell r="AA398" t="str">
            <v/>
          </cell>
          <cell r="AB398" t="str">
            <v>W3960</v>
          </cell>
          <cell r="AC398" t="str">
            <v/>
          </cell>
          <cell r="AD398" t="str">
            <v>W3960</v>
          </cell>
          <cell r="AE398" t="str">
            <v/>
          </cell>
          <cell r="AF398" t="str">
            <v>21:9,21:17</v>
          </cell>
          <cell r="AG398" t="str">
            <v>9:21,17:21</v>
          </cell>
          <cell r="AH398" t="str">
            <v/>
          </cell>
          <cell r="AI398">
            <v>9</v>
          </cell>
          <cell r="AJ398">
            <v>21</v>
          </cell>
          <cell r="AK398">
            <v>17</v>
          </cell>
          <cell r="AL398">
            <v>21</v>
          </cell>
          <cell r="AM398">
            <v>0</v>
          </cell>
          <cell r="AN398">
            <v>0</v>
          </cell>
        </row>
        <row r="399">
          <cell r="A399" t="str">
            <v/>
          </cell>
          <cell r="B399" t="str">
            <v>Daria GUJSKA (UKS Kiko Zamość)</v>
          </cell>
          <cell r="H399" t="str">
            <v>G3560</v>
          </cell>
          <cell r="K399" t="str">
            <v>W3960</v>
          </cell>
          <cell r="N399" t="str">
            <v>Justyna WUDARSKA (UKS Iskra Sarbice)</v>
          </cell>
        </row>
        <row r="400">
          <cell r="A400" t="str">
            <v/>
          </cell>
          <cell r="B400" t="str">
            <v/>
          </cell>
          <cell r="H400" t="str">
            <v/>
          </cell>
          <cell r="K400" t="str">
            <v/>
          </cell>
          <cell r="N400" t="str">
            <v/>
          </cell>
        </row>
        <row r="402">
          <cell r="B402" t="str">
            <v/>
          </cell>
          <cell r="K402" t="str">
            <v>zwycięzca(cy): 21:9,21:17</v>
          </cell>
        </row>
        <row r="403">
          <cell r="B403">
            <v>1</v>
          </cell>
          <cell r="C403" t="str">
            <v>dzień turnieju.</v>
          </cell>
          <cell r="I403" t="str">
            <v>Nr meczu</v>
          </cell>
          <cell r="N403" t="str">
            <v>Godz.</v>
          </cell>
          <cell r="R403" t="str">
            <v>S. prow.</v>
          </cell>
          <cell r="AF403" t="str">
            <v>wygrany</v>
          </cell>
          <cell r="AG403" t="str">
            <v>przegrany</v>
          </cell>
        </row>
        <row r="404">
          <cell r="B404" t="str">
            <v>Boisko</v>
          </cell>
          <cell r="C404" t="str">
            <v>Gra</v>
          </cell>
          <cell r="I404">
            <v>58</v>
          </cell>
          <cell r="N404" t="str">
            <v>rozp.</v>
          </cell>
          <cell r="P404" t="str">
            <v>zak.</v>
          </cell>
          <cell r="R404" t="str">
            <v>S. serw.</v>
          </cell>
        </row>
        <row r="405">
          <cell r="A405">
            <v>58</v>
          </cell>
          <cell r="B405">
            <v>4</v>
          </cell>
          <cell r="C405" t="str">
            <v>pojedyncza kobiet J</v>
          </cell>
          <cell r="H405">
            <v>29</v>
          </cell>
          <cell r="I405">
            <v>30</v>
          </cell>
          <cell r="J405">
            <v>29</v>
          </cell>
          <cell r="K405">
            <v>30</v>
          </cell>
          <cell r="P405">
            <v>0.73958333333333337</v>
          </cell>
          <cell r="R405">
            <v>0.73958333333333337</v>
          </cell>
          <cell r="S405" t="str">
            <v>pt 17:00</v>
          </cell>
          <cell r="X405">
            <v>58</v>
          </cell>
          <cell r="Y405" t="str">
            <v>pojedyncza kobiet J</v>
          </cell>
          <cell r="Z405" t="str">
            <v>R3364</v>
          </cell>
          <cell r="AA405" t="str">
            <v/>
          </cell>
          <cell r="AB405" t="str">
            <v>G2661</v>
          </cell>
          <cell r="AC405" t="str">
            <v/>
          </cell>
          <cell r="AD405" t="str">
            <v>G2661</v>
          </cell>
          <cell r="AE405" t="str">
            <v/>
          </cell>
          <cell r="AF405" t="str">
            <v>30:29,30:29</v>
          </cell>
          <cell r="AG405" t="str">
            <v>29:30,29:30</v>
          </cell>
          <cell r="AH405" t="str">
            <v/>
          </cell>
          <cell r="AI405">
            <v>29</v>
          </cell>
          <cell r="AJ405">
            <v>30</v>
          </cell>
          <cell r="AK405">
            <v>29</v>
          </cell>
          <cell r="AL405">
            <v>30</v>
          </cell>
          <cell r="AM405">
            <v>0</v>
          </cell>
          <cell r="AN405">
            <v>0</v>
          </cell>
        </row>
        <row r="406">
          <cell r="A406" t="str">
            <v/>
          </cell>
          <cell r="B406" t="str">
            <v>Kinga ROGALSKA (UKS 2 Sobótka)</v>
          </cell>
          <cell r="H406" t="str">
            <v>R3364</v>
          </cell>
          <cell r="K406" t="str">
            <v>G2661</v>
          </cell>
          <cell r="N406" t="str">
            <v>Diana GŁOWACKA (LUKS Księżyno)</v>
          </cell>
        </row>
        <row r="407">
          <cell r="A407" t="str">
            <v/>
          </cell>
          <cell r="B407" t="str">
            <v/>
          </cell>
          <cell r="H407" t="str">
            <v/>
          </cell>
          <cell r="K407" t="str">
            <v/>
          </cell>
          <cell r="N407" t="str">
            <v/>
          </cell>
        </row>
        <row r="409">
          <cell r="B409" t="str">
            <v/>
          </cell>
          <cell r="K409" t="str">
            <v>zwycięzca(cy): 30:29,30:29</v>
          </cell>
        </row>
        <row r="410">
          <cell r="B410">
            <v>1</v>
          </cell>
          <cell r="C410" t="str">
            <v>dzień turnieju.</v>
          </cell>
          <cell r="I410" t="str">
            <v>Nr meczu</v>
          </cell>
          <cell r="N410" t="str">
            <v>Godz.</v>
          </cell>
          <cell r="R410" t="str">
            <v>S. prow.</v>
          </cell>
          <cell r="AF410" t="str">
            <v>wygrany</v>
          </cell>
          <cell r="AG410" t="str">
            <v>przegrany</v>
          </cell>
        </row>
        <row r="411">
          <cell r="B411" t="str">
            <v>Boisko</v>
          </cell>
          <cell r="C411" t="str">
            <v>Gra</v>
          </cell>
          <cell r="I411">
            <v>59</v>
          </cell>
          <cell r="N411" t="str">
            <v>rozp.</v>
          </cell>
          <cell r="P411" t="str">
            <v>zak.</v>
          </cell>
          <cell r="R411" t="str">
            <v>S. serw.</v>
          </cell>
        </row>
        <row r="412">
          <cell r="A412">
            <v>59</v>
          </cell>
          <cell r="B412">
            <v>5</v>
          </cell>
          <cell r="C412" t="str">
            <v>pojedyncza kobiet J</v>
          </cell>
          <cell r="H412">
            <v>21</v>
          </cell>
          <cell r="I412">
            <v>14</v>
          </cell>
          <cell r="J412">
            <v>21</v>
          </cell>
          <cell r="K412">
            <v>7</v>
          </cell>
          <cell r="N412">
            <v>0.71875</v>
          </cell>
          <cell r="P412">
            <v>0.73055555555555562</v>
          </cell>
          <cell r="R412">
            <v>1.1805555555555625E-2</v>
          </cell>
          <cell r="S412" t="str">
            <v>pt 17:00</v>
          </cell>
          <cell r="X412">
            <v>59</v>
          </cell>
          <cell r="Y412" t="str">
            <v>pojedyncza kobiet J</v>
          </cell>
          <cell r="Z412" t="str">
            <v>D3155</v>
          </cell>
          <cell r="AA412" t="str">
            <v/>
          </cell>
          <cell r="AB412" t="str">
            <v>K3257</v>
          </cell>
          <cell r="AC412" t="str">
            <v/>
          </cell>
          <cell r="AD412" t="str">
            <v>D3155</v>
          </cell>
          <cell r="AE412" t="str">
            <v/>
          </cell>
          <cell r="AF412" t="str">
            <v>21:14,21:7</v>
          </cell>
          <cell r="AG412" t="str">
            <v>14:21,7:21</v>
          </cell>
          <cell r="AH412" t="str">
            <v/>
          </cell>
          <cell r="AI412">
            <v>21</v>
          </cell>
          <cell r="AJ412">
            <v>14</v>
          </cell>
          <cell r="AK412">
            <v>21</v>
          </cell>
          <cell r="AL412">
            <v>7</v>
          </cell>
          <cell r="AM412">
            <v>0</v>
          </cell>
          <cell r="AN412">
            <v>0</v>
          </cell>
        </row>
        <row r="413">
          <cell r="A413" t="str">
            <v/>
          </cell>
          <cell r="B413" t="str">
            <v>Anna DĘBSKA (UKSB Milenium Warszawa)</v>
          </cell>
          <cell r="H413" t="str">
            <v>D3155</v>
          </cell>
          <cell r="K413" t="str">
            <v>K3257</v>
          </cell>
          <cell r="N413" t="str">
            <v>Nikola KOSZMIDER (UKS Feniks Kędzierzyn-Koźle)</v>
          </cell>
        </row>
        <row r="414">
          <cell r="A414" t="str">
            <v/>
          </cell>
          <cell r="B414" t="str">
            <v/>
          </cell>
          <cell r="H414" t="str">
            <v/>
          </cell>
          <cell r="K414" t="str">
            <v/>
          </cell>
          <cell r="N414" t="str">
            <v/>
          </cell>
        </row>
        <row r="416">
          <cell r="B416" t="str">
            <v>zwycięzca(cy): 21:14,21:7</v>
          </cell>
          <cell r="K416" t="str">
            <v/>
          </cell>
        </row>
        <row r="417">
          <cell r="B417">
            <v>1</v>
          </cell>
          <cell r="C417" t="str">
            <v>dzień turnieju.</v>
          </cell>
          <cell r="I417" t="str">
            <v>Nr meczu</v>
          </cell>
          <cell r="N417" t="str">
            <v>Godz.</v>
          </cell>
          <cell r="R417" t="str">
            <v>S. prow.</v>
          </cell>
          <cell r="AF417" t="str">
            <v>wygrany</v>
          </cell>
          <cell r="AG417" t="str">
            <v>przegrany</v>
          </cell>
        </row>
        <row r="418">
          <cell r="B418" t="str">
            <v>Boisko</v>
          </cell>
          <cell r="C418" t="str">
            <v>Gra</v>
          </cell>
          <cell r="I418">
            <v>60</v>
          </cell>
          <cell r="N418" t="str">
            <v>rozp.</v>
          </cell>
          <cell r="P418" t="str">
            <v>zak.</v>
          </cell>
          <cell r="R418" t="str">
            <v>S. serw.</v>
          </cell>
        </row>
        <row r="419">
          <cell r="A419">
            <v>60</v>
          </cell>
          <cell r="B419">
            <v>6</v>
          </cell>
          <cell r="C419" t="str">
            <v>pojedyncza mężczyzn J</v>
          </cell>
          <cell r="H419">
            <v>21</v>
          </cell>
          <cell r="I419">
            <v>12</v>
          </cell>
          <cell r="J419">
            <v>21</v>
          </cell>
          <cell r="K419">
            <v>12</v>
          </cell>
          <cell r="N419">
            <v>0.70138888888888884</v>
          </cell>
          <cell r="P419">
            <v>0.71319444444444446</v>
          </cell>
          <cell r="R419">
            <v>1.1805555555555625E-2</v>
          </cell>
          <cell r="S419" t="str">
            <v>pt 17:00</v>
          </cell>
          <cell r="X419">
            <v>60</v>
          </cell>
          <cell r="Y419" t="str">
            <v>pojedyncza mężczyzn J</v>
          </cell>
          <cell r="Z419" t="str">
            <v>W2914</v>
          </cell>
          <cell r="AA419" t="str">
            <v/>
          </cell>
          <cell r="AB419" t="str">
            <v>S3245</v>
          </cell>
          <cell r="AC419" t="str">
            <v/>
          </cell>
          <cell r="AD419" t="str">
            <v>W2914</v>
          </cell>
          <cell r="AE419" t="str">
            <v/>
          </cell>
          <cell r="AF419" t="str">
            <v>21:12,21:12</v>
          </cell>
          <cell r="AG419" t="str">
            <v>12:21,12:21</v>
          </cell>
          <cell r="AH419" t="str">
            <v/>
          </cell>
          <cell r="AI419">
            <v>21</v>
          </cell>
          <cell r="AJ419">
            <v>12</v>
          </cell>
          <cell r="AK419">
            <v>21</v>
          </cell>
          <cell r="AL419">
            <v>12</v>
          </cell>
          <cell r="AM419">
            <v>0</v>
          </cell>
          <cell r="AN419">
            <v>0</v>
          </cell>
        </row>
        <row r="420">
          <cell r="A420" t="str">
            <v/>
          </cell>
          <cell r="B420" t="str">
            <v>Piotr WASILUK (LUKS Badminton Choroszcz)</v>
          </cell>
          <cell r="H420" t="str">
            <v>W2914</v>
          </cell>
          <cell r="K420" t="str">
            <v>S3245</v>
          </cell>
          <cell r="N420" t="str">
            <v>Arkadiusz SŁUPEK (KS Chojnik Jelenia Góra)</v>
          </cell>
        </row>
        <row r="421">
          <cell r="A421" t="str">
            <v/>
          </cell>
          <cell r="B421" t="str">
            <v/>
          </cell>
          <cell r="H421" t="str">
            <v/>
          </cell>
          <cell r="K421" t="str">
            <v/>
          </cell>
          <cell r="N421" t="str">
            <v/>
          </cell>
        </row>
        <row r="423">
          <cell r="B423" t="str">
            <v>zwycięzca(cy): 21:12,21:12</v>
          </cell>
          <cell r="K423" t="str">
            <v/>
          </cell>
        </row>
        <row r="424">
          <cell r="B424">
            <v>1</v>
          </cell>
          <cell r="C424" t="str">
            <v>dzień turnieju.</v>
          </cell>
          <cell r="I424" t="str">
            <v>Nr meczu</v>
          </cell>
          <cell r="N424" t="str">
            <v>Godz.</v>
          </cell>
          <cell r="R424" t="str">
            <v>S. prow.</v>
          </cell>
          <cell r="AF424" t="str">
            <v>wygrany</v>
          </cell>
          <cell r="AG424" t="str">
            <v>przegrany</v>
          </cell>
        </row>
        <row r="425">
          <cell r="B425" t="str">
            <v>Boisko</v>
          </cell>
          <cell r="C425" t="str">
            <v>Gra</v>
          </cell>
          <cell r="I425">
            <v>61</v>
          </cell>
          <cell r="N425" t="str">
            <v>rozp.</v>
          </cell>
          <cell r="P425" t="str">
            <v>zak.</v>
          </cell>
          <cell r="R425" t="str">
            <v>S. serw.</v>
          </cell>
        </row>
        <row r="426">
          <cell r="A426">
            <v>61</v>
          </cell>
          <cell r="B426">
            <v>7</v>
          </cell>
          <cell r="C426" t="str">
            <v>pojedyncza mężczyzn J</v>
          </cell>
          <cell r="H426">
            <v>21</v>
          </cell>
          <cell r="I426">
            <v>12</v>
          </cell>
          <cell r="J426">
            <v>21</v>
          </cell>
          <cell r="K426">
            <v>0</v>
          </cell>
          <cell r="P426">
            <v>0.73611111111111116</v>
          </cell>
          <cell r="R426">
            <v>0.73611111111111116</v>
          </cell>
          <cell r="S426" t="str">
            <v>pt 17:00</v>
          </cell>
          <cell r="X426">
            <v>61</v>
          </cell>
          <cell r="Y426" t="str">
            <v>pojedyncza mężczyzn J</v>
          </cell>
          <cell r="Z426" t="str">
            <v>B2621</v>
          </cell>
          <cell r="AA426" t="str">
            <v/>
          </cell>
          <cell r="AB426" t="str">
            <v>K4685</v>
          </cell>
          <cell r="AC426" t="str">
            <v/>
          </cell>
          <cell r="AD426" t="str">
            <v>B2621</v>
          </cell>
          <cell r="AE426" t="str">
            <v/>
          </cell>
          <cell r="AF426" t="str">
            <v>21:12,21:0</v>
          </cell>
          <cell r="AG426" t="str">
            <v>12:21,0:21</v>
          </cell>
          <cell r="AH426" t="str">
            <v/>
          </cell>
          <cell r="AI426">
            <v>21</v>
          </cell>
          <cell r="AJ426">
            <v>12</v>
          </cell>
          <cell r="AK426">
            <v>21</v>
          </cell>
          <cell r="AL426">
            <v>0</v>
          </cell>
          <cell r="AM426">
            <v>0</v>
          </cell>
          <cell r="AN426">
            <v>0</v>
          </cell>
        </row>
        <row r="427">
          <cell r="A427" t="str">
            <v/>
          </cell>
          <cell r="B427" t="str">
            <v>Mateusz BIERNACKI (UKS Hubal Białystok)</v>
          </cell>
          <cell r="H427" t="str">
            <v>B2621</v>
          </cell>
          <cell r="K427" t="str">
            <v>K4685</v>
          </cell>
          <cell r="N427" t="str">
            <v>Patryk KOSTRZEWSKI (KSR Wolant Łódź)</v>
          </cell>
        </row>
        <row r="428">
          <cell r="A428" t="str">
            <v/>
          </cell>
          <cell r="B428" t="str">
            <v/>
          </cell>
          <cell r="H428" t="str">
            <v/>
          </cell>
          <cell r="K428" t="str">
            <v/>
          </cell>
          <cell r="N428" t="str">
            <v/>
          </cell>
        </row>
        <row r="430">
          <cell r="B430" t="str">
            <v>zwycięzca(cy): 21:12,21:0</v>
          </cell>
          <cell r="K430" t="str">
            <v/>
          </cell>
        </row>
        <row r="431">
          <cell r="B431">
            <v>1</v>
          </cell>
          <cell r="C431" t="str">
            <v>dzień turnieju.</v>
          </cell>
          <cell r="I431" t="str">
            <v>Nr meczu</v>
          </cell>
          <cell r="N431" t="str">
            <v>Godz.</v>
          </cell>
          <cell r="R431" t="str">
            <v>S. prow.</v>
          </cell>
          <cell r="AF431" t="str">
            <v>wygrany</v>
          </cell>
          <cell r="AG431" t="str">
            <v>przegrany</v>
          </cell>
        </row>
        <row r="432">
          <cell r="B432" t="str">
            <v>Boisko</v>
          </cell>
          <cell r="C432" t="str">
            <v>Gra</v>
          </cell>
          <cell r="I432">
            <v>62</v>
          </cell>
          <cell r="N432" t="str">
            <v>rozp.</v>
          </cell>
          <cell r="P432" t="str">
            <v>zak.</v>
          </cell>
          <cell r="R432" t="str">
            <v>S. serw.</v>
          </cell>
        </row>
        <row r="433">
          <cell r="A433">
            <v>62</v>
          </cell>
          <cell r="B433">
            <v>1</v>
          </cell>
          <cell r="C433" t="str">
            <v>pojedyncza mężczyzn J</v>
          </cell>
          <cell r="H433">
            <v>21</v>
          </cell>
          <cell r="I433">
            <v>19</v>
          </cell>
          <cell r="J433">
            <v>21</v>
          </cell>
          <cell r="K433">
            <v>13</v>
          </cell>
          <cell r="P433">
            <v>0.75347222222222221</v>
          </cell>
          <cell r="R433">
            <v>0.75347222222222221</v>
          </cell>
          <cell r="S433" t="str">
            <v>pt 17:00</v>
          </cell>
          <cell r="X433">
            <v>62</v>
          </cell>
          <cell r="Y433" t="str">
            <v>pojedyncza mężczyzn J</v>
          </cell>
          <cell r="Z433" t="str">
            <v>N3333</v>
          </cell>
          <cell r="AA433" t="str">
            <v/>
          </cell>
          <cell r="AB433" t="str">
            <v>W3545</v>
          </cell>
          <cell r="AC433" t="str">
            <v/>
          </cell>
          <cell r="AD433" t="str">
            <v>N3333</v>
          </cell>
          <cell r="AE433" t="str">
            <v/>
          </cell>
          <cell r="AF433" t="str">
            <v>21:19,21:13</v>
          </cell>
          <cell r="AG433" t="str">
            <v>19:21,13:21</v>
          </cell>
          <cell r="AH433" t="str">
            <v/>
          </cell>
          <cell r="AI433">
            <v>21</v>
          </cell>
          <cell r="AJ433">
            <v>19</v>
          </cell>
          <cell r="AK433">
            <v>21</v>
          </cell>
          <cell r="AL433">
            <v>13</v>
          </cell>
          <cell r="AM433">
            <v>0</v>
          </cell>
          <cell r="AN433">
            <v>0</v>
          </cell>
        </row>
        <row r="434">
          <cell r="A434" t="str">
            <v/>
          </cell>
          <cell r="B434" t="str">
            <v>Marcin NOWAK (UKS Smecz Bogatynia)</v>
          </cell>
          <cell r="H434" t="str">
            <v>N3333</v>
          </cell>
          <cell r="K434" t="str">
            <v>W3545</v>
          </cell>
          <cell r="N434" t="str">
            <v>Marcin WNUK (MKS Orlicz Suchedniów)</v>
          </cell>
        </row>
        <row r="435">
          <cell r="A435" t="str">
            <v/>
          </cell>
          <cell r="B435" t="str">
            <v/>
          </cell>
          <cell r="H435" t="str">
            <v/>
          </cell>
          <cell r="K435" t="str">
            <v/>
          </cell>
          <cell r="N435" t="str">
            <v/>
          </cell>
        </row>
        <row r="437">
          <cell r="B437" t="str">
            <v>zwycięzca(cy): 21:19,21:13</v>
          </cell>
          <cell r="K437" t="str">
            <v/>
          </cell>
        </row>
        <row r="438">
          <cell r="B438">
            <v>1</v>
          </cell>
          <cell r="C438" t="str">
            <v>dzień turnieju.</v>
          </cell>
          <cell r="I438" t="str">
            <v>Nr meczu</v>
          </cell>
          <cell r="N438" t="str">
            <v>Godz.</v>
          </cell>
          <cell r="R438" t="str">
            <v>S. prow.</v>
          </cell>
          <cell r="AF438" t="str">
            <v>wygrany</v>
          </cell>
          <cell r="AG438" t="str">
            <v>przegrany</v>
          </cell>
        </row>
        <row r="439">
          <cell r="B439" t="str">
            <v>Boisko</v>
          </cell>
          <cell r="C439" t="str">
            <v>Gra</v>
          </cell>
          <cell r="I439">
            <v>63</v>
          </cell>
          <cell r="N439" t="str">
            <v>rozp.</v>
          </cell>
          <cell r="P439" t="str">
            <v>zak.</v>
          </cell>
          <cell r="R439" t="str">
            <v>S. serw.</v>
          </cell>
        </row>
        <row r="440">
          <cell r="A440">
            <v>63</v>
          </cell>
          <cell r="B440">
            <v>7</v>
          </cell>
          <cell r="C440" t="str">
            <v>pojedyncza mężczyzn J</v>
          </cell>
          <cell r="H440">
            <v>21</v>
          </cell>
          <cell r="I440">
            <v>10</v>
          </cell>
          <cell r="J440">
            <v>16</v>
          </cell>
          <cell r="K440">
            <v>21</v>
          </cell>
          <cell r="L440">
            <v>21</v>
          </cell>
          <cell r="M440">
            <v>14</v>
          </cell>
          <cell r="N440">
            <v>0.73888888888888893</v>
          </cell>
          <cell r="P440">
            <v>0.76736111111111116</v>
          </cell>
          <cell r="R440">
            <v>2.8472222222222232E-2</v>
          </cell>
          <cell r="S440" t="str">
            <v>pt 17:00</v>
          </cell>
          <cell r="X440">
            <v>63</v>
          </cell>
          <cell r="Y440" t="str">
            <v>pojedyncza mężczyzn J</v>
          </cell>
          <cell r="Z440" t="str">
            <v>L3566</v>
          </cell>
          <cell r="AA440" t="str">
            <v/>
          </cell>
          <cell r="AB440" t="str">
            <v>W3962</v>
          </cell>
          <cell r="AC440" t="str">
            <v/>
          </cell>
          <cell r="AD440" t="str">
            <v>L3566</v>
          </cell>
          <cell r="AE440" t="str">
            <v/>
          </cell>
          <cell r="AF440" t="str">
            <v>21:10,16:21,21:14</v>
          </cell>
          <cell r="AG440" t="str">
            <v>10:21,21:16,14:21</v>
          </cell>
          <cell r="AH440" t="str">
            <v/>
          </cell>
          <cell r="AI440">
            <v>21</v>
          </cell>
          <cell r="AJ440">
            <v>10</v>
          </cell>
          <cell r="AK440">
            <v>16</v>
          </cell>
          <cell r="AL440">
            <v>21</v>
          </cell>
          <cell r="AM440">
            <v>21</v>
          </cell>
          <cell r="AN440">
            <v>14</v>
          </cell>
        </row>
        <row r="441">
          <cell r="A441" t="str">
            <v/>
          </cell>
          <cell r="B441" t="str">
            <v>Paweł LEPIANKA (UKS Kiko Zamość)</v>
          </cell>
          <cell r="H441" t="str">
            <v>L3566</v>
          </cell>
          <cell r="K441" t="str">
            <v>W3962</v>
          </cell>
          <cell r="N441" t="str">
            <v>Sławomir WUDARSKI (UKS Iskra Sarbice)</v>
          </cell>
        </row>
        <row r="442">
          <cell r="A442" t="str">
            <v/>
          </cell>
          <cell r="B442" t="str">
            <v/>
          </cell>
          <cell r="H442" t="str">
            <v/>
          </cell>
          <cell r="K442" t="str">
            <v/>
          </cell>
          <cell r="N442" t="str">
            <v/>
          </cell>
        </row>
        <row r="444">
          <cell r="B444" t="str">
            <v>zwycięzca(cy): 21:10,16:21,21:14</v>
          </cell>
          <cell r="K444" t="str">
            <v/>
          </cell>
        </row>
        <row r="445">
          <cell r="B445">
            <v>1</v>
          </cell>
          <cell r="C445" t="str">
            <v>dzień turnieju.</v>
          </cell>
          <cell r="I445" t="str">
            <v>Nr meczu</v>
          </cell>
          <cell r="N445" t="str">
            <v>Godz.</v>
          </cell>
          <cell r="R445" t="str">
            <v>S. prow.</v>
          </cell>
          <cell r="AF445" t="str">
            <v>wygrany</v>
          </cell>
          <cell r="AG445" t="str">
            <v>przegrany</v>
          </cell>
        </row>
        <row r="446">
          <cell r="B446" t="str">
            <v>Boisko</v>
          </cell>
          <cell r="C446" t="str">
            <v>Gra</v>
          </cell>
          <cell r="I446">
            <v>64</v>
          </cell>
          <cell r="N446" t="str">
            <v>rozp.</v>
          </cell>
          <cell r="P446" t="str">
            <v>zak.</v>
          </cell>
          <cell r="R446" t="str">
            <v>S. serw.</v>
          </cell>
        </row>
        <row r="447">
          <cell r="A447">
            <v>64</v>
          </cell>
          <cell r="B447">
            <v>8</v>
          </cell>
          <cell r="C447" t="str">
            <v>pojedyncza mężczyzn J</v>
          </cell>
          <cell r="H447">
            <v>21</v>
          </cell>
          <cell r="I447">
            <v>13</v>
          </cell>
          <cell r="J447">
            <v>21</v>
          </cell>
          <cell r="K447">
            <v>16</v>
          </cell>
          <cell r="N447">
            <v>0.73888888888888893</v>
          </cell>
          <cell r="P447">
            <v>0.75486111111111109</v>
          </cell>
          <cell r="R447">
            <v>1.5972222222222165E-2</v>
          </cell>
          <cell r="S447" t="str">
            <v>pt 17:00</v>
          </cell>
          <cell r="X447">
            <v>64</v>
          </cell>
          <cell r="Y447" t="str">
            <v>pojedyncza mężczyzn J</v>
          </cell>
          <cell r="Z447" t="str">
            <v>S2973</v>
          </cell>
          <cell r="AA447" t="str">
            <v/>
          </cell>
          <cell r="AB447" t="str">
            <v>O3926</v>
          </cell>
          <cell r="AC447" t="str">
            <v/>
          </cell>
          <cell r="AD447" t="str">
            <v>S2973</v>
          </cell>
          <cell r="AE447" t="str">
            <v/>
          </cell>
          <cell r="AF447" t="str">
            <v>21:13,21:16</v>
          </cell>
          <cell r="AG447" t="str">
            <v>13:21,16:21</v>
          </cell>
          <cell r="AH447" t="str">
            <v/>
          </cell>
          <cell r="AI447">
            <v>21</v>
          </cell>
          <cell r="AJ447">
            <v>13</v>
          </cell>
          <cell r="AK447">
            <v>21</v>
          </cell>
          <cell r="AL447">
            <v>16</v>
          </cell>
          <cell r="AM447">
            <v>0</v>
          </cell>
          <cell r="AN447">
            <v>0</v>
          </cell>
        </row>
        <row r="448">
          <cell r="A448" t="str">
            <v/>
          </cell>
          <cell r="B448" t="str">
            <v>Tomasz SAGUN (UKS Hubal Białystok)</v>
          </cell>
          <cell r="H448" t="str">
            <v>S2973</v>
          </cell>
          <cell r="K448" t="str">
            <v>O3926</v>
          </cell>
          <cell r="N448" t="str">
            <v>Sebastian OBRYCKI (LKS Technik Głubczyce)</v>
          </cell>
        </row>
        <row r="449">
          <cell r="A449" t="str">
            <v/>
          </cell>
          <cell r="B449" t="str">
            <v/>
          </cell>
          <cell r="H449" t="str">
            <v/>
          </cell>
          <cell r="K449" t="str">
            <v/>
          </cell>
          <cell r="N449" t="str">
            <v/>
          </cell>
        </row>
        <row r="451">
          <cell r="B451" t="str">
            <v>zwycięzca(cy): 21:13,21:16</v>
          </cell>
          <cell r="K451" t="str">
            <v/>
          </cell>
        </row>
        <row r="452">
          <cell r="B452">
            <v>1</v>
          </cell>
          <cell r="C452" t="str">
            <v>dzień turnieju.</v>
          </cell>
          <cell r="I452" t="str">
            <v>Nr meczu</v>
          </cell>
          <cell r="N452" t="str">
            <v>Godz.</v>
          </cell>
          <cell r="R452" t="str">
            <v>S. prow.</v>
          </cell>
          <cell r="AF452" t="str">
            <v>wygrany</v>
          </cell>
          <cell r="AG452" t="str">
            <v>przegrany</v>
          </cell>
        </row>
        <row r="453">
          <cell r="B453" t="str">
            <v>Boisko</v>
          </cell>
          <cell r="C453" t="str">
            <v>Gra</v>
          </cell>
          <cell r="I453">
            <v>65</v>
          </cell>
          <cell r="N453" t="str">
            <v>rozp.</v>
          </cell>
          <cell r="P453" t="str">
            <v>zak.</v>
          </cell>
          <cell r="R453" t="str">
            <v>S. serw.</v>
          </cell>
        </row>
        <row r="454">
          <cell r="A454">
            <v>65</v>
          </cell>
          <cell r="B454">
            <v>3</v>
          </cell>
          <cell r="C454" t="str">
            <v>pojedyncza mężczyzn J</v>
          </cell>
          <cell r="H454">
            <v>21</v>
          </cell>
          <cell r="I454">
            <v>10</v>
          </cell>
          <cell r="J454">
            <v>21</v>
          </cell>
          <cell r="K454">
            <v>15</v>
          </cell>
          <cell r="N454">
            <v>0.73958333333333337</v>
          </cell>
          <cell r="P454">
            <v>0.7597222222222223</v>
          </cell>
          <cell r="R454">
            <v>2.0138888888888928E-2</v>
          </cell>
          <cell r="S454" t="str">
            <v>pt 17:00</v>
          </cell>
          <cell r="X454">
            <v>65</v>
          </cell>
          <cell r="Y454" t="str">
            <v>pojedyncza mężczyzn J</v>
          </cell>
          <cell r="Z454" t="str">
            <v>J3112</v>
          </cell>
          <cell r="AA454" t="str">
            <v/>
          </cell>
          <cell r="AB454" t="str">
            <v>P3707</v>
          </cell>
          <cell r="AC454" t="str">
            <v/>
          </cell>
          <cell r="AD454" t="str">
            <v>J3112</v>
          </cell>
          <cell r="AE454" t="str">
            <v/>
          </cell>
          <cell r="AF454" t="str">
            <v>21:10,21:15</v>
          </cell>
          <cell r="AG454" t="str">
            <v>10:21,15:21</v>
          </cell>
          <cell r="AH454" t="str">
            <v/>
          </cell>
          <cell r="AI454">
            <v>21</v>
          </cell>
          <cell r="AJ454">
            <v>10</v>
          </cell>
          <cell r="AK454">
            <v>21</v>
          </cell>
          <cell r="AL454">
            <v>15</v>
          </cell>
          <cell r="AM454">
            <v>0</v>
          </cell>
          <cell r="AN454">
            <v>0</v>
          </cell>
        </row>
        <row r="455">
          <cell r="A455" t="str">
            <v/>
          </cell>
          <cell r="B455" t="str">
            <v>Krzysztof JAKOWCZUK (UKS Hubal Białystok)</v>
          </cell>
          <cell r="H455" t="str">
            <v>J3112</v>
          </cell>
          <cell r="K455" t="str">
            <v>P3707</v>
          </cell>
          <cell r="N455" t="str">
            <v>Bartosz PIEKARZ (UKS Orliki Ropica Polska)</v>
          </cell>
        </row>
        <row r="456">
          <cell r="A456" t="str">
            <v/>
          </cell>
          <cell r="B456" t="str">
            <v/>
          </cell>
          <cell r="H456" t="str">
            <v/>
          </cell>
          <cell r="K456" t="str">
            <v/>
          </cell>
          <cell r="N456" t="str">
            <v/>
          </cell>
        </row>
        <row r="458">
          <cell r="B458" t="str">
            <v>zwycięzca(cy): 21:10,21:15</v>
          </cell>
          <cell r="K458" t="str">
            <v/>
          </cell>
        </row>
        <row r="459">
          <cell r="B459">
            <v>1</v>
          </cell>
          <cell r="C459" t="str">
            <v>dzień turnieju.</v>
          </cell>
          <cell r="I459" t="str">
            <v>Nr meczu</v>
          </cell>
          <cell r="N459" t="str">
            <v>Godz.</v>
          </cell>
          <cell r="R459" t="str">
            <v>S. prow.</v>
          </cell>
          <cell r="AF459" t="str">
            <v>wygrany</v>
          </cell>
          <cell r="AG459" t="str">
            <v>przegrany</v>
          </cell>
        </row>
        <row r="460">
          <cell r="B460" t="str">
            <v>Boisko</v>
          </cell>
          <cell r="C460" t="str">
            <v>Gra</v>
          </cell>
          <cell r="I460">
            <v>66</v>
          </cell>
          <cell r="N460" t="str">
            <v>rozp.</v>
          </cell>
          <cell r="P460" t="str">
            <v>zak.</v>
          </cell>
          <cell r="R460" t="str">
            <v>S. serw.</v>
          </cell>
        </row>
        <row r="461">
          <cell r="A461">
            <v>66</v>
          </cell>
          <cell r="B461">
            <v>4</v>
          </cell>
          <cell r="C461" t="str">
            <v>mieszana JM</v>
          </cell>
          <cell r="H461">
            <v>15</v>
          </cell>
          <cell r="I461">
            <v>21</v>
          </cell>
          <cell r="J461">
            <v>17</v>
          </cell>
          <cell r="K461">
            <v>21</v>
          </cell>
          <cell r="P461">
            <v>0.76111111111111107</v>
          </cell>
          <cell r="R461">
            <v>0.76111111111111107</v>
          </cell>
          <cell r="S461" t="str">
            <v>pt 17:45</v>
          </cell>
          <cell r="X461">
            <v>66</v>
          </cell>
          <cell r="Y461" t="str">
            <v>mieszana JM</v>
          </cell>
          <cell r="Z461" t="str">
            <v>J3436</v>
          </cell>
          <cell r="AA461" t="str">
            <v>K3437</v>
          </cell>
          <cell r="AB461" t="str">
            <v>M3524</v>
          </cell>
          <cell r="AC461" t="str">
            <v>S3617</v>
          </cell>
          <cell r="AD461" t="str">
            <v>M3524</v>
          </cell>
          <cell r="AE461" t="str">
            <v>S3617</v>
          </cell>
          <cell r="AF461" t="str">
            <v>21:15,21:17</v>
          </cell>
          <cell r="AG461" t="str">
            <v>15:21,17:21</v>
          </cell>
          <cell r="AH461" t="str">
            <v/>
          </cell>
          <cell r="AI461">
            <v>15</v>
          </cell>
          <cell r="AJ461">
            <v>21</v>
          </cell>
          <cell r="AK461">
            <v>17</v>
          </cell>
          <cell r="AL461">
            <v>21</v>
          </cell>
          <cell r="AM461">
            <v>0</v>
          </cell>
          <cell r="AN461">
            <v>0</v>
          </cell>
        </row>
        <row r="462">
          <cell r="A462" t="str">
            <v/>
          </cell>
          <cell r="B462" t="str">
            <v>Patryk JAS (UKS Kometa Sianów)</v>
          </cell>
          <cell r="H462" t="str">
            <v>J3436</v>
          </cell>
          <cell r="K462" t="str">
            <v>M3524</v>
          </cell>
          <cell r="N462" t="str">
            <v>Dawid MAZUR (LKS Technik Głubczyce)</v>
          </cell>
        </row>
        <row r="463">
          <cell r="A463" t="str">
            <v/>
          </cell>
          <cell r="B463" t="str">
            <v>Kornelia KOWALCZYK (UKS Kometa Sianów)</v>
          </cell>
          <cell r="H463" t="str">
            <v>K3437</v>
          </cell>
          <cell r="K463" t="str">
            <v>S3617</v>
          </cell>
          <cell r="N463" t="str">
            <v>Katarzyna SŁOMBA (UKSB Volant Mielec)</v>
          </cell>
        </row>
        <row r="465">
          <cell r="B465" t="str">
            <v/>
          </cell>
          <cell r="K465" t="str">
            <v>zwycięzca(cy): 21:15,21:17</v>
          </cell>
        </row>
        <row r="466">
          <cell r="B466">
            <v>1</v>
          </cell>
          <cell r="C466" t="str">
            <v>dzień turnieju.</v>
          </cell>
          <cell r="I466" t="str">
            <v>Nr meczu</v>
          </cell>
          <cell r="N466" t="str">
            <v>Godz.</v>
          </cell>
          <cell r="R466" t="str">
            <v>S. prow.</v>
          </cell>
          <cell r="AF466" t="str">
            <v>wygrany</v>
          </cell>
          <cell r="AG466" t="str">
            <v>przegrany</v>
          </cell>
        </row>
        <row r="467">
          <cell r="B467" t="str">
            <v>Boisko</v>
          </cell>
          <cell r="C467" t="str">
            <v>Gra</v>
          </cell>
          <cell r="I467">
            <v>67</v>
          </cell>
          <cell r="N467" t="str">
            <v>rozp.</v>
          </cell>
          <cell r="P467" t="str">
            <v>zak.</v>
          </cell>
          <cell r="R467" t="str">
            <v>S. serw.</v>
          </cell>
        </row>
        <row r="468">
          <cell r="A468">
            <v>67</v>
          </cell>
          <cell r="B468">
            <v>2</v>
          </cell>
          <cell r="C468" t="str">
            <v>mieszana JM</v>
          </cell>
          <cell r="H468">
            <v>16</v>
          </cell>
          <cell r="I468">
            <v>21</v>
          </cell>
          <cell r="J468">
            <v>9</v>
          </cell>
          <cell r="K468">
            <v>21</v>
          </cell>
          <cell r="N468">
            <v>0.72986111111111107</v>
          </cell>
          <cell r="P468">
            <v>0.7416666666666667</v>
          </cell>
          <cell r="R468">
            <v>1.1805555555555625E-2</v>
          </cell>
          <cell r="S468" t="str">
            <v>pt 17:45</v>
          </cell>
          <cell r="X468">
            <v>67</v>
          </cell>
          <cell r="Y468" t="str">
            <v>mieszana JM</v>
          </cell>
          <cell r="Z468" t="str">
            <v>B4388</v>
          </cell>
          <cell r="AA468" t="str">
            <v>B4184</v>
          </cell>
          <cell r="AB468" t="str">
            <v>R3535</v>
          </cell>
          <cell r="AC468" t="str">
            <v>X28</v>
          </cell>
          <cell r="AD468" t="str">
            <v>R3535</v>
          </cell>
          <cell r="AE468" t="str">
            <v>X28</v>
          </cell>
          <cell r="AF468" t="str">
            <v>21:16,21:9</v>
          </cell>
          <cell r="AG468" t="str">
            <v>16:21,9:21</v>
          </cell>
          <cell r="AH468" t="str">
            <v/>
          </cell>
          <cell r="AI468">
            <v>16</v>
          </cell>
          <cell r="AJ468">
            <v>21</v>
          </cell>
          <cell r="AK468">
            <v>9</v>
          </cell>
          <cell r="AL468">
            <v>21</v>
          </cell>
          <cell r="AM468">
            <v>0</v>
          </cell>
          <cell r="AN468">
            <v>0</v>
          </cell>
        </row>
        <row r="469">
          <cell r="A469" t="str">
            <v/>
          </cell>
          <cell r="B469" t="str">
            <v>Adrian BONDAROW (SKB Suwałki)</v>
          </cell>
          <cell r="H469" t="str">
            <v>B4388</v>
          </cell>
          <cell r="K469" t="str">
            <v>R3535</v>
          </cell>
          <cell r="N469" t="str">
            <v>Nikodem RATKOWSKI (ZKB Maced Polanów)</v>
          </cell>
        </row>
        <row r="470">
          <cell r="A470" t="str">
            <v/>
          </cell>
          <cell r="B470" t="str">
            <v>Milena BAŁON (SKB Suwałki)</v>
          </cell>
          <cell r="H470" t="str">
            <v>B4184</v>
          </cell>
          <cell r="K470" t="str">
            <v>X28</v>
          </cell>
          <cell r="N470" t="str">
            <v>Yulia BAYAROUSKAYA (Białoruś)</v>
          </cell>
        </row>
        <row r="472">
          <cell r="B472" t="str">
            <v/>
          </cell>
          <cell r="K472" t="str">
            <v>zwycięzca(cy): 21:16,21:9</v>
          </cell>
        </row>
        <row r="473">
          <cell r="B473">
            <v>1</v>
          </cell>
          <cell r="C473" t="str">
            <v>dzień turnieju.</v>
          </cell>
          <cell r="I473" t="str">
            <v>Nr meczu</v>
          </cell>
          <cell r="N473" t="str">
            <v>Godz.</v>
          </cell>
          <cell r="R473" t="str">
            <v>S. prow.</v>
          </cell>
          <cell r="AF473" t="str">
            <v>wygrany</v>
          </cell>
          <cell r="AG473" t="str">
            <v>przegrany</v>
          </cell>
        </row>
        <row r="474">
          <cell r="B474" t="str">
            <v>Boisko</v>
          </cell>
          <cell r="C474" t="str">
            <v>Gra</v>
          </cell>
          <cell r="I474">
            <v>68</v>
          </cell>
          <cell r="N474" t="str">
            <v>rozp.</v>
          </cell>
          <cell r="P474" t="str">
            <v>zak.</v>
          </cell>
          <cell r="R474" t="str">
            <v>S. serw.</v>
          </cell>
        </row>
        <row r="475">
          <cell r="A475">
            <v>68</v>
          </cell>
          <cell r="B475">
            <v>2</v>
          </cell>
          <cell r="C475" t="str">
            <v>mieszana JM</v>
          </cell>
          <cell r="H475">
            <v>21</v>
          </cell>
          <cell r="I475">
            <v>19</v>
          </cell>
          <cell r="J475">
            <v>21</v>
          </cell>
          <cell r="K475">
            <v>17</v>
          </cell>
          <cell r="N475">
            <v>0.74305555555555547</v>
          </cell>
          <cell r="P475">
            <v>0.76180555555555562</v>
          </cell>
          <cell r="R475">
            <v>1.8750000000000155E-2</v>
          </cell>
          <cell r="S475" t="str">
            <v>pt 17:45</v>
          </cell>
          <cell r="X475">
            <v>68</v>
          </cell>
          <cell r="Y475" t="str">
            <v>mieszana JM</v>
          </cell>
          <cell r="Z475" t="str">
            <v>X56</v>
          </cell>
          <cell r="AA475" t="str">
            <v>X20</v>
          </cell>
          <cell r="AB475" t="str">
            <v>M4225</v>
          </cell>
          <cell r="AC475" t="str">
            <v>Ś3779</v>
          </cell>
          <cell r="AD475" t="str">
            <v>X56</v>
          </cell>
          <cell r="AE475" t="str">
            <v>X20</v>
          </cell>
          <cell r="AF475" t="str">
            <v>21:19,21:17</v>
          </cell>
          <cell r="AG475" t="str">
            <v>19:21,17:21</v>
          </cell>
          <cell r="AH475" t="str">
            <v/>
          </cell>
          <cell r="AI475">
            <v>21</v>
          </cell>
          <cell r="AJ475">
            <v>19</v>
          </cell>
          <cell r="AK475">
            <v>21</v>
          </cell>
          <cell r="AL475">
            <v>17</v>
          </cell>
          <cell r="AM475">
            <v>0</v>
          </cell>
          <cell r="AN475">
            <v>0</v>
          </cell>
        </row>
        <row r="476">
          <cell r="A476" t="str">
            <v/>
          </cell>
          <cell r="B476" t="str">
            <v>Artem TKACHUK (Vinnica Ukraina)</v>
          </cell>
          <cell r="H476" t="str">
            <v>X56</v>
          </cell>
          <cell r="K476" t="str">
            <v>M4225</v>
          </cell>
          <cell r="N476" t="str">
            <v>Bartosz MARKIEWICZ (MLKS Solec Kuj.)</v>
          </cell>
        </row>
        <row r="477">
          <cell r="A477" t="str">
            <v/>
          </cell>
          <cell r="B477" t="str">
            <v>Inna SEBOVA (Vinnica Ukraina)</v>
          </cell>
          <cell r="H477" t="str">
            <v>X20</v>
          </cell>
          <cell r="K477" t="str">
            <v>Ś3779</v>
          </cell>
          <cell r="N477" t="str">
            <v>Magdalena ŚWIERCZYŃSKA (UKS Orkan Przeźmierowo)</v>
          </cell>
        </row>
        <row r="479">
          <cell r="B479" t="str">
            <v>zwycięzca(cy): 21:19,21:17</v>
          </cell>
          <cell r="K479" t="str">
            <v/>
          </cell>
        </row>
        <row r="480">
          <cell r="B480">
            <v>1</v>
          </cell>
          <cell r="C480" t="str">
            <v>dzień turnieju.</v>
          </cell>
          <cell r="I480" t="str">
            <v>Nr meczu</v>
          </cell>
          <cell r="N480" t="str">
            <v>Godz.</v>
          </cell>
          <cell r="R480" t="str">
            <v>S. prow.</v>
          </cell>
          <cell r="AF480" t="str">
            <v>wygrany</v>
          </cell>
          <cell r="AG480" t="str">
            <v>przegrany</v>
          </cell>
        </row>
        <row r="481">
          <cell r="B481" t="str">
            <v>Boisko</v>
          </cell>
          <cell r="C481" t="str">
            <v>Gra</v>
          </cell>
          <cell r="I481">
            <v>69</v>
          </cell>
          <cell r="N481" t="str">
            <v>rozp.</v>
          </cell>
          <cell r="P481" t="str">
            <v>zak.</v>
          </cell>
          <cell r="R481" t="str">
            <v>S. serw.</v>
          </cell>
        </row>
        <row r="482">
          <cell r="A482">
            <v>69</v>
          </cell>
          <cell r="B482">
            <v>1</v>
          </cell>
          <cell r="C482" t="str">
            <v>mieszana JM</v>
          </cell>
          <cell r="H482">
            <v>21</v>
          </cell>
          <cell r="I482">
            <v>19</v>
          </cell>
          <cell r="J482">
            <v>23</v>
          </cell>
          <cell r="K482">
            <v>21</v>
          </cell>
          <cell r="N482">
            <v>0.64583333333333337</v>
          </cell>
          <cell r="P482">
            <v>0.66666666666666663</v>
          </cell>
          <cell r="R482">
            <v>2.0833333333333259E-2</v>
          </cell>
          <cell r="S482" t="str">
            <v>pt 17:45</v>
          </cell>
          <cell r="X482">
            <v>69</v>
          </cell>
          <cell r="Y482" t="str">
            <v>mieszana JM</v>
          </cell>
          <cell r="Z482" t="str">
            <v>F4256</v>
          </cell>
          <cell r="AA482" t="str">
            <v>K4207</v>
          </cell>
          <cell r="AB482" t="str">
            <v>O2779</v>
          </cell>
          <cell r="AC482" t="str">
            <v>K4084</v>
          </cell>
          <cell r="AD482" t="str">
            <v>F4256</v>
          </cell>
          <cell r="AE482" t="str">
            <v>K4207</v>
          </cell>
          <cell r="AF482" t="str">
            <v>21:19,23:21</v>
          </cell>
          <cell r="AG482" t="str">
            <v>19:21,21:23</v>
          </cell>
          <cell r="AH482" t="str">
            <v/>
          </cell>
          <cell r="AI482">
            <v>21</v>
          </cell>
          <cell r="AJ482">
            <v>19</v>
          </cell>
          <cell r="AK482">
            <v>23</v>
          </cell>
          <cell r="AL482">
            <v>21</v>
          </cell>
          <cell r="AM482">
            <v>0</v>
          </cell>
          <cell r="AN482">
            <v>0</v>
          </cell>
        </row>
        <row r="483">
          <cell r="A483" t="str">
            <v/>
          </cell>
          <cell r="B483" t="str">
            <v>Kacper FRYSZCZYN (KS Hubertus Zalesie Górne)</v>
          </cell>
          <cell r="H483" t="str">
            <v>F4256</v>
          </cell>
          <cell r="K483" t="str">
            <v>O2779</v>
          </cell>
          <cell r="N483" t="str">
            <v>Szymon OLEARCZUK (AZSWAT Warszawa)</v>
          </cell>
        </row>
        <row r="484">
          <cell r="A484" t="str">
            <v/>
          </cell>
          <cell r="B484" t="str">
            <v>Urszula KARWOWSKA (UKSB Milenium Warszawa)</v>
          </cell>
          <cell r="H484" t="str">
            <v>K4207</v>
          </cell>
          <cell r="K484" t="str">
            <v>K4084</v>
          </cell>
          <cell r="N484" t="str">
            <v>Magdalena KOKOSZKA (AZSWAT Warszawa)</v>
          </cell>
        </row>
        <row r="486">
          <cell r="B486" t="str">
            <v>zwycięzca(cy): 21:19,23:21</v>
          </cell>
          <cell r="K486" t="str">
            <v/>
          </cell>
        </row>
        <row r="487">
          <cell r="B487">
            <v>1</v>
          </cell>
          <cell r="C487" t="str">
            <v>dzień turnieju.</v>
          </cell>
          <cell r="I487" t="str">
            <v>Nr meczu</v>
          </cell>
          <cell r="N487" t="str">
            <v>Godz.</v>
          </cell>
          <cell r="R487" t="str">
            <v>S. prow.</v>
          </cell>
          <cell r="AF487" t="str">
            <v>wygrany</v>
          </cell>
          <cell r="AG487" t="str">
            <v>przegrany</v>
          </cell>
        </row>
        <row r="488">
          <cell r="B488" t="str">
            <v>Boisko</v>
          </cell>
          <cell r="C488" t="str">
            <v>Gra</v>
          </cell>
          <cell r="I488">
            <v>70</v>
          </cell>
          <cell r="N488" t="str">
            <v>rozp.</v>
          </cell>
          <cell r="P488" t="str">
            <v>zak.</v>
          </cell>
          <cell r="R488" t="str">
            <v>S. serw.</v>
          </cell>
        </row>
        <row r="489">
          <cell r="A489">
            <v>70</v>
          </cell>
          <cell r="B489">
            <v>6</v>
          </cell>
          <cell r="C489" t="str">
            <v>mieszana JM</v>
          </cell>
          <cell r="H489">
            <v>10</v>
          </cell>
          <cell r="I489">
            <v>21</v>
          </cell>
          <cell r="J489">
            <v>10</v>
          </cell>
          <cell r="K489">
            <v>21</v>
          </cell>
          <cell r="P489">
            <v>0.76527777777777783</v>
          </cell>
          <cell r="R489">
            <v>0.76527777777777783</v>
          </cell>
          <cell r="S489" t="str">
            <v>pt 17:45</v>
          </cell>
          <cell r="X489">
            <v>70</v>
          </cell>
          <cell r="Y489" t="str">
            <v>mieszana JM</v>
          </cell>
          <cell r="Z489" t="str">
            <v>F4048</v>
          </cell>
          <cell r="AA489" t="str">
            <v>M3959</v>
          </cell>
          <cell r="AB489" t="str">
            <v>X10</v>
          </cell>
          <cell r="AC489" t="str">
            <v>X09</v>
          </cell>
          <cell r="AD489" t="str">
            <v>X10</v>
          </cell>
          <cell r="AE489" t="str">
            <v>X09</v>
          </cell>
          <cell r="AF489" t="str">
            <v>21:10,21:10</v>
          </cell>
          <cell r="AG489" t="str">
            <v>10:21,10:21</v>
          </cell>
          <cell r="AH489" t="str">
            <v/>
          </cell>
          <cell r="AI489">
            <v>10</v>
          </cell>
          <cell r="AJ489">
            <v>21</v>
          </cell>
          <cell r="AK489">
            <v>10</v>
          </cell>
          <cell r="AL489">
            <v>21</v>
          </cell>
          <cell r="AM489">
            <v>0</v>
          </cell>
          <cell r="AN489">
            <v>0</v>
          </cell>
        </row>
        <row r="490">
          <cell r="A490" t="str">
            <v/>
          </cell>
          <cell r="B490" t="str">
            <v>Konrad FRĄTCZAK (UKS Iskra Sarbice)</v>
          </cell>
          <cell r="H490" t="str">
            <v>F4048</v>
          </cell>
          <cell r="K490" t="str">
            <v>X10</v>
          </cell>
          <cell r="N490" t="str">
            <v>Dmitry KUSIMITSKI (Brześć Białoruś)</v>
          </cell>
        </row>
        <row r="491">
          <cell r="A491" t="str">
            <v/>
          </cell>
          <cell r="B491" t="str">
            <v>Łucja MIGAS (UKS Iskra Sarbice)</v>
          </cell>
          <cell r="H491" t="str">
            <v>M3959</v>
          </cell>
          <cell r="K491" t="str">
            <v>X09</v>
          </cell>
          <cell r="N491" t="str">
            <v>Mariana VERBITSKA (Brześć Białoruś)</v>
          </cell>
        </row>
        <row r="493">
          <cell r="B493" t="str">
            <v/>
          </cell>
          <cell r="K493" t="str">
            <v>zwycięzca(cy): 21:10,21:10</v>
          </cell>
        </row>
        <row r="494">
          <cell r="B494">
            <v>1</v>
          </cell>
          <cell r="C494" t="str">
            <v>dzień turnieju.</v>
          </cell>
          <cell r="I494" t="str">
            <v>Nr meczu</v>
          </cell>
          <cell r="N494" t="str">
            <v>Godz.</v>
          </cell>
          <cell r="R494" t="str">
            <v>S. prow.</v>
          </cell>
          <cell r="AF494" t="str">
            <v>wygrany</v>
          </cell>
          <cell r="AG494" t="str">
            <v>przegrany</v>
          </cell>
        </row>
        <row r="495">
          <cell r="B495" t="str">
            <v>Boisko</v>
          </cell>
          <cell r="C495" t="str">
            <v>Gra</v>
          </cell>
          <cell r="I495">
            <v>71</v>
          </cell>
          <cell r="N495" t="str">
            <v>rozp.</v>
          </cell>
          <cell r="P495" t="str">
            <v>zak.</v>
          </cell>
          <cell r="R495" t="str">
            <v>S. serw.</v>
          </cell>
        </row>
        <row r="496">
          <cell r="A496">
            <v>71</v>
          </cell>
          <cell r="B496">
            <v>8</v>
          </cell>
          <cell r="C496" t="str">
            <v>mieszana JM</v>
          </cell>
          <cell r="H496">
            <v>21</v>
          </cell>
          <cell r="I496">
            <v>12</v>
          </cell>
          <cell r="J496">
            <v>21</v>
          </cell>
          <cell r="K496">
            <v>12</v>
          </cell>
          <cell r="P496">
            <v>0.73611111111111116</v>
          </cell>
          <cell r="R496">
            <v>0.73611111111111116</v>
          </cell>
          <cell r="S496" t="str">
            <v>pt 17:45</v>
          </cell>
          <cell r="X496">
            <v>71</v>
          </cell>
          <cell r="Y496" t="str">
            <v>mieszana JM</v>
          </cell>
          <cell r="Z496" t="str">
            <v>M4193</v>
          </cell>
          <cell r="AA496" t="str">
            <v>M3790</v>
          </cell>
          <cell r="AB496" t="str">
            <v>N3834</v>
          </cell>
          <cell r="AC496" t="str">
            <v>S3951</v>
          </cell>
          <cell r="AD496" t="str">
            <v>M4193</v>
          </cell>
          <cell r="AE496" t="str">
            <v>M3790</v>
          </cell>
          <cell r="AF496" t="str">
            <v>21:12,21:12</v>
          </cell>
          <cell r="AG496" t="str">
            <v>12:21,12:21</v>
          </cell>
          <cell r="AH496" t="str">
            <v/>
          </cell>
          <cell r="AI496">
            <v>21</v>
          </cell>
          <cell r="AJ496">
            <v>12</v>
          </cell>
          <cell r="AK496">
            <v>21</v>
          </cell>
          <cell r="AL496">
            <v>12</v>
          </cell>
          <cell r="AM496">
            <v>0</v>
          </cell>
          <cell r="AN496">
            <v>0</v>
          </cell>
        </row>
        <row r="497">
          <cell r="A497" t="str">
            <v/>
          </cell>
          <cell r="B497" t="str">
            <v>Robert MIRGA (LKS Technik Głubczyce)</v>
          </cell>
          <cell r="H497" t="str">
            <v>M4193</v>
          </cell>
          <cell r="K497" t="str">
            <v>N3834</v>
          </cell>
          <cell r="N497" t="str">
            <v>Jędrzej NOWAK (KS Chojnik Jelenia Góra)</v>
          </cell>
        </row>
        <row r="498">
          <cell r="A498" t="str">
            <v/>
          </cell>
          <cell r="B498" t="str">
            <v>Kornelia MARCZAK (UKS Plesbad Pszczyna)</v>
          </cell>
          <cell r="H498" t="str">
            <v>M3790</v>
          </cell>
          <cell r="K498" t="str">
            <v>S3951</v>
          </cell>
          <cell r="N498" t="str">
            <v>Oliwia SOCHA (KS Chojnik Jelenia Góra)</v>
          </cell>
        </row>
        <row r="500">
          <cell r="B500" t="str">
            <v>zwycięzca(cy): 21:12,21:12</v>
          </cell>
          <cell r="K500" t="str">
            <v/>
          </cell>
        </row>
        <row r="501">
          <cell r="B501">
            <v>1</v>
          </cell>
          <cell r="C501" t="str">
            <v>dzień turnieju.</v>
          </cell>
          <cell r="I501" t="str">
            <v>Nr meczu</v>
          </cell>
          <cell r="N501" t="str">
            <v>Godz.</v>
          </cell>
          <cell r="R501" t="str">
            <v>S. prow.</v>
          </cell>
          <cell r="AF501" t="str">
            <v>wygrany</v>
          </cell>
          <cell r="AG501" t="str">
            <v>przegrany</v>
          </cell>
        </row>
        <row r="502">
          <cell r="B502" t="str">
            <v>Boisko</v>
          </cell>
          <cell r="C502" t="str">
            <v>Gra</v>
          </cell>
          <cell r="I502">
            <v>72</v>
          </cell>
          <cell r="N502" t="str">
            <v>rozp.</v>
          </cell>
          <cell r="P502" t="str">
            <v>zak.</v>
          </cell>
          <cell r="R502" t="str">
            <v>S. serw.</v>
          </cell>
        </row>
        <row r="503">
          <cell r="A503">
            <v>72</v>
          </cell>
          <cell r="B503">
            <v>1</v>
          </cell>
          <cell r="C503" t="str">
            <v>mieszana JM</v>
          </cell>
          <cell r="H503">
            <v>21</v>
          </cell>
          <cell r="I503">
            <v>11</v>
          </cell>
          <cell r="J503">
            <v>21</v>
          </cell>
          <cell r="K503">
            <v>16</v>
          </cell>
          <cell r="P503">
            <v>0.76736111111111116</v>
          </cell>
          <cell r="R503">
            <v>0.76736111111111116</v>
          </cell>
          <cell r="S503" t="str">
            <v>pt 17:45</v>
          </cell>
          <cell r="X503">
            <v>72</v>
          </cell>
          <cell r="Y503" t="str">
            <v>mieszana JM</v>
          </cell>
          <cell r="Z503" t="str">
            <v>P4202</v>
          </cell>
          <cell r="AA503" t="str">
            <v>B4205</v>
          </cell>
          <cell r="AB503" t="str">
            <v>Z4433</v>
          </cell>
          <cell r="AC503" t="str">
            <v>G4721</v>
          </cell>
          <cell r="AD503" t="str">
            <v>P4202</v>
          </cell>
          <cell r="AE503" t="str">
            <v>B4205</v>
          </cell>
          <cell r="AF503" t="str">
            <v>21:11,21:16</v>
          </cell>
          <cell r="AG503" t="str">
            <v>11:21,16:21</v>
          </cell>
          <cell r="AH503" t="str">
            <v/>
          </cell>
          <cell r="AI503">
            <v>21</v>
          </cell>
          <cell r="AJ503">
            <v>11</v>
          </cell>
          <cell r="AK503">
            <v>21</v>
          </cell>
          <cell r="AL503">
            <v>16</v>
          </cell>
          <cell r="AM503">
            <v>0</v>
          </cell>
          <cell r="AN503">
            <v>0</v>
          </cell>
        </row>
        <row r="504">
          <cell r="A504" t="str">
            <v/>
          </cell>
          <cell r="B504" t="str">
            <v>Bartłomiej PARYSZ (UKS Unia Bieruń)</v>
          </cell>
          <cell r="H504" t="str">
            <v>P4202</v>
          </cell>
          <cell r="K504" t="str">
            <v>Z4433</v>
          </cell>
          <cell r="N504" t="str">
            <v>Karol ZAWALSKI (UKS Aktywna Piątka Przemyśl)</v>
          </cell>
        </row>
        <row r="505">
          <cell r="A505" t="str">
            <v/>
          </cell>
          <cell r="B505" t="str">
            <v>Daniela BIELIŃSKA (UKS Unia Bieruń)</v>
          </cell>
          <cell r="H505" t="str">
            <v>B4205</v>
          </cell>
          <cell r="K505" t="str">
            <v>G4721</v>
          </cell>
          <cell r="N505" t="str">
            <v>Kinga GURZ (UKS Sokół Ropczyce)</v>
          </cell>
        </row>
        <row r="507">
          <cell r="B507" t="str">
            <v>zwycięzca(cy): 21:11,21:16</v>
          </cell>
          <cell r="K507" t="str">
            <v/>
          </cell>
        </row>
        <row r="508">
          <cell r="B508">
            <v>1</v>
          </cell>
          <cell r="C508" t="str">
            <v>dzień turnieju.</v>
          </cell>
          <cell r="I508" t="str">
            <v>Nr meczu</v>
          </cell>
          <cell r="N508" t="str">
            <v>Godz.</v>
          </cell>
          <cell r="R508" t="str">
            <v>S. prow.</v>
          </cell>
          <cell r="AF508" t="str">
            <v>wygrany</v>
          </cell>
          <cell r="AG508" t="str">
            <v>przegrany</v>
          </cell>
        </row>
        <row r="509">
          <cell r="B509" t="str">
            <v>Boisko</v>
          </cell>
          <cell r="C509" t="str">
            <v>Gra</v>
          </cell>
          <cell r="I509">
            <v>73</v>
          </cell>
          <cell r="N509" t="str">
            <v>rozp.</v>
          </cell>
          <cell r="P509" t="str">
            <v>zak.</v>
          </cell>
          <cell r="R509" t="str">
            <v>S. serw.</v>
          </cell>
        </row>
        <row r="510">
          <cell r="A510">
            <v>73</v>
          </cell>
          <cell r="B510">
            <v>5</v>
          </cell>
          <cell r="C510" t="str">
            <v>podwójna dziewcząt JM</v>
          </cell>
          <cell r="H510">
            <v>16</v>
          </cell>
          <cell r="I510">
            <v>21</v>
          </cell>
          <cell r="J510">
            <v>16</v>
          </cell>
          <cell r="K510">
            <v>21</v>
          </cell>
          <cell r="P510">
            <v>0.79375000000000007</v>
          </cell>
          <cell r="R510">
            <v>0.79375000000000007</v>
          </cell>
          <cell r="S510" t="str">
            <v>pt 18:15</v>
          </cell>
          <cell r="X510">
            <v>73</v>
          </cell>
          <cell r="Y510" t="str">
            <v>podwójna dziewcząt JM</v>
          </cell>
          <cell r="Z510" t="str">
            <v>C3958</v>
          </cell>
          <cell r="AA510" t="str">
            <v>M3959</v>
          </cell>
          <cell r="AB510" t="str">
            <v>X28</v>
          </cell>
          <cell r="AC510" t="str">
            <v>G4721</v>
          </cell>
          <cell r="AD510" t="str">
            <v>X28</v>
          </cell>
          <cell r="AE510" t="str">
            <v>G4721</v>
          </cell>
          <cell r="AF510" t="str">
            <v>21:16,21:16</v>
          </cell>
          <cell r="AG510" t="str">
            <v>16:21,16:21</v>
          </cell>
          <cell r="AH510" t="str">
            <v/>
          </cell>
          <cell r="AI510">
            <v>16</v>
          </cell>
          <cell r="AJ510">
            <v>21</v>
          </cell>
          <cell r="AK510">
            <v>16</v>
          </cell>
          <cell r="AL510">
            <v>21</v>
          </cell>
          <cell r="AM510">
            <v>0</v>
          </cell>
          <cell r="AN510">
            <v>0</v>
          </cell>
        </row>
        <row r="511">
          <cell r="A511" t="str">
            <v/>
          </cell>
          <cell r="B511" t="str">
            <v>Milena CICHOMSKA (UKS Iskra Sarbice)</v>
          </cell>
          <cell r="H511" t="str">
            <v>C3958</v>
          </cell>
          <cell r="K511" t="str">
            <v>X28</v>
          </cell>
          <cell r="N511" t="str">
            <v>Yulia BAYAROUSKAYA (Białoruś)</v>
          </cell>
        </row>
        <row r="512">
          <cell r="A512" t="str">
            <v/>
          </cell>
          <cell r="B512" t="str">
            <v>Łucja MIGAS (UKS Iskra Sarbice)</v>
          </cell>
          <cell r="H512" t="str">
            <v>M3959</v>
          </cell>
          <cell r="K512" t="str">
            <v>G4721</v>
          </cell>
          <cell r="N512" t="str">
            <v>Kinga GURZ (UKS Sokół Ropczyce)</v>
          </cell>
        </row>
        <row r="514">
          <cell r="B514" t="str">
            <v/>
          </cell>
          <cell r="K514" t="str">
            <v>zwycięzca(cy): 21:16,21:16</v>
          </cell>
        </row>
        <row r="515">
          <cell r="B515">
            <v>1</v>
          </cell>
          <cell r="C515" t="str">
            <v>dzień turnieju.</v>
          </cell>
          <cell r="I515" t="str">
            <v>Nr meczu</v>
          </cell>
          <cell r="N515" t="str">
            <v>Godz.</v>
          </cell>
          <cell r="R515" t="str">
            <v>S. prow.</v>
          </cell>
          <cell r="AF515" t="str">
            <v>wygrany</v>
          </cell>
          <cell r="AG515" t="str">
            <v>przegrany</v>
          </cell>
        </row>
        <row r="516">
          <cell r="B516" t="str">
            <v>Boisko</v>
          </cell>
          <cell r="C516" t="str">
            <v>Gra</v>
          </cell>
          <cell r="I516">
            <v>74</v>
          </cell>
          <cell r="N516" t="str">
            <v>rozp.</v>
          </cell>
          <cell r="P516" t="str">
            <v>zak.</v>
          </cell>
          <cell r="R516" t="str">
            <v>S. serw.</v>
          </cell>
        </row>
        <row r="517">
          <cell r="A517">
            <v>74</v>
          </cell>
          <cell r="B517">
            <v>5</v>
          </cell>
          <cell r="C517" t="str">
            <v>podwójna dziewcząt JM</v>
          </cell>
          <cell r="H517">
            <v>4</v>
          </cell>
          <cell r="I517">
            <v>21</v>
          </cell>
          <cell r="J517">
            <v>10</v>
          </cell>
          <cell r="K517">
            <v>21</v>
          </cell>
          <cell r="P517">
            <v>0.76874999999999993</v>
          </cell>
          <cell r="R517">
            <v>0.76874999999999993</v>
          </cell>
          <cell r="S517" t="str">
            <v>pt 18:15</v>
          </cell>
          <cell r="X517">
            <v>74</v>
          </cell>
          <cell r="Y517" t="str">
            <v>podwójna dziewcząt JM</v>
          </cell>
          <cell r="Z517" t="str">
            <v>K4084</v>
          </cell>
          <cell r="AA517" t="str">
            <v>R3720</v>
          </cell>
          <cell r="AB517" t="str">
            <v>K4207</v>
          </cell>
          <cell r="AC517" t="str">
            <v>N3738</v>
          </cell>
          <cell r="AD517" t="str">
            <v>K4207</v>
          </cell>
          <cell r="AE517" t="str">
            <v>N3738</v>
          </cell>
          <cell r="AF517" t="str">
            <v>21:4,21:10</v>
          </cell>
          <cell r="AG517" t="str">
            <v>4:21,10:21</v>
          </cell>
          <cell r="AH517" t="str">
            <v/>
          </cell>
          <cell r="AI517">
            <v>4</v>
          </cell>
          <cell r="AJ517">
            <v>21</v>
          </cell>
          <cell r="AK517">
            <v>10</v>
          </cell>
          <cell r="AL517">
            <v>21</v>
          </cell>
          <cell r="AM517">
            <v>0</v>
          </cell>
          <cell r="AN517">
            <v>0</v>
          </cell>
        </row>
        <row r="518">
          <cell r="A518" t="str">
            <v/>
          </cell>
          <cell r="B518" t="str">
            <v>Magdalena KOKOSZKA (AZSWAT Warszawa)</v>
          </cell>
          <cell r="H518" t="str">
            <v>K4084</v>
          </cell>
          <cell r="K518" t="str">
            <v>K4207</v>
          </cell>
          <cell r="N518" t="str">
            <v>Urszula KARWOWSKA (UKSB Milenium Warszawa)</v>
          </cell>
        </row>
        <row r="519">
          <cell r="A519" t="str">
            <v/>
          </cell>
          <cell r="B519" t="str">
            <v>Barbara RUTKOWSKA (ŚKBad Harcownik Warszawa)</v>
          </cell>
          <cell r="H519" t="str">
            <v>R3720</v>
          </cell>
          <cell r="K519" t="str">
            <v>N3738</v>
          </cell>
          <cell r="N519" t="str">
            <v>Aneta NIKLAS (ULKS U-2 Lotka Bytów)</v>
          </cell>
        </row>
        <row r="521">
          <cell r="B521" t="str">
            <v/>
          </cell>
          <cell r="K521" t="str">
            <v>zwycięzca(cy): 21:4,21:10</v>
          </cell>
        </row>
        <row r="522">
          <cell r="B522">
            <v>1</v>
          </cell>
          <cell r="C522" t="str">
            <v>dzień turnieju.</v>
          </cell>
          <cell r="I522" t="str">
            <v>Nr meczu</v>
          </cell>
          <cell r="N522" t="str">
            <v>Godz.</v>
          </cell>
          <cell r="R522" t="str">
            <v>S. prow.</v>
          </cell>
          <cell r="AF522" t="str">
            <v>wygrany</v>
          </cell>
          <cell r="AG522" t="str">
            <v>przegrany</v>
          </cell>
        </row>
        <row r="523">
          <cell r="B523" t="str">
            <v>Boisko</v>
          </cell>
          <cell r="C523" t="str">
            <v>Gra</v>
          </cell>
          <cell r="I523">
            <v>75</v>
          </cell>
          <cell r="N523" t="str">
            <v>rozp.</v>
          </cell>
          <cell r="P523" t="str">
            <v>zak.</v>
          </cell>
          <cell r="R523" t="str">
            <v>S. serw.</v>
          </cell>
        </row>
        <row r="524">
          <cell r="A524">
            <v>75</v>
          </cell>
          <cell r="B524">
            <v>1</v>
          </cell>
          <cell r="C524" t="str">
            <v>podwójna dziewcząt JM</v>
          </cell>
          <cell r="H524">
            <v>21</v>
          </cell>
          <cell r="I524">
            <v>8</v>
          </cell>
          <cell r="J524">
            <v>21</v>
          </cell>
          <cell r="K524">
            <v>5</v>
          </cell>
          <cell r="P524">
            <v>0.78125</v>
          </cell>
          <cell r="R524">
            <v>0.78125</v>
          </cell>
          <cell r="S524" t="str">
            <v>pt 18:15</v>
          </cell>
          <cell r="X524">
            <v>75</v>
          </cell>
          <cell r="Y524" t="str">
            <v>podwójna dziewcząt JM</v>
          </cell>
          <cell r="Z524" t="str">
            <v>X19</v>
          </cell>
          <cell r="AA524" t="str">
            <v>X20</v>
          </cell>
          <cell r="AB524" t="str">
            <v>K3764</v>
          </cell>
          <cell r="AC524" t="str">
            <v>P4482</v>
          </cell>
          <cell r="AD524" t="str">
            <v>X19</v>
          </cell>
          <cell r="AE524" t="str">
            <v>X20</v>
          </cell>
          <cell r="AF524" t="str">
            <v>21:8,21:5</v>
          </cell>
          <cell r="AG524" t="str">
            <v>8:21,5:21</v>
          </cell>
          <cell r="AH524" t="str">
            <v/>
          </cell>
          <cell r="AI524">
            <v>21</v>
          </cell>
          <cell r="AJ524">
            <v>8</v>
          </cell>
          <cell r="AK524">
            <v>21</v>
          </cell>
          <cell r="AL524">
            <v>5</v>
          </cell>
          <cell r="AM524">
            <v>0</v>
          </cell>
          <cell r="AN524">
            <v>0</v>
          </cell>
        </row>
        <row r="525">
          <cell r="A525" t="str">
            <v/>
          </cell>
          <cell r="B525" t="str">
            <v>Oleksandra LUGOVYKH (Vinnica Ukraina)</v>
          </cell>
          <cell r="H525" t="str">
            <v>X19</v>
          </cell>
          <cell r="K525" t="str">
            <v>K3764</v>
          </cell>
          <cell r="N525" t="str">
            <v>Sandra KUDYK (UKS Kiko Zamość)</v>
          </cell>
        </row>
        <row r="526">
          <cell r="A526" t="str">
            <v/>
          </cell>
          <cell r="B526" t="str">
            <v>Inna SEBOVA (Vinnica Ukraina)</v>
          </cell>
          <cell r="H526" t="str">
            <v>X20</v>
          </cell>
          <cell r="K526" t="str">
            <v>P4482</v>
          </cell>
          <cell r="N526" t="str">
            <v>Oliwia PIOTROWSKA (UKS Kiko Zamość)</v>
          </cell>
        </row>
        <row r="528">
          <cell r="B528" t="str">
            <v>zwycięzca(cy): 21:8,21:5</v>
          </cell>
          <cell r="K528" t="str">
            <v/>
          </cell>
        </row>
        <row r="529">
          <cell r="B529">
            <v>1</v>
          </cell>
          <cell r="C529" t="str">
            <v>dzień turnieju.</v>
          </cell>
          <cell r="I529" t="str">
            <v>Nr meczu</v>
          </cell>
          <cell r="N529" t="str">
            <v>Godz.</v>
          </cell>
          <cell r="R529" t="str">
            <v>S. prow.</v>
          </cell>
          <cell r="AF529" t="str">
            <v>wygrany</v>
          </cell>
          <cell r="AG529" t="str">
            <v>przegrany</v>
          </cell>
        </row>
        <row r="530">
          <cell r="B530" t="str">
            <v>Boisko</v>
          </cell>
          <cell r="C530" t="str">
            <v>Gra</v>
          </cell>
          <cell r="I530">
            <v>76</v>
          </cell>
          <cell r="N530" t="str">
            <v>rozp.</v>
          </cell>
          <cell r="P530" t="str">
            <v>zak.</v>
          </cell>
          <cell r="R530" t="str">
            <v>S. serw.</v>
          </cell>
        </row>
        <row r="531">
          <cell r="A531">
            <v>76</v>
          </cell>
          <cell r="B531">
            <v>8</v>
          </cell>
          <cell r="C531" t="str">
            <v>podwójna dziewcząt JM</v>
          </cell>
          <cell r="H531">
            <v>21</v>
          </cell>
          <cell r="I531">
            <v>8</v>
          </cell>
          <cell r="J531">
            <v>21</v>
          </cell>
          <cell r="K531">
            <v>13</v>
          </cell>
          <cell r="P531">
            <v>0.77083333333333337</v>
          </cell>
          <cell r="R531">
            <v>0.77083333333333337</v>
          </cell>
          <cell r="S531" t="str">
            <v>pt 18:15</v>
          </cell>
          <cell r="X531">
            <v>76</v>
          </cell>
          <cell r="Y531" t="str">
            <v>podwójna dziewcząt JM</v>
          </cell>
          <cell r="Z531" t="str">
            <v>R3686</v>
          </cell>
          <cell r="AA531" t="str">
            <v>S3951</v>
          </cell>
          <cell r="AB531" t="str">
            <v>B4184</v>
          </cell>
          <cell r="AC531" t="str">
            <v>K3474</v>
          </cell>
          <cell r="AD531" t="str">
            <v>R3686</v>
          </cell>
          <cell r="AE531" t="str">
            <v>S3951</v>
          </cell>
          <cell r="AF531" t="str">
            <v>21:8,21:13</v>
          </cell>
          <cell r="AG531" t="str">
            <v>8:21,13:21</v>
          </cell>
          <cell r="AH531" t="str">
            <v/>
          </cell>
          <cell r="AI531">
            <v>21</v>
          </cell>
          <cell r="AJ531">
            <v>8</v>
          </cell>
          <cell r="AK531">
            <v>21</v>
          </cell>
          <cell r="AL531">
            <v>13</v>
          </cell>
          <cell r="AM531">
            <v>0</v>
          </cell>
          <cell r="AN531">
            <v>0</v>
          </cell>
        </row>
        <row r="532">
          <cell r="A532" t="str">
            <v/>
          </cell>
          <cell r="B532" t="str">
            <v>Julita RYBAŁT (UKS Hubal Białystok)</v>
          </cell>
          <cell r="H532" t="str">
            <v>R3686</v>
          </cell>
          <cell r="K532" t="str">
            <v>B4184</v>
          </cell>
          <cell r="N532" t="str">
            <v>Milena BAŁON (SKB Suwałki)</v>
          </cell>
        </row>
        <row r="533">
          <cell r="A533" t="str">
            <v/>
          </cell>
          <cell r="B533" t="str">
            <v>Oliwia SOCHA (KS Chojnik Jelenia Góra)</v>
          </cell>
          <cell r="H533" t="str">
            <v>S3951</v>
          </cell>
          <cell r="K533" t="str">
            <v>K3474</v>
          </cell>
          <cell r="N533" t="str">
            <v>Joanna KRYSIAK (SKB Suwałki)</v>
          </cell>
        </row>
        <row r="535">
          <cell r="B535" t="str">
            <v>zwycięzca(cy): 21:8,21:13</v>
          </cell>
          <cell r="K535" t="str">
            <v/>
          </cell>
        </row>
        <row r="536">
          <cell r="B536">
            <v>1</v>
          </cell>
          <cell r="C536" t="str">
            <v>dzień turnieju.</v>
          </cell>
          <cell r="I536" t="str">
            <v>Nr meczu</v>
          </cell>
          <cell r="N536" t="str">
            <v>Godz.</v>
          </cell>
          <cell r="R536" t="str">
            <v>S. prow.</v>
          </cell>
          <cell r="AF536" t="str">
            <v>wygrany</v>
          </cell>
          <cell r="AG536" t="str">
            <v>przegrany</v>
          </cell>
        </row>
        <row r="537">
          <cell r="B537" t="str">
            <v>Boisko</v>
          </cell>
          <cell r="C537" t="str">
            <v>Gra</v>
          </cell>
          <cell r="I537">
            <v>77</v>
          </cell>
          <cell r="N537" t="str">
            <v>rozp.</v>
          </cell>
          <cell r="P537" t="str">
            <v>zak.</v>
          </cell>
          <cell r="R537" t="str">
            <v>S. serw.</v>
          </cell>
        </row>
        <row r="538">
          <cell r="A538">
            <v>77</v>
          </cell>
          <cell r="B538">
            <v>7</v>
          </cell>
          <cell r="C538" t="str">
            <v>podwójna dziewcząt JM</v>
          </cell>
          <cell r="H538">
            <v>21</v>
          </cell>
          <cell r="I538">
            <v>19</v>
          </cell>
          <cell r="J538">
            <v>21</v>
          </cell>
          <cell r="K538">
            <v>18</v>
          </cell>
          <cell r="P538">
            <v>0.78819444444444453</v>
          </cell>
          <cell r="R538">
            <v>0.78819444444444453</v>
          </cell>
          <cell r="S538" t="str">
            <v>pt 18:15</v>
          </cell>
          <cell r="X538">
            <v>77</v>
          </cell>
          <cell r="Y538" t="str">
            <v>podwójna dziewcząt JM</v>
          </cell>
          <cell r="Z538" t="str">
            <v>S3617</v>
          </cell>
          <cell r="AA538" t="str">
            <v>S4168</v>
          </cell>
          <cell r="AB538" t="str">
            <v>K3437</v>
          </cell>
          <cell r="AC538" t="str">
            <v>M3790</v>
          </cell>
          <cell r="AD538" t="str">
            <v>S3617</v>
          </cell>
          <cell r="AE538" t="str">
            <v>S4168</v>
          </cell>
          <cell r="AF538" t="str">
            <v>21:19,21:18</v>
          </cell>
          <cell r="AG538" t="str">
            <v>19:21,18:21</v>
          </cell>
          <cell r="AH538" t="str">
            <v/>
          </cell>
          <cell r="AI538">
            <v>21</v>
          </cell>
          <cell r="AJ538">
            <v>19</v>
          </cell>
          <cell r="AK538">
            <v>21</v>
          </cell>
          <cell r="AL538">
            <v>18</v>
          </cell>
          <cell r="AM538">
            <v>0</v>
          </cell>
          <cell r="AN538">
            <v>0</v>
          </cell>
        </row>
        <row r="539">
          <cell r="A539" t="str">
            <v/>
          </cell>
          <cell r="B539" t="str">
            <v>Katarzyna SŁOMBA (UKSB Volant Mielec)</v>
          </cell>
          <cell r="H539" t="str">
            <v>S3617</v>
          </cell>
          <cell r="K539" t="str">
            <v>K3437</v>
          </cell>
          <cell r="N539" t="str">
            <v>Kornelia KOWALCZYK (UKS Kometa Sianów)</v>
          </cell>
        </row>
        <row r="540">
          <cell r="A540" t="str">
            <v/>
          </cell>
          <cell r="B540" t="str">
            <v>Agnieszka SZYMASZEK (UKS Orbitek Straszęcin)</v>
          </cell>
          <cell r="H540" t="str">
            <v>S4168</v>
          </cell>
          <cell r="K540" t="str">
            <v>M3790</v>
          </cell>
          <cell r="N540" t="str">
            <v>Kornelia MARCZAK (UKS Plesbad Pszczyna)</v>
          </cell>
        </row>
        <row r="542">
          <cell r="B542" t="str">
            <v>zwycięzca(cy): 21:19,21:18</v>
          </cell>
          <cell r="K542" t="str">
            <v/>
          </cell>
        </row>
        <row r="543">
          <cell r="B543">
            <v>1</v>
          </cell>
          <cell r="C543" t="str">
            <v>dzień turnieju.</v>
          </cell>
          <cell r="I543" t="str">
            <v>Nr meczu</v>
          </cell>
          <cell r="N543" t="str">
            <v>Godz.</v>
          </cell>
          <cell r="R543" t="str">
            <v>S. prow.</v>
          </cell>
          <cell r="AF543" t="str">
            <v>wygrany</v>
          </cell>
          <cell r="AG543" t="str">
            <v>przegrany</v>
          </cell>
        </row>
        <row r="544">
          <cell r="B544" t="str">
            <v>Boisko</v>
          </cell>
          <cell r="C544" t="str">
            <v>Gra</v>
          </cell>
          <cell r="I544">
            <v>78</v>
          </cell>
          <cell r="N544" t="str">
            <v>rozp.</v>
          </cell>
          <cell r="P544" t="str">
            <v>zak.</v>
          </cell>
          <cell r="R544" t="str">
            <v>S. serw.</v>
          </cell>
        </row>
        <row r="545">
          <cell r="A545">
            <v>78</v>
          </cell>
          <cell r="C545" t="str">
            <v>podwójna chłopców JM</v>
          </cell>
          <cell r="H545">
            <v>0</v>
          </cell>
          <cell r="I545">
            <v>21</v>
          </cell>
          <cell r="J545">
            <v>0</v>
          </cell>
          <cell r="K545">
            <v>21</v>
          </cell>
          <cell r="R545">
            <v>0</v>
          </cell>
          <cell r="S545" t="str">
            <v>pt 18:15</v>
          </cell>
          <cell r="X545">
            <v>78</v>
          </cell>
          <cell r="Y545" t="str">
            <v>podwójna chłopców JM</v>
          </cell>
          <cell r="Z545" t="str">
            <v>M3704</v>
          </cell>
          <cell r="AA545" t="str">
            <v>S4731</v>
          </cell>
          <cell r="AB545" t="str">
            <v>K4841</v>
          </cell>
          <cell r="AC545" t="str">
            <v>S3778</v>
          </cell>
          <cell r="AD545" t="str">
            <v>K4841</v>
          </cell>
          <cell r="AE545" t="str">
            <v>S3778</v>
          </cell>
          <cell r="AF545" t="str">
            <v>21:0,21:0</v>
          </cell>
          <cell r="AG545" t="str">
            <v>0:21,0:21</v>
          </cell>
          <cell r="AH545" t="str">
            <v/>
          </cell>
          <cell r="AI545">
            <v>0</v>
          </cell>
          <cell r="AJ545">
            <v>21</v>
          </cell>
          <cell r="AK545">
            <v>0</v>
          </cell>
          <cell r="AL545">
            <v>21</v>
          </cell>
          <cell r="AM545">
            <v>0</v>
          </cell>
          <cell r="AN545">
            <v>0</v>
          </cell>
        </row>
        <row r="546">
          <cell r="A546" t="str">
            <v/>
          </cell>
          <cell r="B546" t="str">
            <v>Rafał MARKOWICZ (UKS Orliki Ropica Polska)</v>
          </cell>
          <cell r="H546" t="str">
            <v>M3704</v>
          </cell>
          <cell r="K546" t="str">
            <v>K4841</v>
          </cell>
          <cell r="N546" t="str">
            <v>Mateusz KĘDZIORA (PTS Puszczykowo)</v>
          </cell>
        </row>
        <row r="547">
          <cell r="A547" t="str">
            <v/>
          </cell>
          <cell r="B547" t="str">
            <v>Michał SIERAK (UKS Orliki Ropica Polska)</v>
          </cell>
          <cell r="H547" t="str">
            <v>S4731</v>
          </cell>
          <cell r="K547" t="str">
            <v>S3778</v>
          </cell>
          <cell r="N547" t="str">
            <v>Damian SADALSKI (UKS Orkan Przeźmierowo)</v>
          </cell>
        </row>
        <row r="549">
          <cell r="B549" t="str">
            <v/>
          </cell>
          <cell r="K549" t="str">
            <v>zwycięzca(cy): 21:0,21:0</v>
          </cell>
        </row>
        <row r="550">
          <cell r="B550">
            <v>1</v>
          </cell>
          <cell r="C550" t="str">
            <v>dzień turnieju.</v>
          </cell>
          <cell r="I550" t="str">
            <v>Nr meczu</v>
          </cell>
          <cell r="N550" t="str">
            <v>Godz.</v>
          </cell>
          <cell r="R550" t="str">
            <v>S. prow.</v>
          </cell>
          <cell r="AF550" t="str">
            <v>wygrany</v>
          </cell>
          <cell r="AG550" t="str">
            <v>przegrany</v>
          </cell>
        </row>
        <row r="551">
          <cell r="B551" t="str">
            <v>Boisko</v>
          </cell>
          <cell r="C551" t="str">
            <v>Gra</v>
          </cell>
          <cell r="I551">
            <v>79</v>
          </cell>
          <cell r="N551" t="str">
            <v>rozp.</v>
          </cell>
          <cell r="P551" t="str">
            <v>zak.</v>
          </cell>
          <cell r="R551" t="str">
            <v>S. serw.</v>
          </cell>
        </row>
        <row r="552">
          <cell r="A552">
            <v>79</v>
          </cell>
          <cell r="B552">
            <v>3</v>
          </cell>
          <cell r="C552" t="str">
            <v>podwójna chłopców JM</v>
          </cell>
          <cell r="H552">
            <v>21</v>
          </cell>
          <cell r="I552">
            <v>14</v>
          </cell>
          <cell r="J552">
            <v>15</v>
          </cell>
          <cell r="K552">
            <v>21</v>
          </cell>
          <cell r="L552">
            <v>21</v>
          </cell>
          <cell r="M552">
            <v>13</v>
          </cell>
          <cell r="P552">
            <v>0.78263888888888899</v>
          </cell>
          <cell r="R552">
            <v>0.78263888888888899</v>
          </cell>
          <cell r="S552" t="str">
            <v>pt 18:15</v>
          </cell>
          <cell r="X552">
            <v>79</v>
          </cell>
          <cell r="Y552" t="str">
            <v>podwójna chłopców JM</v>
          </cell>
          <cell r="Z552" t="str">
            <v>X41</v>
          </cell>
          <cell r="AA552" t="str">
            <v>X39</v>
          </cell>
          <cell r="AB552" t="str">
            <v>F4256</v>
          </cell>
          <cell r="AC552" t="str">
            <v>O2779</v>
          </cell>
          <cell r="AD552" t="str">
            <v>X41</v>
          </cell>
          <cell r="AE552" t="str">
            <v>X39</v>
          </cell>
          <cell r="AF552" t="str">
            <v>21:14,15:21,21:13</v>
          </cell>
          <cell r="AG552" t="str">
            <v>14:21,21:15,13:21</v>
          </cell>
          <cell r="AH552" t="str">
            <v/>
          </cell>
          <cell r="AI552">
            <v>21</v>
          </cell>
          <cell r="AJ552">
            <v>14</v>
          </cell>
          <cell r="AK552">
            <v>15</v>
          </cell>
          <cell r="AL552">
            <v>21</v>
          </cell>
          <cell r="AM552">
            <v>21</v>
          </cell>
          <cell r="AN552">
            <v>13</v>
          </cell>
        </row>
        <row r="553">
          <cell r="A553" t="str">
            <v/>
          </cell>
          <cell r="B553" t="str">
            <v>Marek Kufa  (Slavoj Cesky Tesin)</v>
          </cell>
          <cell r="H553" t="str">
            <v>X41</v>
          </cell>
          <cell r="K553" t="str">
            <v>F4256</v>
          </cell>
          <cell r="N553" t="str">
            <v>Kacper FRYSZCZYN (KS Hubertus Zalesie Górne)</v>
          </cell>
        </row>
        <row r="554">
          <cell r="A554" t="str">
            <v/>
          </cell>
          <cell r="B554" t="str">
            <v>Adam Šářec  (Slavoj Cesky Tesin)</v>
          </cell>
          <cell r="H554" t="str">
            <v>X39</v>
          </cell>
          <cell r="K554" t="str">
            <v>O2779</v>
          </cell>
          <cell r="N554" t="str">
            <v>Szymon OLEARCZUK (AZSWAT Warszawa)</v>
          </cell>
        </row>
        <row r="556">
          <cell r="B556" t="str">
            <v>zwycięzca(cy): 21:14,15:21,21:13</v>
          </cell>
          <cell r="K556" t="str">
            <v/>
          </cell>
        </row>
        <row r="557">
          <cell r="B557">
            <v>1</v>
          </cell>
          <cell r="C557" t="str">
            <v>dzień turnieju.</v>
          </cell>
          <cell r="I557" t="str">
            <v>Nr meczu</v>
          </cell>
          <cell r="N557" t="str">
            <v>Godz.</v>
          </cell>
          <cell r="R557" t="str">
            <v>S. prow.</v>
          </cell>
          <cell r="AF557" t="str">
            <v>wygrany</v>
          </cell>
          <cell r="AG557" t="str">
            <v>przegrany</v>
          </cell>
        </row>
        <row r="558">
          <cell r="B558" t="str">
            <v>Boisko</v>
          </cell>
          <cell r="C558" t="str">
            <v>Gra</v>
          </cell>
          <cell r="I558">
            <v>80</v>
          </cell>
          <cell r="N558" t="str">
            <v>rozp.</v>
          </cell>
          <cell r="P558" t="str">
            <v>zak.</v>
          </cell>
          <cell r="R558" t="str">
            <v>S. serw.</v>
          </cell>
        </row>
        <row r="559">
          <cell r="A559">
            <v>80</v>
          </cell>
          <cell r="B559">
            <v>4</v>
          </cell>
          <cell r="C559" t="str">
            <v>podwójna chłopców JM</v>
          </cell>
          <cell r="H559">
            <v>21</v>
          </cell>
          <cell r="I559">
            <v>19</v>
          </cell>
          <cell r="J559">
            <v>11</v>
          </cell>
          <cell r="K559">
            <v>21</v>
          </cell>
          <cell r="L559">
            <v>9</v>
          </cell>
          <cell r="M559">
            <v>21</v>
          </cell>
          <cell r="P559">
            <v>0.78472222222222221</v>
          </cell>
          <cell r="R559">
            <v>0.78472222222222221</v>
          </cell>
          <cell r="S559" t="str">
            <v>pt 18:15</v>
          </cell>
          <cell r="X559">
            <v>80</v>
          </cell>
          <cell r="Y559" t="str">
            <v>podwójna chłopców JM</v>
          </cell>
          <cell r="Z559" t="str">
            <v>J5591</v>
          </cell>
          <cell r="AA559" t="str">
            <v>X56</v>
          </cell>
          <cell r="AB559" t="str">
            <v>D3323</v>
          </cell>
          <cell r="AC559" t="str">
            <v>M4225</v>
          </cell>
          <cell r="AD559" t="str">
            <v>D3323</v>
          </cell>
          <cell r="AE559" t="str">
            <v>M4225</v>
          </cell>
          <cell r="AF559" t="str">
            <v>19:21,21:11,21:9</v>
          </cell>
          <cell r="AG559" t="str">
            <v>21:19,11:21,9:21</v>
          </cell>
          <cell r="AH559" t="str">
            <v/>
          </cell>
          <cell r="AI559">
            <v>21</v>
          </cell>
          <cell r="AJ559">
            <v>19</v>
          </cell>
          <cell r="AK559">
            <v>11</v>
          </cell>
          <cell r="AL559">
            <v>21</v>
          </cell>
          <cell r="AM559">
            <v>9</v>
          </cell>
          <cell r="AN559">
            <v>21</v>
          </cell>
        </row>
        <row r="560">
          <cell r="A560" t="str">
            <v/>
          </cell>
          <cell r="B560" t="str">
            <v>Łukasz JABŁOŃSKI (KSR Wolant Łódź)</v>
          </cell>
          <cell r="H560" t="str">
            <v>J5591</v>
          </cell>
          <cell r="K560" t="str">
            <v>D3323</v>
          </cell>
          <cell r="N560" t="str">
            <v>Mateusz DANIELAK (KKS Ruch Piotrków Tryb.)</v>
          </cell>
        </row>
        <row r="561">
          <cell r="A561" t="str">
            <v/>
          </cell>
          <cell r="B561" t="str">
            <v>Artem TKACHUK (Vinnica Ukraina)</v>
          </cell>
          <cell r="H561" t="str">
            <v>X56</v>
          </cell>
          <cell r="K561" t="str">
            <v>M4225</v>
          </cell>
          <cell r="N561" t="str">
            <v>Bartosz MARKIEWICZ (MLKS Solec Kuj.)</v>
          </cell>
        </row>
        <row r="563">
          <cell r="B563" t="str">
            <v/>
          </cell>
          <cell r="K563" t="str">
            <v>zwycięzca(cy): 19:21,21:11,21:9</v>
          </cell>
        </row>
        <row r="564">
          <cell r="B564">
            <v>1</v>
          </cell>
          <cell r="C564" t="str">
            <v>dzień turnieju.</v>
          </cell>
          <cell r="I564" t="str">
            <v>Nr meczu</v>
          </cell>
          <cell r="N564" t="str">
            <v>Godz.</v>
          </cell>
          <cell r="R564" t="str">
            <v>S. prow.</v>
          </cell>
          <cell r="S564" t="str">
            <v>JANECKI Andrzej</v>
          </cell>
          <cell r="AF564" t="str">
            <v>wygrany</v>
          </cell>
          <cell r="AG564" t="str">
            <v>przegrany</v>
          </cell>
        </row>
        <row r="565">
          <cell r="B565" t="str">
            <v>Boisko</v>
          </cell>
          <cell r="C565" t="str">
            <v>Gra</v>
          </cell>
          <cell r="I565">
            <v>81</v>
          </cell>
          <cell r="N565" t="str">
            <v>rozp.</v>
          </cell>
          <cell r="P565" t="str">
            <v>zak.</v>
          </cell>
          <cell r="R565" t="str">
            <v>S. serw.</v>
          </cell>
        </row>
        <row r="566">
          <cell r="A566">
            <v>81</v>
          </cell>
          <cell r="B566">
            <v>2</v>
          </cell>
          <cell r="C566" t="str">
            <v>podwójna chłopców JM</v>
          </cell>
          <cell r="H566">
            <v>21</v>
          </cell>
          <cell r="I566">
            <v>12</v>
          </cell>
          <cell r="J566">
            <v>21</v>
          </cell>
          <cell r="K566">
            <v>10</v>
          </cell>
          <cell r="P566">
            <v>0.78472222222222221</v>
          </cell>
          <cell r="R566">
            <v>0.78472222222222221</v>
          </cell>
          <cell r="S566" t="str">
            <v>pt 18:15</v>
          </cell>
          <cell r="X566">
            <v>81</v>
          </cell>
          <cell r="Y566" t="str">
            <v>podwójna chłopców JM</v>
          </cell>
          <cell r="Z566" t="str">
            <v>X10</v>
          </cell>
          <cell r="AA566" t="str">
            <v>X11</v>
          </cell>
          <cell r="AB566" t="str">
            <v>K3867</v>
          </cell>
          <cell r="AC566" t="str">
            <v>Ś3865</v>
          </cell>
          <cell r="AD566" t="str">
            <v>X10</v>
          </cell>
          <cell r="AE566" t="str">
            <v>X11</v>
          </cell>
          <cell r="AF566" t="str">
            <v>21:12,21:10</v>
          </cell>
          <cell r="AG566" t="str">
            <v>12:21,10:21</v>
          </cell>
          <cell r="AH566" t="str">
            <v/>
          </cell>
          <cell r="AI566">
            <v>21</v>
          </cell>
          <cell r="AJ566">
            <v>12</v>
          </cell>
          <cell r="AK566">
            <v>21</v>
          </cell>
          <cell r="AL566">
            <v>10</v>
          </cell>
          <cell r="AM566">
            <v>0</v>
          </cell>
          <cell r="AN566">
            <v>0</v>
          </cell>
        </row>
        <row r="567">
          <cell r="A567" t="str">
            <v/>
          </cell>
          <cell r="B567" t="str">
            <v>Dmitry KUSIMITSKI (Brześć Białoruś)</v>
          </cell>
          <cell r="H567" t="str">
            <v>X10</v>
          </cell>
          <cell r="K567" t="str">
            <v>K3867</v>
          </cell>
          <cell r="N567" t="str">
            <v>Patryk KOPEĆ (MKS Stal Nowa Dęba)</v>
          </cell>
        </row>
        <row r="568">
          <cell r="A568" t="str">
            <v/>
          </cell>
          <cell r="B568" t="str">
            <v>Pavel SUGAEV (Brześć Białoruś)</v>
          </cell>
          <cell r="H568" t="str">
            <v>X11</v>
          </cell>
          <cell r="K568" t="str">
            <v>Ś3865</v>
          </cell>
          <cell r="N568" t="str">
            <v>Ernest ŚCIPIEŃ (MKS Stal Nowa Dęba)</v>
          </cell>
        </row>
        <row r="570">
          <cell r="B570" t="str">
            <v>zwycięzca(cy): 21:12,21:10</v>
          </cell>
          <cell r="K570" t="str">
            <v/>
          </cell>
        </row>
        <row r="571">
          <cell r="B571">
            <v>1</v>
          </cell>
          <cell r="C571" t="str">
            <v>dzień turnieju.</v>
          </cell>
          <cell r="I571" t="str">
            <v>Nr meczu</v>
          </cell>
          <cell r="N571" t="str">
            <v>Godz.</v>
          </cell>
          <cell r="R571" t="str">
            <v>S. prow.</v>
          </cell>
          <cell r="AF571" t="str">
            <v>wygrany</v>
          </cell>
          <cell r="AG571" t="str">
            <v>przegrany</v>
          </cell>
        </row>
        <row r="572">
          <cell r="B572" t="str">
            <v>Boisko</v>
          </cell>
          <cell r="C572" t="str">
            <v>Gra</v>
          </cell>
          <cell r="I572">
            <v>82</v>
          </cell>
          <cell r="N572" t="str">
            <v>rozp.</v>
          </cell>
          <cell r="P572" t="str">
            <v>zak.</v>
          </cell>
          <cell r="R572" t="str">
            <v>S. serw.</v>
          </cell>
        </row>
        <row r="573">
          <cell r="A573">
            <v>82</v>
          </cell>
          <cell r="B573">
            <v>6</v>
          </cell>
          <cell r="C573" t="str">
            <v>podwójna chłopców JM</v>
          </cell>
          <cell r="H573">
            <v>8</v>
          </cell>
          <cell r="I573">
            <v>21</v>
          </cell>
          <cell r="J573">
            <v>12</v>
          </cell>
          <cell r="K573">
            <v>21</v>
          </cell>
          <cell r="P573">
            <v>0.7895833333333333</v>
          </cell>
          <cell r="R573">
            <v>0.7895833333333333</v>
          </cell>
          <cell r="S573" t="str">
            <v>pt 18:15</v>
          </cell>
          <cell r="X573">
            <v>82</v>
          </cell>
          <cell r="Y573" t="str">
            <v>podwójna chłopców JM</v>
          </cell>
          <cell r="Z573" t="str">
            <v>H3554</v>
          </cell>
          <cell r="AA573" t="str">
            <v>M3731</v>
          </cell>
          <cell r="AB573" t="str">
            <v>J2970</v>
          </cell>
          <cell r="AC573" t="str">
            <v>J3436</v>
          </cell>
          <cell r="AD573" t="str">
            <v>J2970</v>
          </cell>
          <cell r="AE573" t="str">
            <v>J3436</v>
          </cell>
          <cell r="AF573" t="str">
            <v>21:8,21:12</v>
          </cell>
          <cell r="AG573" t="str">
            <v>8:21,12:21</v>
          </cell>
          <cell r="AH573" t="str">
            <v/>
          </cell>
          <cell r="AI573">
            <v>8</v>
          </cell>
          <cell r="AJ573">
            <v>21</v>
          </cell>
          <cell r="AK573">
            <v>12</v>
          </cell>
          <cell r="AL573">
            <v>21</v>
          </cell>
          <cell r="AM573">
            <v>0</v>
          </cell>
          <cell r="AN573">
            <v>0</v>
          </cell>
        </row>
        <row r="574">
          <cell r="A574" t="str">
            <v/>
          </cell>
          <cell r="B574" t="str">
            <v>Szymon HAŁASA (UKS Kiko Zamość)</v>
          </cell>
          <cell r="H574" t="str">
            <v>H3554</v>
          </cell>
          <cell r="K574" t="str">
            <v>J2970</v>
          </cell>
          <cell r="N574" t="str">
            <v>Aleksander JABŁOŃSKI (UKS Hubal Białystok)</v>
          </cell>
        </row>
        <row r="575">
          <cell r="A575" t="str">
            <v/>
          </cell>
          <cell r="B575" t="str">
            <v>Jakub MOSORZEWSKI (UKS Kiko Zamość)</v>
          </cell>
          <cell r="H575" t="str">
            <v>M3731</v>
          </cell>
          <cell r="K575" t="str">
            <v>J3436</v>
          </cell>
          <cell r="N575" t="str">
            <v>Patryk JAS (UKS Kometa Sianów)</v>
          </cell>
        </row>
        <row r="577">
          <cell r="B577" t="str">
            <v/>
          </cell>
          <cell r="K577" t="str">
            <v>zwycięzca(cy): 21:8,21:12</v>
          </cell>
        </row>
        <row r="578">
          <cell r="B578">
            <v>1</v>
          </cell>
          <cell r="C578" t="str">
            <v>dzień turnieju.</v>
          </cell>
          <cell r="I578" t="str">
            <v>Nr meczu</v>
          </cell>
          <cell r="N578" t="str">
            <v>Godz.</v>
          </cell>
          <cell r="R578" t="str">
            <v>S. prow.</v>
          </cell>
          <cell r="AF578" t="str">
            <v>wygrany</v>
          </cell>
          <cell r="AG578" t="str">
            <v>przegrany</v>
          </cell>
        </row>
        <row r="579">
          <cell r="B579" t="str">
            <v>Boisko</v>
          </cell>
          <cell r="C579" t="str">
            <v>Gra</v>
          </cell>
          <cell r="I579">
            <v>83</v>
          </cell>
          <cell r="N579" t="str">
            <v>rozp.</v>
          </cell>
          <cell r="P579" t="str">
            <v>zak.</v>
          </cell>
          <cell r="R579" t="str">
            <v>S. serw.</v>
          </cell>
        </row>
        <row r="580">
          <cell r="A580">
            <v>83</v>
          </cell>
          <cell r="C580" t="str">
            <v>pojedyncza dziewcząt JM</v>
          </cell>
          <cell r="H580">
            <v>21</v>
          </cell>
          <cell r="I580">
            <v>0</v>
          </cell>
          <cell r="J580">
            <v>21</v>
          </cell>
          <cell r="K580">
            <v>0</v>
          </cell>
          <cell r="R580">
            <v>0</v>
          </cell>
          <cell r="S580" t="str">
            <v>pt 19:00</v>
          </cell>
          <cell r="X580">
            <v>83</v>
          </cell>
          <cell r="Y580" t="str">
            <v>pojedyncza dziewcząt JM</v>
          </cell>
          <cell r="Z580" t="str">
            <v>K3474</v>
          </cell>
          <cell r="AA580" t="str">
            <v/>
          </cell>
          <cell r="AB580" t="str">
            <v>X42</v>
          </cell>
          <cell r="AC580" t="str">
            <v/>
          </cell>
          <cell r="AD580" t="str">
            <v>K3474</v>
          </cell>
          <cell r="AE580" t="str">
            <v/>
          </cell>
          <cell r="AF580" t="str">
            <v>21:0,21:0</v>
          </cell>
          <cell r="AG580" t="str">
            <v>0:21,0:21</v>
          </cell>
          <cell r="AH580" t="str">
            <v/>
          </cell>
          <cell r="AI580">
            <v>21</v>
          </cell>
          <cell r="AJ580">
            <v>0</v>
          </cell>
          <cell r="AK580">
            <v>21</v>
          </cell>
          <cell r="AL580">
            <v>0</v>
          </cell>
          <cell r="AM580">
            <v>0</v>
          </cell>
          <cell r="AN580">
            <v>0</v>
          </cell>
        </row>
        <row r="581">
          <cell r="A581" t="str">
            <v/>
          </cell>
          <cell r="B581" t="str">
            <v>Joanna KRYSIAK (SKB Suwałki)</v>
          </cell>
          <cell r="H581" t="str">
            <v>K3474</v>
          </cell>
          <cell r="K581" t="str">
            <v>X42</v>
          </cell>
          <cell r="N581" t="str">
            <v>Karolina Grygierová  (Slavoj Cesky Tesin)</v>
          </cell>
        </row>
        <row r="582">
          <cell r="A582" t="str">
            <v/>
          </cell>
          <cell r="B582" t="str">
            <v/>
          </cell>
          <cell r="H582" t="str">
            <v/>
          </cell>
          <cell r="K582" t="str">
            <v/>
          </cell>
          <cell r="N582" t="str">
            <v/>
          </cell>
        </row>
        <row r="584">
          <cell r="B584" t="str">
            <v>zwycięzca(cy): 21:0,21:0</v>
          </cell>
          <cell r="K584" t="str">
            <v/>
          </cell>
        </row>
        <row r="585">
          <cell r="B585">
            <v>1</v>
          </cell>
          <cell r="C585" t="str">
            <v>dzień turnieju.</v>
          </cell>
          <cell r="I585" t="str">
            <v>Nr meczu</v>
          </cell>
          <cell r="N585" t="str">
            <v>Godz.</v>
          </cell>
          <cell r="R585" t="str">
            <v>S. prow.</v>
          </cell>
          <cell r="AF585" t="str">
            <v>wygrany</v>
          </cell>
          <cell r="AG585" t="str">
            <v>przegrany</v>
          </cell>
        </row>
        <row r="586">
          <cell r="B586" t="str">
            <v>Boisko</v>
          </cell>
          <cell r="C586" t="str">
            <v>Gra</v>
          </cell>
          <cell r="I586">
            <v>84</v>
          </cell>
          <cell r="N586" t="str">
            <v>rozp.</v>
          </cell>
          <cell r="P586" t="str">
            <v>zak.</v>
          </cell>
          <cell r="R586" t="str">
            <v>S. serw.</v>
          </cell>
        </row>
        <row r="587">
          <cell r="A587">
            <v>84</v>
          </cell>
          <cell r="B587">
            <v>2</v>
          </cell>
          <cell r="C587" t="str">
            <v>pojedyncza dziewcząt JM</v>
          </cell>
          <cell r="H587">
            <v>21</v>
          </cell>
          <cell r="I587">
            <v>7</v>
          </cell>
          <cell r="J587">
            <v>21</v>
          </cell>
          <cell r="K587">
            <v>3</v>
          </cell>
          <cell r="P587">
            <v>0.79722222222222217</v>
          </cell>
          <cell r="R587">
            <v>0.79722222222222217</v>
          </cell>
          <cell r="S587" t="str">
            <v>pt 19:00</v>
          </cell>
          <cell r="X587">
            <v>84</v>
          </cell>
          <cell r="Y587" t="str">
            <v>pojedyncza dziewcząt JM</v>
          </cell>
          <cell r="Z587" t="str">
            <v>X19</v>
          </cell>
          <cell r="AA587" t="str">
            <v/>
          </cell>
          <cell r="AB587" t="str">
            <v>P4482</v>
          </cell>
          <cell r="AC587" t="str">
            <v/>
          </cell>
          <cell r="AD587" t="str">
            <v>X19</v>
          </cell>
          <cell r="AE587" t="str">
            <v/>
          </cell>
          <cell r="AF587" t="str">
            <v>21:7,21:3</v>
          </cell>
          <cell r="AG587" t="str">
            <v>7:21,3:21</v>
          </cell>
          <cell r="AH587" t="str">
            <v/>
          </cell>
          <cell r="AI587">
            <v>21</v>
          </cell>
          <cell r="AJ587">
            <v>7</v>
          </cell>
          <cell r="AK587">
            <v>21</v>
          </cell>
          <cell r="AL587">
            <v>3</v>
          </cell>
          <cell r="AM587">
            <v>0</v>
          </cell>
          <cell r="AN587">
            <v>0</v>
          </cell>
        </row>
        <row r="588">
          <cell r="A588" t="str">
            <v/>
          </cell>
          <cell r="B588" t="str">
            <v>Oleksandra LUGOVYKH (Vinnica Ukraina)</v>
          </cell>
          <cell r="H588" t="str">
            <v>X19</v>
          </cell>
          <cell r="K588" t="str">
            <v>P4482</v>
          </cell>
          <cell r="N588" t="str">
            <v>Oliwia PIOTROWSKA (UKS Kiko Zamość)</v>
          </cell>
        </row>
        <row r="589">
          <cell r="A589" t="str">
            <v/>
          </cell>
          <cell r="B589" t="str">
            <v/>
          </cell>
          <cell r="H589" t="str">
            <v/>
          </cell>
          <cell r="K589" t="str">
            <v/>
          </cell>
          <cell r="N589" t="str">
            <v/>
          </cell>
        </row>
        <row r="591">
          <cell r="B591" t="str">
            <v>zwycięzca(cy): 21:7,21:3</v>
          </cell>
          <cell r="K591" t="str">
            <v/>
          </cell>
        </row>
        <row r="592">
          <cell r="B592">
            <v>1</v>
          </cell>
          <cell r="C592" t="str">
            <v>dzień turnieju.</v>
          </cell>
          <cell r="I592" t="str">
            <v>Nr meczu</v>
          </cell>
          <cell r="N592" t="str">
            <v>Godz.</v>
          </cell>
          <cell r="R592" t="str">
            <v>S. prow.</v>
          </cell>
          <cell r="AF592" t="str">
            <v>wygrany</v>
          </cell>
          <cell r="AG592" t="str">
            <v>przegrany</v>
          </cell>
        </row>
        <row r="593">
          <cell r="B593" t="str">
            <v>Boisko</v>
          </cell>
          <cell r="C593" t="str">
            <v>Gra</v>
          </cell>
          <cell r="I593">
            <v>85</v>
          </cell>
          <cell r="N593" t="str">
            <v>rozp.</v>
          </cell>
          <cell r="P593" t="str">
            <v>zak.</v>
          </cell>
          <cell r="R593" t="str">
            <v>S. serw.</v>
          </cell>
        </row>
        <row r="594">
          <cell r="A594">
            <v>85</v>
          </cell>
          <cell r="C594" t="str">
            <v>pojedyncza dziewcząt JM</v>
          </cell>
          <cell r="H594">
            <v>21</v>
          </cell>
          <cell r="I594">
            <v>0</v>
          </cell>
          <cell r="J594">
            <v>21</v>
          </cell>
          <cell r="K594">
            <v>0</v>
          </cell>
          <cell r="R594">
            <v>0</v>
          </cell>
          <cell r="S594" t="str">
            <v>pt 19:00</v>
          </cell>
          <cell r="X594">
            <v>85</v>
          </cell>
          <cell r="Y594" t="str">
            <v>pojedyncza dziewcząt JM</v>
          </cell>
          <cell r="Z594" t="str">
            <v>S3951</v>
          </cell>
          <cell r="AA594" t="str">
            <v/>
          </cell>
          <cell r="AB594" t="str">
            <v>X67</v>
          </cell>
          <cell r="AC594" t="str">
            <v/>
          </cell>
          <cell r="AD594" t="str">
            <v>S3951</v>
          </cell>
          <cell r="AE594" t="str">
            <v/>
          </cell>
          <cell r="AF594" t="str">
            <v>21:0,21:0</v>
          </cell>
          <cell r="AG594" t="str">
            <v>0:21,0:21</v>
          </cell>
          <cell r="AH594" t="str">
            <v/>
          </cell>
          <cell r="AI594">
            <v>21</v>
          </cell>
          <cell r="AJ594">
            <v>0</v>
          </cell>
          <cell r="AK594">
            <v>21</v>
          </cell>
          <cell r="AL594">
            <v>0</v>
          </cell>
          <cell r="AM594">
            <v>0</v>
          </cell>
          <cell r="AN594">
            <v>0</v>
          </cell>
        </row>
        <row r="595">
          <cell r="A595" t="str">
            <v/>
          </cell>
          <cell r="B595" t="str">
            <v>Oliwia SOCHA (KS Chojnik Jelenia Góra)</v>
          </cell>
          <cell r="H595" t="str">
            <v>S3951</v>
          </cell>
          <cell r="K595" t="str">
            <v>X67</v>
          </cell>
          <cell r="N595" t="str">
            <v>Katerina BORYSOV (Rosja)</v>
          </cell>
        </row>
        <row r="596">
          <cell r="A596" t="str">
            <v/>
          </cell>
          <cell r="B596" t="str">
            <v/>
          </cell>
          <cell r="H596" t="str">
            <v/>
          </cell>
          <cell r="K596" t="str">
            <v/>
          </cell>
          <cell r="N596" t="str">
            <v/>
          </cell>
        </row>
        <row r="598">
          <cell r="B598" t="str">
            <v>zwycięzca(cy): 21:0,21:0</v>
          </cell>
          <cell r="K598" t="str">
            <v/>
          </cell>
        </row>
        <row r="599">
          <cell r="B599">
            <v>1</v>
          </cell>
          <cell r="C599" t="str">
            <v>dzień turnieju.</v>
          </cell>
          <cell r="I599" t="str">
            <v>Nr meczu</v>
          </cell>
          <cell r="N599" t="str">
            <v>Godz.</v>
          </cell>
          <cell r="R599" t="str">
            <v>S. prow.</v>
          </cell>
          <cell r="AF599" t="str">
            <v>wygrany</v>
          </cell>
          <cell r="AG599" t="str">
            <v>przegrany</v>
          </cell>
        </row>
        <row r="600">
          <cell r="B600" t="str">
            <v>Boisko</v>
          </cell>
          <cell r="C600" t="str">
            <v>Gra</v>
          </cell>
          <cell r="I600">
            <v>86</v>
          </cell>
          <cell r="N600" t="str">
            <v>rozp.</v>
          </cell>
          <cell r="P600" t="str">
            <v>zak.</v>
          </cell>
          <cell r="R600" t="str">
            <v>S. serw.</v>
          </cell>
        </row>
        <row r="601">
          <cell r="A601">
            <v>86</v>
          </cell>
          <cell r="B601">
            <v>3</v>
          </cell>
          <cell r="C601" t="str">
            <v>pojedyncza dziewcząt JM</v>
          </cell>
          <cell r="H601">
            <v>21</v>
          </cell>
          <cell r="I601">
            <v>19</v>
          </cell>
          <cell r="J601">
            <v>21</v>
          </cell>
          <cell r="K601">
            <v>13</v>
          </cell>
          <cell r="P601">
            <v>0.80902777777777779</v>
          </cell>
          <cell r="R601">
            <v>0.80902777777777779</v>
          </cell>
          <cell r="S601" t="str">
            <v>pt 19:00</v>
          </cell>
          <cell r="X601">
            <v>86</v>
          </cell>
          <cell r="Y601" t="str">
            <v>pojedyncza dziewcząt JM</v>
          </cell>
          <cell r="Z601" t="str">
            <v>R3686</v>
          </cell>
          <cell r="AA601" t="str">
            <v/>
          </cell>
          <cell r="AB601" t="str">
            <v>X09</v>
          </cell>
          <cell r="AC601" t="str">
            <v/>
          </cell>
          <cell r="AD601" t="str">
            <v>R3686</v>
          </cell>
          <cell r="AE601" t="str">
            <v/>
          </cell>
          <cell r="AF601" t="str">
            <v>21:19,21:13</v>
          </cell>
          <cell r="AG601" t="str">
            <v>19:21,13:21</v>
          </cell>
          <cell r="AH601" t="str">
            <v/>
          </cell>
          <cell r="AI601">
            <v>21</v>
          </cell>
          <cell r="AJ601">
            <v>19</v>
          </cell>
          <cell r="AK601">
            <v>21</v>
          </cell>
          <cell r="AL601">
            <v>13</v>
          </cell>
          <cell r="AM601">
            <v>0</v>
          </cell>
          <cell r="AN601">
            <v>0</v>
          </cell>
        </row>
        <row r="602">
          <cell r="A602" t="str">
            <v/>
          </cell>
          <cell r="B602" t="str">
            <v>Julita RYBAŁT (UKS Hubal Białystok)</v>
          </cell>
          <cell r="H602" t="str">
            <v>R3686</v>
          </cell>
          <cell r="K602" t="str">
            <v>X09</v>
          </cell>
          <cell r="N602" t="str">
            <v>Mariana VERBITSKA (Brześć Białoruś)</v>
          </cell>
        </row>
        <row r="603">
          <cell r="A603" t="str">
            <v/>
          </cell>
          <cell r="B603" t="str">
            <v/>
          </cell>
          <cell r="H603" t="str">
            <v/>
          </cell>
          <cell r="K603" t="str">
            <v/>
          </cell>
          <cell r="N603" t="str">
            <v/>
          </cell>
        </row>
        <row r="605">
          <cell r="B605" t="str">
            <v>zwycięzca(cy): 21:19,21:13</v>
          </cell>
          <cell r="K605" t="str">
            <v/>
          </cell>
        </row>
        <row r="606">
          <cell r="B606">
            <v>1</v>
          </cell>
          <cell r="C606" t="str">
            <v>dzień turnieju.</v>
          </cell>
          <cell r="I606" t="str">
            <v>Nr meczu</v>
          </cell>
          <cell r="N606" t="str">
            <v>Godz.</v>
          </cell>
          <cell r="R606" t="str">
            <v>S. prow.</v>
          </cell>
          <cell r="AF606" t="str">
            <v>wygrany</v>
          </cell>
          <cell r="AG606" t="str">
            <v>przegrany</v>
          </cell>
        </row>
        <row r="607">
          <cell r="B607" t="str">
            <v>Boisko</v>
          </cell>
          <cell r="C607" t="str">
            <v>Gra</v>
          </cell>
          <cell r="I607">
            <v>87</v>
          </cell>
          <cell r="N607" t="str">
            <v>rozp.</v>
          </cell>
          <cell r="P607" t="str">
            <v>zak.</v>
          </cell>
          <cell r="R607" t="str">
            <v>S. serw.</v>
          </cell>
        </row>
        <row r="608">
          <cell r="A608">
            <v>87</v>
          </cell>
          <cell r="B608">
            <v>8</v>
          </cell>
          <cell r="C608" t="str">
            <v>pojedyncza dziewcząt JM</v>
          </cell>
          <cell r="H608">
            <v>21</v>
          </cell>
          <cell r="I608">
            <v>11</v>
          </cell>
          <cell r="J608">
            <v>21</v>
          </cell>
          <cell r="K608">
            <v>15</v>
          </cell>
          <cell r="P608">
            <v>0.79722222222222217</v>
          </cell>
          <cell r="R608">
            <v>0.79722222222222217</v>
          </cell>
          <cell r="S608" t="str">
            <v>pt 19:00</v>
          </cell>
          <cell r="X608">
            <v>87</v>
          </cell>
          <cell r="Y608" t="str">
            <v>pojedyncza dziewcząt JM</v>
          </cell>
          <cell r="Z608" t="str">
            <v>K4084</v>
          </cell>
          <cell r="AA608" t="str">
            <v/>
          </cell>
          <cell r="AB608" t="str">
            <v>M5127</v>
          </cell>
          <cell r="AC608" t="str">
            <v/>
          </cell>
          <cell r="AD608" t="str">
            <v>K4084</v>
          </cell>
          <cell r="AE608" t="str">
            <v/>
          </cell>
          <cell r="AF608" t="str">
            <v>21:11,21:15</v>
          </cell>
          <cell r="AG608" t="str">
            <v>11:21,15:21</v>
          </cell>
          <cell r="AH608" t="str">
            <v/>
          </cell>
          <cell r="AI608">
            <v>21</v>
          </cell>
          <cell r="AJ608">
            <v>11</v>
          </cell>
          <cell r="AK608">
            <v>21</v>
          </cell>
          <cell r="AL608">
            <v>15</v>
          </cell>
          <cell r="AM608">
            <v>0</v>
          </cell>
          <cell r="AN608">
            <v>0</v>
          </cell>
        </row>
        <row r="609">
          <cell r="A609" t="str">
            <v/>
          </cell>
          <cell r="B609" t="str">
            <v>Magdalena KOKOSZKA (AZSWAT Warszawa)</v>
          </cell>
          <cell r="H609" t="str">
            <v>K4084</v>
          </cell>
          <cell r="K609" t="str">
            <v>M5127</v>
          </cell>
          <cell r="N609" t="str">
            <v>Natalia MRÓZ (UKS Korona Pabianice)</v>
          </cell>
        </row>
        <row r="610">
          <cell r="A610" t="str">
            <v/>
          </cell>
          <cell r="B610" t="str">
            <v/>
          </cell>
          <cell r="H610" t="str">
            <v/>
          </cell>
          <cell r="K610" t="str">
            <v/>
          </cell>
          <cell r="N610" t="str">
            <v/>
          </cell>
        </row>
        <row r="612">
          <cell r="B612" t="str">
            <v>zwycięzca(cy): 21:11,21:15</v>
          </cell>
          <cell r="K612" t="str">
            <v/>
          </cell>
        </row>
        <row r="613">
          <cell r="B613">
            <v>1</v>
          </cell>
          <cell r="C613" t="str">
            <v>dzień turnieju.</v>
          </cell>
          <cell r="I613" t="str">
            <v>Nr meczu</v>
          </cell>
          <cell r="N613" t="str">
            <v>Godz.</v>
          </cell>
          <cell r="R613" t="str">
            <v>S. prow.</v>
          </cell>
          <cell r="AF613" t="str">
            <v>wygrany</v>
          </cell>
          <cell r="AG613" t="str">
            <v>przegrany</v>
          </cell>
        </row>
        <row r="614">
          <cell r="B614" t="str">
            <v>Boisko</v>
          </cell>
          <cell r="C614" t="str">
            <v>Gra</v>
          </cell>
          <cell r="I614">
            <v>88</v>
          </cell>
          <cell r="N614" t="str">
            <v>rozp.</v>
          </cell>
          <cell r="P614" t="str">
            <v>zak.</v>
          </cell>
          <cell r="R614" t="str">
            <v>S. serw.</v>
          </cell>
        </row>
        <row r="615">
          <cell r="A615">
            <v>88</v>
          </cell>
          <cell r="B615">
            <v>1</v>
          </cell>
          <cell r="C615" t="str">
            <v>pojedyncza dziewcząt JM</v>
          </cell>
          <cell r="H615">
            <v>21</v>
          </cell>
          <cell r="I615">
            <v>8</v>
          </cell>
          <cell r="J615">
            <v>21</v>
          </cell>
          <cell r="K615">
            <v>9</v>
          </cell>
          <cell r="P615">
            <v>0.80069444444444438</v>
          </cell>
          <cell r="R615">
            <v>0.80069444444444438</v>
          </cell>
          <cell r="S615" t="str">
            <v>pt 19:00</v>
          </cell>
          <cell r="X615">
            <v>88</v>
          </cell>
          <cell r="Y615" t="str">
            <v>pojedyncza dziewcząt JM</v>
          </cell>
          <cell r="Z615" t="str">
            <v>B4205</v>
          </cell>
          <cell r="AA615" t="str">
            <v/>
          </cell>
          <cell r="AB615" t="str">
            <v>R3720</v>
          </cell>
          <cell r="AC615" t="str">
            <v/>
          </cell>
          <cell r="AD615" t="str">
            <v>B4205</v>
          </cell>
          <cell r="AE615" t="str">
            <v/>
          </cell>
          <cell r="AF615" t="str">
            <v>21:8,21:9</v>
          </cell>
          <cell r="AG615" t="str">
            <v>8:21,9:21</v>
          </cell>
          <cell r="AH615" t="str">
            <v/>
          </cell>
          <cell r="AI615">
            <v>21</v>
          </cell>
          <cell r="AJ615">
            <v>8</v>
          </cell>
          <cell r="AK615">
            <v>21</v>
          </cell>
          <cell r="AL615">
            <v>9</v>
          </cell>
          <cell r="AM615">
            <v>0</v>
          </cell>
          <cell r="AN615">
            <v>0</v>
          </cell>
        </row>
        <row r="616">
          <cell r="A616" t="str">
            <v/>
          </cell>
          <cell r="B616" t="str">
            <v>Daniela BIELIŃSKA (UKS Unia Bieruń)</v>
          </cell>
          <cell r="H616" t="str">
            <v>B4205</v>
          </cell>
          <cell r="K616" t="str">
            <v>R3720</v>
          </cell>
          <cell r="N616" t="str">
            <v>Barbara RUTKOWSKA (ŚKBad Harcownik Warszawa)</v>
          </cell>
        </row>
        <row r="617">
          <cell r="A617" t="str">
            <v/>
          </cell>
          <cell r="B617" t="str">
            <v/>
          </cell>
          <cell r="H617" t="str">
            <v/>
          </cell>
          <cell r="K617" t="str">
            <v/>
          </cell>
          <cell r="N617" t="str">
            <v/>
          </cell>
        </row>
        <row r="619">
          <cell r="B619" t="str">
            <v>zwycięzca(cy): 21:8,21:9</v>
          </cell>
          <cell r="K619" t="str">
            <v/>
          </cell>
        </row>
        <row r="620">
          <cell r="B620">
            <v>1</v>
          </cell>
          <cell r="C620" t="str">
            <v>dzień turnieju.</v>
          </cell>
          <cell r="I620" t="str">
            <v>Nr meczu</v>
          </cell>
          <cell r="N620" t="str">
            <v>Godz.</v>
          </cell>
          <cell r="R620" t="str">
            <v>S. prow.</v>
          </cell>
          <cell r="AF620" t="str">
            <v>wygrany</v>
          </cell>
          <cell r="AG620" t="str">
            <v>przegrany</v>
          </cell>
        </row>
        <row r="621">
          <cell r="B621" t="str">
            <v>Boisko</v>
          </cell>
          <cell r="C621" t="str">
            <v>Gra</v>
          </cell>
          <cell r="I621">
            <v>89</v>
          </cell>
          <cell r="N621" t="str">
            <v>rozp.</v>
          </cell>
          <cell r="P621" t="str">
            <v>zak.</v>
          </cell>
          <cell r="R621" t="str">
            <v>S. serw.</v>
          </cell>
        </row>
        <row r="622">
          <cell r="A622">
            <v>89</v>
          </cell>
          <cell r="B622">
            <v>6</v>
          </cell>
          <cell r="C622" t="str">
            <v>pojedyncza dziewcząt JM</v>
          </cell>
          <cell r="H622">
            <v>14</v>
          </cell>
          <cell r="I622">
            <v>21</v>
          </cell>
          <cell r="J622">
            <v>11</v>
          </cell>
          <cell r="K622">
            <v>21</v>
          </cell>
          <cell r="P622">
            <v>0.8027777777777777</v>
          </cell>
          <cell r="R622">
            <v>0.8027777777777777</v>
          </cell>
          <cell r="S622" t="str">
            <v>pt 19:00</v>
          </cell>
          <cell r="X622">
            <v>89</v>
          </cell>
          <cell r="Y622" t="str">
            <v>pojedyncza dziewcząt JM</v>
          </cell>
          <cell r="Z622" t="str">
            <v>B4184</v>
          </cell>
          <cell r="AA622" t="str">
            <v/>
          </cell>
          <cell r="AB622" t="str">
            <v>K3764</v>
          </cell>
          <cell r="AC622" t="str">
            <v/>
          </cell>
          <cell r="AD622" t="str">
            <v>K3764</v>
          </cell>
          <cell r="AE622" t="str">
            <v/>
          </cell>
          <cell r="AF622" t="str">
            <v>21:14,21:11</v>
          </cell>
          <cell r="AG622" t="str">
            <v>14:21,11:21</v>
          </cell>
          <cell r="AH622" t="str">
            <v/>
          </cell>
          <cell r="AI622">
            <v>14</v>
          </cell>
          <cell r="AJ622">
            <v>21</v>
          </cell>
          <cell r="AK622">
            <v>11</v>
          </cell>
          <cell r="AL622">
            <v>21</v>
          </cell>
          <cell r="AM622">
            <v>0</v>
          </cell>
          <cell r="AN622">
            <v>0</v>
          </cell>
        </row>
        <row r="623">
          <cell r="A623" t="str">
            <v/>
          </cell>
          <cell r="B623" t="str">
            <v>Milena BAŁON (SKB Suwałki)</v>
          </cell>
          <cell r="H623" t="str">
            <v>B4184</v>
          </cell>
          <cell r="K623" t="str">
            <v>K3764</v>
          </cell>
          <cell r="N623" t="str">
            <v>Sandra KUDYK (UKS Kiko Zamość)</v>
          </cell>
        </row>
        <row r="624">
          <cell r="A624" t="str">
            <v/>
          </cell>
          <cell r="B624" t="str">
            <v/>
          </cell>
          <cell r="H624" t="str">
            <v/>
          </cell>
          <cell r="K624" t="str">
            <v/>
          </cell>
          <cell r="N624" t="str">
            <v/>
          </cell>
        </row>
        <row r="626">
          <cell r="B626" t="str">
            <v/>
          </cell>
          <cell r="K626" t="str">
            <v>zwycięzca(cy): 21:14,21:11</v>
          </cell>
        </row>
        <row r="627">
          <cell r="B627">
            <v>1</v>
          </cell>
          <cell r="C627" t="str">
            <v>dzień turnieju.</v>
          </cell>
          <cell r="I627" t="str">
            <v>Nr meczu</v>
          </cell>
          <cell r="N627" t="str">
            <v>Godz.</v>
          </cell>
          <cell r="R627" t="str">
            <v>S. prow.</v>
          </cell>
          <cell r="AF627" t="str">
            <v>wygrany</v>
          </cell>
          <cell r="AG627" t="str">
            <v>przegrany</v>
          </cell>
        </row>
        <row r="628">
          <cell r="B628" t="str">
            <v>Boisko</v>
          </cell>
          <cell r="C628" t="str">
            <v>Gra</v>
          </cell>
          <cell r="I628">
            <v>90</v>
          </cell>
          <cell r="N628" t="str">
            <v>rozp.</v>
          </cell>
          <cell r="P628" t="str">
            <v>zak.</v>
          </cell>
          <cell r="R628" t="str">
            <v>S. serw.</v>
          </cell>
        </row>
        <row r="629">
          <cell r="A629">
            <v>90</v>
          </cell>
          <cell r="C629" t="str">
            <v>pojedyncza dziewcząt JM</v>
          </cell>
          <cell r="H629">
            <v>0</v>
          </cell>
          <cell r="I629">
            <v>21</v>
          </cell>
          <cell r="J629">
            <v>0</v>
          </cell>
          <cell r="K629">
            <v>21</v>
          </cell>
          <cell r="R629">
            <v>0</v>
          </cell>
          <cell r="S629" t="str">
            <v>pt 19:00</v>
          </cell>
          <cell r="X629">
            <v>90</v>
          </cell>
          <cell r="Y629" t="str">
            <v>pojedyncza dziewcząt JM</v>
          </cell>
          <cell r="Z629" t="str">
            <v>X20</v>
          </cell>
          <cell r="AA629" t="str">
            <v/>
          </cell>
          <cell r="AB629" t="str">
            <v>G4721</v>
          </cell>
          <cell r="AC629" t="str">
            <v/>
          </cell>
          <cell r="AD629" t="str">
            <v>G4721</v>
          </cell>
          <cell r="AE629" t="str">
            <v/>
          </cell>
          <cell r="AF629" t="str">
            <v>21:0,21:0</v>
          </cell>
          <cell r="AG629" t="str">
            <v>0:21,0:21</v>
          </cell>
          <cell r="AH629" t="str">
            <v/>
          </cell>
          <cell r="AI629">
            <v>0</v>
          </cell>
          <cell r="AJ629">
            <v>21</v>
          </cell>
          <cell r="AK629">
            <v>0</v>
          </cell>
          <cell r="AL629">
            <v>21</v>
          </cell>
          <cell r="AM629">
            <v>0</v>
          </cell>
          <cell r="AN629">
            <v>0</v>
          </cell>
        </row>
        <row r="630">
          <cell r="A630" t="str">
            <v/>
          </cell>
          <cell r="B630" t="str">
            <v>Inna SEBOVA (Vinnica Ukraina)</v>
          </cell>
          <cell r="H630" t="str">
            <v>X20</v>
          </cell>
          <cell r="K630" t="str">
            <v>G4721</v>
          </cell>
          <cell r="N630" t="str">
            <v>Kinga GURZ (UKS Sokół Ropczyce)</v>
          </cell>
        </row>
        <row r="631">
          <cell r="A631" t="str">
            <v/>
          </cell>
          <cell r="B631" t="str">
            <v/>
          </cell>
          <cell r="H631" t="str">
            <v/>
          </cell>
          <cell r="K631" t="str">
            <v/>
          </cell>
          <cell r="N631" t="str">
            <v/>
          </cell>
        </row>
        <row r="633">
          <cell r="B633" t="str">
            <v/>
          </cell>
          <cell r="K633" t="str">
            <v>zwycięzca(cy): 21:0,21:0</v>
          </cell>
        </row>
        <row r="634">
          <cell r="B634">
            <v>1</v>
          </cell>
          <cell r="C634" t="str">
            <v>dzień turnieju.</v>
          </cell>
          <cell r="I634" t="str">
            <v>Nr meczu</v>
          </cell>
          <cell r="N634" t="str">
            <v>Godz.</v>
          </cell>
          <cell r="R634" t="str">
            <v>S. prow.</v>
          </cell>
          <cell r="AF634" t="str">
            <v>wygrany</v>
          </cell>
          <cell r="AG634" t="str">
            <v>przegrany</v>
          </cell>
        </row>
        <row r="635">
          <cell r="B635" t="str">
            <v>Boisko</v>
          </cell>
          <cell r="C635" t="str">
            <v>Gra</v>
          </cell>
          <cell r="I635">
            <v>91</v>
          </cell>
          <cell r="N635" t="str">
            <v>rozp.</v>
          </cell>
          <cell r="P635" t="str">
            <v>zak.</v>
          </cell>
          <cell r="R635" t="str">
            <v>S. serw.</v>
          </cell>
        </row>
        <row r="636">
          <cell r="A636">
            <v>91</v>
          </cell>
          <cell r="B636">
            <v>1</v>
          </cell>
          <cell r="C636" t="str">
            <v>pojedyncza dziewcząt JM</v>
          </cell>
          <cell r="H636">
            <v>21</v>
          </cell>
          <cell r="I636">
            <v>4</v>
          </cell>
          <cell r="J636">
            <v>21</v>
          </cell>
          <cell r="K636">
            <v>14</v>
          </cell>
          <cell r="P636">
            <v>0.81736111111111109</v>
          </cell>
          <cell r="R636">
            <v>0.81736111111111109</v>
          </cell>
          <cell r="S636" t="str">
            <v>pt 19:00</v>
          </cell>
          <cell r="X636">
            <v>91</v>
          </cell>
          <cell r="Y636" t="str">
            <v>pojedyncza dziewcząt JM</v>
          </cell>
          <cell r="Z636" t="str">
            <v>X28</v>
          </cell>
          <cell r="AA636" t="str">
            <v/>
          </cell>
          <cell r="AB636" t="str">
            <v>B5199</v>
          </cell>
          <cell r="AC636" t="str">
            <v/>
          </cell>
          <cell r="AD636" t="str">
            <v>X28</v>
          </cell>
          <cell r="AE636" t="str">
            <v/>
          </cell>
          <cell r="AF636" t="str">
            <v>21:4,21:14</v>
          </cell>
          <cell r="AG636" t="str">
            <v>4:21,14:21</v>
          </cell>
          <cell r="AH636" t="str">
            <v/>
          </cell>
          <cell r="AI636">
            <v>21</v>
          </cell>
          <cell r="AJ636">
            <v>4</v>
          </cell>
          <cell r="AK636">
            <v>21</v>
          </cell>
          <cell r="AL636">
            <v>14</v>
          </cell>
          <cell r="AM636">
            <v>0</v>
          </cell>
          <cell r="AN636">
            <v>0</v>
          </cell>
        </row>
        <row r="637">
          <cell r="A637" t="str">
            <v/>
          </cell>
          <cell r="B637" t="str">
            <v>Yulia BAYAROUSKAYA (Białoruś)</v>
          </cell>
          <cell r="H637" t="str">
            <v>X28</v>
          </cell>
          <cell r="K637" t="str">
            <v>B5199</v>
          </cell>
          <cell r="N637" t="str">
            <v>Olivia BATKO (MKB Lednik Miastko)</v>
          </cell>
        </row>
        <row r="638">
          <cell r="A638" t="str">
            <v/>
          </cell>
          <cell r="B638" t="str">
            <v/>
          </cell>
          <cell r="H638" t="str">
            <v/>
          </cell>
          <cell r="K638" t="str">
            <v/>
          </cell>
          <cell r="N638" t="str">
            <v/>
          </cell>
        </row>
        <row r="640">
          <cell r="B640" t="str">
            <v>zwycięzca(cy): 21:4,21:14</v>
          </cell>
          <cell r="K640" t="str">
            <v/>
          </cell>
        </row>
        <row r="641">
          <cell r="B641">
            <v>1</v>
          </cell>
          <cell r="C641" t="str">
            <v>dzień turnieju.</v>
          </cell>
          <cell r="I641" t="str">
            <v>Nr meczu</v>
          </cell>
          <cell r="N641" t="str">
            <v>Godz.</v>
          </cell>
          <cell r="R641" t="str">
            <v>S. prow.</v>
          </cell>
          <cell r="AF641" t="str">
            <v>wygrany</v>
          </cell>
          <cell r="AG641" t="str">
            <v>przegrany</v>
          </cell>
        </row>
        <row r="642">
          <cell r="B642" t="str">
            <v>Boisko</v>
          </cell>
          <cell r="C642" t="str">
            <v>Gra</v>
          </cell>
          <cell r="I642">
            <v>92</v>
          </cell>
          <cell r="N642" t="str">
            <v>rozp.</v>
          </cell>
          <cell r="P642" t="str">
            <v>zak.</v>
          </cell>
          <cell r="R642" t="str">
            <v>S. serw.</v>
          </cell>
        </row>
        <row r="643">
          <cell r="A643">
            <v>92</v>
          </cell>
          <cell r="B643">
            <v>7</v>
          </cell>
          <cell r="C643" t="str">
            <v>pojedyncza chłopców JM</v>
          </cell>
          <cell r="H643">
            <v>21</v>
          </cell>
          <cell r="I643">
            <v>19</v>
          </cell>
          <cell r="J643">
            <v>21</v>
          </cell>
          <cell r="K643">
            <v>15</v>
          </cell>
          <cell r="P643">
            <v>0.80902777777777779</v>
          </cell>
          <cell r="R643">
            <v>0.80902777777777779</v>
          </cell>
          <cell r="S643" t="str">
            <v>pt 19:30</v>
          </cell>
          <cell r="X643">
            <v>92</v>
          </cell>
          <cell r="Y643" t="str">
            <v>pojedyncza chłopców JM</v>
          </cell>
          <cell r="Z643" t="str">
            <v>L4078</v>
          </cell>
          <cell r="AA643" t="str">
            <v/>
          </cell>
          <cell r="AB643" t="str">
            <v>S4544</v>
          </cell>
          <cell r="AC643" t="str">
            <v/>
          </cell>
          <cell r="AD643" t="str">
            <v>L4078</v>
          </cell>
          <cell r="AE643" t="str">
            <v/>
          </cell>
          <cell r="AF643" t="str">
            <v>21:19,21:15</v>
          </cell>
          <cell r="AG643" t="str">
            <v>19:21,15:21</v>
          </cell>
          <cell r="AH643" t="str">
            <v/>
          </cell>
          <cell r="AI643">
            <v>21</v>
          </cell>
          <cell r="AJ643">
            <v>19</v>
          </cell>
          <cell r="AK643">
            <v>21</v>
          </cell>
          <cell r="AL643">
            <v>15</v>
          </cell>
          <cell r="AM643">
            <v>0</v>
          </cell>
          <cell r="AN643">
            <v>0</v>
          </cell>
        </row>
        <row r="644">
          <cell r="A644" t="str">
            <v/>
          </cell>
          <cell r="B644" t="str">
            <v>Norbert LECH (UKS Ząbkowice Dąbrowa Górn.)</v>
          </cell>
          <cell r="H644" t="str">
            <v>L4078</v>
          </cell>
          <cell r="K644" t="str">
            <v>S4544</v>
          </cell>
          <cell r="N644" t="str">
            <v>Paweł SZWEDA (MKB Lednik Miastko)</v>
          </cell>
        </row>
        <row r="645">
          <cell r="A645" t="str">
            <v/>
          </cell>
          <cell r="B645" t="str">
            <v/>
          </cell>
          <cell r="H645" t="str">
            <v/>
          </cell>
          <cell r="K645" t="str">
            <v/>
          </cell>
          <cell r="N645" t="str">
            <v/>
          </cell>
        </row>
        <row r="647">
          <cell r="B647" t="str">
            <v>zwycięzca(cy): 21:19,21:15</v>
          </cell>
          <cell r="K647" t="str">
            <v/>
          </cell>
        </row>
        <row r="648">
          <cell r="B648">
            <v>1</v>
          </cell>
          <cell r="C648" t="str">
            <v>dzień turnieju.</v>
          </cell>
          <cell r="I648" t="str">
            <v>Nr meczu</v>
          </cell>
          <cell r="N648" t="str">
            <v>Godz.</v>
          </cell>
          <cell r="R648" t="str">
            <v>S. prow.</v>
          </cell>
          <cell r="S648" t="str">
            <v>JANECKI Andrzej</v>
          </cell>
          <cell r="AF648" t="str">
            <v>wygrany</v>
          </cell>
          <cell r="AG648" t="str">
            <v>przegrany</v>
          </cell>
        </row>
        <row r="649">
          <cell r="B649" t="str">
            <v>Boisko</v>
          </cell>
          <cell r="C649" t="str">
            <v>Gra</v>
          </cell>
          <cell r="I649">
            <v>93</v>
          </cell>
          <cell r="N649" t="str">
            <v>rozp.</v>
          </cell>
          <cell r="P649" t="str">
            <v>zak.</v>
          </cell>
          <cell r="R649" t="str">
            <v>S. serw.</v>
          </cell>
        </row>
        <row r="650">
          <cell r="A650">
            <v>93</v>
          </cell>
          <cell r="B650">
            <v>5</v>
          </cell>
          <cell r="C650" t="str">
            <v>pojedyncza chłopców JM</v>
          </cell>
          <cell r="H650">
            <v>21</v>
          </cell>
          <cell r="I650">
            <v>15</v>
          </cell>
          <cell r="J650">
            <v>21</v>
          </cell>
          <cell r="K650">
            <v>10</v>
          </cell>
          <cell r="P650">
            <v>0.81041666666666667</v>
          </cell>
          <cell r="R650">
            <v>0.81041666666666667</v>
          </cell>
          <cell r="S650" t="str">
            <v>pt 19:30</v>
          </cell>
          <cell r="X650">
            <v>93</v>
          </cell>
          <cell r="Y650" t="str">
            <v>pojedyncza chłopców JM</v>
          </cell>
          <cell r="Z650" t="str">
            <v>M3704</v>
          </cell>
          <cell r="AA650" t="str">
            <v/>
          </cell>
          <cell r="AB650" t="str">
            <v>Ł4234</v>
          </cell>
          <cell r="AC650" t="str">
            <v/>
          </cell>
          <cell r="AD650" t="str">
            <v>M3704</v>
          </cell>
          <cell r="AE650" t="str">
            <v/>
          </cell>
          <cell r="AF650" t="str">
            <v>21:15,21:10</v>
          </cell>
          <cell r="AG650" t="str">
            <v>15:21,10:21</v>
          </cell>
          <cell r="AH650" t="str">
            <v/>
          </cell>
          <cell r="AI650">
            <v>21</v>
          </cell>
          <cell r="AJ650">
            <v>15</v>
          </cell>
          <cell r="AK650">
            <v>21</v>
          </cell>
          <cell r="AL650">
            <v>10</v>
          </cell>
          <cell r="AM650">
            <v>0</v>
          </cell>
          <cell r="AN650">
            <v>0</v>
          </cell>
        </row>
        <row r="651">
          <cell r="A651" t="str">
            <v/>
          </cell>
          <cell r="B651" t="str">
            <v>Rafał MARKOWICZ (UKS Orliki Ropica Polska)</v>
          </cell>
          <cell r="H651" t="str">
            <v>M3704</v>
          </cell>
          <cell r="K651" t="str">
            <v>Ł4234</v>
          </cell>
          <cell r="N651" t="str">
            <v>Krzysztof ŁUKOMSKI (BKS Kolejarz Częstochowa)</v>
          </cell>
        </row>
        <row r="652">
          <cell r="A652" t="str">
            <v/>
          </cell>
          <cell r="B652" t="str">
            <v/>
          </cell>
          <cell r="H652" t="str">
            <v/>
          </cell>
          <cell r="K652" t="str">
            <v/>
          </cell>
          <cell r="N652" t="str">
            <v/>
          </cell>
        </row>
        <row r="654">
          <cell r="B654" t="str">
            <v>zwycięzca(cy): 21:15,21:10</v>
          </cell>
          <cell r="K654" t="str">
            <v/>
          </cell>
        </row>
        <row r="655">
          <cell r="B655">
            <v>1</v>
          </cell>
          <cell r="C655" t="str">
            <v>dzień turnieju.</v>
          </cell>
          <cell r="I655" t="str">
            <v>Nr meczu</v>
          </cell>
          <cell r="N655" t="str">
            <v>Godz.</v>
          </cell>
          <cell r="R655" t="str">
            <v>S. prow.</v>
          </cell>
          <cell r="AF655" t="str">
            <v>wygrany</v>
          </cell>
          <cell r="AG655" t="str">
            <v>przegrany</v>
          </cell>
        </row>
        <row r="656">
          <cell r="B656" t="str">
            <v>Boisko</v>
          </cell>
          <cell r="C656" t="str">
            <v>Gra</v>
          </cell>
          <cell r="I656">
            <v>94</v>
          </cell>
          <cell r="N656" t="str">
            <v>rozp.</v>
          </cell>
          <cell r="P656" t="str">
            <v>zak.</v>
          </cell>
          <cell r="R656" t="str">
            <v>S. serw.</v>
          </cell>
        </row>
        <row r="657">
          <cell r="A657">
            <v>94</v>
          </cell>
          <cell r="B657">
            <v>6</v>
          </cell>
          <cell r="C657" t="str">
            <v>pojedyncza chłopców JM</v>
          </cell>
          <cell r="H657">
            <v>15</v>
          </cell>
          <cell r="I657">
            <v>21</v>
          </cell>
          <cell r="J657">
            <v>15</v>
          </cell>
          <cell r="K657">
            <v>21</v>
          </cell>
          <cell r="P657">
            <v>0.81944444444444453</v>
          </cell>
          <cell r="R657">
            <v>0.81944444444444453</v>
          </cell>
          <cell r="S657" t="str">
            <v>pt 19:30</v>
          </cell>
          <cell r="X657">
            <v>94</v>
          </cell>
          <cell r="Y657" t="str">
            <v>pojedyncza chłopców JM</v>
          </cell>
          <cell r="Z657" t="str">
            <v>H3554</v>
          </cell>
          <cell r="AA657" t="str">
            <v/>
          </cell>
          <cell r="AB657" t="str">
            <v>X10</v>
          </cell>
          <cell r="AC657" t="str">
            <v/>
          </cell>
          <cell r="AD657" t="str">
            <v>X10</v>
          </cell>
          <cell r="AE657" t="str">
            <v/>
          </cell>
          <cell r="AF657" t="str">
            <v>21:15,21:15</v>
          </cell>
          <cell r="AG657" t="str">
            <v>15:21,15:21</v>
          </cell>
          <cell r="AH657" t="str">
            <v/>
          </cell>
          <cell r="AI657">
            <v>15</v>
          </cell>
          <cell r="AJ657">
            <v>21</v>
          </cell>
          <cell r="AK657">
            <v>15</v>
          </cell>
          <cell r="AL657">
            <v>21</v>
          </cell>
          <cell r="AM657">
            <v>0</v>
          </cell>
          <cell r="AN657">
            <v>0</v>
          </cell>
        </row>
        <row r="658">
          <cell r="A658" t="str">
            <v/>
          </cell>
          <cell r="B658" t="str">
            <v>Szymon HAŁASA (UKS Kiko Zamość)</v>
          </cell>
          <cell r="H658" t="str">
            <v>H3554</v>
          </cell>
          <cell r="K658" t="str">
            <v>X10</v>
          </cell>
          <cell r="N658" t="str">
            <v>Dmitry KUSIMITSKI (Brześć Białoruś)</v>
          </cell>
        </row>
        <row r="659">
          <cell r="A659" t="str">
            <v/>
          </cell>
          <cell r="B659" t="str">
            <v/>
          </cell>
          <cell r="H659" t="str">
            <v/>
          </cell>
          <cell r="K659" t="str">
            <v/>
          </cell>
          <cell r="N659" t="str">
            <v/>
          </cell>
        </row>
        <row r="661">
          <cell r="B661" t="str">
            <v/>
          </cell>
          <cell r="K661" t="str">
            <v>zwycięzca(cy): 21:15,21:15</v>
          </cell>
        </row>
        <row r="662">
          <cell r="B662">
            <v>1</v>
          </cell>
          <cell r="C662" t="str">
            <v>dzień turnieju.</v>
          </cell>
          <cell r="I662" t="str">
            <v>Nr meczu</v>
          </cell>
          <cell r="N662" t="str">
            <v>Godz.</v>
          </cell>
          <cell r="R662" t="str">
            <v>S. prow.</v>
          </cell>
          <cell r="AF662" t="str">
            <v>wygrany</v>
          </cell>
          <cell r="AG662" t="str">
            <v>przegrany</v>
          </cell>
        </row>
        <row r="663">
          <cell r="B663" t="str">
            <v>Boisko</v>
          </cell>
          <cell r="C663" t="str">
            <v>Gra</v>
          </cell>
          <cell r="I663">
            <v>95</v>
          </cell>
          <cell r="N663" t="str">
            <v>rozp.</v>
          </cell>
          <cell r="P663" t="str">
            <v>zak.</v>
          </cell>
          <cell r="R663" t="str">
            <v>S. serw.</v>
          </cell>
        </row>
        <row r="664">
          <cell r="A664">
            <v>95</v>
          </cell>
          <cell r="B664">
            <v>4</v>
          </cell>
          <cell r="C664" t="str">
            <v>pojedyncza chłopców JM</v>
          </cell>
          <cell r="H664">
            <v>8</v>
          </cell>
          <cell r="I664">
            <v>21</v>
          </cell>
          <cell r="J664">
            <v>3</v>
          </cell>
          <cell r="K664">
            <v>21</v>
          </cell>
          <cell r="P664">
            <v>0.82638888888888884</v>
          </cell>
          <cell r="R664">
            <v>0.82638888888888884</v>
          </cell>
          <cell r="S664" t="str">
            <v>pt 19:30</v>
          </cell>
          <cell r="X664">
            <v>95</v>
          </cell>
          <cell r="Y664" t="str">
            <v>pojedyncza chłopców JM</v>
          </cell>
          <cell r="Z664" t="str">
            <v>J5591</v>
          </cell>
          <cell r="AA664" t="str">
            <v/>
          </cell>
          <cell r="AB664" t="str">
            <v>X56</v>
          </cell>
          <cell r="AC664" t="str">
            <v/>
          </cell>
          <cell r="AD664" t="str">
            <v>X56</v>
          </cell>
          <cell r="AE664" t="str">
            <v/>
          </cell>
          <cell r="AF664" t="str">
            <v>21:8,21:3</v>
          </cell>
          <cell r="AG664" t="str">
            <v>8:21,3:21</v>
          </cell>
          <cell r="AH664" t="str">
            <v/>
          </cell>
          <cell r="AI664">
            <v>8</v>
          </cell>
          <cell r="AJ664">
            <v>21</v>
          </cell>
          <cell r="AK664">
            <v>3</v>
          </cell>
          <cell r="AL664">
            <v>21</v>
          </cell>
          <cell r="AM664">
            <v>0</v>
          </cell>
          <cell r="AN664">
            <v>0</v>
          </cell>
        </row>
        <row r="665">
          <cell r="A665" t="str">
            <v/>
          </cell>
          <cell r="B665" t="str">
            <v>Łukasz JABŁOŃSKI (KSR Wolant Łódź)</v>
          </cell>
          <cell r="H665" t="str">
            <v>J5591</v>
          </cell>
          <cell r="K665" t="str">
            <v>X56</v>
          </cell>
          <cell r="N665" t="str">
            <v>Artem TKACHUK (Vinnica Ukraina)</v>
          </cell>
        </row>
        <row r="666">
          <cell r="A666" t="str">
            <v/>
          </cell>
          <cell r="B666" t="str">
            <v/>
          </cell>
          <cell r="H666" t="str">
            <v/>
          </cell>
          <cell r="K666" t="str">
            <v/>
          </cell>
          <cell r="N666" t="str">
            <v/>
          </cell>
        </row>
        <row r="668">
          <cell r="B668" t="str">
            <v/>
          </cell>
          <cell r="K668" t="str">
            <v>zwycięzca(cy): 21:8,21:3</v>
          </cell>
        </row>
        <row r="669">
          <cell r="B669">
            <v>1</v>
          </cell>
          <cell r="C669" t="str">
            <v>dzień turnieju.</v>
          </cell>
          <cell r="I669" t="str">
            <v>Nr meczu</v>
          </cell>
          <cell r="N669" t="str">
            <v>Godz.</v>
          </cell>
          <cell r="R669" t="str">
            <v>S. prow.</v>
          </cell>
          <cell r="AF669" t="str">
            <v>wygrany</v>
          </cell>
          <cell r="AG669" t="str">
            <v>przegrany</v>
          </cell>
        </row>
        <row r="670">
          <cell r="B670" t="str">
            <v>Boisko</v>
          </cell>
          <cell r="C670" t="str">
            <v>Gra</v>
          </cell>
          <cell r="I670">
            <v>96</v>
          </cell>
          <cell r="N670" t="str">
            <v>rozp.</v>
          </cell>
          <cell r="P670" t="str">
            <v>zak.</v>
          </cell>
          <cell r="R670" t="str">
            <v>S. serw.</v>
          </cell>
        </row>
        <row r="671">
          <cell r="A671">
            <v>96</v>
          </cell>
          <cell r="B671">
            <v>8</v>
          </cell>
          <cell r="C671" t="str">
            <v>pojedyncza chłopców JM</v>
          </cell>
          <cell r="H671">
            <v>21</v>
          </cell>
          <cell r="I671">
            <v>13</v>
          </cell>
          <cell r="J671">
            <v>21</v>
          </cell>
          <cell r="K671">
            <v>7</v>
          </cell>
          <cell r="P671">
            <v>0.8125</v>
          </cell>
          <cell r="R671">
            <v>0.8125</v>
          </cell>
          <cell r="S671" t="str">
            <v>pt 19:30</v>
          </cell>
          <cell r="X671">
            <v>96</v>
          </cell>
          <cell r="Y671" t="str">
            <v>pojedyncza chłopców JM</v>
          </cell>
          <cell r="Z671" t="str">
            <v>X39</v>
          </cell>
          <cell r="AA671" t="str">
            <v/>
          </cell>
          <cell r="AB671" t="str">
            <v>O2779</v>
          </cell>
          <cell r="AC671" t="str">
            <v/>
          </cell>
          <cell r="AD671" t="str">
            <v>X39</v>
          </cell>
          <cell r="AE671" t="str">
            <v/>
          </cell>
          <cell r="AF671" t="str">
            <v>21:13,21:7</v>
          </cell>
          <cell r="AG671" t="str">
            <v>13:21,7:21</v>
          </cell>
          <cell r="AH671" t="str">
            <v/>
          </cell>
          <cell r="AI671">
            <v>21</v>
          </cell>
          <cell r="AJ671">
            <v>13</v>
          </cell>
          <cell r="AK671">
            <v>21</v>
          </cell>
          <cell r="AL671">
            <v>7</v>
          </cell>
          <cell r="AM671">
            <v>0</v>
          </cell>
          <cell r="AN671">
            <v>0</v>
          </cell>
        </row>
        <row r="672">
          <cell r="A672" t="str">
            <v/>
          </cell>
          <cell r="B672" t="str">
            <v>Adam Šářec  (Slavoj Cesky Tesin)</v>
          </cell>
          <cell r="H672" t="str">
            <v>X39</v>
          </cell>
          <cell r="K672" t="str">
            <v>O2779</v>
          </cell>
          <cell r="N672" t="str">
            <v>Szymon OLEARCZUK (AZSWAT Warszawa)</v>
          </cell>
        </row>
        <row r="673">
          <cell r="A673" t="str">
            <v/>
          </cell>
          <cell r="B673" t="str">
            <v/>
          </cell>
          <cell r="H673" t="str">
            <v/>
          </cell>
          <cell r="K673" t="str">
            <v/>
          </cell>
          <cell r="N673" t="str">
            <v/>
          </cell>
        </row>
        <row r="675">
          <cell r="B675" t="str">
            <v>zwycięzca(cy): 21:13,21:7</v>
          </cell>
          <cell r="K675" t="str">
            <v/>
          </cell>
        </row>
        <row r="676">
          <cell r="B676">
            <v>1</v>
          </cell>
          <cell r="C676" t="str">
            <v>dzień turnieju.</v>
          </cell>
          <cell r="I676" t="str">
            <v>Nr meczu</v>
          </cell>
          <cell r="N676" t="str">
            <v>Godz.</v>
          </cell>
          <cell r="R676" t="str">
            <v>S. prow.</v>
          </cell>
          <cell r="AF676" t="str">
            <v>wygrany</v>
          </cell>
          <cell r="AG676" t="str">
            <v>przegrany</v>
          </cell>
        </row>
        <row r="677">
          <cell r="B677" t="str">
            <v>Boisko</v>
          </cell>
          <cell r="C677" t="str">
            <v>Gra</v>
          </cell>
          <cell r="I677">
            <v>97</v>
          </cell>
          <cell r="N677" t="str">
            <v>rozp.</v>
          </cell>
          <cell r="P677" t="str">
            <v>zak.</v>
          </cell>
          <cell r="R677" t="str">
            <v>S. serw.</v>
          </cell>
        </row>
        <row r="678">
          <cell r="A678">
            <v>97</v>
          </cell>
          <cell r="B678">
            <v>2</v>
          </cell>
          <cell r="C678" t="str">
            <v>pojedyncza chłopców JM</v>
          </cell>
          <cell r="H678">
            <v>21</v>
          </cell>
          <cell r="I678">
            <v>13</v>
          </cell>
          <cell r="J678">
            <v>19</v>
          </cell>
          <cell r="K678">
            <v>21</v>
          </cell>
          <cell r="L678">
            <v>21</v>
          </cell>
          <cell r="M678">
            <v>13</v>
          </cell>
          <cell r="P678">
            <v>0.82291666666666663</v>
          </cell>
          <cell r="R678">
            <v>0.82291666666666663</v>
          </cell>
          <cell r="S678" t="str">
            <v>pt 19:30</v>
          </cell>
          <cell r="X678">
            <v>97</v>
          </cell>
          <cell r="Y678" t="str">
            <v>pojedyncza chłopców JM</v>
          </cell>
          <cell r="Z678" t="str">
            <v>M3524</v>
          </cell>
          <cell r="AA678" t="str">
            <v/>
          </cell>
          <cell r="AB678" t="str">
            <v>K4841</v>
          </cell>
          <cell r="AC678" t="str">
            <v/>
          </cell>
          <cell r="AD678" t="str">
            <v>M3524</v>
          </cell>
          <cell r="AE678" t="str">
            <v/>
          </cell>
          <cell r="AF678" t="str">
            <v>21:13,19:21,21:13</v>
          </cell>
          <cell r="AG678" t="str">
            <v>13:21,21:19,13:21</v>
          </cell>
          <cell r="AH678" t="str">
            <v/>
          </cell>
          <cell r="AI678">
            <v>21</v>
          </cell>
          <cell r="AJ678">
            <v>13</v>
          </cell>
          <cell r="AK678">
            <v>19</v>
          </cell>
          <cell r="AL678">
            <v>21</v>
          </cell>
          <cell r="AM678">
            <v>21</v>
          </cell>
          <cell r="AN678">
            <v>13</v>
          </cell>
        </row>
        <row r="679">
          <cell r="A679" t="str">
            <v/>
          </cell>
          <cell r="B679" t="str">
            <v>Dawid MAZUR (LKS Technik Głubczyce)</v>
          </cell>
          <cell r="H679" t="str">
            <v>M3524</v>
          </cell>
          <cell r="K679" t="str">
            <v>K4841</v>
          </cell>
          <cell r="N679" t="str">
            <v>Mateusz KĘDZIORA (PTS Puszczykowo)</v>
          </cell>
        </row>
        <row r="680">
          <cell r="A680" t="str">
            <v/>
          </cell>
          <cell r="B680" t="str">
            <v/>
          </cell>
          <cell r="H680" t="str">
            <v/>
          </cell>
          <cell r="K680" t="str">
            <v/>
          </cell>
          <cell r="N680" t="str">
            <v/>
          </cell>
        </row>
        <row r="682">
          <cell r="B682" t="str">
            <v>zwycięzca(cy): 21:13,19:21,21:13</v>
          </cell>
          <cell r="K682" t="str">
            <v/>
          </cell>
        </row>
        <row r="683">
          <cell r="B683">
            <v>1</v>
          </cell>
          <cell r="C683" t="str">
            <v>dzień turnieju.</v>
          </cell>
          <cell r="I683" t="str">
            <v>Nr meczu</v>
          </cell>
          <cell r="N683" t="str">
            <v>Godz.</v>
          </cell>
          <cell r="R683" t="str">
            <v>S. prow.</v>
          </cell>
          <cell r="AF683" t="str">
            <v>wygrany</v>
          </cell>
          <cell r="AG683" t="str">
            <v>przegrany</v>
          </cell>
        </row>
        <row r="684">
          <cell r="B684" t="str">
            <v>Boisko</v>
          </cell>
          <cell r="C684" t="str">
            <v>Gra</v>
          </cell>
          <cell r="I684">
            <v>98</v>
          </cell>
          <cell r="N684" t="str">
            <v>rozp.</v>
          </cell>
          <cell r="P684" t="str">
            <v>zak.</v>
          </cell>
          <cell r="R684" t="str">
            <v>S. serw.</v>
          </cell>
        </row>
        <row r="685">
          <cell r="A685">
            <v>98</v>
          </cell>
          <cell r="B685">
            <v>3</v>
          </cell>
          <cell r="C685" t="str">
            <v>pojedyncza chłopców JM</v>
          </cell>
          <cell r="H685">
            <v>18</v>
          </cell>
          <cell r="I685">
            <v>21</v>
          </cell>
          <cell r="J685">
            <v>17</v>
          </cell>
          <cell r="K685">
            <v>21</v>
          </cell>
          <cell r="P685">
            <v>0.82638888888888884</v>
          </cell>
          <cell r="R685">
            <v>0.82638888888888884</v>
          </cell>
          <cell r="S685" t="str">
            <v>pt 19:30</v>
          </cell>
          <cell r="X685">
            <v>98</v>
          </cell>
          <cell r="Y685" t="str">
            <v>pojedyncza chłopców JM</v>
          </cell>
          <cell r="Z685" t="str">
            <v>Ś3865</v>
          </cell>
          <cell r="AA685" t="str">
            <v/>
          </cell>
          <cell r="AB685" t="str">
            <v>B4079</v>
          </cell>
          <cell r="AC685" t="str">
            <v/>
          </cell>
          <cell r="AD685" t="str">
            <v>B4079</v>
          </cell>
          <cell r="AE685" t="str">
            <v/>
          </cell>
          <cell r="AF685" t="str">
            <v>21:18,21:17</v>
          </cell>
          <cell r="AG685" t="str">
            <v>18:21,17:21</v>
          </cell>
          <cell r="AH685" t="str">
            <v/>
          </cell>
          <cell r="AI685">
            <v>18</v>
          </cell>
          <cell r="AJ685">
            <v>21</v>
          </cell>
          <cell r="AK685">
            <v>17</v>
          </cell>
          <cell r="AL685">
            <v>21</v>
          </cell>
          <cell r="AM685">
            <v>0</v>
          </cell>
          <cell r="AN685">
            <v>0</v>
          </cell>
        </row>
        <row r="686">
          <cell r="A686" t="str">
            <v/>
          </cell>
          <cell r="B686" t="str">
            <v>Ernest ŚCIPIEŃ (MKS Stal Nowa Dęba)</v>
          </cell>
          <cell r="H686" t="str">
            <v>Ś3865</v>
          </cell>
          <cell r="K686" t="str">
            <v>B4079</v>
          </cell>
          <cell r="N686" t="str">
            <v>Kamil BARTKIEWICZ (UKS Ząbkowice Dąbrowa Górn.)</v>
          </cell>
        </row>
        <row r="687">
          <cell r="A687" t="str">
            <v/>
          </cell>
          <cell r="B687" t="str">
            <v/>
          </cell>
          <cell r="H687" t="str">
            <v/>
          </cell>
          <cell r="K687" t="str">
            <v/>
          </cell>
          <cell r="N687" t="str">
            <v/>
          </cell>
        </row>
        <row r="689">
          <cell r="B689" t="str">
            <v/>
          </cell>
          <cell r="K689" t="str">
            <v>zwycięzca(cy): 21:18,21:17</v>
          </cell>
        </row>
        <row r="690">
          <cell r="B690">
            <v>1</v>
          </cell>
          <cell r="C690" t="str">
            <v>dzień turnieju.</v>
          </cell>
          <cell r="I690" t="str">
            <v>Nr meczu</v>
          </cell>
          <cell r="N690" t="str">
            <v>Godz.</v>
          </cell>
          <cell r="R690" t="str">
            <v>S. prow.</v>
          </cell>
          <cell r="AF690" t="str">
            <v>wygrany</v>
          </cell>
          <cell r="AG690" t="str">
            <v>przegrany</v>
          </cell>
        </row>
        <row r="691">
          <cell r="B691" t="str">
            <v>Boisko</v>
          </cell>
          <cell r="C691" t="str">
            <v>Gra</v>
          </cell>
          <cell r="I691">
            <v>99</v>
          </cell>
          <cell r="N691" t="str">
            <v>rozp.</v>
          </cell>
          <cell r="P691" t="str">
            <v>zak.</v>
          </cell>
          <cell r="R691" t="str">
            <v>S. serw.</v>
          </cell>
        </row>
        <row r="692">
          <cell r="A692">
            <v>99</v>
          </cell>
          <cell r="B692">
            <v>7</v>
          </cell>
          <cell r="C692" t="str">
            <v>pojedyncza chłopców JM</v>
          </cell>
          <cell r="H692">
            <v>13</v>
          </cell>
          <cell r="I692">
            <v>21</v>
          </cell>
          <cell r="J692">
            <v>8</v>
          </cell>
          <cell r="K692">
            <v>21</v>
          </cell>
          <cell r="P692">
            <v>0.82777777777777783</v>
          </cell>
          <cell r="R692">
            <v>0.82777777777777783</v>
          </cell>
          <cell r="S692" t="str">
            <v>pt 19:30</v>
          </cell>
          <cell r="X692">
            <v>99</v>
          </cell>
          <cell r="Y692" t="str">
            <v>pojedyncza chłopców JM</v>
          </cell>
          <cell r="Z692" t="str">
            <v>G4333</v>
          </cell>
          <cell r="AA692" t="str">
            <v/>
          </cell>
          <cell r="AB692" t="str">
            <v>X41</v>
          </cell>
          <cell r="AC692" t="str">
            <v/>
          </cell>
          <cell r="AD692" t="str">
            <v>X41</v>
          </cell>
          <cell r="AE692" t="str">
            <v/>
          </cell>
          <cell r="AF692" t="str">
            <v>21:13,21:8</v>
          </cell>
          <cell r="AG692" t="str">
            <v>13:21,8:21</v>
          </cell>
          <cell r="AH692" t="str">
            <v/>
          </cell>
          <cell r="AI692">
            <v>13</v>
          </cell>
          <cell r="AJ692">
            <v>21</v>
          </cell>
          <cell r="AK692">
            <v>8</v>
          </cell>
          <cell r="AL692">
            <v>21</v>
          </cell>
          <cell r="AM692">
            <v>0</v>
          </cell>
          <cell r="AN692">
            <v>0</v>
          </cell>
        </row>
        <row r="693">
          <cell r="A693" t="str">
            <v/>
          </cell>
          <cell r="B693" t="str">
            <v>Michał GIELECKI (UKS Kiko Zamość)</v>
          </cell>
          <cell r="H693" t="str">
            <v>G4333</v>
          </cell>
          <cell r="K693" t="str">
            <v>X41</v>
          </cell>
          <cell r="N693" t="str">
            <v>Marek Kufa  (Slavoj Cesky Tesin)</v>
          </cell>
        </row>
        <row r="694">
          <cell r="A694" t="str">
            <v/>
          </cell>
          <cell r="B694" t="str">
            <v/>
          </cell>
          <cell r="H694" t="str">
            <v/>
          </cell>
          <cell r="K694" t="str">
            <v/>
          </cell>
          <cell r="N694" t="str">
            <v/>
          </cell>
        </row>
        <row r="696">
          <cell r="B696" t="str">
            <v/>
          </cell>
          <cell r="K696" t="str">
            <v>zwycięzca(cy): 21:13,21:8</v>
          </cell>
        </row>
        <row r="697">
          <cell r="B697">
            <v>1</v>
          </cell>
          <cell r="C697" t="str">
            <v>dzień turnieju.</v>
          </cell>
          <cell r="I697" t="str">
            <v>Nr meczu</v>
          </cell>
          <cell r="N697" t="str">
            <v>Godz.</v>
          </cell>
          <cell r="R697" t="str">
            <v>S. prow.</v>
          </cell>
          <cell r="AF697" t="str">
            <v>wygrany</v>
          </cell>
          <cell r="AG697" t="str">
            <v>przegrany</v>
          </cell>
        </row>
        <row r="698">
          <cell r="B698" t="str">
            <v>Boisko</v>
          </cell>
          <cell r="C698" t="str">
            <v>Gra</v>
          </cell>
          <cell r="I698">
            <v>100</v>
          </cell>
          <cell r="N698" t="str">
            <v>rozp.</v>
          </cell>
          <cell r="P698" t="str">
            <v>zak.</v>
          </cell>
          <cell r="R698" t="str">
            <v>S. serw.</v>
          </cell>
        </row>
        <row r="699">
          <cell r="A699">
            <v>100</v>
          </cell>
          <cell r="B699">
            <v>5</v>
          </cell>
          <cell r="C699" t="str">
            <v>pojedyncza chłopców JM</v>
          </cell>
          <cell r="H699">
            <v>18</v>
          </cell>
          <cell r="I699">
            <v>21</v>
          </cell>
          <cell r="J699">
            <v>17</v>
          </cell>
          <cell r="K699">
            <v>21</v>
          </cell>
          <cell r="P699">
            <v>0.8354166666666667</v>
          </cell>
          <cell r="R699">
            <v>0.8354166666666667</v>
          </cell>
          <cell r="S699" t="str">
            <v>pt 19:30</v>
          </cell>
          <cell r="X699">
            <v>100</v>
          </cell>
          <cell r="Y699" t="str">
            <v>pojedyncza chłopców JM</v>
          </cell>
          <cell r="Z699" t="str">
            <v>R3535</v>
          </cell>
          <cell r="AA699" t="str">
            <v/>
          </cell>
          <cell r="AB699" t="str">
            <v>X11</v>
          </cell>
          <cell r="AC699" t="str">
            <v/>
          </cell>
          <cell r="AD699" t="str">
            <v>X11</v>
          </cell>
          <cell r="AE699" t="str">
            <v/>
          </cell>
          <cell r="AF699" t="str">
            <v>21:18,21:17</v>
          </cell>
          <cell r="AG699" t="str">
            <v>18:21,17:21</v>
          </cell>
          <cell r="AH699" t="str">
            <v/>
          </cell>
          <cell r="AI699">
            <v>18</v>
          </cell>
          <cell r="AJ699">
            <v>21</v>
          </cell>
          <cell r="AK699">
            <v>17</v>
          </cell>
          <cell r="AL699">
            <v>21</v>
          </cell>
          <cell r="AM699">
            <v>0</v>
          </cell>
          <cell r="AN699">
            <v>0</v>
          </cell>
        </row>
        <row r="700">
          <cell r="A700" t="str">
            <v/>
          </cell>
          <cell r="B700" t="str">
            <v>Nikodem RATKOWSKI (ZKB Maced Polanów)</v>
          </cell>
          <cell r="H700" t="str">
            <v>R3535</v>
          </cell>
          <cell r="K700" t="str">
            <v>X11</v>
          </cell>
          <cell r="N700" t="str">
            <v>Pavel SUGAEV (Brześć Białoruś)</v>
          </cell>
        </row>
        <row r="701">
          <cell r="A701" t="str">
            <v/>
          </cell>
          <cell r="B701" t="str">
            <v/>
          </cell>
          <cell r="H701" t="str">
            <v/>
          </cell>
          <cell r="K701" t="str">
            <v/>
          </cell>
          <cell r="N701" t="str">
            <v/>
          </cell>
        </row>
        <row r="703">
          <cell r="B703" t="str">
            <v/>
          </cell>
          <cell r="K703" t="str">
            <v>zwycięzca(cy): 21:18,21:17</v>
          </cell>
        </row>
        <row r="704">
          <cell r="B704">
            <v>1</v>
          </cell>
          <cell r="C704" t="str">
            <v>dzień turnieju.</v>
          </cell>
          <cell r="I704" t="str">
            <v>Nr meczu</v>
          </cell>
          <cell r="N704" t="str">
            <v>Godz.</v>
          </cell>
          <cell r="R704" t="str">
            <v>S. prow.</v>
          </cell>
          <cell r="S704" t="str">
            <v>JANECKI Andrzej</v>
          </cell>
          <cell r="AF704" t="str">
            <v>wygrany</v>
          </cell>
          <cell r="AG704" t="str">
            <v>przegrany</v>
          </cell>
        </row>
        <row r="705">
          <cell r="B705" t="str">
            <v>Boisko</v>
          </cell>
          <cell r="C705" t="str">
            <v>Gra</v>
          </cell>
          <cell r="I705">
            <v>101</v>
          </cell>
          <cell r="N705" t="str">
            <v>rozp.</v>
          </cell>
          <cell r="P705" t="str">
            <v>zak.</v>
          </cell>
          <cell r="R705" t="str">
            <v>S. serw.</v>
          </cell>
        </row>
        <row r="706">
          <cell r="A706">
            <v>101</v>
          </cell>
          <cell r="B706">
            <v>1</v>
          </cell>
          <cell r="C706" t="str">
            <v>pojedyncza chłopców JM</v>
          </cell>
          <cell r="H706">
            <v>16</v>
          </cell>
          <cell r="I706">
            <v>21</v>
          </cell>
          <cell r="J706">
            <v>6</v>
          </cell>
          <cell r="K706">
            <v>21</v>
          </cell>
          <cell r="P706">
            <v>0.82986111111111116</v>
          </cell>
          <cell r="R706">
            <v>0.82986111111111116</v>
          </cell>
          <cell r="S706" t="str">
            <v>pt 19:30</v>
          </cell>
          <cell r="X706">
            <v>101</v>
          </cell>
          <cell r="Y706" t="str">
            <v>pojedyncza chłopców JM</v>
          </cell>
          <cell r="Z706" t="str">
            <v>K4766</v>
          </cell>
          <cell r="AA706" t="str">
            <v/>
          </cell>
          <cell r="AB706" t="str">
            <v>B4388</v>
          </cell>
          <cell r="AC706" t="str">
            <v/>
          </cell>
          <cell r="AD706" t="str">
            <v>B4388</v>
          </cell>
          <cell r="AE706" t="str">
            <v/>
          </cell>
          <cell r="AF706" t="str">
            <v>21:16,21:6</v>
          </cell>
          <cell r="AG706" t="str">
            <v>16:21,6:21</v>
          </cell>
          <cell r="AH706" t="str">
            <v/>
          </cell>
          <cell r="AI706">
            <v>16</v>
          </cell>
          <cell r="AJ706">
            <v>21</v>
          </cell>
          <cell r="AK706">
            <v>6</v>
          </cell>
          <cell r="AL706">
            <v>21</v>
          </cell>
          <cell r="AM706">
            <v>0</v>
          </cell>
          <cell r="AN706">
            <v>0</v>
          </cell>
        </row>
        <row r="707">
          <cell r="A707" t="str">
            <v/>
          </cell>
          <cell r="B707" t="str">
            <v>Mateusz KRYSA (MLKS Solec Kuj.)</v>
          </cell>
          <cell r="H707" t="str">
            <v>K4766</v>
          </cell>
          <cell r="K707" t="str">
            <v>B4388</v>
          </cell>
          <cell r="N707" t="str">
            <v>Adrian BONDAROW (SKB Suwałki)</v>
          </cell>
        </row>
        <row r="708">
          <cell r="A708" t="str">
            <v/>
          </cell>
          <cell r="B708" t="str">
            <v/>
          </cell>
          <cell r="H708" t="str">
            <v/>
          </cell>
          <cell r="K708" t="str">
            <v/>
          </cell>
          <cell r="N708" t="str">
            <v/>
          </cell>
        </row>
        <row r="710">
          <cell r="B710" t="str">
            <v/>
          </cell>
          <cell r="K710" t="str">
            <v>zwycięzca(cy): 21:16,21:6</v>
          </cell>
        </row>
        <row r="711">
          <cell r="B711">
            <v>1</v>
          </cell>
          <cell r="C711" t="str">
            <v>dzień turnieju.</v>
          </cell>
          <cell r="I711" t="str">
            <v>Nr meczu</v>
          </cell>
          <cell r="N711" t="str">
            <v>Godz.</v>
          </cell>
          <cell r="R711" t="str">
            <v>S. prow.</v>
          </cell>
          <cell r="AF711" t="str">
            <v>wygrany</v>
          </cell>
          <cell r="AG711" t="str">
            <v>przegrany</v>
          </cell>
        </row>
        <row r="712">
          <cell r="B712" t="str">
            <v>Boisko</v>
          </cell>
          <cell r="C712" t="str">
            <v>Gra</v>
          </cell>
          <cell r="I712">
            <v>102</v>
          </cell>
          <cell r="N712" t="str">
            <v>rozp.</v>
          </cell>
          <cell r="P712" t="str">
            <v>zak.</v>
          </cell>
          <cell r="R712" t="str">
            <v>S. serw.</v>
          </cell>
        </row>
        <row r="713">
          <cell r="A713">
            <v>102</v>
          </cell>
          <cell r="B713">
            <v>8</v>
          </cell>
          <cell r="C713" t="str">
            <v>pojedyncza chłopców JM</v>
          </cell>
          <cell r="H713">
            <v>17</v>
          </cell>
          <cell r="I713">
            <v>21</v>
          </cell>
          <cell r="J713">
            <v>17</v>
          </cell>
          <cell r="K713">
            <v>21</v>
          </cell>
          <cell r="P713">
            <v>0.83750000000000002</v>
          </cell>
          <cell r="R713">
            <v>0.83750000000000002</v>
          </cell>
          <cell r="S713" t="str">
            <v>pt 19:30</v>
          </cell>
          <cell r="X713">
            <v>102</v>
          </cell>
          <cell r="Y713" t="str">
            <v>pojedyncza chłopców JM</v>
          </cell>
          <cell r="Z713" t="str">
            <v>M3851</v>
          </cell>
          <cell r="AA713" t="str">
            <v/>
          </cell>
          <cell r="AB713" t="str">
            <v>S3778</v>
          </cell>
          <cell r="AC713" t="str">
            <v/>
          </cell>
          <cell r="AD713" t="str">
            <v>S3778</v>
          </cell>
          <cell r="AE713" t="str">
            <v/>
          </cell>
          <cell r="AF713" t="str">
            <v>21:17,21:17</v>
          </cell>
          <cell r="AG713" t="str">
            <v>17:21,17:21</v>
          </cell>
          <cell r="AH713" t="str">
            <v/>
          </cell>
          <cell r="AI713">
            <v>17</v>
          </cell>
          <cell r="AJ713">
            <v>21</v>
          </cell>
          <cell r="AK713">
            <v>17</v>
          </cell>
          <cell r="AL713">
            <v>21</v>
          </cell>
          <cell r="AM713">
            <v>0</v>
          </cell>
          <cell r="AN713">
            <v>0</v>
          </cell>
        </row>
        <row r="714">
          <cell r="A714" t="str">
            <v/>
          </cell>
          <cell r="B714" t="str">
            <v>Adrian MAJEWSKI (UKS Hubal Białystok)</v>
          </cell>
          <cell r="H714" t="str">
            <v>M3851</v>
          </cell>
          <cell r="K714" t="str">
            <v>S3778</v>
          </cell>
          <cell r="N714" t="str">
            <v>Damian SADALSKI (UKS Orkan Przeźmierowo)</v>
          </cell>
        </row>
        <row r="715">
          <cell r="A715" t="str">
            <v/>
          </cell>
          <cell r="B715" t="str">
            <v/>
          </cell>
          <cell r="H715" t="str">
            <v/>
          </cell>
          <cell r="K715" t="str">
            <v/>
          </cell>
          <cell r="N715" t="str">
            <v/>
          </cell>
        </row>
        <row r="717">
          <cell r="B717" t="str">
            <v/>
          </cell>
          <cell r="K717" t="str">
            <v>zwycięzca(cy): 21:17,21:17</v>
          </cell>
        </row>
        <row r="718">
          <cell r="B718">
            <v>1</v>
          </cell>
          <cell r="C718" t="str">
            <v>dzień turnieju.</v>
          </cell>
          <cell r="I718" t="str">
            <v>Nr meczu</v>
          </cell>
          <cell r="N718" t="str">
            <v>Godz.</v>
          </cell>
          <cell r="R718" t="str">
            <v>S. prow.</v>
          </cell>
          <cell r="AF718" t="str">
            <v>wygrany</v>
          </cell>
          <cell r="AG718" t="str">
            <v>przegrany</v>
          </cell>
        </row>
        <row r="719">
          <cell r="B719" t="str">
            <v>Boisko</v>
          </cell>
          <cell r="C719" t="str">
            <v>Gra</v>
          </cell>
          <cell r="I719">
            <v>103</v>
          </cell>
          <cell r="N719" t="str">
            <v>rozp.</v>
          </cell>
          <cell r="P719" t="str">
            <v>zak.</v>
          </cell>
          <cell r="R719" t="str">
            <v>S. serw.</v>
          </cell>
        </row>
        <row r="720">
          <cell r="A720">
            <v>103</v>
          </cell>
          <cell r="C720" t="str">
            <v>pojedyncza chłopców JM</v>
          </cell>
          <cell r="H720">
            <v>0</v>
          </cell>
          <cell r="I720">
            <v>21</v>
          </cell>
          <cell r="J720">
            <v>0</v>
          </cell>
          <cell r="K720">
            <v>21</v>
          </cell>
          <cell r="R720">
            <v>0</v>
          </cell>
          <cell r="S720" t="str">
            <v>pt 19:30</v>
          </cell>
          <cell r="X720">
            <v>103</v>
          </cell>
          <cell r="Y720" t="str">
            <v>pojedyncza chłopców JM</v>
          </cell>
          <cell r="Z720" t="str">
            <v>S4731</v>
          </cell>
          <cell r="AA720" t="str">
            <v/>
          </cell>
          <cell r="AB720" t="str">
            <v>Z4433</v>
          </cell>
          <cell r="AC720" t="str">
            <v/>
          </cell>
          <cell r="AD720" t="str">
            <v>Z4433</v>
          </cell>
          <cell r="AE720" t="str">
            <v/>
          </cell>
          <cell r="AF720" t="str">
            <v>21:0,21:0</v>
          </cell>
          <cell r="AG720" t="str">
            <v>0:21,0:21</v>
          </cell>
          <cell r="AH720" t="str">
            <v/>
          </cell>
          <cell r="AI720">
            <v>0</v>
          </cell>
          <cell r="AJ720">
            <v>21</v>
          </cell>
          <cell r="AK720">
            <v>0</v>
          </cell>
          <cell r="AL720">
            <v>21</v>
          </cell>
          <cell r="AM720">
            <v>0</v>
          </cell>
          <cell r="AN720">
            <v>0</v>
          </cell>
        </row>
        <row r="721">
          <cell r="A721" t="str">
            <v/>
          </cell>
          <cell r="B721" t="str">
            <v>Michał SIERAK (UKS Orliki Ropica Polska)</v>
          </cell>
          <cell r="H721" t="str">
            <v>S4731</v>
          </cell>
          <cell r="K721" t="str">
            <v>Z4433</v>
          </cell>
          <cell r="N721" t="str">
            <v>Karol ZAWALSKI (UKS Aktywna Piątka Przemyśl)</v>
          </cell>
        </row>
        <row r="722">
          <cell r="A722" t="str">
            <v/>
          </cell>
          <cell r="B722" t="str">
            <v/>
          </cell>
          <cell r="H722" t="str">
            <v/>
          </cell>
          <cell r="K722" t="str">
            <v/>
          </cell>
          <cell r="N722" t="str">
            <v/>
          </cell>
        </row>
        <row r="724">
          <cell r="B724" t="str">
            <v/>
          </cell>
          <cell r="K724" t="str">
            <v>zwycięzca(cy): 21:0,21:0</v>
          </cell>
        </row>
        <row r="725">
          <cell r="B725">
            <v>1</v>
          </cell>
          <cell r="C725" t="str">
            <v>dzień turnieju.</v>
          </cell>
          <cell r="I725" t="str">
            <v>Nr meczu</v>
          </cell>
          <cell r="N725" t="str">
            <v>Godz.</v>
          </cell>
          <cell r="R725" t="str">
            <v>S. prow.</v>
          </cell>
          <cell r="AF725" t="str">
            <v>wygrany</v>
          </cell>
          <cell r="AG725" t="str">
            <v>przegrany</v>
          </cell>
        </row>
        <row r="726">
          <cell r="B726" t="str">
            <v>Boisko</v>
          </cell>
          <cell r="C726" t="str">
            <v>Gra</v>
          </cell>
          <cell r="I726">
            <v>104</v>
          </cell>
          <cell r="N726" t="str">
            <v>rozp.</v>
          </cell>
          <cell r="P726" t="str">
            <v>zak.</v>
          </cell>
          <cell r="R726" t="str">
            <v>S. serw.</v>
          </cell>
        </row>
        <row r="727">
          <cell r="A727">
            <v>104</v>
          </cell>
          <cell r="B727">
            <v>2</v>
          </cell>
          <cell r="C727" t="str">
            <v>mieszana J</v>
          </cell>
          <cell r="H727">
            <v>21</v>
          </cell>
          <cell r="I727">
            <v>15</v>
          </cell>
          <cell r="J727">
            <v>20</v>
          </cell>
          <cell r="K727">
            <v>22</v>
          </cell>
          <cell r="L727">
            <v>21</v>
          </cell>
          <cell r="M727">
            <v>7</v>
          </cell>
          <cell r="P727">
            <v>0.85069444444444453</v>
          </cell>
          <cell r="R727">
            <v>0.85069444444444453</v>
          </cell>
          <cell r="S727" t="str">
            <v>pt 20:15</v>
          </cell>
          <cell r="X727">
            <v>104</v>
          </cell>
          <cell r="Y727" t="str">
            <v>mieszana J</v>
          </cell>
          <cell r="Z727" t="str">
            <v>W2914</v>
          </cell>
          <cell r="AA727" t="str">
            <v>J2971</v>
          </cell>
          <cell r="AB727" t="str">
            <v>S3365</v>
          </cell>
          <cell r="AC727" t="str">
            <v>P2838</v>
          </cell>
          <cell r="AD727" t="str">
            <v>W2914</v>
          </cell>
          <cell r="AE727" t="str">
            <v>J2971</v>
          </cell>
          <cell r="AF727" t="str">
            <v>21:15,20:22,21:7</v>
          </cell>
          <cell r="AG727" t="str">
            <v>15:21,22:20,7:21</v>
          </cell>
          <cell r="AH727" t="str">
            <v/>
          </cell>
          <cell r="AI727">
            <v>21</v>
          </cell>
          <cell r="AJ727">
            <v>15</v>
          </cell>
          <cell r="AK727">
            <v>20</v>
          </cell>
          <cell r="AL727">
            <v>22</v>
          </cell>
          <cell r="AM727">
            <v>21</v>
          </cell>
          <cell r="AN727">
            <v>7</v>
          </cell>
        </row>
        <row r="728">
          <cell r="A728" t="str">
            <v/>
          </cell>
          <cell r="B728" t="str">
            <v>Piotr WASILUK (LUKS Badminton Choroszcz)</v>
          </cell>
          <cell r="H728" t="str">
            <v>W2914</v>
          </cell>
          <cell r="K728" t="str">
            <v>S3365</v>
          </cell>
          <cell r="N728" t="str">
            <v>Bartosz SZUKAŁA (UKS Orkan Przeźmierowo)</v>
          </cell>
        </row>
        <row r="729">
          <cell r="A729" t="str">
            <v/>
          </cell>
          <cell r="B729" t="str">
            <v>Karolina JANOWSKA (UKS Hubal Białystok)</v>
          </cell>
          <cell r="H729" t="str">
            <v>J2971</v>
          </cell>
          <cell r="K729" t="str">
            <v>P2838</v>
          </cell>
          <cell r="N729" t="str">
            <v>Aleksandra PAPRZYCKA (MKB Lednik Miastko)</v>
          </cell>
        </row>
        <row r="731">
          <cell r="B731" t="str">
            <v>zwycięzca(cy): 21:15,20:22,21:7</v>
          </cell>
          <cell r="K731" t="str">
            <v/>
          </cell>
        </row>
        <row r="732">
          <cell r="B732">
            <v>1</v>
          </cell>
          <cell r="C732" t="str">
            <v>dzień turnieju.</v>
          </cell>
          <cell r="I732" t="str">
            <v>Nr meczu</v>
          </cell>
          <cell r="N732" t="str">
            <v>Godz.</v>
          </cell>
          <cell r="R732" t="str">
            <v>S. prow.</v>
          </cell>
          <cell r="AF732" t="str">
            <v>wygrany</v>
          </cell>
          <cell r="AG732" t="str">
            <v>przegrany</v>
          </cell>
        </row>
        <row r="733">
          <cell r="B733" t="str">
            <v>Boisko</v>
          </cell>
          <cell r="C733" t="str">
            <v>Gra</v>
          </cell>
          <cell r="I733">
            <v>105</v>
          </cell>
          <cell r="N733" t="str">
            <v>rozp.</v>
          </cell>
          <cell r="P733" t="str">
            <v>zak.</v>
          </cell>
          <cell r="R733" t="str">
            <v>S. serw.</v>
          </cell>
        </row>
        <row r="734">
          <cell r="A734">
            <v>105</v>
          </cell>
          <cell r="B734">
            <v>6</v>
          </cell>
          <cell r="C734" t="str">
            <v>mieszana J</v>
          </cell>
          <cell r="H734">
            <v>21</v>
          </cell>
          <cell r="I734">
            <v>19</v>
          </cell>
          <cell r="J734">
            <v>21</v>
          </cell>
          <cell r="K734">
            <v>19</v>
          </cell>
          <cell r="P734">
            <v>0.85069444444444453</v>
          </cell>
          <cell r="R734">
            <v>0.85069444444444453</v>
          </cell>
          <cell r="S734" t="str">
            <v>pt 20:15</v>
          </cell>
          <cell r="X734">
            <v>105</v>
          </cell>
          <cell r="Y734" t="str">
            <v>mieszana J</v>
          </cell>
          <cell r="Z734" t="str">
            <v>P3707</v>
          </cell>
          <cell r="AA734" t="str">
            <v>M3309</v>
          </cell>
          <cell r="AB734" t="str">
            <v>K3935</v>
          </cell>
          <cell r="AC734" t="str">
            <v>Ś3664</v>
          </cell>
          <cell r="AD734" t="str">
            <v>P3707</v>
          </cell>
          <cell r="AE734" t="str">
            <v>M3309</v>
          </cell>
          <cell r="AF734" t="str">
            <v>21:19,21:19</v>
          </cell>
          <cell r="AG734" t="str">
            <v>19:21,19:21</v>
          </cell>
          <cell r="AH734" t="str">
            <v/>
          </cell>
          <cell r="AI734">
            <v>21</v>
          </cell>
          <cell r="AJ734">
            <v>19</v>
          </cell>
          <cell r="AK734">
            <v>21</v>
          </cell>
          <cell r="AL734">
            <v>19</v>
          </cell>
          <cell r="AM734">
            <v>0</v>
          </cell>
          <cell r="AN734">
            <v>0</v>
          </cell>
        </row>
        <row r="735">
          <cell r="A735" t="str">
            <v/>
          </cell>
          <cell r="B735" t="str">
            <v>Bartosz PIEKARZ (UKS Orliki Ropica Polska)</v>
          </cell>
          <cell r="H735" t="str">
            <v>P3707</v>
          </cell>
          <cell r="K735" t="str">
            <v>K3935</v>
          </cell>
          <cell r="N735" t="str">
            <v>Michał KAŹMIERCZAK (UKS Feniks Kędzierzyn-Koźle)</v>
          </cell>
        </row>
        <row r="736">
          <cell r="A736" t="str">
            <v/>
          </cell>
          <cell r="B736" t="str">
            <v>Edyta MIETŁA (MKS Spartakus Niepołomice)</v>
          </cell>
          <cell r="H736" t="str">
            <v>M3309</v>
          </cell>
          <cell r="K736" t="str">
            <v>Ś3664</v>
          </cell>
          <cell r="N736" t="str">
            <v>Gabriela ŚLISZ (UKS Orbitek Straszęcin)</v>
          </cell>
        </row>
        <row r="738">
          <cell r="B738" t="str">
            <v>zwycięzca(cy): 21:19,21:19</v>
          </cell>
          <cell r="K738" t="str">
            <v/>
          </cell>
        </row>
        <row r="739">
          <cell r="B739">
            <v>1</v>
          </cell>
          <cell r="C739" t="str">
            <v>dzień turnieju.</v>
          </cell>
          <cell r="I739" t="str">
            <v>Nr meczu</v>
          </cell>
          <cell r="N739" t="str">
            <v>Godz.</v>
          </cell>
          <cell r="R739" t="str">
            <v>S. prow.</v>
          </cell>
          <cell r="AF739" t="str">
            <v>wygrany</v>
          </cell>
          <cell r="AG739" t="str">
            <v>przegrany</v>
          </cell>
        </row>
        <row r="740">
          <cell r="B740" t="str">
            <v>Boisko</v>
          </cell>
          <cell r="C740" t="str">
            <v>Gra</v>
          </cell>
          <cell r="I740">
            <v>106</v>
          </cell>
          <cell r="N740" t="str">
            <v>rozp.</v>
          </cell>
          <cell r="P740" t="str">
            <v>zak.</v>
          </cell>
          <cell r="R740" t="str">
            <v>S. serw.</v>
          </cell>
        </row>
        <row r="741">
          <cell r="A741">
            <v>106</v>
          </cell>
          <cell r="B741">
            <v>3</v>
          </cell>
          <cell r="C741" t="str">
            <v>mieszana J</v>
          </cell>
          <cell r="H741">
            <v>21</v>
          </cell>
          <cell r="I741">
            <v>15</v>
          </cell>
          <cell r="J741">
            <v>21</v>
          </cell>
          <cell r="K741">
            <v>9</v>
          </cell>
          <cell r="P741">
            <v>0.84375</v>
          </cell>
          <cell r="R741">
            <v>0.84375</v>
          </cell>
          <cell r="S741" t="str">
            <v>pt 20:15</v>
          </cell>
          <cell r="X741">
            <v>106</v>
          </cell>
          <cell r="Y741" t="str">
            <v>mieszana J</v>
          </cell>
          <cell r="Z741" t="str">
            <v>N3148</v>
          </cell>
          <cell r="AA741" t="str">
            <v>T3157</v>
          </cell>
          <cell r="AB741" t="str">
            <v>L3566</v>
          </cell>
          <cell r="AC741" t="str">
            <v>P3555</v>
          </cell>
          <cell r="AD741" t="str">
            <v>N3148</v>
          </cell>
          <cell r="AE741" t="str">
            <v>T3157</v>
          </cell>
          <cell r="AF741" t="str">
            <v>21:15,21:9</v>
          </cell>
          <cell r="AG741" t="str">
            <v>15:21,9:21</v>
          </cell>
          <cell r="AH741" t="str">
            <v/>
          </cell>
          <cell r="AI741">
            <v>21</v>
          </cell>
          <cell r="AJ741">
            <v>15</v>
          </cell>
          <cell r="AK741">
            <v>21</v>
          </cell>
          <cell r="AL741">
            <v>9</v>
          </cell>
          <cell r="AM741">
            <v>0</v>
          </cell>
          <cell r="AN741">
            <v>0</v>
          </cell>
        </row>
        <row r="742">
          <cell r="A742" t="str">
            <v/>
          </cell>
          <cell r="B742" t="str">
            <v>Kamil NASIŁOWSKI (UKSB Milenium Warszawa)</v>
          </cell>
          <cell r="H742" t="str">
            <v>N3148</v>
          </cell>
          <cell r="K742" t="str">
            <v>L3566</v>
          </cell>
          <cell r="N742" t="str">
            <v>Paweł LEPIANKA (UKS Kiko Zamość)</v>
          </cell>
        </row>
        <row r="743">
          <cell r="A743" t="str">
            <v/>
          </cell>
          <cell r="B743" t="str">
            <v>Adrianna TATAJ (UKSB Milenium Warszawa)</v>
          </cell>
          <cell r="H743" t="str">
            <v>T3157</v>
          </cell>
          <cell r="K743" t="str">
            <v>P3555</v>
          </cell>
          <cell r="N743" t="str">
            <v>Kinga PALONKA (UKS Kiko Zamość)</v>
          </cell>
        </row>
        <row r="745">
          <cell r="B745" t="str">
            <v>zwycięzca(cy): 21:15,21:9</v>
          </cell>
          <cell r="K745" t="str">
            <v/>
          </cell>
        </row>
        <row r="746">
          <cell r="B746">
            <v>1</v>
          </cell>
          <cell r="C746" t="str">
            <v>dzień turnieju.</v>
          </cell>
          <cell r="I746" t="str">
            <v>Nr meczu</v>
          </cell>
          <cell r="N746" t="str">
            <v>Godz.</v>
          </cell>
          <cell r="R746" t="str">
            <v>S. prow.</v>
          </cell>
          <cell r="AF746" t="str">
            <v>wygrany</v>
          </cell>
          <cell r="AG746" t="str">
            <v>przegrany</v>
          </cell>
        </row>
        <row r="747">
          <cell r="B747" t="str">
            <v>Boisko</v>
          </cell>
          <cell r="C747" t="str">
            <v>Gra</v>
          </cell>
          <cell r="I747">
            <v>107</v>
          </cell>
          <cell r="N747" t="str">
            <v>rozp.</v>
          </cell>
          <cell r="P747" t="str">
            <v>zak.</v>
          </cell>
          <cell r="R747" t="str">
            <v>S. serw.</v>
          </cell>
        </row>
        <row r="748">
          <cell r="A748">
            <v>107</v>
          </cell>
          <cell r="B748">
            <v>4</v>
          </cell>
          <cell r="C748" t="str">
            <v>mieszana J</v>
          </cell>
          <cell r="H748">
            <v>21</v>
          </cell>
          <cell r="I748">
            <v>16</v>
          </cell>
          <cell r="J748">
            <v>21</v>
          </cell>
          <cell r="K748">
            <v>15</v>
          </cell>
          <cell r="P748">
            <v>0.85069444444444453</v>
          </cell>
          <cell r="R748">
            <v>0.85069444444444453</v>
          </cell>
          <cell r="S748" t="str">
            <v>pt 20:15</v>
          </cell>
          <cell r="X748">
            <v>107</v>
          </cell>
          <cell r="Y748" t="str">
            <v>mieszana J</v>
          </cell>
          <cell r="Z748" t="str">
            <v>W3962</v>
          </cell>
          <cell r="AA748" t="str">
            <v>W3960</v>
          </cell>
          <cell r="AB748" t="str">
            <v>K4685</v>
          </cell>
          <cell r="AC748" t="str">
            <v>X57</v>
          </cell>
          <cell r="AD748" t="str">
            <v>W3962</v>
          </cell>
          <cell r="AE748" t="str">
            <v>W3960</v>
          </cell>
          <cell r="AF748" t="str">
            <v>21:16,21:15</v>
          </cell>
          <cell r="AG748" t="str">
            <v>16:21,15:21</v>
          </cell>
          <cell r="AH748" t="str">
            <v/>
          </cell>
          <cell r="AI748">
            <v>21</v>
          </cell>
          <cell r="AJ748">
            <v>16</v>
          </cell>
          <cell r="AK748">
            <v>21</v>
          </cell>
          <cell r="AL748">
            <v>15</v>
          </cell>
          <cell r="AM748">
            <v>0</v>
          </cell>
          <cell r="AN748">
            <v>0</v>
          </cell>
        </row>
        <row r="749">
          <cell r="A749" t="str">
            <v/>
          </cell>
          <cell r="B749" t="str">
            <v>Sławomir WUDARSKI (UKS Iskra Sarbice)</v>
          </cell>
          <cell r="H749" t="str">
            <v>W3962</v>
          </cell>
          <cell r="K749" t="str">
            <v>K4685</v>
          </cell>
          <cell r="N749" t="str">
            <v>Patryk KOSTRZEWSKI (KSR Wolant Łódź)</v>
          </cell>
        </row>
        <row r="750">
          <cell r="A750" t="str">
            <v/>
          </cell>
          <cell r="B750" t="str">
            <v>Justyna WUDARSKA (UKS Iskra Sarbice)</v>
          </cell>
          <cell r="H750" t="str">
            <v>W3960</v>
          </cell>
          <cell r="K750" t="str">
            <v>X57</v>
          </cell>
          <cell r="N750" t="str">
            <v>Yuliya PRACH (Vinnica Ukraina)</v>
          </cell>
        </row>
        <row r="752">
          <cell r="B752" t="str">
            <v>zwycięzca(cy): 21:16,21:15</v>
          </cell>
          <cell r="K752" t="str">
            <v/>
          </cell>
        </row>
        <row r="753">
          <cell r="B753">
            <v>1</v>
          </cell>
          <cell r="C753" t="str">
            <v>dzień turnieju.</v>
          </cell>
          <cell r="I753" t="str">
            <v>Nr meczu</v>
          </cell>
          <cell r="N753" t="str">
            <v>Godz.</v>
          </cell>
          <cell r="R753" t="str">
            <v>S. prow.</v>
          </cell>
          <cell r="AF753" t="str">
            <v>wygrany</v>
          </cell>
          <cell r="AG753" t="str">
            <v>przegrany</v>
          </cell>
        </row>
        <row r="754">
          <cell r="B754" t="str">
            <v>Boisko</v>
          </cell>
          <cell r="C754" t="str">
            <v>Gra</v>
          </cell>
          <cell r="I754">
            <v>108</v>
          </cell>
          <cell r="N754" t="str">
            <v>rozp.</v>
          </cell>
          <cell r="P754" t="str">
            <v>zak.</v>
          </cell>
          <cell r="R754" t="str">
            <v>S. serw.</v>
          </cell>
        </row>
        <row r="755">
          <cell r="A755">
            <v>108</v>
          </cell>
          <cell r="B755">
            <v>7</v>
          </cell>
          <cell r="C755" t="str">
            <v>mieszana J</v>
          </cell>
          <cell r="H755">
            <v>0</v>
          </cell>
          <cell r="I755">
            <v>21</v>
          </cell>
          <cell r="J755">
            <v>0</v>
          </cell>
          <cell r="K755">
            <v>21</v>
          </cell>
          <cell r="P755">
            <v>0.84027777777777779</v>
          </cell>
          <cell r="R755">
            <v>0.84027777777777779</v>
          </cell>
          <cell r="S755" t="str">
            <v>pt 20:15</v>
          </cell>
          <cell r="X755">
            <v>108</v>
          </cell>
          <cell r="Y755" t="str">
            <v>mieszana J</v>
          </cell>
          <cell r="Z755" t="str">
            <v>K3375</v>
          </cell>
          <cell r="AA755" t="str">
            <v>K3351</v>
          </cell>
          <cell r="AB755" t="str">
            <v>S3245</v>
          </cell>
          <cell r="AC755" t="str">
            <v>R3364</v>
          </cell>
          <cell r="AD755" t="str">
            <v>S3245</v>
          </cell>
          <cell r="AE755" t="str">
            <v>R3364</v>
          </cell>
          <cell r="AF755" t="str">
            <v>21:0,21:0</v>
          </cell>
          <cell r="AG755" t="str">
            <v>0:21,0:21</v>
          </cell>
          <cell r="AH755" t="str">
            <v/>
          </cell>
          <cell r="AI755">
            <v>0</v>
          </cell>
          <cell r="AJ755">
            <v>21</v>
          </cell>
          <cell r="AK755">
            <v>0</v>
          </cell>
          <cell r="AL755">
            <v>21</v>
          </cell>
          <cell r="AM755">
            <v>0</v>
          </cell>
          <cell r="AN755">
            <v>0</v>
          </cell>
        </row>
        <row r="756">
          <cell r="A756" t="str">
            <v/>
          </cell>
          <cell r="B756" t="str">
            <v>Wojciech KURZYŃSKI (UKS Trójka Tarnobrzeg)</v>
          </cell>
          <cell r="H756" t="str">
            <v>K3375</v>
          </cell>
          <cell r="K756" t="str">
            <v>S3245</v>
          </cell>
          <cell r="N756" t="str">
            <v>Arkadiusz SŁUPEK (KS Chojnik Jelenia Góra)</v>
          </cell>
        </row>
        <row r="757">
          <cell r="A757" t="str">
            <v/>
          </cell>
          <cell r="B757" t="str">
            <v>Paulina KACZOROWSKA (KS Chojnik Jelenia Góra)</v>
          </cell>
          <cell r="H757" t="str">
            <v>K3351</v>
          </cell>
          <cell r="K757" t="str">
            <v>R3364</v>
          </cell>
          <cell r="N757" t="str">
            <v>Kinga ROGALSKA (UKS 2 Sobótka)</v>
          </cell>
        </row>
        <row r="759">
          <cell r="B759" t="str">
            <v/>
          </cell>
          <cell r="K759" t="str">
            <v>zwycięzca(cy): 21:0,21:0</v>
          </cell>
        </row>
        <row r="760">
          <cell r="B760">
            <v>1</v>
          </cell>
          <cell r="C760" t="str">
            <v>dzień turnieju.</v>
          </cell>
          <cell r="I760" t="str">
            <v>Nr meczu</v>
          </cell>
          <cell r="N760" t="str">
            <v>Godz.</v>
          </cell>
          <cell r="R760" t="str">
            <v>S. prow.</v>
          </cell>
          <cell r="AF760" t="str">
            <v>wygrany</v>
          </cell>
          <cell r="AG760" t="str">
            <v>przegrany</v>
          </cell>
        </row>
        <row r="761">
          <cell r="B761" t="str">
            <v>Boisko</v>
          </cell>
          <cell r="C761" t="str">
            <v>Gra</v>
          </cell>
          <cell r="I761">
            <v>109</v>
          </cell>
          <cell r="N761" t="str">
            <v>rozp.</v>
          </cell>
          <cell r="P761" t="str">
            <v>zak.</v>
          </cell>
          <cell r="R761" t="str">
            <v>S. serw.</v>
          </cell>
        </row>
        <row r="762">
          <cell r="A762">
            <v>109</v>
          </cell>
          <cell r="B762">
            <v>1</v>
          </cell>
          <cell r="C762" t="str">
            <v>mieszana J</v>
          </cell>
          <cell r="H762">
            <v>17</v>
          </cell>
          <cell r="I762">
            <v>21</v>
          </cell>
          <cell r="J762">
            <v>20</v>
          </cell>
          <cell r="K762">
            <v>22</v>
          </cell>
          <cell r="P762">
            <v>0.85069444444444453</v>
          </cell>
          <cell r="R762">
            <v>0.85069444444444453</v>
          </cell>
          <cell r="S762" t="str">
            <v>pt 20:15</v>
          </cell>
          <cell r="X762">
            <v>109</v>
          </cell>
          <cell r="Y762" t="str">
            <v>mieszana J</v>
          </cell>
          <cell r="Z762" t="str">
            <v>U4307</v>
          </cell>
          <cell r="AA762" t="str">
            <v>M3662</v>
          </cell>
          <cell r="AB762" t="str">
            <v>K4230</v>
          </cell>
          <cell r="AC762" t="str">
            <v>K3151</v>
          </cell>
          <cell r="AD762" t="str">
            <v>K4230</v>
          </cell>
          <cell r="AE762" t="str">
            <v>K3151</v>
          </cell>
          <cell r="AF762" t="str">
            <v>21:17,22:20</v>
          </cell>
          <cell r="AG762" t="str">
            <v>17:21,20:22</v>
          </cell>
          <cell r="AH762" t="str">
            <v/>
          </cell>
          <cell r="AI762">
            <v>17</v>
          </cell>
          <cell r="AJ762">
            <v>21</v>
          </cell>
          <cell r="AK762">
            <v>20</v>
          </cell>
          <cell r="AL762">
            <v>22</v>
          </cell>
          <cell r="AM762">
            <v>0</v>
          </cell>
          <cell r="AN762">
            <v>0</v>
          </cell>
        </row>
        <row r="763">
          <cell r="A763" t="str">
            <v/>
          </cell>
          <cell r="B763" t="str">
            <v>Michał USTIMOWICZ (LKS Technik Głubczyce)</v>
          </cell>
          <cell r="H763" t="str">
            <v>U4307</v>
          </cell>
          <cell r="K763" t="str">
            <v>K4230</v>
          </cell>
          <cell r="N763" t="str">
            <v>Wiktor KRAWCZYK (UKSB Milenium Warszawa)</v>
          </cell>
        </row>
        <row r="764">
          <cell r="A764" t="str">
            <v/>
          </cell>
          <cell r="B764" t="str">
            <v>Anita MIELNICZEK (UKS Orbitek Straszęcin)</v>
          </cell>
          <cell r="H764" t="str">
            <v>M3662</v>
          </cell>
          <cell r="K764" t="str">
            <v>K3151</v>
          </cell>
          <cell r="N764" t="str">
            <v>Maria KOPYT (UKSB Milenium Warszawa)</v>
          </cell>
        </row>
        <row r="766">
          <cell r="B766" t="str">
            <v/>
          </cell>
          <cell r="K766" t="str">
            <v>zwycięzca(cy): 21:17,22:20</v>
          </cell>
        </row>
        <row r="767">
          <cell r="B767">
            <v>1</v>
          </cell>
          <cell r="C767" t="str">
            <v>dzień turnieju.</v>
          </cell>
          <cell r="I767" t="str">
            <v>Nr meczu</v>
          </cell>
          <cell r="N767" t="str">
            <v>Godz.</v>
          </cell>
          <cell r="R767" t="str">
            <v>S. prow.</v>
          </cell>
          <cell r="AF767" t="str">
            <v>wygrany</v>
          </cell>
          <cell r="AG767" t="str">
            <v>przegrany</v>
          </cell>
        </row>
        <row r="768">
          <cell r="B768" t="str">
            <v>Boisko</v>
          </cell>
          <cell r="C768" t="str">
            <v>Gra</v>
          </cell>
          <cell r="I768">
            <v>110</v>
          </cell>
          <cell r="N768" t="str">
            <v>rozp.</v>
          </cell>
          <cell r="P768" t="str">
            <v>zak.</v>
          </cell>
          <cell r="R768" t="str">
            <v>S. serw.</v>
          </cell>
        </row>
        <row r="769">
          <cell r="A769">
            <v>110</v>
          </cell>
          <cell r="C769" t="str">
            <v>mieszana J</v>
          </cell>
          <cell r="H769">
            <v>21</v>
          </cell>
          <cell r="I769">
            <v>0</v>
          </cell>
          <cell r="J769">
            <v>21</v>
          </cell>
          <cell r="K769">
            <v>0</v>
          </cell>
          <cell r="R769">
            <v>0</v>
          </cell>
          <cell r="S769" t="str">
            <v>pt 20:15</v>
          </cell>
          <cell r="X769">
            <v>110</v>
          </cell>
          <cell r="Y769" t="str">
            <v>mieszana J</v>
          </cell>
          <cell r="Z769" t="str">
            <v>T3923</v>
          </cell>
          <cell r="AA769" t="str">
            <v>Ł4427</v>
          </cell>
          <cell r="AB769" t="str">
            <v>K3241</v>
          </cell>
          <cell r="AC769" t="str">
            <v>K3257</v>
          </cell>
          <cell r="AD769" t="str">
            <v>T3923</v>
          </cell>
          <cell r="AE769" t="str">
            <v>Ł4427</v>
          </cell>
          <cell r="AF769" t="str">
            <v>21:0,21:0</v>
          </cell>
          <cell r="AG769" t="str">
            <v>0:21,0:21</v>
          </cell>
          <cell r="AH769" t="str">
            <v/>
          </cell>
          <cell r="AI769">
            <v>21</v>
          </cell>
          <cell r="AJ769">
            <v>0</v>
          </cell>
          <cell r="AK769">
            <v>21</v>
          </cell>
          <cell r="AL769">
            <v>0</v>
          </cell>
          <cell r="AM769">
            <v>0</v>
          </cell>
          <cell r="AN769">
            <v>0</v>
          </cell>
        </row>
        <row r="770">
          <cell r="A770" t="str">
            <v/>
          </cell>
          <cell r="B770" t="str">
            <v>Paweł TOMASZEWSKI (MKS Orlicz Suchedniów)</v>
          </cell>
          <cell r="H770" t="str">
            <v>T3923</v>
          </cell>
          <cell r="K770" t="str">
            <v>K3241</v>
          </cell>
          <cell r="N770" t="str">
            <v>Jakub KACHNIARZ (UKS Ząbkowice Dąbrowa Górn.)</v>
          </cell>
        </row>
        <row r="771">
          <cell r="A771" t="str">
            <v/>
          </cell>
          <cell r="B771" t="str">
            <v>Magda ŁUKASIAK (MKS Orlicz Suchedniów)</v>
          </cell>
          <cell r="H771" t="str">
            <v>Ł4427</v>
          </cell>
          <cell r="K771" t="str">
            <v>K3257</v>
          </cell>
          <cell r="N771" t="str">
            <v>Nikola KOSZMIDER (UKS Feniks Kędzierzyn-Koźle)</v>
          </cell>
        </row>
        <row r="773">
          <cell r="B773" t="str">
            <v>zwycięzca(cy): 21:0,21:0</v>
          </cell>
          <cell r="K773" t="str">
            <v/>
          </cell>
        </row>
        <row r="774">
          <cell r="B774">
            <v>1</v>
          </cell>
          <cell r="C774" t="str">
            <v>dzień turnieju.</v>
          </cell>
          <cell r="I774" t="str">
            <v>Nr meczu</v>
          </cell>
          <cell r="N774" t="str">
            <v>Godz.</v>
          </cell>
          <cell r="R774" t="str">
            <v>S. prow.</v>
          </cell>
          <cell r="AF774" t="str">
            <v>wygrany</v>
          </cell>
          <cell r="AG774" t="str">
            <v>przegrany</v>
          </cell>
        </row>
        <row r="775">
          <cell r="B775" t="str">
            <v>Boisko</v>
          </cell>
          <cell r="C775" t="str">
            <v>Gra</v>
          </cell>
          <cell r="I775">
            <v>111</v>
          </cell>
          <cell r="N775" t="str">
            <v>rozp.</v>
          </cell>
          <cell r="P775" t="str">
            <v>zak.</v>
          </cell>
          <cell r="R775" t="str">
            <v>S. serw.</v>
          </cell>
        </row>
        <row r="776">
          <cell r="A776">
            <v>111</v>
          </cell>
          <cell r="B776">
            <v>5</v>
          </cell>
          <cell r="C776" t="str">
            <v>mieszana J</v>
          </cell>
          <cell r="H776">
            <v>21</v>
          </cell>
          <cell r="I776">
            <v>17</v>
          </cell>
          <cell r="J776">
            <v>21</v>
          </cell>
          <cell r="K776">
            <v>13</v>
          </cell>
          <cell r="P776">
            <v>0.85416666666666663</v>
          </cell>
          <cell r="R776">
            <v>0.85416666666666663</v>
          </cell>
          <cell r="S776" t="str">
            <v>pt 20:15</v>
          </cell>
          <cell r="X776">
            <v>111</v>
          </cell>
          <cell r="Y776" t="str">
            <v>mieszana J</v>
          </cell>
          <cell r="Z776" t="str">
            <v>S3502</v>
          </cell>
          <cell r="AA776" t="str">
            <v>K3863</v>
          </cell>
          <cell r="AB776" t="str">
            <v>W3805</v>
          </cell>
          <cell r="AC776" t="str">
            <v>B3564</v>
          </cell>
          <cell r="AD776" t="str">
            <v>S3502</v>
          </cell>
          <cell r="AE776" t="str">
            <v>K3863</v>
          </cell>
          <cell r="AF776" t="str">
            <v>21:17,21:13</v>
          </cell>
          <cell r="AG776" t="str">
            <v>17:21,13:21</v>
          </cell>
          <cell r="AH776" t="str">
            <v/>
          </cell>
          <cell r="AI776">
            <v>21</v>
          </cell>
          <cell r="AJ776">
            <v>17</v>
          </cell>
          <cell r="AK776">
            <v>21</v>
          </cell>
          <cell r="AL776">
            <v>13</v>
          </cell>
          <cell r="AM776">
            <v>0</v>
          </cell>
          <cell r="AN776">
            <v>0</v>
          </cell>
        </row>
        <row r="777">
          <cell r="A777" t="str">
            <v/>
          </cell>
          <cell r="B777" t="str">
            <v>Jakub SMAJDA (UKS Ząbkowice Dąbrowa Górn.)</v>
          </cell>
          <cell r="H777" t="str">
            <v>S3502</v>
          </cell>
          <cell r="K777" t="str">
            <v>W3805</v>
          </cell>
          <cell r="N777" t="str">
            <v>Jan WOLAŃCZYK (KS Match Point Ślęza)</v>
          </cell>
        </row>
        <row r="778">
          <cell r="A778" t="str">
            <v/>
          </cell>
          <cell r="B778" t="str">
            <v>Katarzyna KUTACHA (UKS Start Widełka)</v>
          </cell>
          <cell r="H778" t="str">
            <v>K3863</v>
          </cell>
          <cell r="K778" t="str">
            <v>B3564</v>
          </cell>
          <cell r="N778" t="str">
            <v>Kinga BARNA (UKS 2 Sobótka)</v>
          </cell>
        </row>
        <row r="780">
          <cell r="B780" t="str">
            <v>zwycięzca(cy): 21:17,21:13</v>
          </cell>
          <cell r="K780" t="str">
            <v/>
          </cell>
        </row>
        <row r="781">
          <cell r="B781">
            <v>1</v>
          </cell>
          <cell r="C781" t="str">
            <v>dzień turnieju.</v>
          </cell>
          <cell r="I781" t="str">
            <v>Nr meczu</v>
          </cell>
          <cell r="N781" t="str">
            <v>Godz.</v>
          </cell>
          <cell r="R781" t="str">
            <v>S. prow.</v>
          </cell>
          <cell r="AF781" t="str">
            <v>wygrany</v>
          </cell>
          <cell r="AG781" t="str">
            <v>przegrany</v>
          </cell>
        </row>
        <row r="782">
          <cell r="B782" t="str">
            <v>Boisko</v>
          </cell>
          <cell r="C782" t="str">
            <v>Gra</v>
          </cell>
          <cell r="I782">
            <v>112</v>
          </cell>
          <cell r="N782" t="str">
            <v>rozp.</v>
          </cell>
          <cell r="P782" t="str">
            <v>zak.</v>
          </cell>
          <cell r="R782" t="str">
            <v>S. serw.</v>
          </cell>
        </row>
        <row r="783">
          <cell r="A783">
            <v>112</v>
          </cell>
          <cell r="B783">
            <v>4</v>
          </cell>
          <cell r="C783" t="str">
            <v>podwójna kobiet J</v>
          </cell>
          <cell r="H783">
            <v>21</v>
          </cell>
          <cell r="I783">
            <v>12</v>
          </cell>
          <cell r="J783">
            <v>21</v>
          </cell>
          <cell r="K783">
            <v>9</v>
          </cell>
          <cell r="P783">
            <v>0.87291666666666667</v>
          </cell>
          <cell r="R783">
            <v>0.87291666666666667</v>
          </cell>
          <cell r="S783" t="str">
            <v>pt 20:45</v>
          </cell>
          <cell r="X783">
            <v>112</v>
          </cell>
          <cell r="Y783" t="str">
            <v>podwójna kobiet J</v>
          </cell>
          <cell r="Z783" t="str">
            <v>M3309</v>
          </cell>
          <cell r="AA783" t="str">
            <v>P2838</v>
          </cell>
          <cell r="AB783" t="str">
            <v>Ł4427</v>
          </cell>
          <cell r="AC783" t="str">
            <v>X57</v>
          </cell>
          <cell r="AD783" t="str">
            <v>M3309</v>
          </cell>
          <cell r="AE783" t="str">
            <v>P2838</v>
          </cell>
          <cell r="AF783" t="str">
            <v>21:12,21:9</v>
          </cell>
          <cell r="AG783" t="str">
            <v>12:21,9:21</v>
          </cell>
          <cell r="AH783" t="str">
            <v/>
          </cell>
          <cell r="AI783">
            <v>21</v>
          </cell>
          <cell r="AJ783">
            <v>12</v>
          </cell>
          <cell r="AK783">
            <v>21</v>
          </cell>
          <cell r="AL783">
            <v>9</v>
          </cell>
          <cell r="AM783">
            <v>0</v>
          </cell>
          <cell r="AN783">
            <v>0</v>
          </cell>
        </row>
        <row r="784">
          <cell r="A784" t="str">
            <v/>
          </cell>
          <cell r="B784" t="str">
            <v>Edyta MIETŁA (MKS Spartakus Niepołomice)</v>
          </cell>
          <cell r="H784" t="str">
            <v>M3309</v>
          </cell>
          <cell r="K784" t="str">
            <v>Ł4427</v>
          </cell>
          <cell r="N784" t="str">
            <v>Magda ŁUKASIAK (MKS Orlicz Suchedniów)</v>
          </cell>
        </row>
        <row r="785">
          <cell r="A785" t="str">
            <v/>
          </cell>
          <cell r="B785" t="str">
            <v>Aleksandra PAPRZYCKA (MKB Lednik Miastko)</v>
          </cell>
          <cell r="H785" t="str">
            <v>P2838</v>
          </cell>
          <cell r="K785" t="str">
            <v>X57</v>
          </cell>
          <cell r="N785" t="str">
            <v>Yuliya PRACH (Vinnica Ukraina)</v>
          </cell>
        </row>
        <row r="787">
          <cell r="B787" t="str">
            <v>zwycięzca(cy): 21:12,21:9</v>
          </cell>
          <cell r="K787" t="str">
            <v/>
          </cell>
        </row>
        <row r="788">
          <cell r="B788">
            <v>1</v>
          </cell>
          <cell r="C788" t="str">
            <v>dzień turnieju.</v>
          </cell>
          <cell r="I788" t="str">
            <v>Nr meczu</v>
          </cell>
          <cell r="N788" t="str">
            <v>Godz.</v>
          </cell>
          <cell r="R788" t="str">
            <v>S. prow.</v>
          </cell>
          <cell r="AF788" t="str">
            <v>wygrany</v>
          </cell>
          <cell r="AG788" t="str">
            <v>przegrany</v>
          </cell>
        </row>
        <row r="789">
          <cell r="B789" t="str">
            <v>Boisko</v>
          </cell>
          <cell r="C789" t="str">
            <v>Gra</v>
          </cell>
          <cell r="I789">
            <v>113</v>
          </cell>
          <cell r="N789" t="str">
            <v>rozp.</v>
          </cell>
          <cell r="P789" t="str">
            <v>zak.</v>
          </cell>
          <cell r="R789" t="str">
            <v>S. serw.</v>
          </cell>
        </row>
        <row r="790">
          <cell r="A790">
            <v>113</v>
          </cell>
          <cell r="B790">
            <v>2</v>
          </cell>
          <cell r="C790" t="str">
            <v>podwójna kobiet J</v>
          </cell>
          <cell r="H790">
            <v>12</v>
          </cell>
          <cell r="I790">
            <v>21</v>
          </cell>
          <cell r="J790">
            <v>11</v>
          </cell>
          <cell r="K790">
            <v>21</v>
          </cell>
          <cell r="P790">
            <v>0.86805555555555547</v>
          </cell>
          <cell r="R790">
            <v>0.86805555555555547</v>
          </cell>
          <cell r="S790" t="str">
            <v>pt 20:45</v>
          </cell>
          <cell r="X790">
            <v>113</v>
          </cell>
          <cell r="Y790" t="str">
            <v>podwójna kobiet J</v>
          </cell>
          <cell r="Z790" t="str">
            <v>K3257</v>
          </cell>
          <cell r="AA790" t="str">
            <v>S3950</v>
          </cell>
          <cell r="AB790" t="str">
            <v>D3155</v>
          </cell>
          <cell r="AC790" t="str">
            <v>T3157</v>
          </cell>
          <cell r="AD790" t="str">
            <v>D3155</v>
          </cell>
          <cell r="AE790" t="str">
            <v>T3157</v>
          </cell>
          <cell r="AF790" t="str">
            <v>21:12,21:11</v>
          </cell>
          <cell r="AG790" t="str">
            <v>12:21,11:21</v>
          </cell>
          <cell r="AH790" t="str">
            <v/>
          </cell>
          <cell r="AI790">
            <v>12</v>
          </cell>
          <cell r="AJ790">
            <v>21</v>
          </cell>
          <cell r="AK790">
            <v>11</v>
          </cell>
          <cell r="AL790">
            <v>21</v>
          </cell>
          <cell r="AM790">
            <v>0</v>
          </cell>
          <cell r="AN790">
            <v>0</v>
          </cell>
        </row>
        <row r="791">
          <cell r="A791" t="str">
            <v/>
          </cell>
          <cell r="B791" t="str">
            <v>Nikola KOSZMIDER (UKS Feniks Kędzierzyn-Koźle)</v>
          </cell>
          <cell r="H791" t="str">
            <v>K3257</v>
          </cell>
          <cell r="K791" t="str">
            <v>D3155</v>
          </cell>
          <cell r="N791" t="str">
            <v>Anna DĘBSKA (UKSB Milenium Warszawa)</v>
          </cell>
        </row>
        <row r="792">
          <cell r="A792" t="str">
            <v/>
          </cell>
          <cell r="B792" t="str">
            <v>Klaudia SOCHA (KS Chojnik Jelenia Góra)</v>
          </cell>
          <cell r="H792" t="str">
            <v>S3950</v>
          </cell>
          <cell r="K792" t="str">
            <v>T3157</v>
          </cell>
          <cell r="N792" t="str">
            <v>Adrianna TATAJ (UKSB Milenium Warszawa)</v>
          </cell>
        </row>
        <row r="794">
          <cell r="B794" t="str">
            <v/>
          </cell>
          <cell r="K794" t="str">
            <v>zwycięzca(cy): 21:12,21:11</v>
          </cell>
        </row>
        <row r="795">
          <cell r="B795">
            <v>1</v>
          </cell>
          <cell r="C795" t="str">
            <v>dzień turnieju.</v>
          </cell>
          <cell r="I795" t="str">
            <v>Nr meczu</v>
          </cell>
          <cell r="N795" t="str">
            <v>Godz.</v>
          </cell>
          <cell r="R795" t="str">
            <v>S. prow.</v>
          </cell>
          <cell r="AF795" t="str">
            <v>wygrany</v>
          </cell>
          <cell r="AG795" t="str">
            <v>przegrany</v>
          </cell>
        </row>
        <row r="796">
          <cell r="B796" t="str">
            <v>Boisko</v>
          </cell>
          <cell r="C796" t="str">
            <v>Gra</v>
          </cell>
          <cell r="I796">
            <v>114</v>
          </cell>
          <cell r="N796" t="str">
            <v>rozp.</v>
          </cell>
          <cell r="P796" t="str">
            <v>zak.</v>
          </cell>
          <cell r="R796" t="str">
            <v>S. serw.</v>
          </cell>
        </row>
        <row r="797">
          <cell r="A797">
            <v>114</v>
          </cell>
          <cell r="B797">
            <v>1</v>
          </cell>
          <cell r="C797" t="str">
            <v>podwójna kobiet J</v>
          </cell>
          <cell r="H797">
            <v>20</v>
          </cell>
          <cell r="I797">
            <v>22</v>
          </cell>
          <cell r="J797">
            <v>20</v>
          </cell>
          <cell r="K797">
            <v>22</v>
          </cell>
          <cell r="P797">
            <v>0.84027777777777779</v>
          </cell>
          <cell r="R797">
            <v>0.84027777777777779</v>
          </cell>
          <cell r="S797" t="str">
            <v>pt 20:45</v>
          </cell>
          <cell r="X797">
            <v>114</v>
          </cell>
          <cell r="Y797" t="str">
            <v>podwójna kobiet J</v>
          </cell>
          <cell r="Z797" t="str">
            <v>B3862</v>
          </cell>
          <cell r="AA797" t="str">
            <v>G3134</v>
          </cell>
          <cell r="AB797" t="str">
            <v>B3564</v>
          </cell>
          <cell r="AC797" t="str">
            <v>R3364</v>
          </cell>
          <cell r="AD797" t="str">
            <v>B3564</v>
          </cell>
          <cell r="AE797" t="str">
            <v>R3364</v>
          </cell>
          <cell r="AF797" t="str">
            <v>22:20,22:20</v>
          </cell>
          <cell r="AG797" t="str">
            <v>20:22,20:22</v>
          </cell>
          <cell r="AH797" t="str">
            <v/>
          </cell>
          <cell r="AI797">
            <v>20</v>
          </cell>
          <cell r="AJ797">
            <v>22</v>
          </cell>
          <cell r="AK797">
            <v>20</v>
          </cell>
          <cell r="AL797">
            <v>22</v>
          </cell>
          <cell r="AM797">
            <v>0</v>
          </cell>
          <cell r="AN797">
            <v>0</v>
          </cell>
        </row>
        <row r="798">
          <cell r="A798" t="str">
            <v/>
          </cell>
          <cell r="B798" t="str">
            <v>Aleksandra BIAŁEK (UKS Start Widełka)</v>
          </cell>
          <cell r="H798" t="str">
            <v>B3862</v>
          </cell>
          <cell r="K798" t="str">
            <v>B3564</v>
          </cell>
          <cell r="N798" t="str">
            <v>Kinga BARNA (UKS 2 Sobótka)</v>
          </cell>
        </row>
        <row r="799">
          <cell r="A799" t="str">
            <v/>
          </cell>
          <cell r="B799" t="str">
            <v>Katarzyna GRUSZKA (UKS Orbitek Straszęcin)</v>
          </cell>
          <cell r="H799" t="str">
            <v>G3134</v>
          </cell>
          <cell r="K799" t="str">
            <v>R3364</v>
          </cell>
          <cell r="N799" t="str">
            <v>Kinga ROGALSKA (UKS 2 Sobótka)</v>
          </cell>
        </row>
        <row r="801">
          <cell r="B801" t="str">
            <v/>
          </cell>
          <cell r="K801" t="str">
            <v>zwycięzca(cy): 22:20,22:20</v>
          </cell>
        </row>
        <row r="802">
          <cell r="B802">
            <v>1</v>
          </cell>
          <cell r="C802" t="str">
            <v>dzień turnieju.</v>
          </cell>
          <cell r="I802" t="str">
            <v>Nr meczu</v>
          </cell>
          <cell r="N802" t="str">
            <v>Godz.</v>
          </cell>
          <cell r="R802" t="str">
            <v>S. prow.</v>
          </cell>
          <cell r="S802" t="str">
            <v>JANECKI Andrzej</v>
          </cell>
          <cell r="AF802" t="str">
            <v>wygrany</v>
          </cell>
          <cell r="AG802" t="str">
            <v>przegrany</v>
          </cell>
        </row>
        <row r="803">
          <cell r="B803" t="str">
            <v>Boisko</v>
          </cell>
          <cell r="C803" t="str">
            <v>Gra</v>
          </cell>
          <cell r="I803">
            <v>115</v>
          </cell>
          <cell r="N803" t="str">
            <v>rozp.</v>
          </cell>
          <cell r="P803" t="str">
            <v>zak.</v>
          </cell>
          <cell r="R803" t="str">
            <v>S. serw.</v>
          </cell>
        </row>
        <row r="804">
          <cell r="A804">
            <v>115</v>
          </cell>
          <cell r="B804">
            <v>5</v>
          </cell>
          <cell r="C804" t="str">
            <v>podwójna mężczyzn J</v>
          </cell>
          <cell r="H804">
            <v>25</v>
          </cell>
          <cell r="I804">
            <v>27</v>
          </cell>
          <cell r="J804">
            <v>16</v>
          </cell>
          <cell r="K804">
            <v>21</v>
          </cell>
          <cell r="P804">
            <v>0.88541666666666663</v>
          </cell>
          <cell r="R804">
            <v>0.88541666666666663</v>
          </cell>
          <cell r="S804" t="str">
            <v>pt 20:45</v>
          </cell>
          <cell r="X804">
            <v>115</v>
          </cell>
          <cell r="Y804" t="str">
            <v>podwójna mężczyzn J</v>
          </cell>
          <cell r="Z804" t="str">
            <v>K4230</v>
          </cell>
          <cell r="AA804" t="str">
            <v>N3148</v>
          </cell>
          <cell r="AB804" t="str">
            <v>U4307</v>
          </cell>
          <cell r="AC804" t="str">
            <v>W3545</v>
          </cell>
          <cell r="AD804" t="str">
            <v>U4307</v>
          </cell>
          <cell r="AE804" t="str">
            <v>W3545</v>
          </cell>
          <cell r="AF804" t="str">
            <v>27:25,21:16</v>
          </cell>
          <cell r="AG804" t="str">
            <v>25:27,16:21</v>
          </cell>
          <cell r="AH804" t="str">
            <v/>
          </cell>
          <cell r="AI804">
            <v>25</v>
          </cell>
          <cell r="AJ804">
            <v>27</v>
          </cell>
          <cell r="AK804">
            <v>16</v>
          </cell>
          <cell r="AL804">
            <v>21</v>
          </cell>
          <cell r="AM804">
            <v>0</v>
          </cell>
          <cell r="AN804">
            <v>0</v>
          </cell>
        </row>
        <row r="805">
          <cell r="A805" t="str">
            <v/>
          </cell>
          <cell r="B805" t="str">
            <v>Wiktor KRAWCZYK (UKSB Milenium Warszawa)</v>
          </cell>
          <cell r="H805" t="str">
            <v>K4230</v>
          </cell>
          <cell r="K805" t="str">
            <v>U4307</v>
          </cell>
          <cell r="N805" t="str">
            <v>Michał USTIMOWICZ (LKS Technik Głubczyce)</v>
          </cell>
        </row>
        <row r="806">
          <cell r="A806" t="str">
            <v/>
          </cell>
          <cell r="B806" t="str">
            <v>Kamil NASIŁOWSKI (UKSB Milenium Warszawa)</v>
          </cell>
          <cell r="H806" t="str">
            <v>N3148</v>
          </cell>
          <cell r="K806" t="str">
            <v>W3545</v>
          </cell>
          <cell r="N806" t="str">
            <v>Marcin WNUK (MKS Orlicz Suchedniów)</v>
          </cell>
        </row>
        <row r="808">
          <cell r="B808" t="str">
            <v/>
          </cell>
          <cell r="K808" t="str">
            <v>zwycięzca(cy): 27:25,21:16</v>
          </cell>
        </row>
        <row r="809">
          <cell r="B809">
            <v>1</v>
          </cell>
          <cell r="C809" t="str">
            <v>dzień turnieju.</v>
          </cell>
          <cell r="I809" t="str">
            <v>Nr meczu</v>
          </cell>
          <cell r="N809" t="str">
            <v>Godz.</v>
          </cell>
          <cell r="R809" t="str">
            <v>S. prow.</v>
          </cell>
          <cell r="AF809" t="str">
            <v>wygrany</v>
          </cell>
          <cell r="AG809" t="str">
            <v>przegrany</v>
          </cell>
        </row>
        <row r="810">
          <cell r="B810" t="str">
            <v>Boisko</v>
          </cell>
          <cell r="C810" t="str">
            <v>Gra</v>
          </cell>
          <cell r="I810">
            <v>116</v>
          </cell>
          <cell r="N810" t="str">
            <v>rozp.</v>
          </cell>
          <cell r="P810" t="str">
            <v>zak.</v>
          </cell>
          <cell r="R810" t="str">
            <v>S. serw.</v>
          </cell>
        </row>
        <row r="811">
          <cell r="A811">
            <v>116</v>
          </cell>
          <cell r="B811">
            <v>6</v>
          </cell>
          <cell r="C811" t="str">
            <v>podwójna mężczyzn J</v>
          </cell>
          <cell r="H811">
            <v>18</v>
          </cell>
          <cell r="I811">
            <v>21</v>
          </cell>
          <cell r="J811">
            <v>17</v>
          </cell>
          <cell r="K811">
            <v>21</v>
          </cell>
          <cell r="P811">
            <v>0.84166666666666667</v>
          </cell>
          <cell r="R811">
            <v>0.84166666666666667</v>
          </cell>
          <cell r="S811" t="str">
            <v>pt 20:45</v>
          </cell>
          <cell r="X811">
            <v>116</v>
          </cell>
          <cell r="Y811" t="str">
            <v>podwójna mężczyzn J</v>
          </cell>
          <cell r="Z811" t="str">
            <v>P3707</v>
          </cell>
          <cell r="AA811" t="str">
            <v>S3365</v>
          </cell>
          <cell r="AB811" t="str">
            <v>K3935</v>
          </cell>
          <cell r="AC811" t="str">
            <v>S3502</v>
          </cell>
          <cell r="AD811" t="str">
            <v>K3935</v>
          </cell>
          <cell r="AE811" t="str">
            <v>S3502</v>
          </cell>
          <cell r="AF811" t="str">
            <v>21:18,21:17</v>
          </cell>
          <cell r="AG811" t="str">
            <v>18:21,17:21</v>
          </cell>
          <cell r="AH811" t="str">
            <v/>
          </cell>
          <cell r="AI811">
            <v>18</v>
          </cell>
          <cell r="AJ811">
            <v>21</v>
          </cell>
          <cell r="AK811">
            <v>17</v>
          </cell>
          <cell r="AL811">
            <v>21</v>
          </cell>
          <cell r="AM811">
            <v>0</v>
          </cell>
          <cell r="AN811">
            <v>0</v>
          </cell>
        </row>
        <row r="812">
          <cell r="A812" t="str">
            <v/>
          </cell>
          <cell r="B812" t="str">
            <v>Bartosz PIEKARZ (UKS Orliki Ropica Polska)</v>
          </cell>
          <cell r="H812" t="str">
            <v>P3707</v>
          </cell>
          <cell r="K812" t="str">
            <v>K3935</v>
          </cell>
          <cell r="N812" t="str">
            <v>Michał KAŹMIERCZAK (UKS Feniks Kędzierzyn-Koźle)</v>
          </cell>
        </row>
        <row r="813">
          <cell r="A813" t="str">
            <v/>
          </cell>
          <cell r="B813" t="str">
            <v>Bartosz SZUKAŁA (UKS Orkan Przeźmierowo)</v>
          </cell>
          <cell r="H813" t="str">
            <v>S3365</v>
          </cell>
          <cell r="K813" t="str">
            <v>S3502</v>
          </cell>
          <cell r="N813" t="str">
            <v>Jakub SMAJDA (UKS Ząbkowice Dąbrowa Górn.)</v>
          </cell>
        </row>
        <row r="815">
          <cell r="B815" t="str">
            <v/>
          </cell>
          <cell r="K815" t="str">
            <v>zwycięzca(cy): 21:18,21:17</v>
          </cell>
        </row>
        <row r="816">
          <cell r="B816">
            <v>1</v>
          </cell>
          <cell r="C816" t="str">
            <v>dzień turnieju.</v>
          </cell>
          <cell r="I816" t="str">
            <v>Nr meczu</v>
          </cell>
          <cell r="N816" t="str">
            <v>Godz.</v>
          </cell>
          <cell r="R816" t="str">
            <v>S. prow.</v>
          </cell>
          <cell r="AF816" t="str">
            <v>wygrany</v>
          </cell>
          <cell r="AG816" t="str">
            <v>przegrany</v>
          </cell>
        </row>
        <row r="817">
          <cell r="B817" t="str">
            <v>Boisko</v>
          </cell>
          <cell r="C817" t="str">
            <v>Gra</v>
          </cell>
          <cell r="I817">
            <v>117</v>
          </cell>
          <cell r="N817" t="str">
            <v>rozp.</v>
          </cell>
          <cell r="P817" t="str">
            <v>zak.</v>
          </cell>
          <cell r="R817" t="str">
            <v>S. serw.</v>
          </cell>
        </row>
        <row r="818">
          <cell r="A818">
            <v>117</v>
          </cell>
          <cell r="B818">
            <v>7</v>
          </cell>
          <cell r="C818" t="str">
            <v>podwójna mężczyzn J</v>
          </cell>
          <cell r="H818">
            <v>21</v>
          </cell>
          <cell r="I818">
            <v>19</v>
          </cell>
          <cell r="J818">
            <v>21</v>
          </cell>
          <cell r="K818">
            <v>17</v>
          </cell>
          <cell r="P818">
            <v>0.88194444444444453</v>
          </cell>
          <cell r="R818">
            <v>0.88194444444444453</v>
          </cell>
          <cell r="S818" t="str">
            <v>pt 20:45</v>
          </cell>
          <cell r="X818">
            <v>117</v>
          </cell>
          <cell r="Y818" t="str">
            <v>podwójna mężczyzn J</v>
          </cell>
          <cell r="Z818" t="str">
            <v>P3934</v>
          </cell>
          <cell r="AA818" t="str">
            <v>S3245</v>
          </cell>
          <cell r="AB818" t="str">
            <v>R3804</v>
          </cell>
          <cell r="AC818" t="str">
            <v>W3805</v>
          </cell>
          <cell r="AD818" t="str">
            <v>P3934</v>
          </cell>
          <cell r="AE818" t="str">
            <v>S3245</v>
          </cell>
          <cell r="AF818" t="str">
            <v>21:19,21:17</v>
          </cell>
          <cell r="AG818" t="str">
            <v>19:21,17:21</v>
          </cell>
          <cell r="AH818" t="str">
            <v/>
          </cell>
          <cell r="AI818">
            <v>21</v>
          </cell>
          <cell r="AJ818">
            <v>19</v>
          </cell>
          <cell r="AK818">
            <v>21</v>
          </cell>
          <cell r="AL818">
            <v>17</v>
          </cell>
          <cell r="AM818">
            <v>0</v>
          </cell>
          <cell r="AN818">
            <v>0</v>
          </cell>
        </row>
        <row r="819">
          <cell r="A819" t="str">
            <v/>
          </cell>
          <cell r="B819" t="str">
            <v>Patryk PŁAZA (UKS Smecz Bogatynia)</v>
          </cell>
          <cell r="H819" t="str">
            <v>P3934</v>
          </cell>
          <cell r="K819" t="str">
            <v>R3804</v>
          </cell>
          <cell r="N819" t="str">
            <v>Sebastian REGEŃCZUK (KS Match Point Ślęza)</v>
          </cell>
        </row>
        <row r="820">
          <cell r="A820" t="str">
            <v/>
          </cell>
          <cell r="B820" t="str">
            <v>Arkadiusz SŁUPEK (KS Chojnik Jelenia Góra)</v>
          </cell>
          <cell r="H820" t="str">
            <v>S3245</v>
          </cell>
          <cell r="K820" t="str">
            <v>W3805</v>
          </cell>
          <cell r="N820" t="str">
            <v>Jan WOLAŃCZYK (KS Match Point Ślęza)</v>
          </cell>
        </row>
        <row r="822">
          <cell r="B822" t="str">
            <v>zwycięzca(cy): 21:19,21:17</v>
          </cell>
          <cell r="K822" t="str">
            <v/>
          </cell>
        </row>
        <row r="823">
          <cell r="B823">
            <v>1</v>
          </cell>
          <cell r="C823" t="str">
            <v>dzień turnieju.</v>
          </cell>
          <cell r="I823" t="str">
            <v>Nr meczu</v>
          </cell>
          <cell r="N823" t="str">
            <v>Godz.</v>
          </cell>
          <cell r="R823" t="str">
            <v>S. prow.</v>
          </cell>
          <cell r="AF823" t="str">
            <v>wygrany</v>
          </cell>
          <cell r="AG823" t="str">
            <v>przegrany</v>
          </cell>
        </row>
        <row r="824">
          <cell r="B824" t="str">
            <v>Boisko</v>
          </cell>
          <cell r="C824" t="str">
            <v>Gra</v>
          </cell>
          <cell r="I824">
            <v>118</v>
          </cell>
          <cell r="N824" t="str">
            <v>rozp.</v>
          </cell>
          <cell r="P824" t="str">
            <v>zak.</v>
          </cell>
          <cell r="R824" t="str">
            <v>S. serw.</v>
          </cell>
        </row>
        <row r="825">
          <cell r="A825">
            <v>118</v>
          </cell>
          <cell r="B825">
            <v>3</v>
          </cell>
          <cell r="C825" t="str">
            <v>podwójna mężczyzn J</v>
          </cell>
          <cell r="H825">
            <v>21</v>
          </cell>
          <cell r="I825">
            <v>11</v>
          </cell>
          <cell r="J825">
            <v>21</v>
          </cell>
          <cell r="K825">
            <v>16</v>
          </cell>
          <cell r="P825">
            <v>0.86388888888888893</v>
          </cell>
          <cell r="R825">
            <v>0.86388888888888893</v>
          </cell>
          <cell r="S825" t="str">
            <v>pt 20:45</v>
          </cell>
          <cell r="X825">
            <v>118</v>
          </cell>
          <cell r="Y825" t="str">
            <v>podwójna mężczyzn J</v>
          </cell>
          <cell r="Z825" t="str">
            <v>B2621</v>
          </cell>
          <cell r="AA825" t="str">
            <v>S2695</v>
          </cell>
          <cell r="AB825" t="str">
            <v>K3149</v>
          </cell>
          <cell r="AC825" t="str">
            <v>T3923</v>
          </cell>
          <cell r="AD825" t="str">
            <v>B2621</v>
          </cell>
          <cell r="AE825" t="str">
            <v>S2695</v>
          </cell>
          <cell r="AF825" t="str">
            <v>21:11,21:16</v>
          </cell>
          <cell r="AG825" t="str">
            <v>11:21,16:21</v>
          </cell>
          <cell r="AH825" t="str">
            <v/>
          </cell>
          <cell r="AI825">
            <v>21</v>
          </cell>
          <cell r="AJ825">
            <v>11</v>
          </cell>
          <cell r="AK825">
            <v>21</v>
          </cell>
          <cell r="AL825">
            <v>16</v>
          </cell>
          <cell r="AM825">
            <v>0</v>
          </cell>
          <cell r="AN825">
            <v>0</v>
          </cell>
        </row>
        <row r="826">
          <cell r="A826" t="str">
            <v/>
          </cell>
          <cell r="B826" t="str">
            <v>Mateusz BIERNACKI (UKS Hubal Białystok)</v>
          </cell>
          <cell r="H826" t="str">
            <v>B2621</v>
          </cell>
          <cell r="K826" t="str">
            <v>K3149</v>
          </cell>
          <cell r="N826" t="str">
            <v>Dominik KRZĘCIO (AZSWAT Warszawa)</v>
          </cell>
        </row>
        <row r="827">
          <cell r="A827" t="str">
            <v/>
          </cell>
          <cell r="B827" t="str">
            <v>Przemysław SZYDŁOWSKI (LKS Technik Głubczyce)</v>
          </cell>
          <cell r="H827" t="str">
            <v>S2695</v>
          </cell>
          <cell r="K827" t="str">
            <v>T3923</v>
          </cell>
          <cell r="N827" t="str">
            <v>Paweł TOMASZEWSKI (MKS Orlicz Suchedniów)</v>
          </cell>
        </row>
        <row r="829">
          <cell r="B829" t="str">
            <v>zwycięzca(cy): 21:11,21:16</v>
          </cell>
          <cell r="K829" t="str">
            <v/>
          </cell>
        </row>
        <row r="830">
          <cell r="B830">
            <v>1</v>
          </cell>
          <cell r="C830" t="str">
            <v>dzień turnieju.</v>
          </cell>
          <cell r="I830" t="str">
            <v>Nr meczu</v>
          </cell>
          <cell r="N830" t="str">
            <v>Godz.</v>
          </cell>
          <cell r="R830" t="str">
            <v>S. prow.</v>
          </cell>
          <cell r="AF830" t="str">
            <v>wygrany</v>
          </cell>
          <cell r="AG830" t="str">
            <v>przegrany</v>
          </cell>
        </row>
        <row r="831">
          <cell r="B831" t="str">
            <v>Boisko</v>
          </cell>
          <cell r="C831" t="str">
            <v>Gra</v>
          </cell>
          <cell r="I831">
            <v>119</v>
          </cell>
          <cell r="N831" t="str">
            <v>rozp.</v>
          </cell>
          <cell r="P831" t="str">
            <v>zak.</v>
          </cell>
          <cell r="R831" t="str">
            <v>S. serw.</v>
          </cell>
        </row>
        <row r="832">
          <cell r="A832">
            <v>119</v>
          </cell>
          <cell r="B832">
            <v>5</v>
          </cell>
          <cell r="C832" t="str">
            <v>pojedyncza kobiet J</v>
          </cell>
          <cell r="H832">
            <v>13</v>
          </cell>
          <cell r="I832">
            <v>21</v>
          </cell>
          <cell r="J832">
            <v>14</v>
          </cell>
          <cell r="K832">
            <v>21</v>
          </cell>
          <cell r="P832">
            <v>0.90277777777777779</v>
          </cell>
          <cell r="R832">
            <v>0.90277777777777779</v>
          </cell>
          <cell r="S832" t="str">
            <v>pt 21:15</v>
          </cell>
          <cell r="X832">
            <v>119</v>
          </cell>
          <cell r="Y832" t="str">
            <v>pojedyncza kobiet J</v>
          </cell>
          <cell r="Z832" t="str">
            <v>B3564</v>
          </cell>
          <cell r="AA832" t="str">
            <v/>
          </cell>
          <cell r="AB832" t="str">
            <v>Ł4427</v>
          </cell>
          <cell r="AC832" t="str">
            <v/>
          </cell>
          <cell r="AD832" t="str">
            <v>Ł4427</v>
          </cell>
          <cell r="AE832" t="str">
            <v/>
          </cell>
          <cell r="AF832" t="str">
            <v>21:13,21:14</v>
          </cell>
          <cell r="AG832" t="str">
            <v>13:21,14:21</v>
          </cell>
          <cell r="AH832" t="str">
            <v/>
          </cell>
          <cell r="AI832">
            <v>13</v>
          </cell>
          <cell r="AJ832">
            <v>21</v>
          </cell>
          <cell r="AK832">
            <v>14</v>
          </cell>
          <cell r="AL832">
            <v>21</v>
          </cell>
          <cell r="AM832">
            <v>0</v>
          </cell>
          <cell r="AN832">
            <v>0</v>
          </cell>
        </row>
        <row r="833">
          <cell r="A833" t="str">
            <v/>
          </cell>
          <cell r="B833" t="str">
            <v>Kinga BARNA (UKS 2 Sobótka)</v>
          </cell>
          <cell r="H833" t="str">
            <v>B3564</v>
          </cell>
          <cell r="K833" t="str">
            <v>Ł4427</v>
          </cell>
          <cell r="N833" t="str">
            <v>Magda ŁUKASIAK (MKS Orlicz Suchedniów)</v>
          </cell>
        </row>
        <row r="834">
          <cell r="A834" t="str">
            <v/>
          </cell>
          <cell r="B834" t="str">
            <v/>
          </cell>
          <cell r="H834" t="str">
            <v/>
          </cell>
          <cell r="K834" t="str">
            <v/>
          </cell>
          <cell r="N834" t="str">
            <v/>
          </cell>
        </row>
        <row r="836">
          <cell r="B836" t="str">
            <v/>
          </cell>
          <cell r="K836" t="str">
            <v>zwycięzca(cy): 21:13,21:14</v>
          </cell>
        </row>
        <row r="837">
          <cell r="B837">
            <v>1</v>
          </cell>
          <cell r="C837" t="str">
            <v>dzień turnieju.</v>
          </cell>
          <cell r="I837" t="str">
            <v>Nr meczu</v>
          </cell>
          <cell r="N837" t="str">
            <v>Godz.</v>
          </cell>
          <cell r="R837" t="str">
            <v>S. prow.</v>
          </cell>
          <cell r="AF837" t="str">
            <v>wygrany</v>
          </cell>
          <cell r="AG837" t="str">
            <v>przegrany</v>
          </cell>
        </row>
        <row r="838">
          <cell r="B838" t="str">
            <v>Boisko</v>
          </cell>
          <cell r="C838" t="str">
            <v>Gra</v>
          </cell>
          <cell r="I838">
            <v>120</v>
          </cell>
          <cell r="N838" t="str">
            <v>rozp.</v>
          </cell>
          <cell r="P838" t="str">
            <v>zak.</v>
          </cell>
          <cell r="R838" t="str">
            <v>S. serw.</v>
          </cell>
        </row>
        <row r="839">
          <cell r="A839">
            <v>120</v>
          </cell>
          <cell r="B839">
            <v>3</v>
          </cell>
          <cell r="C839" t="str">
            <v>pojedyncza kobiet J</v>
          </cell>
          <cell r="H839">
            <v>16</v>
          </cell>
          <cell r="I839">
            <v>21</v>
          </cell>
          <cell r="J839">
            <v>16</v>
          </cell>
          <cell r="K839">
            <v>21</v>
          </cell>
          <cell r="P839">
            <v>0.88888888888888884</v>
          </cell>
          <cell r="R839">
            <v>0.88888888888888884</v>
          </cell>
          <cell r="S839" t="str">
            <v>pt 21:15</v>
          </cell>
          <cell r="X839">
            <v>120</v>
          </cell>
          <cell r="Y839" t="str">
            <v>pojedyncza kobiet J</v>
          </cell>
          <cell r="Z839" t="str">
            <v>K3151</v>
          </cell>
          <cell r="AA839" t="str">
            <v/>
          </cell>
          <cell r="AB839" t="str">
            <v>K3351</v>
          </cell>
          <cell r="AC839" t="str">
            <v/>
          </cell>
          <cell r="AD839" t="str">
            <v>K3351</v>
          </cell>
          <cell r="AE839" t="str">
            <v/>
          </cell>
          <cell r="AF839" t="str">
            <v>21:16,21:16</v>
          </cell>
          <cell r="AG839" t="str">
            <v>16:21,16:21</v>
          </cell>
          <cell r="AH839" t="str">
            <v/>
          </cell>
          <cell r="AI839">
            <v>16</v>
          </cell>
          <cell r="AJ839">
            <v>21</v>
          </cell>
          <cell r="AK839">
            <v>16</v>
          </cell>
          <cell r="AL839">
            <v>21</v>
          </cell>
          <cell r="AM839">
            <v>0</v>
          </cell>
          <cell r="AN839">
            <v>0</v>
          </cell>
        </row>
        <row r="840">
          <cell r="A840" t="str">
            <v/>
          </cell>
          <cell r="B840" t="str">
            <v>Maria KOPYT (UKSB Milenium Warszawa)</v>
          </cell>
          <cell r="H840" t="str">
            <v>K3151</v>
          </cell>
          <cell r="K840" t="str">
            <v>K3351</v>
          </cell>
          <cell r="N840" t="str">
            <v>Paulina KACZOROWSKA (KS Chojnik Jelenia Góra)</v>
          </cell>
        </row>
        <row r="841">
          <cell r="A841" t="str">
            <v/>
          </cell>
          <cell r="B841" t="str">
            <v/>
          </cell>
          <cell r="H841" t="str">
            <v/>
          </cell>
          <cell r="K841" t="str">
            <v/>
          </cell>
          <cell r="N841" t="str">
            <v/>
          </cell>
        </row>
        <row r="843">
          <cell r="B843" t="str">
            <v/>
          </cell>
          <cell r="K843" t="str">
            <v>zwycięzca(cy): 21:16,21:16</v>
          </cell>
        </row>
        <row r="844">
          <cell r="B844">
            <v>1</v>
          </cell>
          <cell r="C844" t="str">
            <v>dzień turnieju.</v>
          </cell>
          <cell r="I844" t="str">
            <v>Nr meczu</v>
          </cell>
          <cell r="N844" t="str">
            <v>Godz.</v>
          </cell>
          <cell r="R844" t="str">
            <v>S. prow.</v>
          </cell>
          <cell r="AF844" t="str">
            <v>wygrany</v>
          </cell>
          <cell r="AG844" t="str">
            <v>przegrany</v>
          </cell>
        </row>
        <row r="845">
          <cell r="B845" t="str">
            <v>Boisko</v>
          </cell>
          <cell r="C845" t="str">
            <v>Gra</v>
          </cell>
          <cell r="I845">
            <v>121</v>
          </cell>
          <cell r="N845" t="str">
            <v>rozp.</v>
          </cell>
          <cell r="P845" t="str">
            <v>zak.</v>
          </cell>
          <cell r="R845" t="str">
            <v>S. serw.</v>
          </cell>
        </row>
        <row r="846">
          <cell r="A846">
            <v>121</v>
          </cell>
          <cell r="B846">
            <v>8</v>
          </cell>
          <cell r="C846" t="str">
            <v>pojedyncza kobiet J</v>
          </cell>
          <cell r="H846">
            <v>10</v>
          </cell>
          <cell r="I846">
            <v>21</v>
          </cell>
          <cell r="J846">
            <v>9</v>
          </cell>
          <cell r="K846">
            <v>21</v>
          </cell>
          <cell r="P846">
            <v>0.89444444444444438</v>
          </cell>
          <cell r="R846">
            <v>0.89444444444444438</v>
          </cell>
          <cell r="S846" t="str">
            <v>pt 21:15</v>
          </cell>
          <cell r="X846">
            <v>121</v>
          </cell>
          <cell r="Y846" t="str">
            <v>pojedyncza kobiet J</v>
          </cell>
          <cell r="Z846" t="str">
            <v>X57</v>
          </cell>
          <cell r="AA846" t="str">
            <v/>
          </cell>
          <cell r="AB846" t="str">
            <v>P3283</v>
          </cell>
          <cell r="AC846" t="str">
            <v/>
          </cell>
          <cell r="AD846" t="str">
            <v>P3283</v>
          </cell>
          <cell r="AE846" t="str">
            <v/>
          </cell>
          <cell r="AF846" t="str">
            <v>21:10,21:9</v>
          </cell>
          <cell r="AG846" t="str">
            <v>10:21,9:21</v>
          </cell>
          <cell r="AH846" t="str">
            <v/>
          </cell>
          <cell r="AI846">
            <v>10</v>
          </cell>
          <cell r="AJ846">
            <v>21</v>
          </cell>
          <cell r="AK846">
            <v>9</v>
          </cell>
          <cell r="AL846">
            <v>21</v>
          </cell>
          <cell r="AM846">
            <v>0</v>
          </cell>
          <cell r="AN846">
            <v>0</v>
          </cell>
        </row>
        <row r="847">
          <cell r="A847" t="str">
            <v/>
          </cell>
          <cell r="B847" t="str">
            <v>Yuliya PRACH (Vinnica Ukraina)</v>
          </cell>
          <cell r="H847" t="str">
            <v>X57</v>
          </cell>
          <cell r="K847" t="str">
            <v>P3283</v>
          </cell>
          <cell r="N847" t="str">
            <v>Magdalena POPRZECZKO (UKS Badminton Stare Babice)</v>
          </cell>
        </row>
        <row r="848">
          <cell r="A848" t="str">
            <v/>
          </cell>
          <cell r="B848" t="str">
            <v/>
          </cell>
          <cell r="H848" t="str">
            <v/>
          </cell>
          <cell r="K848" t="str">
            <v/>
          </cell>
          <cell r="N848" t="str">
            <v/>
          </cell>
        </row>
        <row r="850">
          <cell r="B850" t="str">
            <v/>
          </cell>
          <cell r="K850" t="str">
            <v>zwycięzca(cy): 21:10,21:9</v>
          </cell>
        </row>
        <row r="851">
          <cell r="B851">
            <v>1</v>
          </cell>
          <cell r="C851" t="str">
            <v>dzień turnieju.</v>
          </cell>
          <cell r="I851" t="str">
            <v>Nr meczu</v>
          </cell>
          <cell r="N851" t="str">
            <v>Godz.</v>
          </cell>
          <cell r="R851" t="str">
            <v>S. prow.</v>
          </cell>
          <cell r="AF851" t="str">
            <v>wygrany</v>
          </cell>
          <cell r="AG851" t="str">
            <v>przegrany</v>
          </cell>
        </row>
        <row r="852">
          <cell r="B852" t="str">
            <v>Boisko</v>
          </cell>
          <cell r="C852" t="str">
            <v>Gra</v>
          </cell>
          <cell r="I852">
            <v>122</v>
          </cell>
          <cell r="N852" t="str">
            <v>rozp.</v>
          </cell>
          <cell r="P852" t="str">
            <v>zak.</v>
          </cell>
          <cell r="R852" t="str">
            <v>S. serw.</v>
          </cell>
        </row>
        <row r="853">
          <cell r="A853">
            <v>122</v>
          </cell>
          <cell r="B853">
            <v>2</v>
          </cell>
          <cell r="C853" t="str">
            <v>pojedyncza kobiet J</v>
          </cell>
          <cell r="H853">
            <v>21</v>
          </cell>
          <cell r="I853">
            <v>15</v>
          </cell>
          <cell r="J853">
            <v>21</v>
          </cell>
          <cell r="K853">
            <v>17</v>
          </cell>
          <cell r="P853">
            <v>0.8881944444444444</v>
          </cell>
          <cell r="R853">
            <v>0.8881944444444444</v>
          </cell>
          <cell r="S853" t="str">
            <v>pt 21:15</v>
          </cell>
          <cell r="X853">
            <v>122</v>
          </cell>
          <cell r="Y853" t="str">
            <v>pojedyncza kobiet J</v>
          </cell>
          <cell r="Z853" t="str">
            <v>X38</v>
          </cell>
          <cell r="AA853" t="str">
            <v/>
          </cell>
          <cell r="AB853" t="str">
            <v>W3960</v>
          </cell>
          <cell r="AC853" t="str">
            <v/>
          </cell>
          <cell r="AD853" t="str">
            <v>X38</v>
          </cell>
          <cell r="AE853" t="str">
            <v/>
          </cell>
          <cell r="AF853" t="str">
            <v>21:15,21:17</v>
          </cell>
          <cell r="AG853" t="str">
            <v>15:21,17:21</v>
          </cell>
          <cell r="AH853" t="str">
            <v/>
          </cell>
          <cell r="AI853">
            <v>21</v>
          </cell>
          <cell r="AJ853">
            <v>15</v>
          </cell>
          <cell r="AK853">
            <v>21</v>
          </cell>
          <cell r="AL853">
            <v>17</v>
          </cell>
          <cell r="AM853">
            <v>0</v>
          </cell>
          <cell r="AN853">
            <v>0</v>
          </cell>
        </row>
        <row r="854">
          <cell r="A854" t="str">
            <v/>
          </cell>
          <cell r="B854" t="str">
            <v>Tatiana LEMA (Lwów Ukraina)</v>
          </cell>
          <cell r="H854" t="str">
            <v>X38</v>
          </cell>
          <cell r="K854" t="str">
            <v>W3960</v>
          </cell>
          <cell r="N854" t="str">
            <v>Justyna WUDARSKA (UKS Iskra Sarbice)</v>
          </cell>
        </row>
        <row r="855">
          <cell r="A855" t="str">
            <v/>
          </cell>
          <cell r="B855" t="str">
            <v/>
          </cell>
          <cell r="H855" t="str">
            <v/>
          </cell>
          <cell r="K855" t="str">
            <v/>
          </cell>
          <cell r="N855" t="str">
            <v/>
          </cell>
        </row>
        <row r="857">
          <cell r="B857" t="str">
            <v>zwycięzca(cy): 21:15,21:17</v>
          </cell>
          <cell r="K857" t="str">
            <v/>
          </cell>
        </row>
        <row r="858">
          <cell r="B858">
            <v>1</v>
          </cell>
          <cell r="C858" t="str">
            <v>dzień turnieju.</v>
          </cell>
          <cell r="I858" t="str">
            <v>Nr meczu</v>
          </cell>
          <cell r="N858" t="str">
            <v>Godz.</v>
          </cell>
          <cell r="R858" t="str">
            <v>S. prow.</v>
          </cell>
          <cell r="AF858" t="str">
            <v>wygrany</v>
          </cell>
          <cell r="AG858" t="str">
            <v>przegrany</v>
          </cell>
        </row>
        <row r="859">
          <cell r="B859" t="str">
            <v>Boisko</v>
          </cell>
          <cell r="C859" t="str">
            <v>Gra</v>
          </cell>
          <cell r="I859">
            <v>123</v>
          </cell>
          <cell r="N859" t="str">
            <v>rozp.</v>
          </cell>
          <cell r="P859" t="str">
            <v>zak.</v>
          </cell>
          <cell r="R859" t="str">
            <v>S. serw.</v>
          </cell>
        </row>
        <row r="860">
          <cell r="A860">
            <v>123</v>
          </cell>
          <cell r="B860">
            <v>7</v>
          </cell>
          <cell r="C860" t="str">
            <v>pojedyncza kobiet J</v>
          </cell>
          <cell r="H860">
            <v>21</v>
          </cell>
          <cell r="I860">
            <v>3</v>
          </cell>
          <cell r="J860">
            <v>18</v>
          </cell>
          <cell r="K860">
            <v>21</v>
          </cell>
          <cell r="L860">
            <v>21</v>
          </cell>
          <cell r="M860">
            <v>13</v>
          </cell>
          <cell r="P860">
            <v>0.90625</v>
          </cell>
          <cell r="R860">
            <v>0.90625</v>
          </cell>
          <cell r="S860" t="str">
            <v>pt 21:15</v>
          </cell>
          <cell r="X860">
            <v>123</v>
          </cell>
          <cell r="Y860" t="str">
            <v>pojedyncza kobiet J</v>
          </cell>
          <cell r="Z860" t="str">
            <v>P2838</v>
          </cell>
          <cell r="AA860" t="str">
            <v/>
          </cell>
          <cell r="AB860" t="str">
            <v>G2661</v>
          </cell>
          <cell r="AC860" t="str">
            <v/>
          </cell>
          <cell r="AD860" t="str">
            <v>P2838</v>
          </cell>
          <cell r="AE860" t="str">
            <v/>
          </cell>
          <cell r="AF860" t="str">
            <v>21:3,18:21,21:13</v>
          </cell>
          <cell r="AG860" t="str">
            <v>3:21,21:18,13:21</v>
          </cell>
          <cell r="AH860" t="str">
            <v/>
          </cell>
          <cell r="AI860">
            <v>21</v>
          </cell>
          <cell r="AJ860">
            <v>3</v>
          </cell>
          <cell r="AK860">
            <v>18</v>
          </cell>
          <cell r="AL860">
            <v>21</v>
          </cell>
          <cell r="AM860">
            <v>21</v>
          </cell>
          <cell r="AN860">
            <v>13</v>
          </cell>
        </row>
        <row r="861">
          <cell r="A861" t="str">
            <v/>
          </cell>
          <cell r="B861" t="str">
            <v>Aleksandra PAPRZYCKA (MKB Lednik Miastko)</v>
          </cell>
          <cell r="H861" t="str">
            <v>P2838</v>
          </cell>
          <cell r="K861" t="str">
            <v>G2661</v>
          </cell>
          <cell r="N861" t="str">
            <v>Diana GŁOWACKA (LUKS Księżyno)</v>
          </cell>
        </row>
        <row r="862">
          <cell r="A862" t="str">
            <v/>
          </cell>
          <cell r="B862" t="str">
            <v/>
          </cell>
          <cell r="H862" t="str">
            <v/>
          </cell>
          <cell r="K862" t="str">
            <v/>
          </cell>
          <cell r="N862" t="str">
            <v/>
          </cell>
        </row>
        <row r="864">
          <cell r="B864" t="str">
            <v>zwycięzca(cy): 21:3,18:21,21:13</v>
          </cell>
          <cell r="K864" t="str">
            <v/>
          </cell>
        </row>
        <row r="865">
          <cell r="B865">
            <v>1</v>
          </cell>
          <cell r="C865" t="str">
            <v>dzień turnieju.</v>
          </cell>
          <cell r="I865" t="str">
            <v>Nr meczu</v>
          </cell>
          <cell r="N865" t="str">
            <v>Godz.</v>
          </cell>
          <cell r="R865" t="str">
            <v>S. prow.</v>
          </cell>
          <cell r="AF865" t="str">
            <v>wygrany</v>
          </cell>
          <cell r="AG865" t="str">
            <v>przegrany</v>
          </cell>
        </row>
        <row r="866">
          <cell r="B866" t="str">
            <v>Boisko</v>
          </cell>
          <cell r="C866" t="str">
            <v>Gra</v>
          </cell>
          <cell r="I866">
            <v>124</v>
          </cell>
          <cell r="N866" t="str">
            <v>rozp.</v>
          </cell>
          <cell r="P866" t="str">
            <v>zak.</v>
          </cell>
          <cell r="R866" t="str">
            <v>S. serw.</v>
          </cell>
        </row>
        <row r="867">
          <cell r="A867">
            <v>124</v>
          </cell>
          <cell r="B867">
            <v>4</v>
          </cell>
          <cell r="C867" t="str">
            <v>pojedyncza kobiet J</v>
          </cell>
          <cell r="H867">
            <v>21</v>
          </cell>
          <cell r="I867">
            <v>19</v>
          </cell>
          <cell r="J867">
            <v>21</v>
          </cell>
          <cell r="K867">
            <v>13</v>
          </cell>
          <cell r="P867">
            <v>0.89236111111111116</v>
          </cell>
          <cell r="R867">
            <v>0.89236111111111116</v>
          </cell>
          <cell r="S867" t="str">
            <v>pt 21:15</v>
          </cell>
          <cell r="X867">
            <v>124</v>
          </cell>
          <cell r="Y867" t="str">
            <v>pojedyncza kobiet J</v>
          </cell>
          <cell r="Z867" t="str">
            <v>S3950</v>
          </cell>
          <cell r="AA867" t="str">
            <v/>
          </cell>
          <cell r="AB867" t="str">
            <v>K3257</v>
          </cell>
          <cell r="AC867" t="str">
            <v/>
          </cell>
          <cell r="AD867" t="str">
            <v>S3950</v>
          </cell>
          <cell r="AE867" t="str">
            <v/>
          </cell>
          <cell r="AF867" t="str">
            <v>21:19,21:13</v>
          </cell>
          <cell r="AG867" t="str">
            <v>19:21,13:21</v>
          </cell>
          <cell r="AH867" t="str">
            <v/>
          </cell>
          <cell r="AI867">
            <v>21</v>
          </cell>
          <cell r="AJ867">
            <v>19</v>
          </cell>
          <cell r="AK867">
            <v>21</v>
          </cell>
          <cell r="AL867">
            <v>13</v>
          </cell>
          <cell r="AM867">
            <v>0</v>
          </cell>
          <cell r="AN867">
            <v>0</v>
          </cell>
        </row>
        <row r="868">
          <cell r="A868" t="str">
            <v/>
          </cell>
          <cell r="B868" t="str">
            <v>Klaudia SOCHA (KS Chojnik Jelenia Góra)</v>
          </cell>
          <cell r="H868" t="str">
            <v>S3950</v>
          </cell>
          <cell r="K868" t="str">
            <v>K3257</v>
          </cell>
          <cell r="N868" t="str">
            <v>Nikola KOSZMIDER (UKS Feniks Kędzierzyn-Koźle)</v>
          </cell>
        </row>
        <row r="869">
          <cell r="A869" t="str">
            <v/>
          </cell>
          <cell r="B869" t="str">
            <v/>
          </cell>
          <cell r="H869" t="str">
            <v/>
          </cell>
          <cell r="K869" t="str">
            <v/>
          </cell>
          <cell r="N869" t="str">
            <v/>
          </cell>
        </row>
        <row r="871">
          <cell r="B871" t="str">
            <v>zwycięzca(cy): 21:19,21:13</v>
          </cell>
          <cell r="K871" t="str">
            <v/>
          </cell>
        </row>
        <row r="872">
          <cell r="B872">
            <v>1</v>
          </cell>
          <cell r="C872" t="str">
            <v>dzień turnieju.</v>
          </cell>
          <cell r="I872" t="str">
            <v>Nr meczu</v>
          </cell>
          <cell r="N872" t="str">
            <v>Godz.</v>
          </cell>
          <cell r="R872" t="str">
            <v>S. prow.</v>
          </cell>
          <cell r="AF872" t="str">
            <v>wygrany</v>
          </cell>
          <cell r="AG872" t="str">
            <v>przegrany</v>
          </cell>
        </row>
        <row r="873">
          <cell r="B873" t="str">
            <v>Boisko</v>
          </cell>
          <cell r="C873" t="str">
            <v>Gra</v>
          </cell>
          <cell r="I873">
            <v>125</v>
          </cell>
          <cell r="N873" t="str">
            <v>rozp.</v>
          </cell>
          <cell r="P873" t="str">
            <v>zak.</v>
          </cell>
          <cell r="R873" t="str">
            <v>S. serw.</v>
          </cell>
        </row>
        <row r="874">
          <cell r="A874">
            <v>125</v>
          </cell>
          <cell r="B874">
            <v>8</v>
          </cell>
          <cell r="C874" t="str">
            <v>pojedyncza mężczyzn J</v>
          </cell>
          <cell r="H874">
            <v>13</v>
          </cell>
          <cell r="I874">
            <v>21</v>
          </cell>
          <cell r="J874">
            <v>18</v>
          </cell>
          <cell r="K874">
            <v>21</v>
          </cell>
          <cell r="P874">
            <v>0.91319444444444453</v>
          </cell>
          <cell r="R874">
            <v>0.91319444444444453</v>
          </cell>
          <cell r="S874" t="str">
            <v>pt 21:45</v>
          </cell>
          <cell r="X874">
            <v>125</v>
          </cell>
          <cell r="Y874" t="str">
            <v>pojedyncza mężczyzn J</v>
          </cell>
          <cell r="Z874" t="str">
            <v>U4307</v>
          </cell>
          <cell r="AA874" t="str">
            <v/>
          </cell>
          <cell r="AB874" t="str">
            <v>S3245</v>
          </cell>
          <cell r="AC874" t="str">
            <v/>
          </cell>
          <cell r="AD874" t="str">
            <v>S3245</v>
          </cell>
          <cell r="AE874" t="str">
            <v/>
          </cell>
          <cell r="AF874" t="str">
            <v>21:13,21:18</v>
          </cell>
          <cell r="AG874" t="str">
            <v>13:21,18:21</v>
          </cell>
          <cell r="AH874" t="str">
            <v/>
          </cell>
          <cell r="AI874">
            <v>13</v>
          </cell>
          <cell r="AJ874">
            <v>21</v>
          </cell>
          <cell r="AK874">
            <v>18</v>
          </cell>
          <cell r="AL874">
            <v>21</v>
          </cell>
          <cell r="AM874">
            <v>0</v>
          </cell>
          <cell r="AN874">
            <v>0</v>
          </cell>
        </row>
        <row r="875">
          <cell r="A875" t="str">
            <v/>
          </cell>
          <cell r="B875" t="str">
            <v>Michał USTIMOWICZ (LKS Technik Głubczyce)</v>
          </cell>
          <cell r="H875" t="str">
            <v>U4307</v>
          </cell>
          <cell r="K875" t="str">
            <v>S3245</v>
          </cell>
          <cell r="N875" t="str">
            <v>Arkadiusz SŁUPEK (KS Chojnik Jelenia Góra)</v>
          </cell>
        </row>
        <row r="876">
          <cell r="A876" t="str">
            <v/>
          </cell>
          <cell r="B876" t="str">
            <v/>
          </cell>
          <cell r="H876" t="str">
            <v/>
          </cell>
          <cell r="K876" t="str">
            <v/>
          </cell>
          <cell r="N876" t="str">
            <v/>
          </cell>
        </row>
        <row r="878">
          <cell r="B878" t="str">
            <v/>
          </cell>
          <cell r="K878" t="str">
            <v>zwycięzca(cy): 21:13,21:18</v>
          </cell>
        </row>
        <row r="879">
          <cell r="B879">
            <v>1</v>
          </cell>
          <cell r="C879" t="str">
            <v>dzień turnieju.</v>
          </cell>
          <cell r="I879" t="str">
            <v>Nr meczu</v>
          </cell>
          <cell r="N879" t="str">
            <v>Godz.</v>
          </cell>
          <cell r="R879" t="str">
            <v>S. prow.</v>
          </cell>
          <cell r="AF879" t="str">
            <v>wygrany</v>
          </cell>
          <cell r="AG879" t="str">
            <v>przegrany</v>
          </cell>
        </row>
        <row r="880">
          <cell r="B880" t="str">
            <v>Boisko</v>
          </cell>
          <cell r="C880" t="str">
            <v>Gra</v>
          </cell>
          <cell r="I880">
            <v>126</v>
          </cell>
          <cell r="N880" t="str">
            <v>rozp.</v>
          </cell>
          <cell r="P880" t="str">
            <v>zak.</v>
          </cell>
          <cell r="R880" t="str">
            <v>S. serw.</v>
          </cell>
        </row>
        <row r="881">
          <cell r="A881">
            <v>126</v>
          </cell>
          <cell r="B881">
            <v>6</v>
          </cell>
          <cell r="C881" t="str">
            <v>pojedyncza mężczyzn J</v>
          </cell>
          <cell r="H881">
            <v>21</v>
          </cell>
          <cell r="I881">
            <v>14</v>
          </cell>
          <cell r="J881">
            <v>21</v>
          </cell>
          <cell r="K881">
            <v>13</v>
          </cell>
          <cell r="P881">
            <v>0.90625</v>
          </cell>
          <cell r="R881">
            <v>0.90625</v>
          </cell>
          <cell r="S881" t="str">
            <v>pt 21:45</v>
          </cell>
          <cell r="X881">
            <v>126</v>
          </cell>
          <cell r="Y881" t="str">
            <v>pojedyncza mężczyzn J</v>
          </cell>
          <cell r="Z881" t="str">
            <v>W3805</v>
          </cell>
          <cell r="AA881" t="str">
            <v/>
          </cell>
          <cell r="AB881" t="str">
            <v>K4685</v>
          </cell>
          <cell r="AC881" t="str">
            <v/>
          </cell>
          <cell r="AD881" t="str">
            <v>W3805</v>
          </cell>
          <cell r="AE881" t="str">
            <v/>
          </cell>
          <cell r="AF881" t="str">
            <v>21:14,21:13</v>
          </cell>
          <cell r="AG881" t="str">
            <v>14:21,13:21</v>
          </cell>
          <cell r="AH881" t="str">
            <v/>
          </cell>
          <cell r="AI881">
            <v>21</v>
          </cell>
          <cell r="AJ881">
            <v>14</v>
          </cell>
          <cell r="AK881">
            <v>21</v>
          </cell>
          <cell r="AL881">
            <v>13</v>
          </cell>
          <cell r="AM881">
            <v>0</v>
          </cell>
          <cell r="AN881">
            <v>0</v>
          </cell>
        </row>
        <row r="882">
          <cell r="A882" t="str">
            <v/>
          </cell>
          <cell r="B882" t="str">
            <v>Jan WOLAŃCZYK (KS Match Point Ślęza)</v>
          </cell>
          <cell r="H882" t="str">
            <v>W3805</v>
          </cell>
          <cell r="K882" t="str">
            <v>K4685</v>
          </cell>
          <cell r="N882" t="str">
            <v>Patryk KOSTRZEWSKI (KSR Wolant Łódź)</v>
          </cell>
        </row>
        <row r="883">
          <cell r="A883" t="str">
            <v/>
          </cell>
          <cell r="B883" t="str">
            <v/>
          </cell>
          <cell r="H883" t="str">
            <v/>
          </cell>
          <cell r="K883" t="str">
            <v/>
          </cell>
          <cell r="N883" t="str">
            <v/>
          </cell>
        </row>
        <row r="885">
          <cell r="B885" t="str">
            <v>zwycięzca(cy): 21:14,21:13</v>
          </cell>
          <cell r="K885" t="str">
            <v/>
          </cell>
        </row>
        <row r="886">
          <cell r="B886">
            <v>1</v>
          </cell>
          <cell r="C886" t="str">
            <v>dzień turnieju.</v>
          </cell>
          <cell r="I886" t="str">
            <v>Nr meczu</v>
          </cell>
          <cell r="N886" t="str">
            <v>Godz.</v>
          </cell>
          <cell r="R886" t="str">
            <v>S. prow.</v>
          </cell>
          <cell r="S886" t="str">
            <v>JANECKI Andrzej</v>
          </cell>
          <cell r="AF886" t="str">
            <v>wygrany</v>
          </cell>
          <cell r="AG886" t="str">
            <v>przegrany</v>
          </cell>
        </row>
        <row r="887">
          <cell r="B887" t="str">
            <v>Boisko</v>
          </cell>
          <cell r="C887" t="str">
            <v>Gra</v>
          </cell>
          <cell r="I887">
            <v>127</v>
          </cell>
          <cell r="N887" t="str">
            <v>rozp.</v>
          </cell>
          <cell r="P887" t="str">
            <v>zak.</v>
          </cell>
          <cell r="R887" t="str">
            <v>S. serw.</v>
          </cell>
        </row>
        <row r="888">
          <cell r="A888">
            <v>127</v>
          </cell>
          <cell r="B888">
            <v>2</v>
          </cell>
          <cell r="C888" t="str">
            <v>pojedyncza mężczyzn J</v>
          </cell>
          <cell r="H888">
            <v>20</v>
          </cell>
          <cell r="I888">
            <v>22</v>
          </cell>
          <cell r="J888">
            <v>21</v>
          </cell>
          <cell r="K888">
            <v>9</v>
          </cell>
          <cell r="L888">
            <v>21</v>
          </cell>
          <cell r="M888">
            <v>19</v>
          </cell>
          <cell r="P888">
            <v>0.91249999999999998</v>
          </cell>
          <cell r="R888">
            <v>0.91249999999999998</v>
          </cell>
          <cell r="S888" t="str">
            <v>pt 21:45</v>
          </cell>
          <cell r="X888">
            <v>127</v>
          </cell>
          <cell r="Y888" t="str">
            <v>pojedyncza mężczyzn J</v>
          </cell>
          <cell r="Z888" t="str">
            <v>S2695</v>
          </cell>
          <cell r="AA888" t="str">
            <v/>
          </cell>
          <cell r="AB888" t="str">
            <v>W3545</v>
          </cell>
          <cell r="AC888" t="str">
            <v/>
          </cell>
          <cell r="AD888" t="str">
            <v>S2695</v>
          </cell>
          <cell r="AE888" t="str">
            <v/>
          </cell>
          <cell r="AF888" t="str">
            <v>20:22,21:9,21:19</v>
          </cell>
          <cell r="AG888" t="str">
            <v>22:20,9:21,19:21</v>
          </cell>
          <cell r="AH888" t="str">
            <v/>
          </cell>
          <cell r="AI888">
            <v>20</v>
          </cell>
          <cell r="AJ888">
            <v>22</v>
          </cell>
          <cell r="AK888">
            <v>21</v>
          </cell>
          <cell r="AL888">
            <v>9</v>
          </cell>
          <cell r="AM888">
            <v>21</v>
          </cell>
          <cell r="AN888">
            <v>19</v>
          </cell>
        </row>
        <row r="889">
          <cell r="A889" t="str">
            <v/>
          </cell>
          <cell r="B889" t="str">
            <v>Przemysław SZYDŁOWSKI (LKS Technik Głubczyce)</v>
          </cell>
          <cell r="H889" t="str">
            <v>S2695</v>
          </cell>
          <cell r="K889" t="str">
            <v>W3545</v>
          </cell>
          <cell r="N889" t="str">
            <v>Marcin WNUK (MKS Orlicz Suchedniów)</v>
          </cell>
        </row>
        <row r="890">
          <cell r="A890" t="str">
            <v/>
          </cell>
          <cell r="B890" t="str">
            <v/>
          </cell>
          <cell r="H890" t="str">
            <v/>
          </cell>
          <cell r="K890" t="str">
            <v/>
          </cell>
          <cell r="N890" t="str">
            <v/>
          </cell>
        </row>
        <row r="892">
          <cell r="B892" t="str">
            <v>zwycięzca(cy): 20:22,21:9,21:19</v>
          </cell>
          <cell r="K892" t="str">
            <v/>
          </cell>
        </row>
        <row r="893">
          <cell r="B893">
            <v>1</v>
          </cell>
          <cell r="C893" t="str">
            <v>dzień turnieju.</v>
          </cell>
          <cell r="I893" t="str">
            <v>Nr meczu</v>
          </cell>
          <cell r="N893" t="str">
            <v>Godz.</v>
          </cell>
          <cell r="R893" t="str">
            <v>S. prow.</v>
          </cell>
          <cell r="AF893" t="str">
            <v>wygrany</v>
          </cell>
          <cell r="AG893" t="str">
            <v>przegrany</v>
          </cell>
        </row>
        <row r="894">
          <cell r="B894" t="str">
            <v>Boisko</v>
          </cell>
          <cell r="C894" t="str">
            <v>Gra</v>
          </cell>
          <cell r="I894">
            <v>128</v>
          </cell>
          <cell r="N894" t="str">
            <v>rozp.</v>
          </cell>
          <cell r="P894" t="str">
            <v>zak.</v>
          </cell>
          <cell r="R894" t="str">
            <v>S. serw.</v>
          </cell>
        </row>
        <row r="895">
          <cell r="A895">
            <v>128</v>
          </cell>
          <cell r="B895">
            <v>1</v>
          </cell>
          <cell r="C895" t="str">
            <v>pojedyncza mężczyzn J</v>
          </cell>
          <cell r="H895">
            <v>30</v>
          </cell>
          <cell r="I895">
            <v>29</v>
          </cell>
          <cell r="J895">
            <v>21</v>
          </cell>
          <cell r="K895">
            <v>16</v>
          </cell>
          <cell r="P895">
            <v>0.90972222222222221</v>
          </cell>
          <cell r="R895">
            <v>0.90972222222222221</v>
          </cell>
          <cell r="S895" t="str">
            <v>pt 21:45</v>
          </cell>
          <cell r="X895">
            <v>128</v>
          </cell>
          <cell r="Y895" t="str">
            <v>pojedyncza mężczyzn J</v>
          </cell>
          <cell r="Z895" t="str">
            <v>K3935</v>
          </cell>
          <cell r="AA895" t="str">
            <v/>
          </cell>
          <cell r="AB895" t="str">
            <v>W3962</v>
          </cell>
          <cell r="AC895" t="str">
            <v/>
          </cell>
          <cell r="AD895" t="str">
            <v>K3935</v>
          </cell>
          <cell r="AE895" t="str">
            <v/>
          </cell>
          <cell r="AF895" t="str">
            <v>30:29,21:16</v>
          </cell>
          <cell r="AG895" t="str">
            <v>29:30,16:21</v>
          </cell>
          <cell r="AH895" t="str">
            <v/>
          </cell>
          <cell r="AI895">
            <v>30</v>
          </cell>
          <cell r="AJ895">
            <v>29</v>
          </cell>
          <cell r="AK895">
            <v>21</v>
          </cell>
          <cell r="AL895">
            <v>16</v>
          </cell>
          <cell r="AM895">
            <v>0</v>
          </cell>
          <cell r="AN895">
            <v>0</v>
          </cell>
        </row>
        <row r="896">
          <cell r="A896" t="str">
            <v/>
          </cell>
          <cell r="B896" t="str">
            <v>Michał KAŹMIERCZAK (UKS Feniks Kędzierzyn-Koźle)</v>
          </cell>
          <cell r="H896" t="str">
            <v>K3935</v>
          </cell>
          <cell r="K896" t="str">
            <v>W3962</v>
          </cell>
          <cell r="N896" t="str">
            <v>Sławomir WUDARSKI (UKS Iskra Sarbice)</v>
          </cell>
        </row>
        <row r="897">
          <cell r="A897" t="str">
            <v/>
          </cell>
          <cell r="B897" t="str">
            <v/>
          </cell>
          <cell r="H897" t="str">
            <v/>
          </cell>
          <cell r="K897" t="str">
            <v/>
          </cell>
          <cell r="N897" t="str">
            <v/>
          </cell>
        </row>
        <row r="899">
          <cell r="B899" t="str">
            <v>zwycięzca(cy): 30:29,21:16</v>
          </cell>
          <cell r="K899" t="str">
            <v/>
          </cell>
        </row>
        <row r="900">
          <cell r="B900">
            <v>1</v>
          </cell>
          <cell r="C900" t="str">
            <v>dzień turnieju.</v>
          </cell>
          <cell r="I900" t="str">
            <v>Nr meczu</v>
          </cell>
          <cell r="N900" t="str">
            <v>Godz.</v>
          </cell>
          <cell r="R900" t="str">
            <v>S. prow.</v>
          </cell>
          <cell r="AF900" t="str">
            <v>wygrany</v>
          </cell>
          <cell r="AG900" t="str">
            <v>przegrany</v>
          </cell>
        </row>
        <row r="901">
          <cell r="B901" t="str">
            <v>Boisko</v>
          </cell>
          <cell r="C901" t="str">
            <v>Gra</v>
          </cell>
          <cell r="I901">
            <v>129</v>
          </cell>
          <cell r="N901" t="str">
            <v>rozp.</v>
          </cell>
          <cell r="P901" t="str">
            <v>zak.</v>
          </cell>
          <cell r="R901" t="str">
            <v>S. serw.</v>
          </cell>
        </row>
        <row r="902">
          <cell r="A902">
            <v>129</v>
          </cell>
          <cell r="B902">
            <v>3</v>
          </cell>
          <cell r="C902" t="str">
            <v>pojedyncza mężczyzn J</v>
          </cell>
          <cell r="H902">
            <v>21</v>
          </cell>
          <cell r="I902">
            <v>15</v>
          </cell>
          <cell r="J902">
            <v>21</v>
          </cell>
          <cell r="K902">
            <v>15</v>
          </cell>
          <cell r="P902">
            <v>0.90625</v>
          </cell>
          <cell r="R902">
            <v>0.90625</v>
          </cell>
          <cell r="S902" t="str">
            <v>pt 21:45</v>
          </cell>
          <cell r="X902">
            <v>129</v>
          </cell>
          <cell r="Y902" t="str">
            <v>pojedyncza mężczyzn J</v>
          </cell>
          <cell r="Z902" t="str">
            <v>P3934</v>
          </cell>
          <cell r="AA902" t="str">
            <v/>
          </cell>
          <cell r="AB902" t="str">
            <v>O3926</v>
          </cell>
          <cell r="AC902" t="str">
            <v/>
          </cell>
          <cell r="AD902" t="str">
            <v>P3934</v>
          </cell>
          <cell r="AE902" t="str">
            <v/>
          </cell>
          <cell r="AF902" t="str">
            <v>21:15,21:15</v>
          </cell>
          <cell r="AG902" t="str">
            <v>15:21,15:21</v>
          </cell>
          <cell r="AH902" t="str">
            <v/>
          </cell>
          <cell r="AI902">
            <v>21</v>
          </cell>
          <cell r="AJ902">
            <v>15</v>
          </cell>
          <cell r="AK902">
            <v>21</v>
          </cell>
          <cell r="AL902">
            <v>15</v>
          </cell>
          <cell r="AM902">
            <v>0</v>
          </cell>
          <cell r="AN902">
            <v>0</v>
          </cell>
        </row>
        <row r="903">
          <cell r="A903" t="str">
            <v/>
          </cell>
          <cell r="B903" t="str">
            <v>Patryk PŁAZA (UKS Smecz Bogatynia)</v>
          </cell>
          <cell r="H903" t="str">
            <v>P3934</v>
          </cell>
          <cell r="K903" t="str">
            <v>O3926</v>
          </cell>
          <cell r="N903" t="str">
            <v>Sebastian OBRYCKI (LKS Technik Głubczyce)</v>
          </cell>
        </row>
        <row r="904">
          <cell r="A904" t="str">
            <v/>
          </cell>
          <cell r="B904" t="str">
            <v/>
          </cell>
          <cell r="H904" t="str">
            <v/>
          </cell>
          <cell r="K904" t="str">
            <v/>
          </cell>
          <cell r="N904" t="str">
            <v/>
          </cell>
        </row>
        <row r="906">
          <cell r="B906" t="str">
            <v>zwycięzca(cy): 21:15,21:15</v>
          </cell>
          <cell r="K906" t="str">
            <v/>
          </cell>
        </row>
        <row r="907">
          <cell r="B907">
            <v>1</v>
          </cell>
          <cell r="C907" t="str">
            <v>dzień turnieju.</v>
          </cell>
          <cell r="I907" t="str">
            <v>Nr meczu</v>
          </cell>
          <cell r="N907" t="str">
            <v>Godz.</v>
          </cell>
          <cell r="R907" t="str">
            <v>S. prow.</v>
          </cell>
          <cell r="AF907" t="str">
            <v>wygrany</v>
          </cell>
          <cell r="AG907" t="str">
            <v>przegrany</v>
          </cell>
        </row>
        <row r="908">
          <cell r="B908" t="str">
            <v>Boisko</v>
          </cell>
          <cell r="C908" t="str">
            <v>Gra</v>
          </cell>
          <cell r="I908">
            <v>130</v>
          </cell>
          <cell r="N908" t="str">
            <v>rozp.</v>
          </cell>
          <cell r="P908" t="str">
            <v>zak.</v>
          </cell>
          <cell r="R908" t="str">
            <v>S. serw.</v>
          </cell>
        </row>
        <row r="909">
          <cell r="A909">
            <v>130</v>
          </cell>
          <cell r="B909">
            <v>4</v>
          </cell>
          <cell r="C909" t="str">
            <v>pojedyncza mężczyzn J</v>
          </cell>
          <cell r="H909">
            <v>18</v>
          </cell>
          <cell r="I909">
            <v>21</v>
          </cell>
          <cell r="J909">
            <v>18</v>
          </cell>
          <cell r="K909">
            <v>21</v>
          </cell>
          <cell r="P909">
            <v>0.90972222222222221</v>
          </cell>
          <cell r="R909">
            <v>0.90972222222222221</v>
          </cell>
          <cell r="S909" t="str">
            <v>pt 21:45</v>
          </cell>
          <cell r="X909">
            <v>130</v>
          </cell>
          <cell r="Y909" t="str">
            <v>pojedyncza mężczyzn J</v>
          </cell>
          <cell r="Z909" t="str">
            <v>R3804</v>
          </cell>
          <cell r="AA909" t="str">
            <v/>
          </cell>
          <cell r="AB909" t="str">
            <v>P3707</v>
          </cell>
          <cell r="AC909" t="str">
            <v/>
          </cell>
          <cell r="AD909" t="str">
            <v>P3707</v>
          </cell>
          <cell r="AE909" t="str">
            <v/>
          </cell>
          <cell r="AF909" t="str">
            <v>21:18,21:18</v>
          </cell>
          <cell r="AG909" t="str">
            <v>18:21,18:21</v>
          </cell>
          <cell r="AH909" t="str">
            <v/>
          </cell>
          <cell r="AI909">
            <v>18</v>
          </cell>
          <cell r="AJ909">
            <v>21</v>
          </cell>
          <cell r="AK909">
            <v>18</v>
          </cell>
          <cell r="AL909">
            <v>21</v>
          </cell>
          <cell r="AM909">
            <v>0</v>
          </cell>
          <cell r="AN909">
            <v>0</v>
          </cell>
        </row>
        <row r="910">
          <cell r="A910" t="str">
            <v/>
          </cell>
          <cell r="B910" t="str">
            <v>Sebastian REGEŃCZUK (KS Match Point Ślęza)</v>
          </cell>
          <cell r="H910" t="str">
            <v>R3804</v>
          </cell>
          <cell r="K910" t="str">
            <v>P3707</v>
          </cell>
          <cell r="N910" t="str">
            <v>Bartosz PIEKARZ (UKS Orliki Ropica Polska)</v>
          </cell>
        </row>
        <row r="911">
          <cell r="A911" t="str">
            <v/>
          </cell>
          <cell r="B911" t="str">
            <v/>
          </cell>
          <cell r="H911" t="str">
            <v/>
          </cell>
          <cell r="K911" t="str">
            <v/>
          </cell>
          <cell r="N911" t="str">
            <v/>
          </cell>
        </row>
        <row r="913">
          <cell r="B913" t="str">
            <v/>
          </cell>
          <cell r="K913" t="str">
            <v>zwycięzca(cy): 21:18,21:18</v>
          </cell>
        </row>
        <row r="914">
          <cell r="B914">
            <v>2</v>
          </cell>
          <cell r="C914" t="str">
            <v>dzień turnieju.</v>
          </cell>
          <cell r="I914" t="str">
            <v>Nr meczu</v>
          </cell>
          <cell r="N914" t="str">
            <v>Godz.</v>
          </cell>
          <cell r="R914" t="str">
            <v>S. prow.</v>
          </cell>
          <cell r="AF914" t="str">
            <v>wygrany</v>
          </cell>
          <cell r="AG914" t="str">
            <v>przegrany</v>
          </cell>
        </row>
        <row r="915">
          <cell r="B915" t="str">
            <v>Boisko</v>
          </cell>
          <cell r="C915" t="str">
            <v>Gra</v>
          </cell>
          <cell r="I915">
            <v>131</v>
          </cell>
          <cell r="N915" t="str">
            <v>rozp.</v>
          </cell>
          <cell r="P915" t="str">
            <v>zak.</v>
          </cell>
          <cell r="R915" t="str">
            <v>S. serw.</v>
          </cell>
        </row>
        <row r="916">
          <cell r="A916">
            <v>131</v>
          </cell>
          <cell r="B916">
            <v>1</v>
          </cell>
          <cell r="C916" t="str">
            <v>mieszana JM</v>
          </cell>
          <cell r="H916">
            <v>18</v>
          </cell>
          <cell r="I916">
            <v>21</v>
          </cell>
          <cell r="J916">
            <v>14</v>
          </cell>
          <cell r="K916">
            <v>21</v>
          </cell>
          <cell r="N916">
            <v>0.41666666666666669</v>
          </cell>
          <cell r="P916">
            <v>0.43402777777777773</v>
          </cell>
          <cell r="R916">
            <v>1.7361111111111049E-2</v>
          </cell>
          <cell r="S916" t="str">
            <v>sob 10:00</v>
          </cell>
          <cell r="X916">
            <v>131</v>
          </cell>
          <cell r="Y916" t="str">
            <v>mieszana JM</v>
          </cell>
          <cell r="Z916" t="str">
            <v>R3535</v>
          </cell>
          <cell r="AA916" t="str">
            <v>X28</v>
          </cell>
          <cell r="AB916" t="str">
            <v>M3524</v>
          </cell>
          <cell r="AC916" t="str">
            <v>S3617</v>
          </cell>
          <cell r="AD916" t="str">
            <v>M3524</v>
          </cell>
          <cell r="AE916" t="str">
            <v>S3617</v>
          </cell>
          <cell r="AF916" t="str">
            <v>21:18,21:14</v>
          </cell>
          <cell r="AG916" t="str">
            <v>18:21,14:21</v>
          </cell>
          <cell r="AH916" t="str">
            <v/>
          </cell>
          <cell r="AI916">
            <v>18</v>
          </cell>
          <cell r="AJ916">
            <v>21</v>
          </cell>
          <cell r="AK916">
            <v>14</v>
          </cell>
          <cell r="AL916">
            <v>21</v>
          </cell>
          <cell r="AM916">
            <v>0</v>
          </cell>
          <cell r="AN916">
            <v>0</v>
          </cell>
        </row>
        <row r="917">
          <cell r="A917" t="str">
            <v/>
          </cell>
          <cell r="B917" t="str">
            <v>Nikodem RATKOWSKI (ZKB Maced Polanów)</v>
          </cell>
          <cell r="H917" t="str">
            <v>R3535</v>
          </cell>
          <cell r="K917" t="str">
            <v>M3524</v>
          </cell>
          <cell r="N917" t="str">
            <v>Dawid MAZUR (LKS Technik Głubczyce)</v>
          </cell>
        </row>
        <row r="918">
          <cell r="A918" t="str">
            <v/>
          </cell>
          <cell r="B918" t="str">
            <v>Yulia BAYAROUSKAYA (Białoruś)</v>
          </cell>
          <cell r="H918" t="str">
            <v>X28</v>
          </cell>
          <cell r="K918" t="str">
            <v>S3617</v>
          </cell>
          <cell r="N918" t="str">
            <v>Katarzyna SŁOMBA (UKSB Volant Mielec)</v>
          </cell>
        </row>
        <row r="920">
          <cell r="B920" t="str">
            <v/>
          </cell>
          <cell r="K920" t="str">
            <v>zwycięzca(cy): 21:18,21:14</v>
          </cell>
        </row>
        <row r="921">
          <cell r="B921">
            <v>2</v>
          </cell>
          <cell r="C921" t="str">
            <v>dzień turnieju.</v>
          </cell>
          <cell r="I921" t="str">
            <v>Nr meczu</v>
          </cell>
          <cell r="N921" t="str">
            <v>Godz.</v>
          </cell>
          <cell r="R921" t="str">
            <v>S. prow.</v>
          </cell>
          <cell r="AF921" t="str">
            <v>wygrany</v>
          </cell>
          <cell r="AG921" t="str">
            <v>przegrany</v>
          </cell>
        </row>
        <row r="922">
          <cell r="B922" t="str">
            <v>Boisko</v>
          </cell>
          <cell r="C922" t="str">
            <v>Gra</v>
          </cell>
          <cell r="I922">
            <v>132</v>
          </cell>
          <cell r="N922" t="str">
            <v>rozp.</v>
          </cell>
          <cell r="P922" t="str">
            <v>zak.</v>
          </cell>
          <cell r="R922" t="str">
            <v>S. serw.</v>
          </cell>
        </row>
        <row r="923">
          <cell r="A923">
            <v>132</v>
          </cell>
          <cell r="B923">
            <v>2</v>
          </cell>
          <cell r="C923" t="str">
            <v>mieszana JM</v>
          </cell>
          <cell r="H923">
            <v>21</v>
          </cell>
          <cell r="I923">
            <v>9</v>
          </cell>
          <cell r="J923">
            <v>21</v>
          </cell>
          <cell r="K923">
            <v>13</v>
          </cell>
          <cell r="N923">
            <v>0.41666666666666669</v>
          </cell>
          <cell r="P923">
            <v>0.43055555555555558</v>
          </cell>
          <cell r="R923">
            <v>1.3888888888888895E-2</v>
          </cell>
          <cell r="S923" t="str">
            <v>sob 10:00</v>
          </cell>
          <cell r="X923">
            <v>132</v>
          </cell>
          <cell r="Y923" t="str">
            <v>mieszana JM</v>
          </cell>
          <cell r="Z923" t="str">
            <v>J3436</v>
          </cell>
          <cell r="AA923" t="str">
            <v>K3437</v>
          </cell>
          <cell r="AB923" t="str">
            <v>B4388</v>
          </cell>
          <cell r="AC923" t="str">
            <v>B4184</v>
          </cell>
          <cell r="AD923" t="str">
            <v>J3436</v>
          </cell>
          <cell r="AE923" t="str">
            <v>K3437</v>
          </cell>
          <cell r="AF923" t="str">
            <v>21:9,21:13</v>
          </cell>
          <cell r="AG923" t="str">
            <v>9:21,13:21</v>
          </cell>
          <cell r="AH923" t="str">
            <v/>
          </cell>
          <cell r="AI923">
            <v>21</v>
          </cell>
          <cell r="AJ923">
            <v>9</v>
          </cell>
          <cell r="AK923">
            <v>21</v>
          </cell>
          <cell r="AL923">
            <v>13</v>
          </cell>
          <cell r="AM923">
            <v>0</v>
          </cell>
          <cell r="AN923">
            <v>0</v>
          </cell>
        </row>
        <row r="924">
          <cell r="A924" t="str">
            <v/>
          </cell>
          <cell r="B924" t="str">
            <v>Patryk JAS (UKS Kometa Sianów)</v>
          </cell>
          <cell r="H924" t="str">
            <v>J3436</v>
          </cell>
          <cell r="K924" t="str">
            <v>B4388</v>
          </cell>
          <cell r="N924" t="str">
            <v>Adrian BONDAROW (SKB Suwałki)</v>
          </cell>
        </row>
        <row r="925">
          <cell r="A925" t="str">
            <v/>
          </cell>
          <cell r="B925" t="str">
            <v>Kornelia KOWALCZYK (UKS Kometa Sianów)</v>
          </cell>
          <cell r="H925" t="str">
            <v>K3437</v>
          </cell>
          <cell r="K925" t="str">
            <v>B4184</v>
          </cell>
          <cell r="N925" t="str">
            <v>Milena BAŁON (SKB Suwałki)</v>
          </cell>
        </row>
        <row r="927">
          <cell r="B927" t="str">
            <v>zwycięzca(cy): 21:9,21:13</v>
          </cell>
          <cell r="K927" t="str">
            <v/>
          </cell>
        </row>
        <row r="928">
          <cell r="B928">
            <v>2</v>
          </cell>
          <cell r="C928" t="str">
            <v>dzień turnieju.</v>
          </cell>
          <cell r="I928" t="str">
            <v>Nr meczu</v>
          </cell>
          <cell r="N928" t="str">
            <v>Godz.</v>
          </cell>
          <cell r="R928" t="str">
            <v>S. prow.</v>
          </cell>
          <cell r="S928" t="str">
            <v>JANECKI Andrzej</v>
          </cell>
          <cell r="AF928" t="str">
            <v>wygrany</v>
          </cell>
          <cell r="AG928" t="str">
            <v>przegrany</v>
          </cell>
        </row>
        <row r="929">
          <cell r="B929" t="str">
            <v>Boisko</v>
          </cell>
          <cell r="C929" t="str">
            <v>Gra</v>
          </cell>
          <cell r="I929">
            <v>133</v>
          </cell>
          <cell r="N929" t="str">
            <v>rozp.</v>
          </cell>
          <cell r="P929" t="str">
            <v>zak.</v>
          </cell>
          <cell r="R929" t="str">
            <v>S. serw.</v>
          </cell>
        </row>
        <row r="930">
          <cell r="A930">
            <v>133</v>
          </cell>
          <cell r="B930">
            <v>3</v>
          </cell>
          <cell r="C930" t="str">
            <v>mieszana JM</v>
          </cell>
          <cell r="H930">
            <v>6</v>
          </cell>
          <cell r="I930">
            <v>21</v>
          </cell>
          <cell r="J930">
            <v>5</v>
          </cell>
          <cell r="K930">
            <v>21</v>
          </cell>
          <cell r="N930">
            <v>0.41666666666666669</v>
          </cell>
          <cell r="P930">
            <v>0.43055555555555558</v>
          </cell>
          <cell r="R930">
            <v>1.3888888888888895E-2</v>
          </cell>
          <cell r="S930" t="str">
            <v>sob 10:00</v>
          </cell>
          <cell r="X930">
            <v>133</v>
          </cell>
          <cell r="Y930" t="str">
            <v>mieszana JM</v>
          </cell>
          <cell r="Z930" t="str">
            <v>S4544</v>
          </cell>
          <cell r="AA930" t="str">
            <v>B5199</v>
          </cell>
          <cell r="AB930" t="str">
            <v>X56</v>
          </cell>
          <cell r="AC930" t="str">
            <v>X20</v>
          </cell>
          <cell r="AD930" t="str">
            <v>X56</v>
          </cell>
          <cell r="AE930" t="str">
            <v>X20</v>
          </cell>
          <cell r="AF930" t="str">
            <v>21:6,21:5</v>
          </cell>
          <cell r="AG930" t="str">
            <v>6:21,5:21</v>
          </cell>
          <cell r="AH930" t="str">
            <v/>
          </cell>
          <cell r="AI930">
            <v>6</v>
          </cell>
          <cell r="AJ930">
            <v>21</v>
          </cell>
          <cell r="AK930">
            <v>5</v>
          </cell>
          <cell r="AL930">
            <v>21</v>
          </cell>
          <cell r="AM930">
            <v>0</v>
          </cell>
          <cell r="AN930">
            <v>0</v>
          </cell>
        </row>
        <row r="931">
          <cell r="A931" t="str">
            <v/>
          </cell>
          <cell r="B931" t="str">
            <v>Paweł SZWEDA (MKB Lednik Miastko)</v>
          </cell>
          <cell r="H931" t="str">
            <v>S4544</v>
          </cell>
          <cell r="K931" t="str">
            <v>X56</v>
          </cell>
          <cell r="N931" t="str">
            <v>Artem TKACHUK (Vinnica Ukraina)</v>
          </cell>
        </row>
        <row r="932">
          <cell r="A932" t="str">
            <v/>
          </cell>
          <cell r="B932" t="str">
            <v>Olivia BATKO (MKB Lednik Miastko)</v>
          </cell>
          <cell r="H932" t="str">
            <v>B5199</v>
          </cell>
          <cell r="K932" t="str">
            <v>X20</v>
          </cell>
          <cell r="N932" t="str">
            <v>Inna SEBOVA (Vinnica Ukraina)</v>
          </cell>
        </row>
        <row r="934">
          <cell r="B934" t="str">
            <v/>
          </cell>
          <cell r="K934" t="str">
            <v>zwycięzca(cy): 21:6,21:5</v>
          </cell>
        </row>
        <row r="935">
          <cell r="B935">
            <v>2</v>
          </cell>
          <cell r="C935" t="str">
            <v>dzień turnieju.</v>
          </cell>
          <cell r="I935" t="str">
            <v>Nr meczu</v>
          </cell>
          <cell r="N935" t="str">
            <v>Godz.</v>
          </cell>
          <cell r="R935" t="str">
            <v>S. prow.</v>
          </cell>
          <cell r="AF935" t="str">
            <v>wygrany</v>
          </cell>
          <cell r="AG935" t="str">
            <v>przegrany</v>
          </cell>
        </row>
        <row r="936">
          <cell r="B936" t="str">
            <v>Boisko</v>
          </cell>
          <cell r="C936" t="str">
            <v>Gra</v>
          </cell>
          <cell r="I936">
            <v>134</v>
          </cell>
          <cell r="N936" t="str">
            <v>rozp.</v>
          </cell>
          <cell r="P936" t="str">
            <v>zak.</v>
          </cell>
          <cell r="R936" t="str">
            <v>S. serw.</v>
          </cell>
        </row>
        <row r="937">
          <cell r="A937">
            <v>134</v>
          </cell>
          <cell r="B937">
            <v>4</v>
          </cell>
          <cell r="C937" t="str">
            <v>mieszana JM</v>
          </cell>
          <cell r="H937">
            <v>21</v>
          </cell>
          <cell r="I937">
            <v>17</v>
          </cell>
          <cell r="J937">
            <v>17</v>
          </cell>
          <cell r="K937">
            <v>21</v>
          </cell>
          <cell r="L937">
            <v>21</v>
          </cell>
          <cell r="M937">
            <v>13</v>
          </cell>
          <cell r="N937">
            <v>0.41666666666666669</v>
          </cell>
          <cell r="P937">
            <v>0.44097222222222227</v>
          </cell>
          <cell r="R937">
            <v>2.430555555555558E-2</v>
          </cell>
          <cell r="S937" t="str">
            <v>sob 10:00</v>
          </cell>
          <cell r="X937">
            <v>134</v>
          </cell>
          <cell r="Y937" t="str">
            <v>mieszana JM</v>
          </cell>
          <cell r="Z937" t="str">
            <v>W4049</v>
          </cell>
          <cell r="AA937" t="str">
            <v>C3958</v>
          </cell>
          <cell r="AB937" t="str">
            <v>F4256</v>
          </cell>
          <cell r="AC937" t="str">
            <v>K4207</v>
          </cell>
          <cell r="AD937" t="str">
            <v>W4049</v>
          </cell>
          <cell r="AE937" t="str">
            <v>C3958</v>
          </cell>
          <cell r="AF937" t="str">
            <v>21:17,17:21,21:13</v>
          </cell>
          <cell r="AG937" t="str">
            <v>17:21,21:17,13:21</v>
          </cell>
          <cell r="AH937" t="str">
            <v/>
          </cell>
          <cell r="AI937">
            <v>21</v>
          </cell>
          <cell r="AJ937">
            <v>17</v>
          </cell>
          <cell r="AK937">
            <v>17</v>
          </cell>
          <cell r="AL937">
            <v>21</v>
          </cell>
          <cell r="AM937">
            <v>21</v>
          </cell>
          <cell r="AN937">
            <v>13</v>
          </cell>
        </row>
        <row r="938">
          <cell r="A938" t="str">
            <v/>
          </cell>
          <cell r="B938" t="str">
            <v>Kamil WUDARSKI (UKS Iskra Sarbice)</v>
          </cell>
          <cell r="H938" t="str">
            <v>W4049</v>
          </cell>
          <cell r="K938" t="str">
            <v>F4256</v>
          </cell>
          <cell r="N938" t="str">
            <v>Kacper FRYSZCZYN (KS Hubertus Zalesie Górne)</v>
          </cell>
        </row>
        <row r="939">
          <cell r="A939" t="str">
            <v/>
          </cell>
          <cell r="B939" t="str">
            <v>Milena CICHOMSKA (UKS Iskra Sarbice)</v>
          </cell>
          <cell r="H939" t="str">
            <v>C3958</v>
          </cell>
          <cell r="K939" t="str">
            <v>K4207</v>
          </cell>
          <cell r="N939" t="str">
            <v>Urszula KARWOWSKA (UKSB Milenium Warszawa)</v>
          </cell>
        </row>
        <row r="941">
          <cell r="B941" t="str">
            <v>zwycięzca(cy): 21:17,17:21,21:13</v>
          </cell>
          <cell r="K941" t="str">
            <v/>
          </cell>
        </row>
        <row r="942">
          <cell r="B942">
            <v>2</v>
          </cell>
          <cell r="C942" t="str">
            <v>dzień turnieju.</v>
          </cell>
          <cell r="I942" t="str">
            <v>Nr meczu</v>
          </cell>
          <cell r="N942" t="str">
            <v>Godz.</v>
          </cell>
          <cell r="R942" t="str">
            <v>S. prow.</v>
          </cell>
          <cell r="AF942" t="str">
            <v>wygrany</v>
          </cell>
          <cell r="AG942" t="str">
            <v>przegrany</v>
          </cell>
        </row>
        <row r="943">
          <cell r="B943" t="str">
            <v>Boisko</v>
          </cell>
          <cell r="C943" t="str">
            <v>Gra</v>
          </cell>
          <cell r="I943">
            <v>135</v>
          </cell>
          <cell r="N943" t="str">
            <v>rozp.</v>
          </cell>
          <cell r="P943" t="str">
            <v>zak.</v>
          </cell>
          <cell r="R943" t="str">
            <v>S. serw.</v>
          </cell>
        </row>
        <row r="944">
          <cell r="A944">
            <v>135</v>
          </cell>
          <cell r="B944">
            <v>5</v>
          </cell>
          <cell r="C944" t="str">
            <v>mieszana JM</v>
          </cell>
          <cell r="H944">
            <v>21</v>
          </cell>
          <cell r="I944">
            <v>17</v>
          </cell>
          <cell r="J944">
            <v>21</v>
          </cell>
          <cell r="K944">
            <v>14</v>
          </cell>
          <cell r="N944">
            <v>0.41666666666666669</v>
          </cell>
          <cell r="P944">
            <v>0.43611111111111112</v>
          </cell>
          <cell r="R944">
            <v>1.9444444444444431E-2</v>
          </cell>
          <cell r="S944" t="str">
            <v>sob 10:00</v>
          </cell>
          <cell r="X944">
            <v>135</v>
          </cell>
          <cell r="Y944" t="str">
            <v>mieszana JM</v>
          </cell>
          <cell r="Z944" t="str">
            <v>M3704</v>
          </cell>
          <cell r="AA944" t="str">
            <v>M3661</v>
          </cell>
          <cell r="AB944" t="str">
            <v>F4048</v>
          </cell>
          <cell r="AC944" t="str">
            <v>M3959</v>
          </cell>
          <cell r="AD944" t="str">
            <v>M3704</v>
          </cell>
          <cell r="AE944" t="str">
            <v>M3661</v>
          </cell>
          <cell r="AF944" t="str">
            <v>21:17,21:14</v>
          </cell>
          <cell r="AG944" t="str">
            <v>17:21,14:21</v>
          </cell>
          <cell r="AH944" t="str">
            <v/>
          </cell>
          <cell r="AI944">
            <v>21</v>
          </cell>
          <cell r="AJ944">
            <v>17</v>
          </cell>
          <cell r="AK944">
            <v>21</v>
          </cell>
          <cell r="AL944">
            <v>14</v>
          </cell>
          <cell r="AM944">
            <v>0</v>
          </cell>
          <cell r="AN944">
            <v>0</v>
          </cell>
        </row>
        <row r="945">
          <cell r="A945" t="str">
            <v/>
          </cell>
          <cell r="B945" t="str">
            <v>Rafał MARKOWICZ (UKS Orliki Ropica Polska)</v>
          </cell>
          <cell r="H945" t="str">
            <v>M3704</v>
          </cell>
          <cell r="K945" t="str">
            <v>F4048</v>
          </cell>
          <cell r="N945" t="str">
            <v>Konrad FRĄTCZAK (UKS Iskra Sarbice)</v>
          </cell>
        </row>
        <row r="946">
          <cell r="A946" t="str">
            <v/>
          </cell>
          <cell r="B946" t="str">
            <v>Magdalena MACHNIK (UKS Orbitek Straszęcin)</v>
          </cell>
          <cell r="H946" t="str">
            <v>M3661</v>
          </cell>
          <cell r="K946" t="str">
            <v>M3959</v>
          </cell>
          <cell r="N946" t="str">
            <v>Łucja MIGAS (UKS Iskra Sarbice)</v>
          </cell>
        </row>
        <row r="948">
          <cell r="B948" t="str">
            <v>zwycięzca(cy): 21:17,21:14</v>
          </cell>
          <cell r="K948" t="str">
            <v/>
          </cell>
        </row>
        <row r="949">
          <cell r="B949">
            <v>2</v>
          </cell>
          <cell r="C949" t="str">
            <v>dzień turnieju.</v>
          </cell>
          <cell r="I949" t="str">
            <v>Nr meczu</v>
          </cell>
          <cell r="N949" t="str">
            <v>Godz.</v>
          </cell>
          <cell r="R949" t="str">
            <v>S. prow.</v>
          </cell>
          <cell r="AF949" t="str">
            <v>wygrany</v>
          </cell>
          <cell r="AG949" t="str">
            <v>przegrany</v>
          </cell>
        </row>
        <row r="950">
          <cell r="B950" t="str">
            <v>Boisko</v>
          </cell>
          <cell r="C950" t="str">
            <v>Gra</v>
          </cell>
          <cell r="I950">
            <v>136</v>
          </cell>
          <cell r="N950" t="str">
            <v>rozp.</v>
          </cell>
          <cell r="P950" t="str">
            <v>zak.</v>
          </cell>
          <cell r="R950" t="str">
            <v>S. serw.</v>
          </cell>
        </row>
        <row r="951">
          <cell r="A951">
            <v>136</v>
          </cell>
          <cell r="B951">
            <v>6</v>
          </cell>
          <cell r="C951" t="str">
            <v>mieszana JM</v>
          </cell>
          <cell r="H951">
            <v>21</v>
          </cell>
          <cell r="I951">
            <v>17</v>
          </cell>
          <cell r="J951">
            <v>14</v>
          </cell>
          <cell r="K951">
            <v>21</v>
          </cell>
          <cell r="L951">
            <v>13</v>
          </cell>
          <cell r="M951">
            <v>21</v>
          </cell>
          <cell r="N951">
            <v>0.41666666666666669</v>
          </cell>
          <cell r="P951">
            <v>0.44444444444444442</v>
          </cell>
          <cell r="R951">
            <v>2.7777777777777735E-2</v>
          </cell>
          <cell r="S951" t="str">
            <v>sob 10:00</v>
          </cell>
          <cell r="X951">
            <v>136</v>
          </cell>
          <cell r="Y951" t="str">
            <v>mieszana JM</v>
          </cell>
          <cell r="Z951" t="str">
            <v>D3323</v>
          </cell>
          <cell r="AA951" t="str">
            <v>W4435</v>
          </cell>
          <cell r="AB951" t="str">
            <v>M4193</v>
          </cell>
          <cell r="AC951" t="str">
            <v>M3790</v>
          </cell>
          <cell r="AD951" t="str">
            <v>M4193</v>
          </cell>
          <cell r="AE951" t="str">
            <v>M3790</v>
          </cell>
          <cell r="AF951" t="str">
            <v>17:21,21:14,21:13</v>
          </cell>
          <cell r="AG951" t="str">
            <v>21:17,14:21,13:21</v>
          </cell>
          <cell r="AH951" t="str">
            <v/>
          </cell>
          <cell r="AI951">
            <v>21</v>
          </cell>
          <cell r="AJ951">
            <v>17</v>
          </cell>
          <cell r="AK951">
            <v>14</v>
          </cell>
          <cell r="AL951">
            <v>21</v>
          </cell>
          <cell r="AM951">
            <v>13</v>
          </cell>
          <cell r="AN951">
            <v>21</v>
          </cell>
        </row>
        <row r="952">
          <cell r="A952" t="str">
            <v/>
          </cell>
          <cell r="B952" t="str">
            <v>Mateusz DANIELAK (KKS Ruch Piotrków Tryb.)</v>
          </cell>
          <cell r="H952" t="str">
            <v>D3323</v>
          </cell>
          <cell r="K952" t="str">
            <v>M4193</v>
          </cell>
          <cell r="N952" t="str">
            <v>Robert MIRGA (LKS Technik Głubczyce)</v>
          </cell>
        </row>
        <row r="953">
          <cell r="A953" t="str">
            <v/>
          </cell>
          <cell r="B953" t="str">
            <v>Karolina WŁADZIŃSKA (----)</v>
          </cell>
          <cell r="H953" t="str">
            <v>W4435</v>
          </cell>
          <cell r="K953" t="str">
            <v>M3790</v>
          </cell>
          <cell r="N953" t="str">
            <v>Kornelia MARCZAK (UKS Plesbad Pszczyna)</v>
          </cell>
        </row>
        <row r="955">
          <cell r="B955" t="str">
            <v/>
          </cell>
          <cell r="K955" t="str">
            <v>zwycięzca(cy): 17:21,21:14,21:13</v>
          </cell>
        </row>
        <row r="956">
          <cell r="B956">
            <v>2</v>
          </cell>
          <cell r="C956" t="str">
            <v>dzień turnieju.</v>
          </cell>
          <cell r="I956" t="str">
            <v>Nr meczu</v>
          </cell>
          <cell r="N956" t="str">
            <v>Godz.</v>
          </cell>
          <cell r="R956" t="str">
            <v>S. prow.</v>
          </cell>
          <cell r="AF956" t="str">
            <v>wygrany</v>
          </cell>
          <cell r="AG956" t="str">
            <v>przegrany</v>
          </cell>
        </row>
        <row r="957">
          <cell r="B957" t="str">
            <v>Boisko</v>
          </cell>
          <cell r="C957" t="str">
            <v>Gra</v>
          </cell>
          <cell r="I957">
            <v>137</v>
          </cell>
          <cell r="N957" t="str">
            <v>rozp.</v>
          </cell>
          <cell r="P957" t="str">
            <v>zak.</v>
          </cell>
          <cell r="R957" t="str">
            <v>S. serw.</v>
          </cell>
        </row>
        <row r="958">
          <cell r="A958">
            <v>137</v>
          </cell>
          <cell r="B958">
            <v>7</v>
          </cell>
          <cell r="C958" t="str">
            <v>mieszana JM</v>
          </cell>
          <cell r="H958">
            <v>21</v>
          </cell>
          <cell r="I958">
            <v>17</v>
          </cell>
          <cell r="J958">
            <v>18</v>
          </cell>
          <cell r="K958">
            <v>21</v>
          </cell>
          <cell r="L958">
            <v>21</v>
          </cell>
          <cell r="M958">
            <v>11</v>
          </cell>
          <cell r="N958">
            <v>0.41666666666666669</v>
          </cell>
          <cell r="P958">
            <v>0.44791666666666669</v>
          </cell>
          <cell r="R958">
            <v>3.125E-2</v>
          </cell>
          <cell r="S958" t="str">
            <v>sob 10:00</v>
          </cell>
          <cell r="X958">
            <v>137</v>
          </cell>
          <cell r="Y958" t="str">
            <v>mieszana JM</v>
          </cell>
          <cell r="Z958" t="str">
            <v>K4248</v>
          </cell>
          <cell r="AA958" t="str">
            <v>R3686</v>
          </cell>
          <cell r="AB958" t="str">
            <v>P4202</v>
          </cell>
          <cell r="AC958" t="str">
            <v>B4205</v>
          </cell>
          <cell r="AD958" t="str">
            <v>K4248</v>
          </cell>
          <cell r="AE958" t="str">
            <v>R3686</v>
          </cell>
          <cell r="AF958" t="str">
            <v>21:17,18:21,21:11</v>
          </cell>
          <cell r="AG958" t="str">
            <v>17:21,21:18,11:21</v>
          </cell>
          <cell r="AH958" t="str">
            <v/>
          </cell>
          <cell r="AI958">
            <v>21</v>
          </cell>
          <cell r="AJ958">
            <v>17</v>
          </cell>
          <cell r="AK958">
            <v>18</v>
          </cell>
          <cell r="AL958">
            <v>21</v>
          </cell>
          <cell r="AM958">
            <v>21</v>
          </cell>
          <cell r="AN958">
            <v>11</v>
          </cell>
        </row>
        <row r="959">
          <cell r="A959" t="str">
            <v/>
          </cell>
          <cell r="B959" t="str">
            <v>Michał KIKOSICKI (KSR Wolant Łódź)</v>
          </cell>
          <cell r="H959" t="str">
            <v>K4248</v>
          </cell>
          <cell r="K959" t="str">
            <v>P4202</v>
          </cell>
          <cell r="N959" t="str">
            <v>Bartłomiej PARYSZ (UKS Unia Bieruń)</v>
          </cell>
        </row>
        <row r="960">
          <cell r="A960" t="str">
            <v/>
          </cell>
          <cell r="B960" t="str">
            <v>Julita RYBAŁT (UKS Hubal Białystok)</v>
          </cell>
          <cell r="H960" t="str">
            <v>R3686</v>
          </cell>
          <cell r="K960" t="str">
            <v>B4205</v>
          </cell>
          <cell r="N960" t="str">
            <v>Daniela BIELIŃSKA (UKS Unia Bieruń)</v>
          </cell>
        </row>
        <row r="962">
          <cell r="B962" t="str">
            <v>zwycięzca(cy): 21:17,18:21,21:11</v>
          </cell>
          <cell r="K962" t="str">
            <v/>
          </cell>
        </row>
        <row r="963">
          <cell r="B963">
            <v>2</v>
          </cell>
          <cell r="C963" t="str">
            <v>dzień turnieju.</v>
          </cell>
          <cell r="I963" t="str">
            <v>Nr meczu</v>
          </cell>
          <cell r="N963" t="str">
            <v>Godz.</v>
          </cell>
          <cell r="R963" t="str">
            <v>S. prow.</v>
          </cell>
          <cell r="AF963" t="str">
            <v>wygrany</v>
          </cell>
          <cell r="AG963" t="str">
            <v>przegrany</v>
          </cell>
        </row>
        <row r="964">
          <cell r="B964" t="str">
            <v>Boisko</v>
          </cell>
          <cell r="C964" t="str">
            <v>Gra</v>
          </cell>
          <cell r="I964">
            <v>138</v>
          </cell>
          <cell r="N964" t="str">
            <v>rozp.</v>
          </cell>
          <cell r="P964" t="str">
            <v>zak.</v>
          </cell>
          <cell r="R964" t="str">
            <v>S. serw.</v>
          </cell>
        </row>
        <row r="965">
          <cell r="A965">
            <v>138</v>
          </cell>
          <cell r="B965">
            <v>3</v>
          </cell>
          <cell r="C965" t="str">
            <v>podwójna dziewcząt JM</v>
          </cell>
          <cell r="H965">
            <v>21</v>
          </cell>
          <cell r="I965">
            <v>14</v>
          </cell>
          <cell r="J965">
            <v>16</v>
          </cell>
          <cell r="K965">
            <v>21</v>
          </cell>
          <cell r="L965">
            <v>16</v>
          </cell>
          <cell r="M965">
            <v>21</v>
          </cell>
          <cell r="P965">
            <v>0.47916666666666669</v>
          </cell>
          <cell r="R965">
            <v>0.47916666666666669</v>
          </cell>
          <cell r="S965" t="str">
            <v>sob 10:30</v>
          </cell>
          <cell r="X965">
            <v>138</v>
          </cell>
          <cell r="Y965" t="str">
            <v>podwójna dziewcząt JM</v>
          </cell>
          <cell r="Z965" t="str">
            <v>K4207</v>
          </cell>
          <cell r="AA965" t="str">
            <v>N3738</v>
          </cell>
          <cell r="AB965" t="str">
            <v>X28</v>
          </cell>
          <cell r="AC965" t="str">
            <v>G4721</v>
          </cell>
          <cell r="AD965" t="str">
            <v>X28</v>
          </cell>
          <cell r="AE965" t="str">
            <v>G4721</v>
          </cell>
          <cell r="AF965" t="str">
            <v>14:21,21:16,21:16</v>
          </cell>
          <cell r="AG965" t="str">
            <v>21:14,16:21,16:21</v>
          </cell>
          <cell r="AH965" t="str">
            <v/>
          </cell>
          <cell r="AI965">
            <v>21</v>
          </cell>
          <cell r="AJ965">
            <v>14</v>
          </cell>
          <cell r="AK965">
            <v>16</v>
          </cell>
          <cell r="AL965">
            <v>21</v>
          </cell>
          <cell r="AM965">
            <v>16</v>
          </cell>
          <cell r="AN965">
            <v>21</v>
          </cell>
        </row>
        <row r="966">
          <cell r="A966" t="str">
            <v/>
          </cell>
          <cell r="B966" t="str">
            <v>Urszula KARWOWSKA (UKSB Milenium Warszawa)</v>
          </cell>
          <cell r="H966" t="str">
            <v>K4207</v>
          </cell>
          <cell r="K966" t="str">
            <v>X28</v>
          </cell>
          <cell r="N966" t="str">
            <v>Yulia BAYAROUSKAYA (Białoruś)</v>
          </cell>
        </row>
        <row r="967">
          <cell r="A967" t="str">
            <v/>
          </cell>
          <cell r="B967" t="str">
            <v>Aneta NIKLAS (ULKS U-2 Lotka Bytów)</v>
          </cell>
          <cell r="H967" t="str">
            <v>N3738</v>
          </cell>
          <cell r="K967" t="str">
            <v>G4721</v>
          </cell>
          <cell r="N967" t="str">
            <v>Kinga GURZ (UKS Sokół Ropczyce)</v>
          </cell>
        </row>
        <row r="969">
          <cell r="B969" t="str">
            <v/>
          </cell>
          <cell r="K969" t="str">
            <v>zwycięzca(cy): 14:21,21:16,21:16</v>
          </cell>
        </row>
        <row r="970">
          <cell r="B970">
            <v>2</v>
          </cell>
          <cell r="C970" t="str">
            <v>dzień turnieju.</v>
          </cell>
          <cell r="I970" t="str">
            <v>Nr meczu</v>
          </cell>
          <cell r="N970" t="str">
            <v>Godz.</v>
          </cell>
          <cell r="R970" t="str">
            <v>S. prow.</v>
          </cell>
          <cell r="AF970" t="str">
            <v>wygrany</v>
          </cell>
          <cell r="AG970" t="str">
            <v>przegrany</v>
          </cell>
        </row>
        <row r="971">
          <cell r="B971" t="str">
            <v>Boisko</v>
          </cell>
          <cell r="C971" t="str">
            <v>Gra</v>
          </cell>
          <cell r="I971">
            <v>139</v>
          </cell>
          <cell r="N971" t="str">
            <v>rozp.</v>
          </cell>
          <cell r="P971" t="str">
            <v>zak.</v>
          </cell>
          <cell r="R971" t="str">
            <v>S. serw.</v>
          </cell>
        </row>
        <row r="972">
          <cell r="A972">
            <v>139</v>
          </cell>
          <cell r="B972">
            <v>8</v>
          </cell>
          <cell r="C972" t="str">
            <v>podwójna dziewcząt JM</v>
          </cell>
          <cell r="H972">
            <v>21</v>
          </cell>
          <cell r="I972">
            <v>13</v>
          </cell>
          <cell r="J972">
            <v>21</v>
          </cell>
          <cell r="K972">
            <v>13</v>
          </cell>
          <cell r="N972">
            <v>0.41666666666666669</v>
          </cell>
          <cell r="P972">
            <v>0.4375</v>
          </cell>
          <cell r="R972">
            <v>2.0833333333333315E-2</v>
          </cell>
          <cell r="S972" t="str">
            <v>sob 10:30</v>
          </cell>
          <cell r="X972">
            <v>139</v>
          </cell>
          <cell r="Y972" t="str">
            <v>podwójna dziewcząt JM</v>
          </cell>
          <cell r="Z972" t="str">
            <v>C3958</v>
          </cell>
          <cell r="AA972" t="str">
            <v>M3959</v>
          </cell>
          <cell r="AB972" t="str">
            <v>K4084</v>
          </cell>
          <cell r="AC972" t="str">
            <v>R3720</v>
          </cell>
          <cell r="AD972" t="str">
            <v>C3958</v>
          </cell>
          <cell r="AE972" t="str">
            <v>M3959</v>
          </cell>
          <cell r="AF972" t="str">
            <v>21:13,21:13</v>
          </cell>
          <cell r="AG972" t="str">
            <v>13:21,13:21</v>
          </cell>
          <cell r="AH972" t="str">
            <v/>
          </cell>
          <cell r="AI972">
            <v>21</v>
          </cell>
          <cell r="AJ972">
            <v>13</v>
          </cell>
          <cell r="AK972">
            <v>21</v>
          </cell>
          <cell r="AL972">
            <v>13</v>
          </cell>
          <cell r="AM972">
            <v>0</v>
          </cell>
          <cell r="AN972">
            <v>0</v>
          </cell>
        </row>
        <row r="973">
          <cell r="A973" t="str">
            <v/>
          </cell>
          <cell r="B973" t="str">
            <v>Milena CICHOMSKA (UKS Iskra Sarbice)</v>
          </cell>
          <cell r="H973" t="str">
            <v>C3958</v>
          </cell>
          <cell r="K973" t="str">
            <v>K4084</v>
          </cell>
          <cell r="N973" t="str">
            <v>Magdalena KOKOSZKA (AZSWAT Warszawa)</v>
          </cell>
        </row>
        <row r="974">
          <cell r="A974" t="str">
            <v/>
          </cell>
          <cell r="B974" t="str">
            <v>Łucja MIGAS (UKS Iskra Sarbice)</v>
          </cell>
          <cell r="H974" t="str">
            <v>M3959</v>
          </cell>
          <cell r="K974" t="str">
            <v>R3720</v>
          </cell>
          <cell r="N974" t="str">
            <v>Barbara RUTKOWSKA (ŚKBad Harcownik Warszawa)</v>
          </cell>
        </row>
        <row r="976">
          <cell r="B976" t="str">
            <v>zwycięzca(cy): 21:13,21:13</v>
          </cell>
          <cell r="K976" t="str">
            <v/>
          </cell>
        </row>
        <row r="977">
          <cell r="B977">
            <v>2</v>
          </cell>
          <cell r="C977" t="str">
            <v>dzień turnieju.</v>
          </cell>
          <cell r="I977" t="str">
            <v>Nr meczu</v>
          </cell>
          <cell r="N977" t="str">
            <v>Godz.</v>
          </cell>
          <cell r="R977" t="str">
            <v>S. prow.</v>
          </cell>
          <cell r="AF977" t="str">
            <v>wygrany</v>
          </cell>
          <cell r="AG977" t="str">
            <v>przegrany</v>
          </cell>
        </row>
        <row r="978">
          <cell r="B978" t="str">
            <v>Boisko</v>
          </cell>
          <cell r="C978" t="str">
            <v>Gra</v>
          </cell>
          <cell r="I978">
            <v>140</v>
          </cell>
          <cell r="N978" t="str">
            <v>rozp.</v>
          </cell>
          <cell r="P978" t="str">
            <v>zak.</v>
          </cell>
          <cell r="R978" t="str">
            <v>S. serw.</v>
          </cell>
        </row>
        <row r="979">
          <cell r="A979">
            <v>140</v>
          </cell>
          <cell r="B979">
            <v>5</v>
          </cell>
          <cell r="C979" t="str">
            <v>podwójna dziewcząt JM</v>
          </cell>
          <cell r="H979">
            <v>11</v>
          </cell>
          <cell r="I979">
            <v>21</v>
          </cell>
          <cell r="J979">
            <v>11</v>
          </cell>
          <cell r="K979">
            <v>21</v>
          </cell>
          <cell r="P979">
            <v>0.47222222222222227</v>
          </cell>
          <cell r="R979">
            <v>0.47222222222222227</v>
          </cell>
          <cell r="S979" t="str">
            <v>sob 10:30</v>
          </cell>
          <cell r="X979">
            <v>140</v>
          </cell>
          <cell r="Y979" t="str">
            <v>podwójna dziewcząt JM</v>
          </cell>
          <cell r="Z979" t="str">
            <v>B4205</v>
          </cell>
          <cell r="AA979" t="str">
            <v>I4204</v>
          </cell>
          <cell r="AB979" t="str">
            <v>X19</v>
          </cell>
          <cell r="AC979" t="str">
            <v>X20</v>
          </cell>
          <cell r="AD979" t="str">
            <v>X19</v>
          </cell>
          <cell r="AE979" t="str">
            <v>X20</v>
          </cell>
          <cell r="AF979" t="str">
            <v>21:11,21:11</v>
          </cell>
          <cell r="AG979" t="str">
            <v>11:21,11:21</v>
          </cell>
          <cell r="AH979" t="str">
            <v/>
          </cell>
          <cell r="AI979">
            <v>11</v>
          </cell>
          <cell r="AJ979">
            <v>21</v>
          </cell>
          <cell r="AK979">
            <v>11</v>
          </cell>
          <cell r="AL979">
            <v>21</v>
          </cell>
          <cell r="AM979">
            <v>0</v>
          </cell>
          <cell r="AN979">
            <v>0</v>
          </cell>
        </row>
        <row r="980">
          <cell r="A980" t="str">
            <v/>
          </cell>
          <cell r="B980" t="str">
            <v>Daniela BIELIŃSKA (UKS Unia Bieruń)</v>
          </cell>
          <cell r="H980" t="str">
            <v>B4205</v>
          </cell>
          <cell r="K980" t="str">
            <v>X19</v>
          </cell>
          <cell r="N980" t="str">
            <v>Oleksandra LUGOVYKH (Vinnica Ukraina)</v>
          </cell>
        </row>
        <row r="981">
          <cell r="A981" t="str">
            <v/>
          </cell>
          <cell r="B981" t="str">
            <v>Agata ISKRA (UKS Unia Bieruń)</v>
          </cell>
          <cell r="H981" t="str">
            <v>I4204</v>
          </cell>
          <cell r="K981" t="str">
            <v>X20</v>
          </cell>
          <cell r="N981" t="str">
            <v>Inna SEBOVA (Vinnica Ukraina)</v>
          </cell>
        </row>
        <row r="983">
          <cell r="B983" t="str">
            <v/>
          </cell>
          <cell r="K983" t="str">
            <v>zwycięzca(cy): 21:11,21:11</v>
          </cell>
        </row>
        <row r="984">
          <cell r="B984">
            <v>2</v>
          </cell>
          <cell r="C984" t="str">
            <v>dzień turnieju.</v>
          </cell>
          <cell r="I984" t="str">
            <v>Nr meczu</v>
          </cell>
          <cell r="N984" t="str">
            <v>Godz.</v>
          </cell>
          <cell r="R984" t="str">
            <v>S. prow.</v>
          </cell>
          <cell r="AF984" t="str">
            <v>wygrany</v>
          </cell>
          <cell r="AG984" t="str">
            <v>przegrany</v>
          </cell>
        </row>
        <row r="985">
          <cell r="B985" t="str">
            <v>Boisko</v>
          </cell>
          <cell r="C985" t="str">
            <v>Gra</v>
          </cell>
          <cell r="I985">
            <v>141</v>
          </cell>
          <cell r="N985" t="str">
            <v>rozp.</v>
          </cell>
          <cell r="P985" t="str">
            <v>zak.</v>
          </cell>
          <cell r="R985" t="str">
            <v>S. serw.</v>
          </cell>
        </row>
        <row r="986">
          <cell r="A986">
            <v>141</v>
          </cell>
          <cell r="B986">
            <v>1</v>
          </cell>
          <cell r="C986" t="str">
            <v>podwójna dziewcząt JM</v>
          </cell>
          <cell r="H986">
            <v>21</v>
          </cell>
          <cell r="I986">
            <v>17</v>
          </cell>
          <cell r="J986">
            <v>21</v>
          </cell>
          <cell r="K986">
            <v>10</v>
          </cell>
          <cell r="P986">
            <v>0.48125000000000001</v>
          </cell>
          <cell r="R986">
            <v>0.48125000000000001</v>
          </cell>
          <cell r="S986" t="str">
            <v>sob 10:30</v>
          </cell>
          <cell r="X986">
            <v>141</v>
          </cell>
          <cell r="Y986" t="str">
            <v>podwójna dziewcząt JM</v>
          </cell>
          <cell r="Z986" t="str">
            <v>J3786</v>
          </cell>
          <cell r="AA986" t="str">
            <v>M3661</v>
          </cell>
          <cell r="AB986" t="str">
            <v>R3686</v>
          </cell>
          <cell r="AC986" t="str">
            <v>S3951</v>
          </cell>
          <cell r="AD986" t="str">
            <v>J3786</v>
          </cell>
          <cell r="AE986" t="str">
            <v>M3661</v>
          </cell>
          <cell r="AF986" t="str">
            <v>21:17,21:10</v>
          </cell>
          <cell r="AG986" t="str">
            <v>17:21,10:21</v>
          </cell>
          <cell r="AH986" t="str">
            <v/>
          </cell>
          <cell r="AI986">
            <v>21</v>
          </cell>
          <cell r="AJ986">
            <v>17</v>
          </cell>
          <cell r="AK986">
            <v>21</v>
          </cell>
          <cell r="AL986">
            <v>10</v>
          </cell>
          <cell r="AM986">
            <v>0</v>
          </cell>
          <cell r="AN986">
            <v>0</v>
          </cell>
        </row>
        <row r="987">
          <cell r="A987" t="str">
            <v/>
          </cell>
          <cell r="B987" t="str">
            <v>Emilia JAWORSKA (MKS Spartakus Niepołomice)</v>
          </cell>
          <cell r="H987" t="str">
            <v>J3786</v>
          </cell>
          <cell r="K987" t="str">
            <v>R3686</v>
          </cell>
          <cell r="N987" t="str">
            <v>Julita RYBAŁT (UKS Hubal Białystok)</v>
          </cell>
        </row>
        <row r="988">
          <cell r="A988" t="str">
            <v/>
          </cell>
          <cell r="B988" t="str">
            <v>Magdalena MACHNIK (UKS Orbitek Straszęcin)</v>
          </cell>
          <cell r="H988" t="str">
            <v>M3661</v>
          </cell>
          <cell r="K988" t="str">
            <v>S3951</v>
          </cell>
          <cell r="N988" t="str">
            <v>Oliwia SOCHA (KS Chojnik Jelenia Góra)</v>
          </cell>
        </row>
        <row r="990">
          <cell r="B990" t="str">
            <v>zwycięzca(cy): 21:17,21:10</v>
          </cell>
          <cell r="K990" t="str">
            <v/>
          </cell>
        </row>
        <row r="991">
          <cell r="B991">
            <v>2</v>
          </cell>
          <cell r="C991" t="str">
            <v>dzień turnieju.</v>
          </cell>
          <cell r="I991" t="str">
            <v>Nr meczu</v>
          </cell>
          <cell r="N991" t="str">
            <v>Godz.</v>
          </cell>
          <cell r="R991" t="str">
            <v>S. prow.</v>
          </cell>
          <cell r="AF991" t="str">
            <v>wygrany</v>
          </cell>
          <cell r="AG991" t="str">
            <v>przegrany</v>
          </cell>
        </row>
        <row r="992">
          <cell r="B992" t="str">
            <v>Boisko</v>
          </cell>
          <cell r="C992" t="str">
            <v>Gra</v>
          </cell>
          <cell r="I992">
            <v>142</v>
          </cell>
          <cell r="N992" t="str">
            <v>rozp.</v>
          </cell>
          <cell r="P992" t="str">
            <v>zak.</v>
          </cell>
          <cell r="R992" t="str">
            <v>S. serw.</v>
          </cell>
        </row>
        <row r="993">
          <cell r="A993">
            <v>142</v>
          </cell>
          <cell r="B993">
            <v>4</v>
          </cell>
          <cell r="C993" t="str">
            <v>podwójna dziewcząt JM</v>
          </cell>
          <cell r="H993">
            <v>22</v>
          </cell>
          <cell r="I993">
            <v>20</v>
          </cell>
          <cell r="J993">
            <v>18</v>
          </cell>
          <cell r="K993">
            <v>21</v>
          </cell>
          <cell r="L993">
            <v>25</v>
          </cell>
          <cell r="M993">
            <v>23</v>
          </cell>
          <cell r="P993">
            <v>0.48958333333333331</v>
          </cell>
          <cell r="R993">
            <v>0.48958333333333331</v>
          </cell>
          <cell r="S993" t="str">
            <v>sob 10:30</v>
          </cell>
          <cell r="X993">
            <v>142</v>
          </cell>
          <cell r="Y993" t="str">
            <v>podwójna dziewcząt JM</v>
          </cell>
          <cell r="Z993" t="str">
            <v>Ś3779</v>
          </cell>
          <cell r="AA993" t="str">
            <v>W4435</v>
          </cell>
          <cell r="AB993" t="str">
            <v>S3617</v>
          </cell>
          <cell r="AC993" t="str">
            <v>S4168</v>
          </cell>
          <cell r="AD993" t="str">
            <v>Ś3779</v>
          </cell>
          <cell r="AE993" t="str">
            <v>W4435</v>
          </cell>
          <cell r="AF993" t="str">
            <v>22:20,18:21,25:23</v>
          </cell>
          <cell r="AG993" t="str">
            <v>20:22,21:18,23:25</v>
          </cell>
          <cell r="AH993" t="str">
            <v/>
          </cell>
          <cell r="AI993">
            <v>22</v>
          </cell>
          <cell r="AJ993">
            <v>20</v>
          </cell>
          <cell r="AK993">
            <v>18</v>
          </cell>
          <cell r="AL993">
            <v>21</v>
          </cell>
          <cell r="AM993">
            <v>25</v>
          </cell>
          <cell r="AN993">
            <v>23</v>
          </cell>
        </row>
        <row r="994">
          <cell r="A994" t="str">
            <v/>
          </cell>
          <cell r="B994" t="str">
            <v>Magdalena ŚWIERCZYŃSKA (UKS Orkan Przeźmierowo)</v>
          </cell>
          <cell r="H994" t="str">
            <v>Ś3779</v>
          </cell>
          <cell r="K994" t="str">
            <v>S3617</v>
          </cell>
          <cell r="N994" t="str">
            <v>Katarzyna SŁOMBA (UKSB Volant Mielec)</v>
          </cell>
        </row>
        <row r="995">
          <cell r="A995" t="str">
            <v/>
          </cell>
          <cell r="B995" t="str">
            <v>Karolina WŁADZIŃSKA (----)</v>
          </cell>
          <cell r="H995" t="str">
            <v>W4435</v>
          </cell>
          <cell r="K995" t="str">
            <v>S4168</v>
          </cell>
          <cell r="N995" t="str">
            <v>Agnieszka SZYMASZEK (UKS Orbitek Straszęcin)</v>
          </cell>
        </row>
        <row r="997">
          <cell r="B997" t="str">
            <v>zwycięzca(cy): 22:20,18:21,25:23</v>
          </cell>
          <cell r="K997" t="str">
            <v/>
          </cell>
        </row>
        <row r="998">
          <cell r="B998">
            <v>2</v>
          </cell>
          <cell r="C998" t="str">
            <v>dzień turnieju.</v>
          </cell>
          <cell r="I998" t="str">
            <v>Nr meczu</v>
          </cell>
          <cell r="N998" t="str">
            <v>Godz.</v>
          </cell>
          <cell r="R998" t="str">
            <v>S. prow.</v>
          </cell>
          <cell r="AF998" t="str">
            <v>wygrany</v>
          </cell>
          <cell r="AG998" t="str">
            <v>przegrany</v>
          </cell>
        </row>
        <row r="999">
          <cell r="B999" t="str">
            <v>Boisko</v>
          </cell>
          <cell r="C999" t="str">
            <v>Gra</v>
          </cell>
          <cell r="I999">
            <v>143</v>
          </cell>
          <cell r="N999" t="str">
            <v>rozp.</v>
          </cell>
          <cell r="P999" t="str">
            <v>zak.</v>
          </cell>
          <cell r="R999" t="str">
            <v>S. serw.</v>
          </cell>
        </row>
        <row r="1000">
          <cell r="A1000">
            <v>143</v>
          </cell>
          <cell r="B1000">
            <v>1</v>
          </cell>
          <cell r="C1000" t="str">
            <v>podwójna chłopców JM</v>
          </cell>
          <cell r="H1000">
            <v>21</v>
          </cell>
          <cell r="I1000">
            <v>0</v>
          </cell>
          <cell r="J1000">
            <v>21</v>
          </cell>
          <cell r="K1000">
            <v>0</v>
          </cell>
          <cell r="P1000">
            <v>0.4548611111111111</v>
          </cell>
          <cell r="R1000">
            <v>0.4548611111111111</v>
          </cell>
          <cell r="S1000" t="str">
            <v>sob 10:30</v>
          </cell>
          <cell r="X1000">
            <v>143</v>
          </cell>
          <cell r="Y1000" t="str">
            <v>podwójna chłopców JM</v>
          </cell>
          <cell r="Z1000" t="str">
            <v>F4048</v>
          </cell>
          <cell r="AA1000" t="str">
            <v>W4049</v>
          </cell>
          <cell r="AB1000" t="str">
            <v>M3704</v>
          </cell>
          <cell r="AC1000" t="str">
            <v>S4731</v>
          </cell>
          <cell r="AD1000" t="str">
            <v>F4048</v>
          </cell>
          <cell r="AE1000" t="str">
            <v>W4049</v>
          </cell>
          <cell r="AF1000" t="str">
            <v>21:0,21:0</v>
          </cell>
          <cell r="AG1000" t="str">
            <v>0:21,0:21</v>
          </cell>
          <cell r="AH1000" t="str">
            <v/>
          </cell>
          <cell r="AI1000">
            <v>21</v>
          </cell>
          <cell r="AJ1000">
            <v>0</v>
          </cell>
          <cell r="AK1000">
            <v>21</v>
          </cell>
          <cell r="AL1000">
            <v>0</v>
          </cell>
          <cell r="AM1000">
            <v>0</v>
          </cell>
          <cell r="AN1000">
            <v>0</v>
          </cell>
        </row>
        <row r="1001">
          <cell r="A1001" t="str">
            <v/>
          </cell>
          <cell r="B1001" t="str">
            <v>Konrad FRĄTCZAK (UKS Iskra Sarbice)</v>
          </cell>
          <cell r="H1001" t="str">
            <v>F4048</v>
          </cell>
          <cell r="K1001" t="str">
            <v>M3704</v>
          </cell>
          <cell r="N1001" t="str">
            <v>Rafał MARKOWICZ (UKS Orliki Ropica Polska)</v>
          </cell>
        </row>
        <row r="1002">
          <cell r="A1002" t="str">
            <v/>
          </cell>
          <cell r="B1002" t="str">
            <v>Kamil WUDARSKI (UKS Iskra Sarbice)</v>
          </cell>
          <cell r="H1002" t="str">
            <v>W4049</v>
          </cell>
          <cell r="K1002" t="str">
            <v>S4731</v>
          </cell>
          <cell r="N1002" t="str">
            <v>Michał SIERAK (UKS Orliki Ropica Polska)</v>
          </cell>
        </row>
        <row r="1004">
          <cell r="B1004" t="str">
            <v>zwycięzca(cy): 21:0,21:0</v>
          </cell>
          <cell r="K1004" t="str">
            <v/>
          </cell>
        </row>
        <row r="1005">
          <cell r="B1005">
            <v>2</v>
          </cell>
          <cell r="C1005" t="str">
            <v>dzień turnieju.</v>
          </cell>
          <cell r="I1005" t="str">
            <v>Nr meczu</v>
          </cell>
          <cell r="N1005" t="str">
            <v>Godz.</v>
          </cell>
          <cell r="R1005" t="str">
            <v>S. prow.</v>
          </cell>
          <cell r="AF1005" t="str">
            <v>wygrany</v>
          </cell>
          <cell r="AG1005" t="str">
            <v>przegrany</v>
          </cell>
        </row>
        <row r="1006">
          <cell r="B1006" t="str">
            <v>Boisko</v>
          </cell>
          <cell r="C1006" t="str">
            <v>Gra</v>
          </cell>
          <cell r="I1006">
            <v>144</v>
          </cell>
          <cell r="N1006" t="str">
            <v>rozp.</v>
          </cell>
          <cell r="P1006" t="str">
            <v>zak.</v>
          </cell>
          <cell r="R1006" t="str">
            <v>S. serw.</v>
          </cell>
        </row>
        <row r="1007">
          <cell r="A1007">
            <v>144</v>
          </cell>
          <cell r="B1007">
            <v>8</v>
          </cell>
          <cell r="C1007" t="str">
            <v>podwójna chłopców JM</v>
          </cell>
          <cell r="H1007">
            <v>14</v>
          </cell>
          <cell r="I1007">
            <v>21</v>
          </cell>
          <cell r="J1007">
            <v>14</v>
          </cell>
          <cell r="K1007">
            <v>21</v>
          </cell>
          <cell r="P1007">
            <v>0.4548611111111111</v>
          </cell>
          <cell r="R1007">
            <v>0.4548611111111111</v>
          </cell>
          <cell r="S1007" t="str">
            <v>sob 10:30</v>
          </cell>
          <cell r="X1007">
            <v>144</v>
          </cell>
          <cell r="Y1007" t="str">
            <v>podwójna chłopców JM</v>
          </cell>
          <cell r="Z1007" t="str">
            <v>G4333</v>
          </cell>
          <cell r="AA1007" t="str">
            <v>L4037</v>
          </cell>
          <cell r="AB1007" t="str">
            <v>X41</v>
          </cell>
          <cell r="AC1007" t="str">
            <v>X39</v>
          </cell>
          <cell r="AD1007" t="str">
            <v>X41</v>
          </cell>
          <cell r="AE1007" t="str">
            <v>X39</v>
          </cell>
          <cell r="AF1007" t="str">
            <v>21:14,21:14</v>
          </cell>
          <cell r="AG1007" t="str">
            <v>14:21,14:21</v>
          </cell>
          <cell r="AH1007" t="str">
            <v/>
          </cell>
          <cell r="AI1007">
            <v>14</v>
          </cell>
          <cell r="AJ1007">
            <v>21</v>
          </cell>
          <cell r="AK1007">
            <v>14</v>
          </cell>
          <cell r="AL1007">
            <v>21</v>
          </cell>
          <cell r="AM1007">
            <v>0</v>
          </cell>
          <cell r="AN1007">
            <v>0</v>
          </cell>
        </row>
        <row r="1008">
          <cell r="A1008" t="str">
            <v/>
          </cell>
          <cell r="B1008" t="str">
            <v>Michał GIELECKI (UKS Kiko Zamość)</v>
          </cell>
          <cell r="H1008" t="str">
            <v>G4333</v>
          </cell>
          <cell r="K1008" t="str">
            <v>X41</v>
          </cell>
          <cell r="N1008" t="str">
            <v>Marek Kufa  (Slavoj Cesky Tesin)</v>
          </cell>
        </row>
        <row r="1009">
          <cell r="A1009" t="str">
            <v/>
          </cell>
          <cell r="B1009" t="str">
            <v>Patryk LEPIANKA (UKS Kiko Zamość)</v>
          </cell>
          <cell r="H1009" t="str">
            <v>L4037</v>
          </cell>
          <cell r="K1009" t="str">
            <v>X39</v>
          </cell>
          <cell r="N1009" t="str">
            <v>Adam Šářec  (Slavoj Cesky Tesin)</v>
          </cell>
        </row>
        <row r="1011">
          <cell r="B1011" t="str">
            <v/>
          </cell>
          <cell r="K1011" t="str">
            <v>zwycięzca(cy): 21:14,21:14</v>
          </cell>
        </row>
        <row r="1012">
          <cell r="B1012">
            <v>2</v>
          </cell>
          <cell r="C1012" t="str">
            <v>dzień turnieju.</v>
          </cell>
          <cell r="I1012" t="str">
            <v>Nr meczu</v>
          </cell>
          <cell r="N1012" t="str">
            <v>Godz.</v>
          </cell>
          <cell r="R1012" t="str">
            <v>S. prow.</v>
          </cell>
          <cell r="AF1012" t="str">
            <v>wygrany</v>
          </cell>
          <cell r="AG1012" t="str">
            <v>przegrany</v>
          </cell>
        </row>
        <row r="1013">
          <cell r="B1013" t="str">
            <v>Boisko</v>
          </cell>
          <cell r="C1013" t="str">
            <v>Gra</v>
          </cell>
          <cell r="I1013">
            <v>145</v>
          </cell>
          <cell r="N1013" t="str">
            <v>rozp.</v>
          </cell>
          <cell r="P1013" t="str">
            <v>zak.</v>
          </cell>
          <cell r="R1013" t="str">
            <v>S. serw.</v>
          </cell>
        </row>
        <row r="1014">
          <cell r="A1014">
            <v>145</v>
          </cell>
          <cell r="B1014">
            <v>5</v>
          </cell>
          <cell r="C1014" t="str">
            <v>podwójna chłopców JM</v>
          </cell>
          <cell r="H1014">
            <v>21</v>
          </cell>
          <cell r="I1014">
            <v>18</v>
          </cell>
          <cell r="J1014">
            <v>21</v>
          </cell>
          <cell r="K1014">
            <v>10</v>
          </cell>
          <cell r="P1014">
            <v>0.45624999999999999</v>
          </cell>
          <cell r="R1014">
            <v>0.45624999999999999</v>
          </cell>
          <cell r="S1014" t="str">
            <v>sob 10:30</v>
          </cell>
          <cell r="X1014">
            <v>145</v>
          </cell>
          <cell r="Y1014" t="str">
            <v>podwójna chłopców JM</v>
          </cell>
          <cell r="Z1014" t="str">
            <v>B4079</v>
          </cell>
          <cell r="AA1014" t="str">
            <v>L4078</v>
          </cell>
          <cell r="AB1014" t="str">
            <v>J5591</v>
          </cell>
          <cell r="AC1014" t="str">
            <v>X56</v>
          </cell>
          <cell r="AD1014" t="str">
            <v>B4079</v>
          </cell>
          <cell r="AE1014" t="str">
            <v>L4078</v>
          </cell>
          <cell r="AF1014" t="str">
            <v>21:18,21:10</v>
          </cell>
          <cell r="AG1014" t="str">
            <v>18:21,10:21</v>
          </cell>
          <cell r="AH1014" t="str">
            <v/>
          </cell>
          <cell r="AI1014">
            <v>21</v>
          </cell>
          <cell r="AJ1014">
            <v>18</v>
          </cell>
          <cell r="AK1014">
            <v>21</v>
          </cell>
          <cell r="AL1014">
            <v>10</v>
          </cell>
          <cell r="AM1014">
            <v>0</v>
          </cell>
          <cell r="AN1014">
            <v>0</v>
          </cell>
        </row>
        <row r="1015">
          <cell r="A1015" t="str">
            <v/>
          </cell>
          <cell r="B1015" t="str">
            <v>Kamil BARTKIEWICZ (UKS Ząbkowice Dąbrowa Górn.)</v>
          </cell>
          <cell r="H1015" t="str">
            <v>B4079</v>
          </cell>
          <cell r="K1015" t="str">
            <v>J5591</v>
          </cell>
          <cell r="N1015" t="str">
            <v>Łukasz JABŁOŃSKI (KSR Wolant Łódź)</v>
          </cell>
        </row>
        <row r="1016">
          <cell r="A1016" t="str">
            <v/>
          </cell>
          <cell r="B1016" t="str">
            <v>Norbert LECH (UKS Ząbkowice Dąbrowa Górn.)</v>
          </cell>
          <cell r="H1016" t="str">
            <v>L4078</v>
          </cell>
          <cell r="K1016" t="str">
            <v>X56</v>
          </cell>
          <cell r="N1016" t="str">
            <v>Artem TKACHUK (Vinnica Ukraina)</v>
          </cell>
        </row>
        <row r="1018">
          <cell r="B1018" t="str">
            <v>zwycięzca(cy): 21:18,21:10</v>
          </cell>
          <cell r="K1018" t="str">
            <v/>
          </cell>
        </row>
        <row r="1019">
          <cell r="B1019">
            <v>2</v>
          </cell>
          <cell r="C1019" t="str">
            <v>dzień turnieju.</v>
          </cell>
          <cell r="I1019" t="str">
            <v>Nr meczu</v>
          </cell>
          <cell r="N1019" t="str">
            <v>Godz.</v>
          </cell>
          <cell r="R1019" t="str">
            <v>S. prow.</v>
          </cell>
          <cell r="AF1019" t="str">
            <v>wygrany</v>
          </cell>
          <cell r="AG1019" t="str">
            <v>przegrany</v>
          </cell>
        </row>
        <row r="1020">
          <cell r="B1020" t="str">
            <v>Boisko</v>
          </cell>
          <cell r="C1020" t="str">
            <v>Gra</v>
          </cell>
          <cell r="I1020">
            <v>146</v>
          </cell>
          <cell r="N1020" t="str">
            <v>rozp.</v>
          </cell>
          <cell r="P1020" t="str">
            <v>zak.</v>
          </cell>
          <cell r="R1020" t="str">
            <v>S. serw.</v>
          </cell>
        </row>
        <row r="1021">
          <cell r="A1021">
            <v>146</v>
          </cell>
          <cell r="B1021">
            <v>2</v>
          </cell>
          <cell r="C1021" t="str">
            <v>podwójna chłopców JM</v>
          </cell>
          <cell r="H1021">
            <v>21</v>
          </cell>
          <cell r="I1021">
            <v>16</v>
          </cell>
          <cell r="J1021">
            <v>20</v>
          </cell>
          <cell r="K1021">
            <v>22</v>
          </cell>
          <cell r="L1021">
            <v>21</v>
          </cell>
          <cell r="M1021">
            <v>14</v>
          </cell>
          <cell r="P1021">
            <v>0.4826388888888889</v>
          </cell>
          <cell r="R1021">
            <v>0.4826388888888889</v>
          </cell>
          <cell r="S1021" t="str">
            <v>sob 10:30</v>
          </cell>
          <cell r="X1021">
            <v>146</v>
          </cell>
          <cell r="Y1021" t="str">
            <v>podwójna chłopców JM</v>
          </cell>
          <cell r="Z1021" t="str">
            <v>M3524</v>
          </cell>
          <cell r="AA1021" t="str">
            <v>M4193</v>
          </cell>
          <cell r="AB1021" t="str">
            <v>X10</v>
          </cell>
          <cell r="AC1021" t="str">
            <v>X11</v>
          </cell>
          <cell r="AD1021" t="str">
            <v>M3524</v>
          </cell>
          <cell r="AE1021" t="str">
            <v>M4193</v>
          </cell>
          <cell r="AF1021" t="str">
            <v>21:16,20:22,21:14</v>
          </cell>
          <cell r="AG1021" t="str">
            <v>16:21,22:20,14:21</v>
          </cell>
          <cell r="AH1021" t="str">
            <v/>
          </cell>
          <cell r="AI1021">
            <v>21</v>
          </cell>
          <cell r="AJ1021">
            <v>16</v>
          </cell>
          <cell r="AK1021">
            <v>20</v>
          </cell>
          <cell r="AL1021">
            <v>22</v>
          </cell>
          <cell r="AM1021">
            <v>21</v>
          </cell>
          <cell r="AN1021">
            <v>14</v>
          </cell>
        </row>
        <row r="1022">
          <cell r="A1022" t="str">
            <v/>
          </cell>
          <cell r="B1022" t="str">
            <v>Dawid MAZUR (LKS Technik Głubczyce)</v>
          </cell>
          <cell r="H1022" t="str">
            <v>M3524</v>
          </cell>
          <cell r="K1022" t="str">
            <v>X10</v>
          </cell>
          <cell r="N1022" t="str">
            <v>Dmitry KUSIMITSKI (Brześć Białoruś)</v>
          </cell>
        </row>
        <row r="1023">
          <cell r="A1023" t="str">
            <v/>
          </cell>
          <cell r="B1023" t="str">
            <v>Robert MIRGA (LKS Technik Głubczyce)</v>
          </cell>
          <cell r="H1023" t="str">
            <v>M4193</v>
          </cell>
          <cell r="K1023" t="str">
            <v>X11</v>
          </cell>
          <cell r="N1023" t="str">
            <v>Pavel SUGAEV (Brześć Białoruś)</v>
          </cell>
        </row>
        <row r="1025">
          <cell r="B1025" t="str">
            <v>zwycięzca(cy): 21:16,20:22,21:14</v>
          </cell>
          <cell r="K1025" t="str">
            <v/>
          </cell>
        </row>
        <row r="1026">
          <cell r="B1026">
            <v>2</v>
          </cell>
          <cell r="C1026" t="str">
            <v>dzień turnieju.</v>
          </cell>
          <cell r="I1026" t="str">
            <v>Nr meczu</v>
          </cell>
          <cell r="N1026" t="str">
            <v>Godz.</v>
          </cell>
          <cell r="R1026" t="str">
            <v>S. prow.</v>
          </cell>
          <cell r="AF1026" t="str">
            <v>wygrany</v>
          </cell>
          <cell r="AG1026" t="str">
            <v>przegrany</v>
          </cell>
        </row>
        <row r="1027">
          <cell r="B1027" t="str">
            <v>Boisko</v>
          </cell>
          <cell r="C1027" t="str">
            <v>Gra</v>
          </cell>
          <cell r="I1027">
            <v>147</v>
          </cell>
          <cell r="N1027" t="str">
            <v>rozp.</v>
          </cell>
          <cell r="P1027" t="str">
            <v>zak.</v>
          </cell>
          <cell r="R1027" t="str">
            <v>S. serw.</v>
          </cell>
        </row>
        <row r="1028">
          <cell r="A1028">
            <v>147</v>
          </cell>
          <cell r="B1028">
            <v>7</v>
          </cell>
          <cell r="C1028" t="str">
            <v>podwójna chłopców JM</v>
          </cell>
          <cell r="H1028">
            <v>21</v>
          </cell>
          <cell r="I1028">
            <v>18</v>
          </cell>
          <cell r="J1028">
            <v>21</v>
          </cell>
          <cell r="K1028">
            <v>23</v>
          </cell>
          <cell r="L1028">
            <v>15</v>
          </cell>
          <cell r="M1028">
            <v>21</v>
          </cell>
          <cell r="P1028">
            <v>0.48402777777777778</v>
          </cell>
          <cell r="R1028">
            <v>0.48402777777777778</v>
          </cell>
          <cell r="S1028" t="str">
            <v>sob 10:30</v>
          </cell>
          <cell r="X1028">
            <v>147</v>
          </cell>
          <cell r="Y1028" t="str">
            <v>podwójna chłopców JM</v>
          </cell>
          <cell r="Z1028" t="str">
            <v>P4202</v>
          </cell>
          <cell r="AA1028" t="str">
            <v>W4270</v>
          </cell>
          <cell r="AB1028" t="str">
            <v>H3554</v>
          </cell>
          <cell r="AC1028" t="str">
            <v>M3731</v>
          </cell>
          <cell r="AD1028" t="str">
            <v>H3554</v>
          </cell>
          <cell r="AE1028" t="str">
            <v>M3731</v>
          </cell>
          <cell r="AF1028" t="str">
            <v>18:21,23:21,21:15</v>
          </cell>
          <cell r="AG1028" t="str">
            <v>21:18,21:23,15:21</v>
          </cell>
          <cell r="AH1028" t="str">
            <v/>
          </cell>
          <cell r="AI1028">
            <v>21</v>
          </cell>
          <cell r="AJ1028">
            <v>18</v>
          </cell>
          <cell r="AK1028">
            <v>21</v>
          </cell>
          <cell r="AL1028">
            <v>23</v>
          </cell>
          <cell r="AM1028">
            <v>15</v>
          </cell>
          <cell r="AN1028">
            <v>21</v>
          </cell>
        </row>
        <row r="1029">
          <cell r="A1029" t="str">
            <v/>
          </cell>
          <cell r="B1029" t="str">
            <v>Bartłomiej PARYSZ (UKS Unia Bieruń)</v>
          </cell>
          <cell r="H1029" t="str">
            <v>P4202</v>
          </cell>
          <cell r="K1029" t="str">
            <v>H3554</v>
          </cell>
          <cell r="N1029" t="str">
            <v>Szymon HAŁASA (UKS Kiko Zamość)</v>
          </cell>
        </row>
        <row r="1030">
          <cell r="A1030" t="str">
            <v/>
          </cell>
          <cell r="B1030" t="str">
            <v>Jędrzej WACHOWSKI (STB Energia Lubliniec)</v>
          </cell>
          <cell r="H1030" t="str">
            <v>W4270</v>
          </cell>
          <cell r="K1030" t="str">
            <v>M3731</v>
          </cell>
          <cell r="N1030" t="str">
            <v>Jakub MOSORZEWSKI (UKS Kiko Zamość)</v>
          </cell>
        </row>
        <row r="1032">
          <cell r="B1032" t="str">
            <v/>
          </cell>
          <cell r="K1032" t="str">
            <v>zwycięzca(cy): 18:21,23:21,21:15</v>
          </cell>
        </row>
        <row r="1033">
          <cell r="B1033">
            <v>2</v>
          </cell>
          <cell r="C1033" t="str">
            <v>dzień turnieju.</v>
          </cell>
          <cell r="I1033" t="str">
            <v>Nr meczu</v>
          </cell>
          <cell r="N1033" t="str">
            <v>Godz.</v>
          </cell>
          <cell r="R1033" t="str">
            <v>S. prow.</v>
          </cell>
          <cell r="AF1033" t="str">
            <v>wygrany</v>
          </cell>
          <cell r="AG1033" t="str">
            <v>przegrany</v>
          </cell>
        </row>
        <row r="1034">
          <cell r="B1034" t="str">
            <v>Boisko</v>
          </cell>
          <cell r="C1034" t="str">
            <v>Gra</v>
          </cell>
          <cell r="I1034">
            <v>148</v>
          </cell>
          <cell r="N1034" t="str">
            <v>rozp.</v>
          </cell>
          <cell r="P1034" t="str">
            <v>zak.</v>
          </cell>
          <cell r="R1034" t="str">
            <v>S. serw.</v>
          </cell>
        </row>
        <row r="1035">
          <cell r="A1035">
            <v>148</v>
          </cell>
          <cell r="B1035">
            <v>7</v>
          </cell>
          <cell r="C1035" t="str">
            <v>pojedyncza dziewcząt JM</v>
          </cell>
          <cell r="H1035">
            <v>21</v>
          </cell>
          <cell r="I1035">
            <v>6</v>
          </cell>
          <cell r="J1035">
            <v>21</v>
          </cell>
          <cell r="K1035">
            <v>6</v>
          </cell>
          <cell r="P1035">
            <v>0.51180555555555551</v>
          </cell>
          <cell r="R1035">
            <v>0.51180555555555551</v>
          </cell>
          <cell r="S1035" t="str">
            <v>sob 11:00</v>
          </cell>
          <cell r="X1035">
            <v>148</v>
          </cell>
          <cell r="Y1035" t="str">
            <v>pojedyncza dziewcząt JM</v>
          </cell>
          <cell r="Z1035" t="str">
            <v>W4435</v>
          </cell>
          <cell r="AA1035" t="str">
            <v/>
          </cell>
          <cell r="AB1035" t="str">
            <v>K3474</v>
          </cell>
          <cell r="AC1035" t="str">
            <v/>
          </cell>
          <cell r="AD1035" t="str">
            <v>W4435</v>
          </cell>
          <cell r="AE1035" t="str">
            <v/>
          </cell>
          <cell r="AF1035" t="str">
            <v>21:6,21:6</v>
          </cell>
          <cell r="AG1035" t="str">
            <v>6:21,6:21</v>
          </cell>
          <cell r="AH1035" t="str">
            <v/>
          </cell>
          <cell r="AI1035">
            <v>21</v>
          </cell>
          <cell r="AJ1035">
            <v>6</v>
          </cell>
          <cell r="AK1035">
            <v>21</v>
          </cell>
          <cell r="AL1035">
            <v>6</v>
          </cell>
          <cell r="AM1035">
            <v>0</v>
          </cell>
          <cell r="AN1035">
            <v>0</v>
          </cell>
        </row>
        <row r="1036">
          <cell r="A1036" t="str">
            <v/>
          </cell>
          <cell r="B1036" t="str">
            <v>Karolina WŁADZIŃSKA (----)</v>
          </cell>
          <cell r="H1036" t="str">
            <v>W4435</v>
          </cell>
          <cell r="K1036" t="str">
            <v>K3474</v>
          </cell>
          <cell r="N1036" t="str">
            <v>Joanna KRYSIAK (SKB Suwałki)</v>
          </cell>
        </row>
        <row r="1037">
          <cell r="A1037" t="str">
            <v/>
          </cell>
          <cell r="B1037" t="str">
            <v/>
          </cell>
          <cell r="H1037" t="str">
            <v/>
          </cell>
          <cell r="K1037" t="str">
            <v/>
          </cell>
          <cell r="N1037" t="str">
            <v/>
          </cell>
        </row>
        <row r="1039">
          <cell r="B1039" t="str">
            <v>zwycięzca(cy): 21:6,21:6</v>
          </cell>
          <cell r="K1039" t="str">
            <v/>
          </cell>
        </row>
        <row r="1040">
          <cell r="B1040">
            <v>2</v>
          </cell>
          <cell r="C1040" t="str">
            <v>dzień turnieju.</v>
          </cell>
          <cell r="I1040" t="str">
            <v>Nr meczu</v>
          </cell>
          <cell r="N1040" t="str">
            <v>Godz.</v>
          </cell>
          <cell r="R1040" t="str">
            <v>S. prow.</v>
          </cell>
          <cell r="AF1040" t="str">
            <v>wygrany</v>
          </cell>
          <cell r="AG1040" t="str">
            <v>przegrany</v>
          </cell>
        </row>
        <row r="1041">
          <cell r="B1041" t="str">
            <v>Boisko</v>
          </cell>
          <cell r="C1041" t="str">
            <v>Gra</v>
          </cell>
          <cell r="I1041">
            <v>149</v>
          </cell>
          <cell r="N1041" t="str">
            <v>rozp.</v>
          </cell>
          <cell r="P1041" t="str">
            <v>zak.</v>
          </cell>
          <cell r="R1041" t="str">
            <v>S. serw.</v>
          </cell>
        </row>
        <row r="1042">
          <cell r="A1042">
            <v>149</v>
          </cell>
          <cell r="B1042">
            <v>8</v>
          </cell>
          <cell r="C1042" t="str">
            <v>pojedyncza dziewcząt JM</v>
          </cell>
          <cell r="H1042">
            <v>11</v>
          </cell>
          <cell r="I1042">
            <v>21</v>
          </cell>
          <cell r="J1042">
            <v>14</v>
          </cell>
          <cell r="K1042">
            <v>21</v>
          </cell>
          <cell r="P1042">
            <v>0.5083333333333333</v>
          </cell>
          <cell r="R1042">
            <v>0.5083333333333333</v>
          </cell>
          <cell r="S1042" t="str">
            <v>sob 11:00</v>
          </cell>
          <cell r="X1042">
            <v>149</v>
          </cell>
          <cell r="Y1042" t="str">
            <v>pojedyncza dziewcząt JM</v>
          </cell>
          <cell r="Z1042" t="str">
            <v>n3738</v>
          </cell>
          <cell r="AA1042" t="str">
            <v/>
          </cell>
          <cell r="AB1042" t="str">
            <v>X19</v>
          </cell>
          <cell r="AC1042" t="str">
            <v/>
          </cell>
          <cell r="AD1042" t="str">
            <v>X19</v>
          </cell>
          <cell r="AE1042" t="str">
            <v/>
          </cell>
          <cell r="AF1042" t="str">
            <v>21:11,21:14</v>
          </cell>
          <cell r="AG1042" t="str">
            <v>11:21,14:21</v>
          </cell>
          <cell r="AH1042" t="str">
            <v/>
          </cell>
          <cell r="AI1042">
            <v>11</v>
          </cell>
          <cell r="AJ1042">
            <v>21</v>
          </cell>
          <cell r="AK1042">
            <v>14</v>
          </cell>
          <cell r="AL1042">
            <v>21</v>
          </cell>
          <cell r="AM1042">
            <v>0</v>
          </cell>
          <cell r="AN1042">
            <v>0</v>
          </cell>
        </row>
        <row r="1043">
          <cell r="A1043" t="str">
            <v/>
          </cell>
          <cell r="B1043" t="str">
            <v>Aneta NIKLAS (ULKS U-2 Lotka Bytów)</v>
          </cell>
          <cell r="H1043" t="str">
            <v>n3738</v>
          </cell>
          <cell r="K1043" t="str">
            <v>X19</v>
          </cell>
          <cell r="N1043" t="str">
            <v>Oleksandra LUGOVYKH (Vinnica Ukraina)</v>
          </cell>
        </row>
        <row r="1044">
          <cell r="A1044" t="str">
            <v/>
          </cell>
          <cell r="B1044" t="str">
            <v/>
          </cell>
          <cell r="H1044" t="str">
            <v/>
          </cell>
          <cell r="K1044" t="str">
            <v/>
          </cell>
          <cell r="N1044" t="str">
            <v/>
          </cell>
        </row>
        <row r="1046">
          <cell r="B1046" t="str">
            <v/>
          </cell>
          <cell r="K1046" t="str">
            <v>zwycięzca(cy): 21:11,21:14</v>
          </cell>
        </row>
        <row r="1047">
          <cell r="B1047">
            <v>2</v>
          </cell>
          <cell r="C1047" t="str">
            <v>dzień turnieju.</v>
          </cell>
          <cell r="I1047" t="str">
            <v>Nr meczu</v>
          </cell>
          <cell r="N1047" t="str">
            <v>Godz.</v>
          </cell>
          <cell r="R1047" t="str">
            <v>S. prow.</v>
          </cell>
          <cell r="AF1047" t="str">
            <v>wygrany</v>
          </cell>
          <cell r="AG1047" t="str">
            <v>przegrany</v>
          </cell>
        </row>
        <row r="1048">
          <cell r="B1048" t="str">
            <v>Boisko</v>
          </cell>
          <cell r="C1048" t="str">
            <v>Gra</v>
          </cell>
          <cell r="I1048">
            <v>150</v>
          </cell>
          <cell r="N1048" t="str">
            <v>rozp.</v>
          </cell>
          <cell r="P1048" t="str">
            <v>zak.</v>
          </cell>
          <cell r="R1048" t="str">
            <v>S. serw.</v>
          </cell>
        </row>
        <row r="1049">
          <cell r="A1049">
            <v>150</v>
          </cell>
          <cell r="B1049">
            <v>3</v>
          </cell>
          <cell r="C1049" t="str">
            <v>pojedyncza dziewcząt JM</v>
          </cell>
          <cell r="H1049">
            <v>14</v>
          </cell>
          <cell r="I1049">
            <v>21</v>
          </cell>
          <cell r="J1049">
            <v>20</v>
          </cell>
          <cell r="K1049">
            <v>22</v>
          </cell>
          <cell r="P1049">
            <v>0.51458333333333328</v>
          </cell>
          <cell r="R1049">
            <v>0.51458333333333328</v>
          </cell>
          <cell r="S1049" t="str">
            <v>sob 11:00</v>
          </cell>
          <cell r="X1049">
            <v>150</v>
          </cell>
          <cell r="Y1049" t="str">
            <v>pojedyncza dziewcząt JM</v>
          </cell>
          <cell r="Z1049" t="str">
            <v>J3786</v>
          </cell>
          <cell r="AA1049" t="str">
            <v/>
          </cell>
          <cell r="AB1049" t="str">
            <v>S3951</v>
          </cell>
          <cell r="AC1049" t="str">
            <v/>
          </cell>
          <cell r="AD1049" t="str">
            <v>S3951</v>
          </cell>
          <cell r="AE1049" t="str">
            <v/>
          </cell>
          <cell r="AF1049" t="str">
            <v>21:14,22:20</v>
          </cell>
          <cell r="AG1049" t="str">
            <v>14:21,20:22</v>
          </cell>
          <cell r="AH1049" t="str">
            <v/>
          </cell>
          <cell r="AI1049">
            <v>14</v>
          </cell>
          <cell r="AJ1049">
            <v>21</v>
          </cell>
          <cell r="AK1049">
            <v>20</v>
          </cell>
          <cell r="AL1049">
            <v>22</v>
          </cell>
          <cell r="AM1049">
            <v>0</v>
          </cell>
          <cell r="AN1049">
            <v>0</v>
          </cell>
        </row>
        <row r="1050">
          <cell r="A1050" t="str">
            <v/>
          </cell>
          <cell r="B1050" t="str">
            <v>Emilia JAWORSKA (MKS Spartakus Niepołomice)</v>
          </cell>
          <cell r="H1050" t="str">
            <v>J3786</v>
          </cell>
          <cell r="K1050" t="str">
            <v>S3951</v>
          </cell>
          <cell r="N1050" t="str">
            <v>Oliwia SOCHA (KS Chojnik Jelenia Góra)</v>
          </cell>
        </row>
        <row r="1051">
          <cell r="A1051" t="str">
            <v/>
          </cell>
          <cell r="B1051" t="str">
            <v/>
          </cell>
          <cell r="H1051" t="str">
            <v/>
          </cell>
          <cell r="K1051" t="str">
            <v/>
          </cell>
          <cell r="N1051" t="str">
            <v/>
          </cell>
        </row>
        <row r="1053">
          <cell r="B1053" t="str">
            <v/>
          </cell>
          <cell r="K1053" t="str">
            <v>zwycięzca(cy): 21:14,22:20</v>
          </cell>
        </row>
        <row r="1054">
          <cell r="B1054">
            <v>2</v>
          </cell>
          <cell r="C1054" t="str">
            <v>dzień turnieju.</v>
          </cell>
          <cell r="I1054" t="str">
            <v>Nr meczu</v>
          </cell>
          <cell r="N1054" t="str">
            <v>Godz.</v>
          </cell>
          <cell r="R1054" t="str">
            <v>S. prow.</v>
          </cell>
          <cell r="AF1054" t="str">
            <v>wygrany</v>
          </cell>
          <cell r="AG1054" t="str">
            <v>przegrany</v>
          </cell>
        </row>
        <row r="1055">
          <cell r="B1055" t="str">
            <v>Boisko</v>
          </cell>
          <cell r="C1055" t="str">
            <v>Gra</v>
          </cell>
          <cell r="I1055">
            <v>151</v>
          </cell>
          <cell r="N1055" t="str">
            <v>rozp.</v>
          </cell>
          <cell r="P1055" t="str">
            <v>zak.</v>
          </cell>
          <cell r="R1055" t="str">
            <v>S. serw.</v>
          </cell>
        </row>
        <row r="1056">
          <cell r="A1056">
            <v>151</v>
          </cell>
          <cell r="B1056">
            <v>5</v>
          </cell>
          <cell r="C1056" t="str">
            <v>pojedyncza dziewcząt JM</v>
          </cell>
          <cell r="H1056">
            <v>21</v>
          </cell>
          <cell r="I1056">
            <v>18</v>
          </cell>
          <cell r="J1056">
            <v>23</v>
          </cell>
          <cell r="K1056">
            <v>21</v>
          </cell>
          <cell r="P1056">
            <v>0.52083333333333337</v>
          </cell>
          <cell r="R1056">
            <v>0.52083333333333337</v>
          </cell>
          <cell r="S1056" t="str">
            <v>sob 11:00</v>
          </cell>
          <cell r="X1056">
            <v>151</v>
          </cell>
          <cell r="Y1056" t="str">
            <v>pojedyncza dziewcząt JM</v>
          </cell>
          <cell r="Z1056" t="str">
            <v>I4204</v>
          </cell>
          <cell r="AA1056" t="str">
            <v/>
          </cell>
          <cell r="AB1056" t="str">
            <v>R3686</v>
          </cell>
          <cell r="AC1056" t="str">
            <v/>
          </cell>
          <cell r="AD1056" t="str">
            <v>I4204</v>
          </cell>
          <cell r="AE1056" t="str">
            <v/>
          </cell>
          <cell r="AF1056" t="str">
            <v>21:18,23:21</v>
          </cell>
          <cell r="AG1056" t="str">
            <v>18:21,21:23</v>
          </cell>
          <cell r="AH1056" t="str">
            <v/>
          </cell>
          <cell r="AI1056">
            <v>21</v>
          </cell>
          <cell r="AJ1056">
            <v>18</v>
          </cell>
          <cell r="AK1056">
            <v>23</v>
          </cell>
          <cell r="AL1056">
            <v>21</v>
          </cell>
          <cell r="AM1056">
            <v>0</v>
          </cell>
          <cell r="AN1056">
            <v>0</v>
          </cell>
        </row>
        <row r="1057">
          <cell r="A1057" t="str">
            <v/>
          </cell>
          <cell r="B1057" t="str">
            <v>Agata ISKRA (UKS Unia Bieruń)</v>
          </cell>
          <cell r="H1057" t="str">
            <v>I4204</v>
          </cell>
          <cell r="K1057" t="str">
            <v>R3686</v>
          </cell>
          <cell r="N1057" t="str">
            <v>Julita RYBAŁT (UKS Hubal Białystok)</v>
          </cell>
        </row>
        <row r="1058">
          <cell r="A1058" t="str">
            <v/>
          </cell>
          <cell r="B1058" t="str">
            <v/>
          </cell>
          <cell r="H1058" t="str">
            <v/>
          </cell>
          <cell r="K1058" t="str">
            <v/>
          </cell>
          <cell r="N1058" t="str">
            <v/>
          </cell>
        </row>
        <row r="1060">
          <cell r="B1060" t="str">
            <v>zwycięzca(cy): 21:18,23:21</v>
          </cell>
          <cell r="K1060" t="str">
            <v/>
          </cell>
        </row>
        <row r="1061">
          <cell r="B1061">
            <v>2</v>
          </cell>
          <cell r="C1061" t="str">
            <v>dzień turnieju.</v>
          </cell>
          <cell r="I1061" t="str">
            <v>Nr meczu</v>
          </cell>
          <cell r="N1061" t="str">
            <v>Godz.</v>
          </cell>
          <cell r="R1061" t="str">
            <v>S. prow.</v>
          </cell>
          <cell r="AF1061" t="str">
            <v>wygrany</v>
          </cell>
          <cell r="AG1061" t="str">
            <v>przegrany</v>
          </cell>
        </row>
        <row r="1062">
          <cell r="B1062" t="str">
            <v>Boisko</v>
          </cell>
          <cell r="C1062" t="str">
            <v>Gra</v>
          </cell>
          <cell r="I1062">
            <v>152</v>
          </cell>
          <cell r="N1062" t="str">
            <v>rozp.</v>
          </cell>
          <cell r="P1062" t="str">
            <v>zak.</v>
          </cell>
          <cell r="R1062" t="str">
            <v>S. serw.</v>
          </cell>
        </row>
        <row r="1063">
          <cell r="A1063">
            <v>152</v>
          </cell>
          <cell r="B1063">
            <v>4</v>
          </cell>
          <cell r="C1063" t="str">
            <v>pojedyncza dziewcząt JM</v>
          </cell>
          <cell r="H1063">
            <v>21</v>
          </cell>
          <cell r="I1063">
            <v>17</v>
          </cell>
          <cell r="J1063">
            <v>11</v>
          </cell>
          <cell r="K1063">
            <v>21</v>
          </cell>
          <cell r="L1063">
            <v>21</v>
          </cell>
          <cell r="M1063">
            <v>17</v>
          </cell>
          <cell r="P1063">
            <v>0.53125</v>
          </cell>
          <cell r="R1063">
            <v>0.53125</v>
          </cell>
          <cell r="S1063" t="str">
            <v>sob 11:00</v>
          </cell>
          <cell r="X1063">
            <v>152</v>
          </cell>
          <cell r="Y1063" t="str">
            <v>pojedyncza dziewcząt JM</v>
          </cell>
          <cell r="Z1063" t="str">
            <v>S3617</v>
          </cell>
          <cell r="AA1063" t="str">
            <v/>
          </cell>
          <cell r="AB1063" t="str">
            <v>K4084</v>
          </cell>
          <cell r="AC1063" t="str">
            <v/>
          </cell>
          <cell r="AD1063" t="str">
            <v>S3617</v>
          </cell>
          <cell r="AE1063" t="str">
            <v/>
          </cell>
          <cell r="AF1063" t="str">
            <v>21:17,11:21,21:17</v>
          </cell>
          <cell r="AG1063" t="str">
            <v>17:21,21:11,17:21</v>
          </cell>
          <cell r="AH1063" t="str">
            <v/>
          </cell>
          <cell r="AI1063">
            <v>21</v>
          </cell>
          <cell r="AJ1063">
            <v>17</v>
          </cell>
          <cell r="AK1063">
            <v>11</v>
          </cell>
          <cell r="AL1063">
            <v>21</v>
          </cell>
          <cell r="AM1063">
            <v>21</v>
          </cell>
          <cell r="AN1063">
            <v>17</v>
          </cell>
        </row>
        <row r="1064">
          <cell r="A1064" t="str">
            <v/>
          </cell>
          <cell r="B1064" t="str">
            <v>Katarzyna SŁOMBA (UKSB Volant Mielec)</v>
          </cell>
          <cell r="H1064" t="str">
            <v>S3617</v>
          </cell>
          <cell r="K1064" t="str">
            <v>K4084</v>
          </cell>
          <cell r="N1064" t="str">
            <v>Magdalena KOKOSZKA (AZSWAT Warszawa)</v>
          </cell>
        </row>
        <row r="1065">
          <cell r="A1065" t="str">
            <v/>
          </cell>
          <cell r="B1065" t="str">
            <v/>
          </cell>
          <cell r="H1065" t="str">
            <v/>
          </cell>
          <cell r="K1065" t="str">
            <v/>
          </cell>
          <cell r="N1065" t="str">
            <v/>
          </cell>
        </row>
        <row r="1067">
          <cell r="B1067" t="str">
            <v>zwycięzca(cy): 21:17,11:21,21:17</v>
          </cell>
          <cell r="K1067" t="str">
            <v/>
          </cell>
        </row>
        <row r="1068">
          <cell r="B1068">
            <v>2</v>
          </cell>
          <cell r="C1068" t="str">
            <v>dzień turnieju.</v>
          </cell>
          <cell r="I1068" t="str">
            <v>Nr meczu</v>
          </cell>
          <cell r="N1068" t="str">
            <v>Godz.</v>
          </cell>
          <cell r="R1068" t="str">
            <v>S. prow.</v>
          </cell>
          <cell r="AF1068" t="str">
            <v>wygrany</v>
          </cell>
          <cell r="AG1068" t="str">
            <v>przegrany</v>
          </cell>
        </row>
        <row r="1069">
          <cell r="B1069" t="str">
            <v>Boisko</v>
          </cell>
          <cell r="C1069" t="str">
            <v>Gra</v>
          </cell>
          <cell r="I1069">
            <v>153</v>
          </cell>
          <cell r="N1069" t="str">
            <v>rozp.</v>
          </cell>
          <cell r="P1069" t="str">
            <v>zak.</v>
          </cell>
          <cell r="R1069" t="str">
            <v>S. serw.</v>
          </cell>
        </row>
        <row r="1070">
          <cell r="A1070">
            <v>153</v>
          </cell>
          <cell r="B1070">
            <v>2</v>
          </cell>
          <cell r="C1070" t="str">
            <v>pojedyncza dziewcząt JM</v>
          </cell>
          <cell r="H1070">
            <v>21</v>
          </cell>
          <cell r="I1070">
            <v>10</v>
          </cell>
          <cell r="J1070">
            <v>22</v>
          </cell>
          <cell r="K1070">
            <v>20</v>
          </cell>
          <cell r="P1070">
            <v>0.51944444444444449</v>
          </cell>
          <cell r="R1070">
            <v>0.51944444444444449</v>
          </cell>
          <cell r="S1070" t="str">
            <v>sob 11:00</v>
          </cell>
          <cell r="X1070">
            <v>153</v>
          </cell>
          <cell r="Y1070" t="str">
            <v>pojedyncza dziewcząt JM</v>
          </cell>
          <cell r="Z1070" t="str">
            <v>S4168</v>
          </cell>
          <cell r="AA1070" t="str">
            <v/>
          </cell>
          <cell r="AB1070" t="str">
            <v>B4205</v>
          </cell>
          <cell r="AC1070" t="str">
            <v/>
          </cell>
          <cell r="AD1070" t="str">
            <v>S4168</v>
          </cell>
          <cell r="AE1070" t="str">
            <v/>
          </cell>
          <cell r="AF1070" t="str">
            <v>21:10,22:20</v>
          </cell>
          <cell r="AG1070" t="str">
            <v>10:21,20:22</v>
          </cell>
          <cell r="AH1070" t="str">
            <v/>
          </cell>
          <cell r="AI1070">
            <v>21</v>
          </cell>
          <cell r="AJ1070">
            <v>10</v>
          </cell>
          <cell r="AK1070">
            <v>22</v>
          </cell>
          <cell r="AL1070">
            <v>20</v>
          </cell>
          <cell r="AM1070">
            <v>0</v>
          </cell>
          <cell r="AN1070">
            <v>0</v>
          </cell>
        </row>
        <row r="1071">
          <cell r="A1071" t="str">
            <v/>
          </cell>
          <cell r="B1071" t="str">
            <v>Agnieszka SZYMASZEK (UKS Orbitek Straszęcin)</v>
          </cell>
          <cell r="H1071" t="str">
            <v>S4168</v>
          </cell>
          <cell r="K1071" t="str">
            <v>B4205</v>
          </cell>
          <cell r="N1071" t="str">
            <v>Daniela BIELIŃSKA (UKS Unia Bieruń)</v>
          </cell>
        </row>
        <row r="1072">
          <cell r="A1072" t="str">
            <v/>
          </cell>
          <cell r="B1072" t="str">
            <v/>
          </cell>
          <cell r="H1072" t="str">
            <v/>
          </cell>
          <cell r="K1072" t="str">
            <v/>
          </cell>
          <cell r="N1072" t="str">
            <v/>
          </cell>
        </row>
        <row r="1074">
          <cell r="B1074" t="str">
            <v>zwycięzca(cy): 21:10,22:20</v>
          </cell>
          <cell r="K1074" t="str">
            <v/>
          </cell>
        </row>
        <row r="1075">
          <cell r="B1075">
            <v>2</v>
          </cell>
          <cell r="C1075" t="str">
            <v>dzień turnieju.</v>
          </cell>
          <cell r="I1075" t="str">
            <v>Nr meczu</v>
          </cell>
          <cell r="N1075" t="str">
            <v>Godz.</v>
          </cell>
          <cell r="R1075" t="str">
            <v>S. prow.</v>
          </cell>
          <cell r="AF1075" t="str">
            <v>wygrany</v>
          </cell>
          <cell r="AG1075" t="str">
            <v>przegrany</v>
          </cell>
        </row>
        <row r="1076">
          <cell r="B1076" t="str">
            <v>Boisko</v>
          </cell>
          <cell r="C1076" t="str">
            <v>Gra</v>
          </cell>
          <cell r="I1076">
            <v>154</v>
          </cell>
          <cell r="N1076" t="str">
            <v>rozp.</v>
          </cell>
          <cell r="P1076" t="str">
            <v>zak.</v>
          </cell>
          <cell r="R1076" t="str">
            <v>S. serw.</v>
          </cell>
        </row>
        <row r="1077">
          <cell r="A1077">
            <v>154</v>
          </cell>
          <cell r="B1077">
            <v>6</v>
          </cell>
          <cell r="C1077" t="str">
            <v>pojedyncza dziewcząt JM</v>
          </cell>
          <cell r="H1077">
            <v>21</v>
          </cell>
          <cell r="I1077">
            <v>14</v>
          </cell>
          <cell r="J1077">
            <v>21</v>
          </cell>
          <cell r="K1077">
            <v>17</v>
          </cell>
          <cell r="P1077">
            <v>0.50555555555555554</v>
          </cell>
          <cell r="R1077">
            <v>0.50555555555555554</v>
          </cell>
          <cell r="S1077" t="str">
            <v>sob 11:00</v>
          </cell>
          <cell r="X1077">
            <v>154</v>
          </cell>
          <cell r="Y1077" t="str">
            <v>pojedyncza dziewcząt JM</v>
          </cell>
          <cell r="Z1077" t="str">
            <v>K4207</v>
          </cell>
          <cell r="AA1077" t="str">
            <v/>
          </cell>
          <cell r="AB1077" t="str">
            <v>B4184</v>
          </cell>
          <cell r="AC1077" t="str">
            <v/>
          </cell>
          <cell r="AD1077" t="str">
            <v>K4207</v>
          </cell>
          <cell r="AE1077" t="str">
            <v/>
          </cell>
          <cell r="AF1077" t="str">
            <v>21:14,21:17</v>
          </cell>
          <cell r="AG1077" t="str">
            <v>14:21,17:21</v>
          </cell>
          <cell r="AH1077" t="str">
            <v/>
          </cell>
          <cell r="AI1077">
            <v>21</v>
          </cell>
          <cell r="AJ1077">
            <v>14</v>
          </cell>
          <cell r="AK1077">
            <v>21</v>
          </cell>
          <cell r="AL1077">
            <v>17</v>
          </cell>
          <cell r="AM1077">
            <v>0</v>
          </cell>
          <cell r="AN1077">
            <v>0</v>
          </cell>
        </row>
        <row r="1078">
          <cell r="A1078" t="str">
            <v/>
          </cell>
          <cell r="B1078" t="str">
            <v>Urszula KARWOWSKA (UKSB Milenium Warszawa)</v>
          </cell>
          <cell r="H1078" t="str">
            <v>K4207</v>
          </cell>
          <cell r="K1078" t="str">
            <v>B4184</v>
          </cell>
          <cell r="N1078" t="str">
            <v>Milena BAŁON (SKB Suwałki)</v>
          </cell>
        </row>
        <row r="1079">
          <cell r="A1079" t="str">
            <v/>
          </cell>
          <cell r="B1079" t="str">
            <v/>
          </cell>
          <cell r="H1079" t="str">
            <v/>
          </cell>
          <cell r="K1079" t="str">
            <v/>
          </cell>
          <cell r="N1079" t="str">
            <v/>
          </cell>
        </row>
        <row r="1081">
          <cell r="B1081" t="str">
            <v>zwycięzca(cy): 21:14,21:17</v>
          </cell>
          <cell r="K1081" t="str">
            <v/>
          </cell>
        </row>
        <row r="1082">
          <cell r="B1082">
            <v>2</v>
          </cell>
          <cell r="C1082" t="str">
            <v>dzień turnieju.</v>
          </cell>
          <cell r="I1082" t="str">
            <v>Nr meczu</v>
          </cell>
          <cell r="N1082" t="str">
            <v>Godz.</v>
          </cell>
          <cell r="R1082" t="str">
            <v>S. prow.</v>
          </cell>
          <cell r="AF1082" t="str">
            <v>wygrany</v>
          </cell>
          <cell r="AG1082" t="str">
            <v>przegrany</v>
          </cell>
        </row>
        <row r="1083">
          <cell r="B1083" t="str">
            <v>Boisko</v>
          </cell>
          <cell r="C1083" t="str">
            <v>Gra</v>
          </cell>
          <cell r="I1083">
            <v>155</v>
          </cell>
          <cell r="N1083" t="str">
            <v>rozp.</v>
          </cell>
          <cell r="P1083" t="str">
            <v>zak.</v>
          </cell>
          <cell r="R1083" t="str">
            <v>S. serw.</v>
          </cell>
        </row>
        <row r="1084">
          <cell r="A1084">
            <v>155</v>
          </cell>
          <cell r="C1084" t="str">
            <v>pojedyncza dziewcząt JM</v>
          </cell>
          <cell r="H1084">
            <v>21</v>
          </cell>
          <cell r="I1084">
            <v>0</v>
          </cell>
          <cell r="J1084">
            <v>21</v>
          </cell>
          <cell r="K1084">
            <v>0</v>
          </cell>
          <cell r="P1084">
            <v>0.5</v>
          </cell>
          <cell r="R1084">
            <v>0.5</v>
          </cell>
          <cell r="S1084" t="str">
            <v>sob 11:00</v>
          </cell>
          <cell r="X1084">
            <v>155</v>
          </cell>
          <cell r="Y1084" t="str">
            <v>pojedyncza dziewcząt JM</v>
          </cell>
          <cell r="Z1084" t="str">
            <v>Ś3779</v>
          </cell>
          <cell r="AA1084" t="str">
            <v/>
          </cell>
          <cell r="AB1084" t="str">
            <v>X20</v>
          </cell>
          <cell r="AC1084" t="str">
            <v/>
          </cell>
          <cell r="AD1084" t="str">
            <v>Ś3779</v>
          </cell>
          <cell r="AE1084" t="str">
            <v/>
          </cell>
          <cell r="AF1084" t="str">
            <v>21:0,21:0</v>
          </cell>
          <cell r="AG1084" t="str">
            <v>0:21,0:21</v>
          </cell>
          <cell r="AH1084" t="str">
            <v/>
          </cell>
          <cell r="AI1084">
            <v>21</v>
          </cell>
          <cell r="AJ1084">
            <v>0</v>
          </cell>
          <cell r="AK1084">
            <v>21</v>
          </cell>
          <cell r="AL1084">
            <v>0</v>
          </cell>
          <cell r="AM1084">
            <v>0</v>
          </cell>
          <cell r="AN1084">
            <v>0</v>
          </cell>
        </row>
        <row r="1085">
          <cell r="A1085" t="str">
            <v/>
          </cell>
          <cell r="B1085" t="str">
            <v>Magdalena ŚWIERCZYŃSKA (UKS Orkan Przeźmierowo)</v>
          </cell>
          <cell r="H1085" t="str">
            <v>Ś3779</v>
          </cell>
          <cell r="K1085" t="str">
            <v>X20</v>
          </cell>
          <cell r="N1085" t="str">
            <v>Inna SEBOVA (Vinnica Ukraina)</v>
          </cell>
        </row>
        <row r="1086">
          <cell r="A1086" t="str">
            <v/>
          </cell>
          <cell r="B1086" t="str">
            <v/>
          </cell>
          <cell r="H1086" t="str">
            <v/>
          </cell>
          <cell r="K1086" t="str">
            <v/>
          </cell>
          <cell r="N1086" t="str">
            <v/>
          </cell>
        </row>
        <row r="1088">
          <cell r="B1088" t="str">
            <v>zwycięzca(cy): 21:0,21:0</v>
          </cell>
          <cell r="K1088" t="str">
            <v/>
          </cell>
        </row>
        <row r="1089">
          <cell r="B1089">
            <v>2</v>
          </cell>
          <cell r="C1089" t="str">
            <v>dzień turnieju.</v>
          </cell>
          <cell r="I1089" t="str">
            <v>Nr meczu</v>
          </cell>
          <cell r="N1089" t="str">
            <v>Godz.</v>
          </cell>
          <cell r="R1089" t="str">
            <v>S. prow.</v>
          </cell>
          <cell r="AF1089" t="str">
            <v>wygrany</v>
          </cell>
          <cell r="AG1089" t="str">
            <v>przegrany</v>
          </cell>
        </row>
        <row r="1090">
          <cell r="B1090" t="str">
            <v>Boisko</v>
          </cell>
          <cell r="C1090" t="str">
            <v>Gra</v>
          </cell>
          <cell r="I1090">
            <v>156</v>
          </cell>
          <cell r="N1090" t="str">
            <v>rozp.</v>
          </cell>
          <cell r="P1090" t="str">
            <v>zak.</v>
          </cell>
          <cell r="R1090" t="str">
            <v>S. serw.</v>
          </cell>
        </row>
        <row r="1091">
          <cell r="A1091">
            <v>156</v>
          </cell>
          <cell r="B1091">
            <v>1</v>
          </cell>
          <cell r="C1091" t="str">
            <v>pojedyncza dziewcząt JM</v>
          </cell>
          <cell r="H1091">
            <v>17</v>
          </cell>
          <cell r="I1091">
            <v>21</v>
          </cell>
          <cell r="J1091">
            <v>15</v>
          </cell>
          <cell r="K1091">
            <v>21</v>
          </cell>
          <cell r="P1091">
            <v>0.51250000000000007</v>
          </cell>
          <cell r="R1091">
            <v>0.51250000000000007</v>
          </cell>
          <cell r="S1091" t="str">
            <v>sob 11:00</v>
          </cell>
          <cell r="X1091">
            <v>156</v>
          </cell>
          <cell r="Y1091" t="str">
            <v>pojedyncza dziewcząt JM</v>
          </cell>
          <cell r="Z1091" t="str">
            <v>K3437</v>
          </cell>
          <cell r="AA1091" t="str">
            <v/>
          </cell>
          <cell r="AB1091" t="str">
            <v>X28</v>
          </cell>
          <cell r="AC1091" t="str">
            <v/>
          </cell>
          <cell r="AD1091" t="str">
            <v>X28</v>
          </cell>
          <cell r="AE1091" t="str">
            <v/>
          </cell>
          <cell r="AF1091" t="str">
            <v>21:17,21:15</v>
          </cell>
          <cell r="AG1091" t="str">
            <v>17:21,15:21</v>
          </cell>
          <cell r="AH1091" t="str">
            <v/>
          </cell>
          <cell r="AI1091">
            <v>17</v>
          </cell>
          <cell r="AJ1091">
            <v>21</v>
          </cell>
          <cell r="AK1091">
            <v>15</v>
          </cell>
          <cell r="AL1091">
            <v>21</v>
          </cell>
          <cell r="AM1091">
            <v>0</v>
          </cell>
          <cell r="AN1091">
            <v>0</v>
          </cell>
        </row>
        <row r="1092">
          <cell r="A1092" t="str">
            <v/>
          </cell>
          <cell r="B1092" t="str">
            <v>Kornelia KOWALCZYK (UKS Kometa Sianów)</v>
          </cell>
          <cell r="H1092" t="str">
            <v>K3437</v>
          </cell>
          <cell r="K1092" t="str">
            <v>X28</v>
          </cell>
          <cell r="N1092" t="str">
            <v>Yulia BAYAROUSKAYA (Białoruś)</v>
          </cell>
        </row>
        <row r="1093">
          <cell r="A1093" t="str">
            <v/>
          </cell>
          <cell r="B1093" t="str">
            <v/>
          </cell>
          <cell r="H1093" t="str">
            <v/>
          </cell>
          <cell r="K1093" t="str">
            <v/>
          </cell>
          <cell r="N1093" t="str">
            <v/>
          </cell>
        </row>
        <row r="1095">
          <cell r="B1095" t="str">
            <v/>
          </cell>
          <cell r="K1095" t="str">
            <v>zwycięzca(cy): 21:17,21:15</v>
          </cell>
        </row>
        <row r="1096">
          <cell r="B1096">
            <v>2</v>
          </cell>
          <cell r="C1096" t="str">
            <v>dzień turnieju.</v>
          </cell>
          <cell r="I1096" t="str">
            <v>Nr meczu</v>
          </cell>
          <cell r="N1096" t="str">
            <v>Godz.</v>
          </cell>
          <cell r="R1096" t="str">
            <v>S. prow.</v>
          </cell>
          <cell r="S1096" t="str">
            <v>JANECKI Andrzej</v>
          </cell>
          <cell r="AF1096" t="str">
            <v>wygrany</v>
          </cell>
          <cell r="AG1096" t="str">
            <v>przegrany</v>
          </cell>
        </row>
        <row r="1097">
          <cell r="B1097" t="str">
            <v>Boisko</v>
          </cell>
          <cell r="C1097" t="str">
            <v>Gra</v>
          </cell>
          <cell r="I1097">
            <v>157</v>
          </cell>
          <cell r="N1097" t="str">
            <v>rozp.</v>
          </cell>
          <cell r="P1097" t="str">
            <v>zak.</v>
          </cell>
          <cell r="R1097" t="str">
            <v>S. serw.</v>
          </cell>
        </row>
        <row r="1098">
          <cell r="A1098">
            <v>157</v>
          </cell>
          <cell r="B1098">
            <v>6</v>
          </cell>
          <cell r="C1098" t="str">
            <v>pojedyncza chłopców JM</v>
          </cell>
          <cell r="H1098">
            <v>21</v>
          </cell>
          <cell r="I1098">
            <v>6</v>
          </cell>
          <cell r="J1098">
            <v>21</v>
          </cell>
          <cell r="K1098">
            <v>9</v>
          </cell>
          <cell r="P1098">
            <v>0.52083333333333337</v>
          </cell>
          <cell r="R1098">
            <v>0.52083333333333337</v>
          </cell>
          <cell r="S1098" t="str">
            <v>sob 12:00</v>
          </cell>
          <cell r="X1098">
            <v>157</v>
          </cell>
          <cell r="Y1098" t="str">
            <v>pojedyncza chłopców JM</v>
          </cell>
          <cell r="Z1098" t="str">
            <v>J2970</v>
          </cell>
          <cell r="AA1098" t="str">
            <v/>
          </cell>
          <cell r="AB1098" t="str">
            <v>L4078</v>
          </cell>
          <cell r="AC1098" t="str">
            <v/>
          </cell>
          <cell r="AD1098" t="str">
            <v>J2970</v>
          </cell>
          <cell r="AE1098" t="str">
            <v/>
          </cell>
          <cell r="AF1098" t="str">
            <v>21:6,21:9</v>
          </cell>
          <cell r="AG1098" t="str">
            <v>6:21,9:21</v>
          </cell>
          <cell r="AH1098" t="str">
            <v/>
          </cell>
          <cell r="AI1098">
            <v>21</v>
          </cell>
          <cell r="AJ1098">
            <v>6</v>
          </cell>
          <cell r="AK1098">
            <v>21</v>
          </cell>
          <cell r="AL1098">
            <v>9</v>
          </cell>
          <cell r="AM1098">
            <v>0</v>
          </cell>
          <cell r="AN1098">
            <v>0</v>
          </cell>
        </row>
        <row r="1099">
          <cell r="A1099" t="str">
            <v/>
          </cell>
          <cell r="B1099" t="str">
            <v>Aleksander JABŁOŃSKI (UKS Hubal Białystok)</v>
          </cell>
          <cell r="H1099" t="str">
            <v>J2970</v>
          </cell>
          <cell r="K1099" t="str">
            <v>L4078</v>
          </cell>
          <cell r="N1099" t="str">
            <v>Norbert LECH (UKS Ząbkowice Dąbrowa Górn.)</v>
          </cell>
        </row>
        <row r="1100">
          <cell r="A1100" t="str">
            <v/>
          </cell>
          <cell r="B1100" t="str">
            <v/>
          </cell>
          <cell r="H1100" t="str">
            <v/>
          </cell>
          <cell r="K1100" t="str">
            <v/>
          </cell>
          <cell r="N1100" t="str">
            <v/>
          </cell>
        </row>
        <row r="1102">
          <cell r="B1102" t="str">
            <v>zwycięzca(cy): 21:6,21:9</v>
          </cell>
          <cell r="K1102" t="str">
            <v/>
          </cell>
        </row>
        <row r="1103">
          <cell r="B1103">
            <v>2</v>
          </cell>
          <cell r="C1103" t="str">
            <v>dzień turnieju.</v>
          </cell>
          <cell r="I1103" t="str">
            <v>Nr meczu</v>
          </cell>
          <cell r="N1103" t="str">
            <v>Godz.</v>
          </cell>
          <cell r="R1103" t="str">
            <v>S. prow.</v>
          </cell>
          <cell r="AF1103" t="str">
            <v>wygrany</v>
          </cell>
          <cell r="AG1103" t="str">
            <v>przegrany</v>
          </cell>
        </row>
        <row r="1104">
          <cell r="B1104" t="str">
            <v>Boisko</v>
          </cell>
          <cell r="C1104" t="str">
            <v>Gra</v>
          </cell>
          <cell r="I1104">
            <v>158</v>
          </cell>
          <cell r="N1104" t="str">
            <v>rozp.</v>
          </cell>
          <cell r="P1104" t="str">
            <v>zak.</v>
          </cell>
          <cell r="R1104" t="str">
            <v>S. serw.</v>
          </cell>
        </row>
        <row r="1105">
          <cell r="A1105">
            <v>158</v>
          </cell>
          <cell r="B1105">
            <v>8</v>
          </cell>
          <cell r="C1105" t="str">
            <v>pojedyncza chłopców JM</v>
          </cell>
          <cell r="H1105">
            <v>22</v>
          </cell>
          <cell r="I1105">
            <v>20</v>
          </cell>
          <cell r="J1105">
            <v>10</v>
          </cell>
          <cell r="K1105">
            <v>21</v>
          </cell>
          <cell r="L1105">
            <v>21</v>
          </cell>
          <cell r="M1105">
            <v>19</v>
          </cell>
          <cell r="P1105">
            <v>0.54097222222222219</v>
          </cell>
          <cell r="R1105">
            <v>0.54097222222222219</v>
          </cell>
          <cell r="S1105" t="str">
            <v>sob 12:00</v>
          </cell>
          <cell r="X1105">
            <v>158</v>
          </cell>
          <cell r="Y1105" t="str">
            <v>pojedyncza chłopców JM</v>
          </cell>
          <cell r="Z1105" t="str">
            <v>K3867</v>
          </cell>
          <cell r="AA1105" t="str">
            <v/>
          </cell>
          <cell r="AB1105" t="str">
            <v>M3704</v>
          </cell>
          <cell r="AC1105" t="str">
            <v/>
          </cell>
          <cell r="AD1105" t="str">
            <v>K3867</v>
          </cell>
          <cell r="AE1105" t="str">
            <v/>
          </cell>
          <cell r="AF1105" t="str">
            <v>22:20,10:21,21:19</v>
          </cell>
          <cell r="AG1105" t="str">
            <v>20:22,21:10,19:21</v>
          </cell>
          <cell r="AH1105" t="str">
            <v/>
          </cell>
          <cell r="AI1105">
            <v>22</v>
          </cell>
          <cell r="AJ1105">
            <v>20</v>
          </cell>
          <cell r="AK1105">
            <v>10</v>
          </cell>
          <cell r="AL1105">
            <v>21</v>
          </cell>
          <cell r="AM1105">
            <v>21</v>
          </cell>
          <cell r="AN1105">
            <v>19</v>
          </cell>
        </row>
        <row r="1106">
          <cell r="A1106" t="str">
            <v/>
          </cell>
          <cell r="B1106" t="str">
            <v>Patryk KOPEĆ (MKS Stal Nowa Dęba)</v>
          </cell>
          <cell r="H1106" t="str">
            <v>K3867</v>
          </cell>
          <cell r="K1106" t="str">
            <v>M3704</v>
          </cell>
          <cell r="N1106" t="str">
            <v>Rafał MARKOWICZ (UKS Orliki Ropica Polska)</v>
          </cell>
        </row>
        <row r="1107">
          <cell r="A1107" t="str">
            <v/>
          </cell>
          <cell r="B1107" t="str">
            <v/>
          </cell>
          <cell r="H1107" t="str">
            <v/>
          </cell>
          <cell r="K1107" t="str">
            <v/>
          </cell>
          <cell r="N1107" t="str">
            <v/>
          </cell>
        </row>
        <row r="1109">
          <cell r="B1109" t="str">
            <v>zwycięzca(cy): 22:20,10:21,21:19</v>
          </cell>
          <cell r="K1109" t="str">
            <v/>
          </cell>
        </row>
        <row r="1110">
          <cell r="B1110">
            <v>2</v>
          </cell>
          <cell r="C1110" t="str">
            <v>dzień turnieju.</v>
          </cell>
          <cell r="I1110" t="str">
            <v>Nr meczu</v>
          </cell>
          <cell r="N1110" t="str">
            <v>Godz.</v>
          </cell>
          <cell r="R1110" t="str">
            <v>S. prow.</v>
          </cell>
          <cell r="AF1110" t="str">
            <v>wygrany</v>
          </cell>
          <cell r="AG1110" t="str">
            <v>przegrany</v>
          </cell>
        </row>
        <row r="1111">
          <cell r="B1111" t="str">
            <v>Boisko</v>
          </cell>
          <cell r="C1111" t="str">
            <v>Gra</v>
          </cell>
          <cell r="I1111">
            <v>159</v>
          </cell>
          <cell r="N1111" t="str">
            <v>rozp.</v>
          </cell>
          <cell r="P1111" t="str">
            <v>zak.</v>
          </cell>
          <cell r="R1111" t="str">
            <v>S. serw.</v>
          </cell>
        </row>
        <row r="1112">
          <cell r="A1112">
            <v>159</v>
          </cell>
          <cell r="B1112">
            <v>7</v>
          </cell>
          <cell r="C1112" t="str">
            <v>pojedyncza chłopców JM</v>
          </cell>
          <cell r="H1112">
            <v>7</v>
          </cell>
          <cell r="I1112">
            <v>21</v>
          </cell>
          <cell r="J1112">
            <v>21</v>
          </cell>
          <cell r="K1112">
            <v>9</v>
          </cell>
          <cell r="L1112">
            <v>21</v>
          </cell>
          <cell r="M1112">
            <v>17</v>
          </cell>
          <cell r="P1112">
            <v>0.53611111111111109</v>
          </cell>
          <cell r="R1112">
            <v>0.53611111111111109</v>
          </cell>
          <cell r="S1112" t="str">
            <v>sob 12:00</v>
          </cell>
          <cell r="X1112">
            <v>159</v>
          </cell>
          <cell r="Y1112" t="str">
            <v>pojedyncza chłopców JM</v>
          </cell>
          <cell r="Z1112" t="str">
            <v>W4270</v>
          </cell>
          <cell r="AA1112" t="str">
            <v/>
          </cell>
          <cell r="AB1112" t="str">
            <v>H3554</v>
          </cell>
          <cell r="AC1112" t="str">
            <v/>
          </cell>
          <cell r="AD1112" t="str">
            <v>W4270</v>
          </cell>
          <cell r="AE1112" t="str">
            <v/>
          </cell>
          <cell r="AF1112" t="str">
            <v>7:21,21:9,21:17</v>
          </cell>
          <cell r="AG1112" t="str">
            <v>21:7,9:21,17:21</v>
          </cell>
          <cell r="AH1112" t="str">
            <v/>
          </cell>
          <cell r="AI1112">
            <v>7</v>
          </cell>
          <cell r="AJ1112">
            <v>21</v>
          </cell>
          <cell r="AK1112">
            <v>21</v>
          </cell>
          <cell r="AL1112">
            <v>9</v>
          </cell>
          <cell r="AM1112">
            <v>21</v>
          </cell>
          <cell r="AN1112">
            <v>17</v>
          </cell>
        </row>
        <row r="1113">
          <cell r="A1113" t="str">
            <v/>
          </cell>
          <cell r="B1113" t="str">
            <v>Jędrzej WACHOWSKI (STB Energia Lubliniec)</v>
          </cell>
          <cell r="H1113" t="str">
            <v>W4270</v>
          </cell>
          <cell r="K1113" t="str">
            <v>H3554</v>
          </cell>
          <cell r="N1113" t="str">
            <v>Szymon HAŁASA (UKS Kiko Zamość)</v>
          </cell>
        </row>
        <row r="1114">
          <cell r="A1114" t="str">
            <v/>
          </cell>
          <cell r="B1114" t="str">
            <v/>
          </cell>
          <cell r="H1114" t="str">
            <v/>
          </cell>
          <cell r="K1114" t="str">
            <v/>
          </cell>
          <cell r="N1114" t="str">
            <v/>
          </cell>
        </row>
        <row r="1116">
          <cell r="B1116" t="str">
            <v>zwycięzca(cy): 7:21,21:9,21:17</v>
          </cell>
          <cell r="K1116" t="str">
            <v/>
          </cell>
        </row>
        <row r="1117">
          <cell r="B1117">
            <v>2</v>
          </cell>
          <cell r="C1117" t="str">
            <v>dzień turnieju.</v>
          </cell>
          <cell r="I1117" t="str">
            <v>Nr meczu</v>
          </cell>
          <cell r="N1117" t="str">
            <v>Godz.</v>
          </cell>
          <cell r="R1117" t="str">
            <v>S. prow.</v>
          </cell>
          <cell r="AF1117" t="str">
            <v>wygrany</v>
          </cell>
          <cell r="AG1117" t="str">
            <v>przegrany</v>
          </cell>
        </row>
        <row r="1118">
          <cell r="B1118" t="str">
            <v>Boisko</v>
          </cell>
          <cell r="C1118" t="str">
            <v>Gra</v>
          </cell>
          <cell r="I1118">
            <v>160</v>
          </cell>
          <cell r="N1118" t="str">
            <v>rozp.</v>
          </cell>
          <cell r="P1118" t="str">
            <v>zak.</v>
          </cell>
          <cell r="R1118" t="str">
            <v>S. serw.</v>
          </cell>
        </row>
        <row r="1119">
          <cell r="A1119">
            <v>160</v>
          </cell>
          <cell r="B1119">
            <v>1</v>
          </cell>
          <cell r="C1119" t="str">
            <v>pojedyncza chłopców JM</v>
          </cell>
          <cell r="H1119">
            <v>21</v>
          </cell>
          <cell r="I1119">
            <v>9</v>
          </cell>
          <cell r="J1119">
            <v>21</v>
          </cell>
          <cell r="K1119">
            <v>14</v>
          </cell>
          <cell r="P1119">
            <v>0.52638888888888891</v>
          </cell>
          <cell r="R1119">
            <v>0.52638888888888891</v>
          </cell>
          <cell r="S1119" t="str">
            <v>sob 12:00</v>
          </cell>
          <cell r="X1119">
            <v>160</v>
          </cell>
          <cell r="Y1119" t="str">
            <v>pojedyncza chłopców JM</v>
          </cell>
          <cell r="Z1119" t="str">
            <v>M4225</v>
          </cell>
          <cell r="AA1119" t="str">
            <v/>
          </cell>
          <cell r="AB1119" t="str">
            <v>J5591</v>
          </cell>
          <cell r="AC1119" t="str">
            <v/>
          </cell>
          <cell r="AD1119" t="str">
            <v>M4225</v>
          </cell>
          <cell r="AE1119" t="str">
            <v/>
          </cell>
          <cell r="AF1119" t="str">
            <v>21:9,21:14</v>
          </cell>
          <cell r="AG1119" t="str">
            <v>9:21,14:21</v>
          </cell>
          <cell r="AH1119" t="str">
            <v/>
          </cell>
          <cell r="AI1119">
            <v>21</v>
          </cell>
          <cell r="AJ1119">
            <v>9</v>
          </cell>
          <cell r="AK1119">
            <v>21</v>
          </cell>
          <cell r="AL1119">
            <v>14</v>
          </cell>
          <cell r="AM1119">
            <v>0</v>
          </cell>
          <cell r="AN1119">
            <v>0</v>
          </cell>
        </row>
        <row r="1120">
          <cell r="A1120" t="str">
            <v/>
          </cell>
          <cell r="B1120" t="str">
            <v>Bartosz MARKIEWICZ (MLKS Solec Kuj.)</v>
          </cell>
          <cell r="H1120" t="str">
            <v>M4225</v>
          </cell>
          <cell r="K1120" t="str">
            <v>J5591</v>
          </cell>
          <cell r="N1120" t="str">
            <v>Łukasz JABŁOŃSKI (KSR Wolant Łódź)</v>
          </cell>
        </row>
        <row r="1121">
          <cell r="A1121" t="str">
            <v/>
          </cell>
          <cell r="B1121" t="str">
            <v/>
          </cell>
          <cell r="H1121" t="str">
            <v/>
          </cell>
          <cell r="K1121" t="str">
            <v/>
          </cell>
          <cell r="N1121" t="str">
            <v/>
          </cell>
        </row>
        <row r="1123">
          <cell r="B1123" t="str">
            <v>zwycięzca(cy): 21:9,21:14</v>
          </cell>
          <cell r="K1123" t="str">
            <v/>
          </cell>
        </row>
        <row r="1124">
          <cell r="B1124">
            <v>2</v>
          </cell>
          <cell r="C1124" t="str">
            <v>dzień turnieju.</v>
          </cell>
          <cell r="I1124" t="str">
            <v>Nr meczu</v>
          </cell>
          <cell r="N1124" t="str">
            <v>Godz.</v>
          </cell>
          <cell r="R1124" t="str">
            <v>S. prow.</v>
          </cell>
          <cell r="AF1124" t="str">
            <v>wygrany</v>
          </cell>
          <cell r="AG1124" t="str">
            <v>przegrany</v>
          </cell>
        </row>
        <row r="1125">
          <cell r="B1125" t="str">
            <v>Boisko</v>
          </cell>
          <cell r="C1125" t="str">
            <v>Gra</v>
          </cell>
          <cell r="I1125">
            <v>161</v>
          </cell>
          <cell r="N1125" t="str">
            <v>rozp.</v>
          </cell>
          <cell r="P1125" t="str">
            <v>zak.</v>
          </cell>
          <cell r="R1125" t="str">
            <v>S. serw.</v>
          </cell>
        </row>
        <row r="1126">
          <cell r="A1126">
            <v>161</v>
          </cell>
          <cell r="B1126">
            <v>3</v>
          </cell>
          <cell r="C1126" t="str">
            <v>pojedyncza chłopców JM</v>
          </cell>
          <cell r="H1126">
            <v>10</v>
          </cell>
          <cell r="I1126">
            <v>21</v>
          </cell>
          <cell r="J1126">
            <v>9</v>
          </cell>
          <cell r="K1126">
            <v>21</v>
          </cell>
          <cell r="P1126">
            <v>0.53125</v>
          </cell>
          <cell r="R1126">
            <v>0.53125</v>
          </cell>
          <cell r="S1126" t="str">
            <v>sob 12:00</v>
          </cell>
          <cell r="X1126">
            <v>161</v>
          </cell>
          <cell r="Y1126" t="str">
            <v>pojedyncza chłopców JM</v>
          </cell>
          <cell r="Z1126" t="str">
            <v>M3731</v>
          </cell>
          <cell r="AA1126" t="str">
            <v/>
          </cell>
          <cell r="AB1126" t="str">
            <v>X39</v>
          </cell>
          <cell r="AC1126" t="str">
            <v/>
          </cell>
          <cell r="AD1126" t="str">
            <v>X39</v>
          </cell>
          <cell r="AE1126" t="str">
            <v/>
          </cell>
          <cell r="AF1126" t="str">
            <v>21:10,21:9</v>
          </cell>
          <cell r="AG1126" t="str">
            <v>10:21,9:21</v>
          </cell>
          <cell r="AH1126" t="str">
            <v/>
          </cell>
          <cell r="AI1126">
            <v>10</v>
          </cell>
          <cell r="AJ1126">
            <v>21</v>
          </cell>
          <cell r="AK1126">
            <v>9</v>
          </cell>
          <cell r="AL1126">
            <v>21</v>
          </cell>
          <cell r="AM1126">
            <v>0</v>
          </cell>
          <cell r="AN1126">
            <v>0</v>
          </cell>
        </row>
        <row r="1127">
          <cell r="A1127" t="str">
            <v/>
          </cell>
          <cell r="B1127" t="str">
            <v>Jakub MOSORZEWSKI (UKS Kiko Zamość)</v>
          </cell>
          <cell r="H1127" t="str">
            <v>M3731</v>
          </cell>
          <cell r="K1127" t="str">
            <v>X39</v>
          </cell>
          <cell r="N1127" t="str">
            <v>Adam Šářec  (Slavoj Cesky Tesin)</v>
          </cell>
        </row>
        <row r="1128">
          <cell r="A1128" t="str">
            <v/>
          </cell>
          <cell r="B1128" t="str">
            <v/>
          </cell>
          <cell r="H1128" t="str">
            <v/>
          </cell>
          <cell r="K1128" t="str">
            <v/>
          </cell>
          <cell r="N1128" t="str">
            <v/>
          </cell>
        </row>
        <row r="1130">
          <cell r="B1130" t="str">
            <v/>
          </cell>
          <cell r="K1130" t="str">
            <v>zwycięzca(cy): 21:10,21:9</v>
          </cell>
        </row>
        <row r="1131">
          <cell r="B1131">
            <v>2</v>
          </cell>
          <cell r="C1131" t="str">
            <v>dzień turnieju.</v>
          </cell>
          <cell r="I1131" t="str">
            <v>Nr meczu</v>
          </cell>
          <cell r="N1131" t="str">
            <v>Godz.</v>
          </cell>
          <cell r="R1131" t="str">
            <v>S. prow.</v>
          </cell>
          <cell r="AF1131" t="str">
            <v>wygrany</v>
          </cell>
          <cell r="AG1131" t="str">
            <v>przegrany</v>
          </cell>
        </row>
        <row r="1132">
          <cell r="B1132" t="str">
            <v>Boisko</v>
          </cell>
          <cell r="C1132" t="str">
            <v>Gra</v>
          </cell>
          <cell r="I1132">
            <v>162</v>
          </cell>
          <cell r="N1132" t="str">
            <v>rozp.</v>
          </cell>
          <cell r="P1132" t="str">
            <v>zak.</v>
          </cell>
          <cell r="R1132" t="str">
            <v>S. serw.</v>
          </cell>
        </row>
        <row r="1133">
          <cell r="A1133">
            <v>162</v>
          </cell>
          <cell r="B1133">
            <v>2</v>
          </cell>
          <cell r="C1133" t="str">
            <v>pojedyncza chłopców JM</v>
          </cell>
          <cell r="H1133">
            <v>21</v>
          </cell>
          <cell r="I1133">
            <v>9</v>
          </cell>
          <cell r="J1133">
            <v>21</v>
          </cell>
          <cell r="K1133">
            <v>15</v>
          </cell>
          <cell r="P1133">
            <v>0.54097222222222219</v>
          </cell>
          <cell r="R1133">
            <v>0.54097222222222219</v>
          </cell>
          <cell r="S1133" t="str">
            <v>sob 12:00</v>
          </cell>
          <cell r="X1133">
            <v>162</v>
          </cell>
          <cell r="Y1133" t="str">
            <v>pojedyncza chłopców JM</v>
          </cell>
          <cell r="Z1133" t="str">
            <v>J3436</v>
          </cell>
          <cell r="AA1133" t="str">
            <v/>
          </cell>
          <cell r="AB1133" t="str">
            <v>M3524</v>
          </cell>
          <cell r="AC1133" t="str">
            <v/>
          </cell>
          <cell r="AD1133" t="str">
            <v>J3436</v>
          </cell>
          <cell r="AE1133" t="str">
            <v/>
          </cell>
          <cell r="AF1133" t="str">
            <v>21:9,21:15</v>
          </cell>
          <cell r="AG1133" t="str">
            <v>9:21,15:21</v>
          </cell>
          <cell r="AH1133" t="str">
            <v/>
          </cell>
          <cell r="AI1133">
            <v>21</v>
          </cell>
          <cell r="AJ1133">
            <v>9</v>
          </cell>
          <cell r="AK1133">
            <v>21</v>
          </cell>
          <cell r="AL1133">
            <v>15</v>
          </cell>
          <cell r="AM1133">
            <v>0</v>
          </cell>
          <cell r="AN1133">
            <v>0</v>
          </cell>
        </row>
        <row r="1134">
          <cell r="A1134" t="str">
            <v/>
          </cell>
          <cell r="B1134" t="str">
            <v>Patryk JAS (UKS Kometa Sianów)</v>
          </cell>
          <cell r="H1134" t="str">
            <v>J3436</v>
          </cell>
          <cell r="K1134" t="str">
            <v>M3524</v>
          </cell>
          <cell r="N1134" t="str">
            <v>Dawid MAZUR (LKS Technik Głubczyce)</v>
          </cell>
        </row>
        <row r="1135">
          <cell r="A1135" t="str">
            <v/>
          </cell>
          <cell r="B1135" t="str">
            <v/>
          </cell>
          <cell r="H1135" t="str">
            <v/>
          </cell>
          <cell r="K1135" t="str">
            <v/>
          </cell>
          <cell r="N1135" t="str">
            <v/>
          </cell>
        </row>
        <row r="1137">
          <cell r="B1137" t="str">
            <v>zwycięzca(cy): 21:9,21:15</v>
          </cell>
          <cell r="K1137" t="str">
            <v/>
          </cell>
        </row>
        <row r="1138">
          <cell r="B1138">
            <v>2</v>
          </cell>
          <cell r="C1138" t="str">
            <v>dzień turnieju.</v>
          </cell>
          <cell r="I1138" t="str">
            <v>Nr meczu</v>
          </cell>
          <cell r="N1138" t="str">
            <v>Godz.</v>
          </cell>
          <cell r="R1138" t="str">
            <v>S. prow.</v>
          </cell>
          <cell r="AF1138" t="str">
            <v>wygrany</v>
          </cell>
          <cell r="AG1138" t="str">
            <v>przegrany</v>
          </cell>
        </row>
        <row r="1139">
          <cell r="B1139" t="str">
            <v>Boisko</v>
          </cell>
          <cell r="C1139" t="str">
            <v>Gra</v>
          </cell>
          <cell r="I1139">
            <v>163</v>
          </cell>
          <cell r="N1139" t="str">
            <v>rozp.</v>
          </cell>
          <cell r="P1139" t="str">
            <v>zak.</v>
          </cell>
          <cell r="R1139" t="str">
            <v>S. serw.</v>
          </cell>
        </row>
        <row r="1140">
          <cell r="A1140">
            <v>163</v>
          </cell>
          <cell r="B1140">
            <v>5</v>
          </cell>
          <cell r="C1140" t="str">
            <v>pojedyncza chłopców JM</v>
          </cell>
          <cell r="H1140">
            <v>17</v>
          </cell>
          <cell r="I1140">
            <v>21</v>
          </cell>
          <cell r="J1140">
            <v>21</v>
          </cell>
          <cell r="K1140">
            <v>17</v>
          </cell>
          <cell r="L1140">
            <v>21</v>
          </cell>
          <cell r="M1140">
            <v>13</v>
          </cell>
          <cell r="P1140">
            <v>0.54375000000000007</v>
          </cell>
          <cell r="R1140">
            <v>0.54375000000000007</v>
          </cell>
          <cell r="S1140" t="str">
            <v>sob 12:00</v>
          </cell>
          <cell r="X1140">
            <v>163</v>
          </cell>
          <cell r="Y1140" t="str">
            <v>pojedyncza chłopców JM</v>
          </cell>
          <cell r="Z1140" t="str">
            <v>P4202</v>
          </cell>
          <cell r="AA1140" t="str">
            <v/>
          </cell>
          <cell r="AB1140" t="str">
            <v>Ś3865</v>
          </cell>
          <cell r="AC1140" t="str">
            <v/>
          </cell>
          <cell r="AD1140" t="str">
            <v>P4202</v>
          </cell>
          <cell r="AE1140" t="str">
            <v/>
          </cell>
          <cell r="AF1140" t="str">
            <v>17:21,21:17,21:13</v>
          </cell>
          <cell r="AG1140" t="str">
            <v>21:17,17:21,13:21</v>
          </cell>
          <cell r="AH1140" t="str">
            <v/>
          </cell>
          <cell r="AI1140">
            <v>17</v>
          </cell>
          <cell r="AJ1140">
            <v>21</v>
          </cell>
          <cell r="AK1140">
            <v>21</v>
          </cell>
          <cell r="AL1140">
            <v>17</v>
          </cell>
          <cell r="AM1140">
            <v>21</v>
          </cell>
          <cell r="AN1140">
            <v>13</v>
          </cell>
        </row>
        <row r="1141">
          <cell r="A1141" t="str">
            <v/>
          </cell>
          <cell r="B1141" t="str">
            <v>Bartłomiej PARYSZ (UKS Unia Bieruń)</v>
          </cell>
          <cell r="H1141" t="str">
            <v>P4202</v>
          </cell>
          <cell r="K1141" t="str">
            <v>Ś3865</v>
          </cell>
          <cell r="N1141" t="str">
            <v>Ernest ŚCIPIEŃ (MKS Stal Nowa Dęba)</v>
          </cell>
        </row>
        <row r="1142">
          <cell r="A1142" t="str">
            <v/>
          </cell>
          <cell r="B1142" t="str">
            <v/>
          </cell>
          <cell r="H1142" t="str">
            <v/>
          </cell>
          <cell r="K1142" t="str">
            <v/>
          </cell>
          <cell r="N1142" t="str">
            <v/>
          </cell>
        </row>
        <row r="1144">
          <cell r="B1144" t="str">
            <v>zwycięzca(cy): 17:21,21:17,21:13</v>
          </cell>
          <cell r="K1144" t="str">
            <v/>
          </cell>
        </row>
        <row r="1145">
          <cell r="B1145">
            <v>2</v>
          </cell>
          <cell r="C1145" t="str">
            <v>dzień turnieju.</v>
          </cell>
          <cell r="I1145" t="str">
            <v>Nr meczu</v>
          </cell>
          <cell r="N1145" t="str">
            <v>Godz.</v>
          </cell>
          <cell r="R1145" t="str">
            <v>S. prow.</v>
          </cell>
          <cell r="AF1145" t="str">
            <v>wygrany</v>
          </cell>
          <cell r="AG1145" t="str">
            <v>przegrany</v>
          </cell>
        </row>
        <row r="1146">
          <cell r="B1146" t="str">
            <v>Boisko</v>
          </cell>
          <cell r="C1146" t="str">
            <v>Gra</v>
          </cell>
          <cell r="I1146">
            <v>164</v>
          </cell>
          <cell r="N1146" t="str">
            <v>rozp.</v>
          </cell>
          <cell r="P1146" t="str">
            <v>zak.</v>
          </cell>
          <cell r="R1146" t="str">
            <v>S. serw.</v>
          </cell>
        </row>
        <row r="1147">
          <cell r="A1147">
            <v>164</v>
          </cell>
          <cell r="B1147">
            <v>6</v>
          </cell>
          <cell r="C1147" t="str">
            <v>pojedyncza chłopców JM</v>
          </cell>
          <cell r="H1147">
            <v>21</v>
          </cell>
          <cell r="I1147">
            <v>11</v>
          </cell>
          <cell r="J1147">
            <v>21</v>
          </cell>
          <cell r="K1147">
            <v>7</v>
          </cell>
          <cell r="P1147">
            <v>0.53402777777777777</v>
          </cell>
          <cell r="R1147">
            <v>0.53402777777777777</v>
          </cell>
          <cell r="S1147" t="str">
            <v>sob 12:00</v>
          </cell>
          <cell r="X1147">
            <v>164</v>
          </cell>
          <cell r="Y1147" t="str">
            <v>pojedyncza chłopców JM</v>
          </cell>
          <cell r="Z1147" t="str">
            <v>M4193</v>
          </cell>
          <cell r="AA1147" t="str">
            <v/>
          </cell>
          <cell r="AB1147" t="str">
            <v>G4333</v>
          </cell>
          <cell r="AC1147" t="str">
            <v/>
          </cell>
          <cell r="AD1147" t="str">
            <v>M4193</v>
          </cell>
          <cell r="AE1147" t="str">
            <v/>
          </cell>
          <cell r="AF1147" t="str">
            <v>21:11,21:7</v>
          </cell>
          <cell r="AG1147" t="str">
            <v>11:21,7:21</v>
          </cell>
          <cell r="AH1147" t="str">
            <v/>
          </cell>
          <cell r="AI1147">
            <v>21</v>
          </cell>
          <cell r="AJ1147">
            <v>11</v>
          </cell>
          <cell r="AK1147">
            <v>21</v>
          </cell>
          <cell r="AL1147">
            <v>7</v>
          </cell>
          <cell r="AM1147">
            <v>0</v>
          </cell>
          <cell r="AN1147">
            <v>0</v>
          </cell>
        </row>
        <row r="1148">
          <cell r="A1148" t="str">
            <v/>
          </cell>
          <cell r="B1148" t="str">
            <v>Robert MIRGA (LKS Technik Głubczyce)</v>
          </cell>
          <cell r="H1148" t="str">
            <v>M4193</v>
          </cell>
          <cell r="K1148" t="str">
            <v>G4333</v>
          </cell>
          <cell r="N1148" t="str">
            <v>Michał GIELECKI (UKS Kiko Zamość)</v>
          </cell>
        </row>
        <row r="1149">
          <cell r="A1149" t="str">
            <v/>
          </cell>
          <cell r="B1149" t="str">
            <v/>
          </cell>
          <cell r="H1149" t="str">
            <v/>
          </cell>
          <cell r="K1149" t="str">
            <v/>
          </cell>
          <cell r="N1149" t="str">
            <v/>
          </cell>
        </row>
        <row r="1151">
          <cell r="B1151" t="str">
            <v>zwycięzca(cy): 21:11,21:7</v>
          </cell>
          <cell r="K1151" t="str">
            <v/>
          </cell>
        </row>
        <row r="1152">
          <cell r="B1152">
            <v>2</v>
          </cell>
          <cell r="C1152" t="str">
            <v>dzień turnieju.</v>
          </cell>
          <cell r="I1152" t="str">
            <v>Nr meczu</v>
          </cell>
          <cell r="N1152" t="str">
            <v>Godz.</v>
          </cell>
          <cell r="R1152" t="str">
            <v>S. prow.</v>
          </cell>
          <cell r="AF1152" t="str">
            <v>wygrany</v>
          </cell>
          <cell r="AG1152" t="str">
            <v>przegrany</v>
          </cell>
        </row>
        <row r="1153">
          <cell r="B1153" t="str">
            <v>Boisko</v>
          </cell>
          <cell r="C1153" t="str">
            <v>Gra</v>
          </cell>
          <cell r="I1153">
            <v>165</v>
          </cell>
          <cell r="N1153" t="str">
            <v>rozp.</v>
          </cell>
          <cell r="P1153" t="str">
            <v>zak.</v>
          </cell>
          <cell r="R1153" t="str">
            <v>S. serw.</v>
          </cell>
        </row>
        <row r="1154">
          <cell r="A1154">
            <v>165</v>
          </cell>
          <cell r="B1154">
            <v>1</v>
          </cell>
          <cell r="C1154" t="str">
            <v>pojedyncza chłopców JM</v>
          </cell>
          <cell r="H1154">
            <v>21</v>
          </cell>
          <cell r="I1154">
            <v>15</v>
          </cell>
          <cell r="J1154">
            <v>21</v>
          </cell>
          <cell r="K1154">
            <v>19</v>
          </cell>
          <cell r="P1154">
            <v>0.54236111111111118</v>
          </cell>
          <cell r="R1154">
            <v>0.54236111111111118</v>
          </cell>
          <cell r="S1154" t="str">
            <v>sob 12:00</v>
          </cell>
          <cell r="X1154">
            <v>165</v>
          </cell>
          <cell r="Y1154" t="str">
            <v>pojedyncza chłopców JM</v>
          </cell>
          <cell r="Z1154" t="str">
            <v>D3323</v>
          </cell>
          <cell r="AA1154" t="str">
            <v/>
          </cell>
          <cell r="AB1154" t="str">
            <v>R3535</v>
          </cell>
          <cell r="AC1154" t="str">
            <v/>
          </cell>
          <cell r="AD1154" t="str">
            <v>D3323</v>
          </cell>
          <cell r="AE1154" t="str">
            <v/>
          </cell>
          <cell r="AF1154" t="str">
            <v>21:15,21:19</v>
          </cell>
          <cell r="AG1154" t="str">
            <v>15:21,19:21</v>
          </cell>
          <cell r="AH1154" t="str">
            <v/>
          </cell>
          <cell r="AI1154">
            <v>21</v>
          </cell>
          <cell r="AJ1154">
            <v>15</v>
          </cell>
          <cell r="AK1154">
            <v>21</v>
          </cell>
          <cell r="AL1154">
            <v>19</v>
          </cell>
          <cell r="AM1154">
            <v>0</v>
          </cell>
          <cell r="AN1154">
            <v>0</v>
          </cell>
        </row>
        <row r="1155">
          <cell r="A1155" t="str">
            <v/>
          </cell>
          <cell r="B1155" t="str">
            <v>Mateusz DANIELAK (KKS Ruch Piotrków Tryb.)</v>
          </cell>
          <cell r="H1155" t="str">
            <v>D3323</v>
          </cell>
          <cell r="K1155" t="str">
            <v>R3535</v>
          </cell>
          <cell r="N1155" t="str">
            <v>Nikodem RATKOWSKI (ZKB Maced Polanów)</v>
          </cell>
        </row>
        <row r="1156">
          <cell r="A1156" t="str">
            <v/>
          </cell>
          <cell r="B1156" t="str">
            <v/>
          </cell>
          <cell r="H1156" t="str">
            <v/>
          </cell>
          <cell r="K1156" t="str">
            <v/>
          </cell>
          <cell r="N1156" t="str">
            <v/>
          </cell>
        </row>
        <row r="1158">
          <cell r="B1158" t="str">
            <v>zwycięzca(cy): 21:15,21:19</v>
          </cell>
          <cell r="K1158" t="str">
            <v/>
          </cell>
        </row>
        <row r="1159">
          <cell r="B1159">
            <v>2</v>
          </cell>
          <cell r="C1159" t="str">
            <v>dzień turnieju.</v>
          </cell>
          <cell r="I1159" t="str">
            <v>Nr meczu</v>
          </cell>
          <cell r="N1159" t="str">
            <v>Godz.</v>
          </cell>
          <cell r="R1159" t="str">
            <v>S. prow.</v>
          </cell>
          <cell r="AF1159" t="str">
            <v>wygrany</v>
          </cell>
          <cell r="AG1159" t="str">
            <v>przegrany</v>
          </cell>
        </row>
        <row r="1160">
          <cell r="B1160" t="str">
            <v>Boisko</v>
          </cell>
          <cell r="C1160" t="str">
            <v>Gra</v>
          </cell>
          <cell r="I1160">
            <v>166</v>
          </cell>
          <cell r="N1160" t="str">
            <v>rozp.</v>
          </cell>
          <cell r="P1160" t="str">
            <v>zak.</v>
          </cell>
          <cell r="R1160" t="str">
            <v>S. serw.</v>
          </cell>
        </row>
        <row r="1161">
          <cell r="A1161">
            <v>166</v>
          </cell>
          <cell r="B1161">
            <v>4</v>
          </cell>
          <cell r="C1161" t="str">
            <v>pojedyncza chłopców JM</v>
          </cell>
          <cell r="H1161">
            <v>21</v>
          </cell>
          <cell r="I1161">
            <v>5</v>
          </cell>
          <cell r="J1161">
            <v>21</v>
          </cell>
          <cell r="K1161">
            <v>6</v>
          </cell>
          <cell r="P1161">
            <v>0.53680555555555554</v>
          </cell>
          <cell r="R1161">
            <v>0.53680555555555554</v>
          </cell>
          <cell r="S1161" t="str">
            <v>sob 12:00</v>
          </cell>
          <cell r="X1161">
            <v>166</v>
          </cell>
          <cell r="Y1161" t="str">
            <v>pojedyncza chłopców JM</v>
          </cell>
          <cell r="Z1161" t="str">
            <v>N3834</v>
          </cell>
          <cell r="AA1161" t="str">
            <v/>
          </cell>
          <cell r="AB1161" t="str">
            <v>K4766</v>
          </cell>
          <cell r="AC1161" t="str">
            <v/>
          </cell>
          <cell r="AD1161" t="str">
            <v>N3834</v>
          </cell>
          <cell r="AE1161" t="str">
            <v/>
          </cell>
          <cell r="AF1161" t="str">
            <v>21:5,21:6</v>
          </cell>
          <cell r="AG1161" t="str">
            <v>5:21,6:21</v>
          </cell>
          <cell r="AH1161" t="str">
            <v/>
          </cell>
          <cell r="AI1161">
            <v>21</v>
          </cell>
          <cell r="AJ1161">
            <v>5</v>
          </cell>
          <cell r="AK1161">
            <v>21</v>
          </cell>
          <cell r="AL1161">
            <v>6</v>
          </cell>
          <cell r="AM1161">
            <v>0</v>
          </cell>
          <cell r="AN1161">
            <v>0</v>
          </cell>
        </row>
        <row r="1162">
          <cell r="A1162" t="str">
            <v/>
          </cell>
          <cell r="B1162" t="str">
            <v>Jędrzej NOWAK (KS Chojnik Jelenia Góra)</v>
          </cell>
          <cell r="H1162" t="str">
            <v>N3834</v>
          </cell>
          <cell r="K1162" t="str">
            <v>K4766</v>
          </cell>
          <cell r="N1162" t="str">
            <v>Mateusz KRYSA (MLKS Solec Kuj.)</v>
          </cell>
        </row>
        <row r="1163">
          <cell r="A1163" t="str">
            <v/>
          </cell>
          <cell r="B1163" t="str">
            <v/>
          </cell>
          <cell r="H1163" t="str">
            <v/>
          </cell>
          <cell r="K1163" t="str">
            <v/>
          </cell>
          <cell r="N1163" t="str">
            <v/>
          </cell>
        </row>
        <row r="1165">
          <cell r="B1165" t="str">
            <v>zwycięzca(cy): 21:5,21:6</v>
          </cell>
          <cell r="K1165" t="str">
            <v/>
          </cell>
        </row>
        <row r="1166">
          <cell r="B1166">
            <v>2</v>
          </cell>
          <cell r="C1166" t="str">
            <v>dzień turnieju.</v>
          </cell>
          <cell r="I1166" t="str">
            <v>Nr meczu</v>
          </cell>
          <cell r="N1166" t="str">
            <v>Godz.</v>
          </cell>
          <cell r="R1166" t="str">
            <v>S. prow.</v>
          </cell>
          <cell r="AF1166" t="str">
            <v>wygrany</v>
          </cell>
          <cell r="AG1166" t="str">
            <v>przegrany</v>
          </cell>
        </row>
        <row r="1167">
          <cell r="B1167" t="str">
            <v>Boisko</v>
          </cell>
          <cell r="C1167" t="str">
            <v>Gra</v>
          </cell>
          <cell r="I1167">
            <v>167</v>
          </cell>
          <cell r="N1167" t="str">
            <v>rozp.</v>
          </cell>
          <cell r="P1167" t="str">
            <v>zak.</v>
          </cell>
          <cell r="R1167" t="str">
            <v>S. serw.</v>
          </cell>
        </row>
        <row r="1168">
          <cell r="A1168">
            <v>167</v>
          </cell>
          <cell r="B1168">
            <v>3</v>
          </cell>
          <cell r="C1168" t="str">
            <v>pojedyncza chłopców JM</v>
          </cell>
          <cell r="H1168">
            <v>4</v>
          </cell>
          <cell r="I1168">
            <v>21</v>
          </cell>
          <cell r="J1168">
            <v>9</v>
          </cell>
          <cell r="K1168">
            <v>21</v>
          </cell>
          <cell r="P1168">
            <v>0.54236111111111118</v>
          </cell>
          <cell r="R1168">
            <v>0.54236111111111118</v>
          </cell>
          <cell r="S1168" t="str">
            <v>sob 12:00</v>
          </cell>
          <cell r="X1168">
            <v>167</v>
          </cell>
          <cell r="Y1168" t="str">
            <v>pojedyncza chłopców JM</v>
          </cell>
          <cell r="Z1168" t="str">
            <v>L4037</v>
          </cell>
          <cell r="AA1168" t="str">
            <v/>
          </cell>
          <cell r="AB1168" t="str">
            <v>M3851</v>
          </cell>
          <cell r="AC1168" t="str">
            <v/>
          </cell>
          <cell r="AD1168" t="str">
            <v>M3851</v>
          </cell>
          <cell r="AE1168" t="str">
            <v/>
          </cell>
          <cell r="AF1168" t="str">
            <v>21:4,21:9</v>
          </cell>
          <cell r="AG1168" t="str">
            <v>4:21,9:21</v>
          </cell>
          <cell r="AH1168" t="str">
            <v/>
          </cell>
          <cell r="AI1168">
            <v>4</v>
          </cell>
          <cell r="AJ1168">
            <v>21</v>
          </cell>
          <cell r="AK1168">
            <v>9</v>
          </cell>
          <cell r="AL1168">
            <v>21</v>
          </cell>
          <cell r="AM1168">
            <v>0</v>
          </cell>
          <cell r="AN1168">
            <v>0</v>
          </cell>
        </row>
        <row r="1169">
          <cell r="A1169" t="str">
            <v/>
          </cell>
          <cell r="B1169" t="str">
            <v>Patryk LEPIANKA (UKS Kiko Zamość)</v>
          </cell>
          <cell r="H1169" t="str">
            <v>L4037</v>
          </cell>
          <cell r="K1169" t="str">
            <v>M3851</v>
          </cell>
          <cell r="N1169" t="str">
            <v>Adrian MAJEWSKI (UKS Hubal Białystok)</v>
          </cell>
        </row>
        <row r="1170">
          <cell r="A1170" t="str">
            <v/>
          </cell>
          <cell r="B1170" t="str">
            <v/>
          </cell>
          <cell r="H1170" t="str">
            <v/>
          </cell>
          <cell r="K1170" t="str">
            <v/>
          </cell>
          <cell r="N1170" t="str">
            <v/>
          </cell>
        </row>
        <row r="1172">
          <cell r="B1172" t="str">
            <v/>
          </cell>
          <cell r="K1172" t="str">
            <v>zwycięzca(cy): 21:4,21:9</v>
          </cell>
        </row>
        <row r="1173">
          <cell r="B1173">
            <v>2</v>
          </cell>
          <cell r="C1173" t="str">
            <v>dzień turnieju.</v>
          </cell>
          <cell r="I1173" t="str">
            <v>Nr meczu</v>
          </cell>
          <cell r="N1173" t="str">
            <v>Godz.</v>
          </cell>
          <cell r="R1173" t="str">
            <v>S. prow.</v>
          </cell>
          <cell r="AF1173" t="str">
            <v>wygrany</v>
          </cell>
          <cell r="AG1173" t="str">
            <v>przegrany</v>
          </cell>
        </row>
        <row r="1174">
          <cell r="B1174" t="str">
            <v>Boisko</v>
          </cell>
          <cell r="C1174" t="str">
            <v>Gra</v>
          </cell>
          <cell r="I1174">
            <v>168</v>
          </cell>
          <cell r="N1174" t="str">
            <v>rozp.</v>
          </cell>
          <cell r="P1174" t="str">
            <v>zak.</v>
          </cell>
          <cell r="R1174" t="str">
            <v>S. serw.</v>
          </cell>
        </row>
        <row r="1175">
          <cell r="A1175">
            <v>168</v>
          </cell>
          <cell r="C1175" t="str">
            <v>pojedyncza chłopców JM</v>
          </cell>
          <cell r="H1175">
            <v>21</v>
          </cell>
          <cell r="I1175">
            <v>0</v>
          </cell>
          <cell r="J1175">
            <v>21</v>
          </cell>
          <cell r="K1175">
            <v>0</v>
          </cell>
          <cell r="P1175">
            <v>0.52083333333333337</v>
          </cell>
          <cell r="R1175">
            <v>0.52083333333333337</v>
          </cell>
          <cell r="S1175" t="str">
            <v>sob 12:00</v>
          </cell>
          <cell r="X1175">
            <v>168</v>
          </cell>
          <cell r="Y1175" t="str">
            <v>pojedyncza chłopców JM</v>
          </cell>
          <cell r="Z1175" t="str">
            <v>K4248</v>
          </cell>
          <cell r="AA1175" t="str">
            <v/>
          </cell>
          <cell r="AB1175" t="str">
            <v>S4731</v>
          </cell>
          <cell r="AC1175" t="str">
            <v/>
          </cell>
          <cell r="AD1175" t="str">
            <v>K4248</v>
          </cell>
          <cell r="AE1175" t="str">
            <v/>
          </cell>
          <cell r="AF1175" t="str">
            <v>21:0,21:0</v>
          </cell>
          <cell r="AG1175" t="str">
            <v>0:21,0:21</v>
          </cell>
          <cell r="AH1175" t="str">
            <v/>
          </cell>
          <cell r="AI1175">
            <v>21</v>
          </cell>
          <cell r="AJ1175">
            <v>0</v>
          </cell>
          <cell r="AK1175">
            <v>21</v>
          </cell>
          <cell r="AL1175">
            <v>0</v>
          </cell>
          <cell r="AM1175">
            <v>0</v>
          </cell>
          <cell r="AN1175">
            <v>0</v>
          </cell>
        </row>
        <row r="1176">
          <cell r="A1176" t="str">
            <v/>
          </cell>
          <cell r="B1176" t="str">
            <v>Michał KIKOSICKI (KSR Wolant Łódź)</v>
          </cell>
          <cell r="H1176" t="str">
            <v>K4248</v>
          </cell>
          <cell r="K1176" t="str">
            <v>S4731</v>
          </cell>
          <cell r="N1176" t="str">
            <v>Michał SIERAK (UKS Orliki Ropica Polska)</v>
          </cell>
        </row>
        <row r="1177">
          <cell r="A1177" t="str">
            <v/>
          </cell>
          <cell r="B1177" t="str">
            <v/>
          </cell>
          <cell r="H1177" t="str">
            <v/>
          </cell>
          <cell r="K1177" t="str">
            <v/>
          </cell>
          <cell r="N1177" t="str">
            <v/>
          </cell>
        </row>
        <row r="1179">
          <cell r="B1179" t="str">
            <v>zwycięzca(cy): 21:0,21:0</v>
          </cell>
          <cell r="K1179" t="str">
            <v/>
          </cell>
        </row>
        <row r="1180">
          <cell r="B1180">
            <v>2</v>
          </cell>
          <cell r="C1180" t="str">
            <v>dzień turnieju.</v>
          </cell>
          <cell r="I1180" t="str">
            <v>Nr meczu</v>
          </cell>
          <cell r="N1180" t="str">
            <v>Godz.</v>
          </cell>
          <cell r="R1180" t="str">
            <v>S. prow.</v>
          </cell>
          <cell r="AF1180" t="str">
            <v>wygrany</v>
          </cell>
          <cell r="AG1180" t="str">
            <v>przegrany</v>
          </cell>
        </row>
        <row r="1181">
          <cell r="B1181" t="str">
            <v>Boisko</v>
          </cell>
          <cell r="C1181" t="str">
            <v>Gra</v>
          </cell>
          <cell r="I1181">
            <v>169</v>
          </cell>
          <cell r="N1181" t="str">
            <v>rozp.</v>
          </cell>
          <cell r="P1181" t="str">
            <v>zak.</v>
          </cell>
          <cell r="R1181" t="str">
            <v>S. serw.</v>
          </cell>
        </row>
        <row r="1182">
          <cell r="A1182">
            <v>169</v>
          </cell>
          <cell r="B1182">
            <v>4</v>
          </cell>
          <cell r="C1182" t="str">
            <v>mieszana J</v>
          </cell>
          <cell r="H1182">
            <v>14</v>
          </cell>
          <cell r="I1182">
            <v>21</v>
          </cell>
          <cell r="J1182">
            <v>12</v>
          </cell>
          <cell r="K1182">
            <v>21</v>
          </cell>
          <cell r="P1182">
            <v>0.5541666666666667</v>
          </cell>
          <cell r="R1182">
            <v>0.5541666666666667</v>
          </cell>
          <cell r="S1182" t="str">
            <v>sob 13:00</v>
          </cell>
          <cell r="X1182">
            <v>169</v>
          </cell>
          <cell r="Y1182" t="str">
            <v>mieszana J</v>
          </cell>
          <cell r="Z1182" t="str">
            <v>K3935</v>
          </cell>
          <cell r="AA1182" t="str">
            <v>Ś3664</v>
          </cell>
          <cell r="AB1182" t="str">
            <v>S3365</v>
          </cell>
          <cell r="AC1182" t="str">
            <v>P2838</v>
          </cell>
          <cell r="AD1182" t="str">
            <v>S3365</v>
          </cell>
          <cell r="AE1182" t="str">
            <v>P2838</v>
          </cell>
          <cell r="AF1182" t="str">
            <v>21:14,21:12</v>
          </cell>
          <cell r="AG1182" t="str">
            <v>14:21,12:21</v>
          </cell>
          <cell r="AH1182" t="str">
            <v/>
          </cell>
          <cell r="AI1182">
            <v>14</v>
          </cell>
          <cell r="AJ1182">
            <v>21</v>
          </cell>
          <cell r="AK1182">
            <v>12</v>
          </cell>
          <cell r="AL1182">
            <v>21</v>
          </cell>
          <cell r="AM1182">
            <v>0</v>
          </cell>
          <cell r="AN1182">
            <v>0</v>
          </cell>
        </row>
        <row r="1183">
          <cell r="A1183" t="str">
            <v/>
          </cell>
          <cell r="B1183" t="str">
            <v>Michał KAŹMIERCZAK (UKS Feniks Kędzierzyn-Koźle)</v>
          </cell>
          <cell r="H1183" t="str">
            <v>K3935</v>
          </cell>
          <cell r="K1183" t="str">
            <v>S3365</v>
          </cell>
          <cell r="N1183" t="str">
            <v>Bartosz SZUKAŁA (UKS Orkan Przeźmierowo)</v>
          </cell>
        </row>
        <row r="1184">
          <cell r="A1184" t="str">
            <v/>
          </cell>
          <cell r="B1184" t="str">
            <v>Gabriela ŚLISZ (UKS Orbitek Straszęcin)</v>
          </cell>
          <cell r="H1184" t="str">
            <v>Ś3664</v>
          </cell>
          <cell r="K1184" t="str">
            <v>P2838</v>
          </cell>
          <cell r="N1184" t="str">
            <v>Aleksandra PAPRZYCKA (MKB Lednik Miastko)</v>
          </cell>
        </row>
        <row r="1186">
          <cell r="B1186" t="str">
            <v/>
          </cell>
          <cell r="K1186" t="str">
            <v>zwycięzca(cy): 21:14,21:12</v>
          </cell>
        </row>
        <row r="1187">
          <cell r="B1187">
            <v>2</v>
          </cell>
          <cell r="C1187" t="str">
            <v>dzień turnieju.</v>
          </cell>
          <cell r="I1187" t="str">
            <v>Nr meczu</v>
          </cell>
          <cell r="N1187" t="str">
            <v>Godz.</v>
          </cell>
          <cell r="R1187" t="str">
            <v>S. prow.</v>
          </cell>
          <cell r="AF1187" t="str">
            <v>wygrany</v>
          </cell>
          <cell r="AG1187" t="str">
            <v>przegrany</v>
          </cell>
        </row>
        <row r="1188">
          <cell r="B1188" t="str">
            <v>Boisko</v>
          </cell>
          <cell r="C1188" t="str">
            <v>Gra</v>
          </cell>
          <cell r="I1188">
            <v>170</v>
          </cell>
          <cell r="N1188" t="str">
            <v>rozp.</v>
          </cell>
          <cell r="P1188" t="str">
            <v>zak.</v>
          </cell>
          <cell r="R1188" t="str">
            <v>S. serw.</v>
          </cell>
        </row>
        <row r="1189">
          <cell r="A1189">
            <v>170</v>
          </cell>
          <cell r="B1189">
            <v>6</v>
          </cell>
          <cell r="C1189" t="str">
            <v>mieszana J</v>
          </cell>
          <cell r="H1189">
            <v>21</v>
          </cell>
          <cell r="I1189">
            <v>9</v>
          </cell>
          <cell r="J1189">
            <v>21</v>
          </cell>
          <cell r="K1189">
            <v>11</v>
          </cell>
          <cell r="P1189">
            <v>0.55625000000000002</v>
          </cell>
          <cell r="R1189">
            <v>0.55625000000000002</v>
          </cell>
          <cell r="S1189" t="str">
            <v>sob 13:00</v>
          </cell>
          <cell r="X1189">
            <v>170</v>
          </cell>
          <cell r="Y1189" t="str">
            <v>mieszana J</v>
          </cell>
          <cell r="Z1189" t="str">
            <v>W2914</v>
          </cell>
          <cell r="AA1189" t="str">
            <v>J2971</v>
          </cell>
          <cell r="AB1189" t="str">
            <v>P3707</v>
          </cell>
          <cell r="AC1189" t="str">
            <v>M3309</v>
          </cell>
          <cell r="AD1189" t="str">
            <v>W2914</v>
          </cell>
          <cell r="AE1189" t="str">
            <v>J2971</v>
          </cell>
          <cell r="AF1189" t="str">
            <v>21:9,21:11</v>
          </cell>
          <cell r="AG1189" t="str">
            <v>9:21,11:21</v>
          </cell>
          <cell r="AH1189" t="str">
            <v/>
          </cell>
          <cell r="AI1189">
            <v>21</v>
          </cell>
          <cell r="AJ1189">
            <v>9</v>
          </cell>
          <cell r="AK1189">
            <v>21</v>
          </cell>
          <cell r="AL1189">
            <v>11</v>
          </cell>
          <cell r="AM1189">
            <v>0</v>
          </cell>
          <cell r="AN1189">
            <v>0</v>
          </cell>
        </row>
        <row r="1190">
          <cell r="A1190" t="str">
            <v/>
          </cell>
          <cell r="B1190" t="str">
            <v>Piotr WASILUK (LUKS Badminton Choroszcz)</v>
          </cell>
          <cell r="H1190" t="str">
            <v>W2914</v>
          </cell>
          <cell r="K1190" t="str">
            <v>P3707</v>
          </cell>
          <cell r="N1190" t="str">
            <v>Bartosz PIEKARZ (UKS Orliki Ropica Polska)</v>
          </cell>
        </row>
        <row r="1191">
          <cell r="A1191" t="str">
            <v/>
          </cell>
          <cell r="B1191" t="str">
            <v>Karolina JANOWSKA (UKS Hubal Białystok)</v>
          </cell>
          <cell r="H1191" t="str">
            <v>J2971</v>
          </cell>
          <cell r="K1191" t="str">
            <v>M3309</v>
          </cell>
          <cell r="N1191" t="str">
            <v>Edyta MIETŁA (MKS Spartakus Niepołomice)</v>
          </cell>
        </row>
        <row r="1193">
          <cell r="B1193" t="str">
            <v>zwycięzca(cy): 21:9,21:11</v>
          </cell>
          <cell r="K1193" t="str">
            <v/>
          </cell>
        </row>
        <row r="1194">
          <cell r="B1194">
            <v>2</v>
          </cell>
          <cell r="C1194" t="str">
            <v>dzień turnieju.</v>
          </cell>
          <cell r="I1194" t="str">
            <v>Nr meczu</v>
          </cell>
          <cell r="N1194" t="str">
            <v>Godz.</v>
          </cell>
          <cell r="R1194" t="str">
            <v>S. prow.</v>
          </cell>
          <cell r="AF1194" t="str">
            <v>wygrany</v>
          </cell>
          <cell r="AG1194" t="str">
            <v>przegrany</v>
          </cell>
        </row>
        <row r="1195">
          <cell r="B1195" t="str">
            <v>Boisko</v>
          </cell>
          <cell r="C1195" t="str">
            <v>Gra</v>
          </cell>
          <cell r="I1195">
            <v>171</v>
          </cell>
          <cell r="N1195" t="str">
            <v>rozp.</v>
          </cell>
          <cell r="P1195" t="str">
            <v>zak.</v>
          </cell>
          <cell r="R1195" t="str">
            <v>S. serw.</v>
          </cell>
        </row>
        <row r="1196">
          <cell r="A1196">
            <v>171</v>
          </cell>
          <cell r="B1196">
            <v>7</v>
          </cell>
          <cell r="C1196" t="str">
            <v>mieszana J</v>
          </cell>
          <cell r="H1196">
            <v>21</v>
          </cell>
          <cell r="I1196">
            <v>17</v>
          </cell>
          <cell r="J1196">
            <v>11</v>
          </cell>
          <cell r="K1196">
            <v>21</v>
          </cell>
          <cell r="L1196">
            <v>19</v>
          </cell>
          <cell r="M1196">
            <v>21</v>
          </cell>
          <cell r="P1196">
            <v>0.56597222222222221</v>
          </cell>
          <cell r="R1196">
            <v>0.56597222222222221</v>
          </cell>
          <cell r="S1196" t="str">
            <v>sob 13:00</v>
          </cell>
          <cell r="X1196">
            <v>171</v>
          </cell>
          <cell r="Y1196" t="str">
            <v>mieszana J</v>
          </cell>
          <cell r="Z1196" t="str">
            <v>O3926</v>
          </cell>
          <cell r="AA1196" t="str">
            <v>B3862</v>
          </cell>
          <cell r="AB1196" t="str">
            <v>N3148</v>
          </cell>
          <cell r="AC1196" t="str">
            <v>T3157</v>
          </cell>
          <cell r="AD1196" t="str">
            <v>N3148</v>
          </cell>
          <cell r="AE1196" t="str">
            <v>T3157</v>
          </cell>
          <cell r="AF1196" t="str">
            <v>17:21,21:11,21:19</v>
          </cell>
          <cell r="AG1196" t="str">
            <v>21:17,11:21,19:21</v>
          </cell>
          <cell r="AH1196" t="str">
            <v/>
          </cell>
          <cell r="AI1196">
            <v>21</v>
          </cell>
          <cell r="AJ1196">
            <v>17</v>
          </cell>
          <cell r="AK1196">
            <v>11</v>
          </cell>
          <cell r="AL1196">
            <v>21</v>
          </cell>
          <cell r="AM1196">
            <v>19</v>
          </cell>
          <cell r="AN1196">
            <v>21</v>
          </cell>
        </row>
        <row r="1197">
          <cell r="A1197" t="str">
            <v/>
          </cell>
          <cell r="B1197" t="str">
            <v>Sebastian OBRYCKI (LKS Technik Głubczyce)</v>
          </cell>
          <cell r="H1197" t="str">
            <v>O3926</v>
          </cell>
          <cell r="K1197" t="str">
            <v>N3148</v>
          </cell>
          <cell r="N1197" t="str">
            <v>Kamil NASIŁOWSKI (UKSB Milenium Warszawa)</v>
          </cell>
        </row>
        <row r="1198">
          <cell r="A1198" t="str">
            <v/>
          </cell>
          <cell r="B1198" t="str">
            <v>Aleksandra BIAŁEK (UKS Start Widełka)</v>
          </cell>
          <cell r="H1198" t="str">
            <v>B3862</v>
          </cell>
          <cell r="K1198" t="str">
            <v>T3157</v>
          </cell>
          <cell r="N1198" t="str">
            <v>Adrianna TATAJ (UKSB Milenium Warszawa)</v>
          </cell>
        </row>
        <row r="1200">
          <cell r="B1200" t="str">
            <v/>
          </cell>
          <cell r="K1200" t="str">
            <v>zwycięzca(cy): 17:21,21:11,21:19</v>
          </cell>
        </row>
        <row r="1201">
          <cell r="B1201">
            <v>2</v>
          </cell>
          <cell r="C1201" t="str">
            <v>dzień turnieju.</v>
          </cell>
          <cell r="I1201" t="str">
            <v>Nr meczu</v>
          </cell>
          <cell r="N1201" t="str">
            <v>Godz.</v>
          </cell>
          <cell r="R1201" t="str">
            <v>S. prow.</v>
          </cell>
          <cell r="AF1201" t="str">
            <v>wygrany</v>
          </cell>
          <cell r="AG1201" t="str">
            <v>przegrany</v>
          </cell>
        </row>
        <row r="1202">
          <cell r="B1202" t="str">
            <v>Boisko</v>
          </cell>
          <cell r="C1202" t="str">
            <v>Gra</v>
          </cell>
          <cell r="I1202">
            <v>172</v>
          </cell>
          <cell r="N1202" t="str">
            <v>rozp.</v>
          </cell>
          <cell r="P1202" t="str">
            <v>zak.</v>
          </cell>
          <cell r="R1202" t="str">
            <v>S. serw.</v>
          </cell>
        </row>
        <row r="1203">
          <cell r="A1203">
            <v>172</v>
          </cell>
          <cell r="B1203">
            <v>8</v>
          </cell>
          <cell r="C1203" t="str">
            <v>mieszana J</v>
          </cell>
          <cell r="H1203">
            <v>21</v>
          </cell>
          <cell r="I1203">
            <v>17</v>
          </cell>
          <cell r="J1203">
            <v>21</v>
          </cell>
          <cell r="K1203">
            <v>14</v>
          </cell>
          <cell r="P1203">
            <v>0.56041666666666667</v>
          </cell>
          <cell r="R1203">
            <v>0.56041666666666667</v>
          </cell>
          <cell r="S1203" t="str">
            <v>sob 13:00</v>
          </cell>
          <cell r="X1203">
            <v>172</v>
          </cell>
          <cell r="Y1203" t="str">
            <v>mieszana J</v>
          </cell>
          <cell r="Z1203" t="str">
            <v>K3149</v>
          </cell>
          <cell r="AA1203" t="str">
            <v>P3283</v>
          </cell>
          <cell r="AB1203" t="str">
            <v>W3962</v>
          </cell>
          <cell r="AC1203" t="str">
            <v>W3960</v>
          </cell>
          <cell r="AD1203" t="str">
            <v>K3149</v>
          </cell>
          <cell r="AE1203" t="str">
            <v>P3283</v>
          </cell>
          <cell r="AF1203" t="str">
            <v>21:17,21:14</v>
          </cell>
          <cell r="AG1203" t="str">
            <v>17:21,14:21</v>
          </cell>
          <cell r="AH1203" t="str">
            <v/>
          </cell>
          <cell r="AI1203">
            <v>21</v>
          </cell>
          <cell r="AJ1203">
            <v>17</v>
          </cell>
          <cell r="AK1203">
            <v>21</v>
          </cell>
          <cell r="AL1203">
            <v>14</v>
          </cell>
          <cell r="AM1203">
            <v>0</v>
          </cell>
          <cell r="AN1203">
            <v>0</v>
          </cell>
        </row>
        <row r="1204">
          <cell r="A1204" t="str">
            <v/>
          </cell>
          <cell r="B1204" t="str">
            <v>Dominik KRZĘCIO (AZSWAT Warszawa)</v>
          </cell>
          <cell r="H1204" t="str">
            <v>K3149</v>
          </cell>
          <cell r="K1204" t="str">
            <v>W3962</v>
          </cell>
          <cell r="N1204" t="str">
            <v>Sławomir WUDARSKI (UKS Iskra Sarbice)</v>
          </cell>
        </row>
        <row r="1205">
          <cell r="A1205" t="str">
            <v/>
          </cell>
          <cell r="B1205" t="str">
            <v>Magdalena POPRZECZKO (UKS Badminton Stare Babice)</v>
          </cell>
          <cell r="H1205" t="str">
            <v>P3283</v>
          </cell>
          <cell r="K1205" t="str">
            <v>W3960</v>
          </cell>
          <cell r="N1205" t="str">
            <v>Justyna WUDARSKA (UKS Iskra Sarbice)</v>
          </cell>
        </row>
        <row r="1207">
          <cell r="B1207" t="str">
            <v>zwycięzca(cy): 21:17,21:14</v>
          </cell>
          <cell r="K1207" t="str">
            <v/>
          </cell>
        </row>
        <row r="1208">
          <cell r="B1208">
            <v>2</v>
          </cell>
          <cell r="C1208" t="str">
            <v>dzień turnieju.</v>
          </cell>
          <cell r="I1208" t="str">
            <v>Nr meczu</v>
          </cell>
          <cell r="N1208" t="str">
            <v>Godz.</v>
          </cell>
          <cell r="R1208" t="str">
            <v>S. prow.</v>
          </cell>
          <cell r="AF1208" t="str">
            <v>wygrany</v>
          </cell>
          <cell r="AG1208" t="str">
            <v>przegrany</v>
          </cell>
        </row>
        <row r="1209">
          <cell r="B1209" t="str">
            <v>Boisko</v>
          </cell>
          <cell r="C1209" t="str">
            <v>Gra</v>
          </cell>
          <cell r="I1209">
            <v>173</v>
          </cell>
          <cell r="N1209" t="str">
            <v>rozp.</v>
          </cell>
          <cell r="P1209" t="str">
            <v>zak.</v>
          </cell>
          <cell r="R1209" t="str">
            <v>S. serw.</v>
          </cell>
        </row>
        <row r="1210">
          <cell r="A1210">
            <v>173</v>
          </cell>
          <cell r="C1210" t="str">
            <v>mieszana J</v>
          </cell>
          <cell r="H1210">
            <v>21</v>
          </cell>
          <cell r="I1210">
            <v>0</v>
          </cell>
          <cell r="J1210">
            <v>21</v>
          </cell>
          <cell r="K1210">
            <v>0</v>
          </cell>
          <cell r="P1210">
            <v>0.55208333333333337</v>
          </cell>
          <cell r="R1210">
            <v>0.55208333333333337</v>
          </cell>
          <cell r="S1210" t="str">
            <v>sob 13:00</v>
          </cell>
          <cell r="X1210">
            <v>173</v>
          </cell>
          <cell r="Y1210" t="str">
            <v>mieszana J</v>
          </cell>
          <cell r="Z1210" t="str">
            <v>Z3080</v>
          </cell>
          <cell r="AA1210" t="str">
            <v>G3134</v>
          </cell>
          <cell r="AB1210" t="str">
            <v>K3375</v>
          </cell>
          <cell r="AC1210" t="str">
            <v>K3351</v>
          </cell>
          <cell r="AD1210" t="str">
            <v>Z3080</v>
          </cell>
          <cell r="AE1210" t="str">
            <v>G3134</v>
          </cell>
          <cell r="AF1210" t="str">
            <v>21:0,21:0</v>
          </cell>
          <cell r="AG1210" t="str">
            <v>0:21,0:21</v>
          </cell>
          <cell r="AH1210" t="str">
            <v/>
          </cell>
          <cell r="AI1210">
            <v>21</v>
          </cell>
          <cell r="AJ1210">
            <v>0</v>
          </cell>
          <cell r="AK1210">
            <v>21</v>
          </cell>
          <cell r="AL1210">
            <v>0</v>
          </cell>
          <cell r="AM1210">
            <v>0</v>
          </cell>
          <cell r="AN1210">
            <v>0</v>
          </cell>
        </row>
        <row r="1211">
          <cell r="A1211" t="str">
            <v/>
          </cell>
          <cell r="B1211" t="str">
            <v>Konrad ZAUCHA (UKS Orbitek Straszęcin)</v>
          </cell>
          <cell r="H1211" t="str">
            <v>Z3080</v>
          </cell>
          <cell r="K1211" t="str">
            <v>K3375</v>
          </cell>
          <cell r="N1211" t="str">
            <v>Wojciech KURZYŃSKI (UKS Trójka Tarnobrzeg)</v>
          </cell>
        </row>
        <row r="1212">
          <cell r="A1212" t="str">
            <v/>
          </cell>
          <cell r="B1212" t="str">
            <v>Katarzyna GRUSZKA (UKS Orbitek Straszęcin)</v>
          </cell>
          <cell r="H1212" t="str">
            <v>G3134</v>
          </cell>
          <cell r="K1212" t="str">
            <v>K3351</v>
          </cell>
          <cell r="N1212" t="str">
            <v>Paulina KACZOROWSKA (KS Chojnik Jelenia Góra)</v>
          </cell>
        </row>
        <row r="1214">
          <cell r="B1214" t="str">
            <v>zwycięzca(cy): 21:0,21:0</v>
          </cell>
          <cell r="K1214" t="str">
            <v/>
          </cell>
        </row>
        <row r="1215">
          <cell r="B1215">
            <v>2</v>
          </cell>
          <cell r="C1215" t="str">
            <v>dzień turnieju.</v>
          </cell>
          <cell r="I1215" t="str">
            <v>Nr meczu</v>
          </cell>
          <cell r="N1215" t="str">
            <v>Godz.</v>
          </cell>
          <cell r="R1215" t="str">
            <v>S. prow.</v>
          </cell>
          <cell r="AF1215" t="str">
            <v>wygrany</v>
          </cell>
          <cell r="AG1215" t="str">
            <v>przegrany</v>
          </cell>
        </row>
        <row r="1216">
          <cell r="B1216" t="str">
            <v>Boisko</v>
          </cell>
          <cell r="C1216" t="str">
            <v>Gra</v>
          </cell>
          <cell r="I1216">
            <v>174</v>
          </cell>
          <cell r="N1216" t="str">
            <v>rozp.</v>
          </cell>
          <cell r="P1216" t="str">
            <v>zak.</v>
          </cell>
          <cell r="R1216" t="str">
            <v>S. serw.</v>
          </cell>
        </row>
        <row r="1217">
          <cell r="A1217">
            <v>174</v>
          </cell>
          <cell r="B1217">
            <v>1</v>
          </cell>
          <cell r="C1217" t="str">
            <v>mieszana J</v>
          </cell>
          <cell r="H1217">
            <v>21</v>
          </cell>
          <cell r="I1217">
            <v>19</v>
          </cell>
          <cell r="J1217">
            <v>17</v>
          </cell>
          <cell r="K1217">
            <v>21</v>
          </cell>
          <cell r="L1217">
            <v>23</v>
          </cell>
          <cell r="M1217">
            <v>25</v>
          </cell>
          <cell r="P1217">
            <v>0.57430555555555551</v>
          </cell>
          <cell r="R1217">
            <v>0.57430555555555551</v>
          </cell>
          <cell r="S1217" t="str">
            <v>sob 13:00</v>
          </cell>
          <cell r="X1217">
            <v>174</v>
          </cell>
          <cell r="Y1217" t="str">
            <v>mieszana J</v>
          </cell>
          <cell r="Z1217" t="str">
            <v>N3333</v>
          </cell>
          <cell r="AA1217" t="str">
            <v>S3950</v>
          </cell>
          <cell r="AB1217" t="str">
            <v>U4307</v>
          </cell>
          <cell r="AC1217" t="str">
            <v>M3662</v>
          </cell>
          <cell r="AD1217" t="str">
            <v>U4307</v>
          </cell>
          <cell r="AE1217" t="str">
            <v>M3662</v>
          </cell>
          <cell r="AF1217" t="str">
            <v>19:21,21:17,25:23</v>
          </cell>
          <cell r="AG1217" t="str">
            <v>21:19,17:21,23:25</v>
          </cell>
          <cell r="AH1217" t="str">
            <v/>
          </cell>
          <cell r="AI1217">
            <v>21</v>
          </cell>
          <cell r="AJ1217">
            <v>19</v>
          </cell>
          <cell r="AK1217">
            <v>17</v>
          </cell>
          <cell r="AL1217">
            <v>21</v>
          </cell>
          <cell r="AM1217">
            <v>23</v>
          </cell>
          <cell r="AN1217">
            <v>25</v>
          </cell>
        </row>
        <row r="1218">
          <cell r="A1218" t="str">
            <v/>
          </cell>
          <cell r="B1218" t="str">
            <v>Marcin NOWAK (UKS Smecz Bogatynia)</v>
          </cell>
          <cell r="H1218" t="str">
            <v>N3333</v>
          </cell>
          <cell r="K1218" t="str">
            <v>U4307</v>
          </cell>
          <cell r="N1218" t="str">
            <v>Michał USTIMOWICZ (LKS Technik Głubczyce)</v>
          </cell>
        </row>
        <row r="1219">
          <cell r="A1219" t="str">
            <v/>
          </cell>
          <cell r="B1219" t="str">
            <v>Klaudia SOCHA (KS Chojnik Jelenia Góra)</v>
          </cell>
          <cell r="H1219" t="str">
            <v>S3950</v>
          </cell>
          <cell r="K1219" t="str">
            <v>M3662</v>
          </cell>
          <cell r="N1219" t="str">
            <v>Anita MIELNICZEK (UKS Orbitek Straszęcin)</v>
          </cell>
        </row>
        <row r="1221">
          <cell r="B1221" t="str">
            <v/>
          </cell>
          <cell r="K1221" t="str">
            <v>zwycięzca(cy): 19:21,21:17,25:23</v>
          </cell>
        </row>
        <row r="1222">
          <cell r="B1222">
            <v>2</v>
          </cell>
          <cell r="C1222" t="str">
            <v>dzień turnieju.</v>
          </cell>
          <cell r="I1222" t="str">
            <v>Nr meczu</v>
          </cell>
          <cell r="N1222" t="str">
            <v>Godz.</v>
          </cell>
          <cell r="R1222" t="str">
            <v>S. prow.</v>
          </cell>
          <cell r="AF1222" t="str">
            <v>wygrany</v>
          </cell>
          <cell r="AG1222" t="str">
            <v>przegrany</v>
          </cell>
        </row>
        <row r="1223">
          <cell r="B1223" t="str">
            <v>Boisko</v>
          </cell>
          <cell r="C1223" t="str">
            <v>Gra</v>
          </cell>
          <cell r="I1223">
            <v>175</v>
          </cell>
          <cell r="N1223" t="str">
            <v>rozp.</v>
          </cell>
          <cell r="P1223" t="str">
            <v>zak.</v>
          </cell>
          <cell r="R1223" t="str">
            <v>S. serw.</v>
          </cell>
        </row>
        <row r="1224">
          <cell r="A1224">
            <v>175</v>
          </cell>
          <cell r="C1224" t="str">
            <v>mieszana J</v>
          </cell>
          <cell r="H1224">
            <v>21</v>
          </cell>
          <cell r="I1224">
            <v>0</v>
          </cell>
          <cell r="J1224">
            <v>21</v>
          </cell>
          <cell r="K1224">
            <v>0</v>
          </cell>
          <cell r="R1224">
            <v>0</v>
          </cell>
          <cell r="S1224" t="str">
            <v>sob 13:00</v>
          </cell>
          <cell r="X1224">
            <v>175</v>
          </cell>
          <cell r="Y1224" t="str">
            <v>mieszana J</v>
          </cell>
          <cell r="Z1224" t="str">
            <v>W3805</v>
          </cell>
          <cell r="AA1224" t="str">
            <v>B3564</v>
          </cell>
          <cell r="AB1224" t="str">
            <v>K3241</v>
          </cell>
          <cell r="AC1224" t="str">
            <v>K3257</v>
          </cell>
          <cell r="AD1224" t="str">
            <v>W3805</v>
          </cell>
          <cell r="AE1224" t="str">
            <v>B3564</v>
          </cell>
          <cell r="AF1224" t="str">
            <v>21:0,21:0</v>
          </cell>
          <cell r="AG1224" t="str">
            <v>0:21,0:21</v>
          </cell>
          <cell r="AH1224" t="str">
            <v/>
          </cell>
          <cell r="AI1224">
            <v>21</v>
          </cell>
          <cell r="AJ1224">
            <v>0</v>
          </cell>
          <cell r="AK1224">
            <v>21</v>
          </cell>
          <cell r="AL1224">
            <v>0</v>
          </cell>
          <cell r="AM1224">
            <v>0</v>
          </cell>
          <cell r="AN1224">
            <v>0</v>
          </cell>
        </row>
        <row r="1225">
          <cell r="A1225" t="str">
            <v/>
          </cell>
          <cell r="B1225" t="str">
            <v>Jan WOLAŃCZYK (KS Match Point Ślęza)</v>
          </cell>
          <cell r="H1225" t="str">
            <v>W3805</v>
          </cell>
          <cell r="K1225" t="str">
            <v>K3241</v>
          </cell>
          <cell r="N1225" t="str">
            <v>Jakub KACHNIARZ (UKS Ząbkowice Dąbrowa Górn.)</v>
          </cell>
        </row>
        <row r="1226">
          <cell r="A1226" t="str">
            <v/>
          </cell>
          <cell r="B1226" t="str">
            <v>Kinga BARNA (UKS 2 Sobótka)</v>
          </cell>
          <cell r="H1226" t="str">
            <v>B3564</v>
          </cell>
          <cell r="K1226" t="str">
            <v>K3257</v>
          </cell>
          <cell r="N1226" t="str">
            <v>Nikola KOSZMIDER (UKS Feniks Kędzierzyn-Koźle)</v>
          </cell>
        </row>
        <row r="1228">
          <cell r="B1228" t="str">
            <v>zwycięzca(cy): 21:0,21:0</v>
          </cell>
          <cell r="K1228" t="str">
            <v/>
          </cell>
        </row>
        <row r="1229">
          <cell r="B1229">
            <v>2</v>
          </cell>
          <cell r="C1229" t="str">
            <v>dzień turnieju.</v>
          </cell>
          <cell r="I1229" t="str">
            <v>Nr meczu</v>
          </cell>
          <cell r="N1229" t="str">
            <v>Godz.</v>
          </cell>
          <cell r="R1229" t="str">
            <v>S. prow.</v>
          </cell>
          <cell r="AF1229" t="str">
            <v>wygrany</v>
          </cell>
          <cell r="AG1229" t="str">
            <v>przegrany</v>
          </cell>
        </row>
        <row r="1230">
          <cell r="B1230" t="str">
            <v>Boisko</v>
          </cell>
          <cell r="C1230" t="str">
            <v>Gra</v>
          </cell>
          <cell r="I1230">
            <v>176</v>
          </cell>
          <cell r="N1230" t="str">
            <v>rozp.</v>
          </cell>
          <cell r="P1230" t="str">
            <v>zak.</v>
          </cell>
          <cell r="R1230" t="str">
            <v>S. serw.</v>
          </cell>
        </row>
        <row r="1231">
          <cell r="A1231">
            <v>176</v>
          </cell>
          <cell r="B1231">
            <v>3</v>
          </cell>
          <cell r="C1231" t="str">
            <v>mieszana J</v>
          </cell>
          <cell r="H1231">
            <v>11</v>
          </cell>
          <cell r="I1231">
            <v>21</v>
          </cell>
          <cell r="J1231">
            <v>12</v>
          </cell>
          <cell r="K1231">
            <v>21</v>
          </cell>
          <cell r="P1231">
            <v>0.55763888888888891</v>
          </cell>
          <cell r="R1231">
            <v>0.55763888888888891</v>
          </cell>
          <cell r="S1231" t="str">
            <v>sob 13:00</v>
          </cell>
          <cell r="X1231">
            <v>176</v>
          </cell>
          <cell r="Y1231" t="str">
            <v>mieszana J</v>
          </cell>
          <cell r="Z1231" t="str">
            <v>T3923</v>
          </cell>
          <cell r="AA1231" t="str">
            <v>Ł4427</v>
          </cell>
          <cell r="AB1231" t="str">
            <v>S3502</v>
          </cell>
          <cell r="AC1231" t="str">
            <v>K3863</v>
          </cell>
          <cell r="AD1231" t="str">
            <v>S3502</v>
          </cell>
          <cell r="AE1231" t="str">
            <v>K3863</v>
          </cell>
          <cell r="AF1231" t="str">
            <v>21:11,21:12</v>
          </cell>
          <cell r="AG1231" t="str">
            <v>11:21,12:21</v>
          </cell>
          <cell r="AH1231" t="str">
            <v/>
          </cell>
          <cell r="AI1231">
            <v>11</v>
          </cell>
          <cell r="AJ1231">
            <v>21</v>
          </cell>
          <cell r="AK1231">
            <v>12</v>
          </cell>
          <cell r="AL1231">
            <v>21</v>
          </cell>
          <cell r="AM1231">
            <v>0</v>
          </cell>
          <cell r="AN1231">
            <v>0</v>
          </cell>
        </row>
        <row r="1232">
          <cell r="A1232" t="str">
            <v/>
          </cell>
          <cell r="B1232" t="str">
            <v>Paweł TOMASZEWSKI (MKS Orlicz Suchedniów)</v>
          </cell>
          <cell r="H1232" t="str">
            <v>T3923</v>
          </cell>
          <cell r="K1232" t="str">
            <v>S3502</v>
          </cell>
          <cell r="N1232" t="str">
            <v>Jakub SMAJDA (UKS Ząbkowice Dąbrowa Górn.)</v>
          </cell>
        </row>
        <row r="1233">
          <cell r="A1233" t="str">
            <v/>
          </cell>
          <cell r="B1233" t="str">
            <v>Magda ŁUKASIAK (MKS Orlicz Suchedniów)</v>
          </cell>
          <cell r="H1233" t="str">
            <v>Ł4427</v>
          </cell>
          <cell r="K1233" t="str">
            <v>K3863</v>
          </cell>
          <cell r="N1233" t="str">
            <v>Katarzyna KUTACHA (UKS Start Widełka)</v>
          </cell>
        </row>
        <row r="1235">
          <cell r="B1235" t="str">
            <v/>
          </cell>
          <cell r="K1235" t="str">
            <v>zwycięzca(cy): 21:11,21:12</v>
          </cell>
        </row>
        <row r="1236">
          <cell r="B1236">
            <v>2</v>
          </cell>
          <cell r="C1236" t="str">
            <v>dzień turnieju.</v>
          </cell>
          <cell r="I1236" t="str">
            <v>Nr meczu</v>
          </cell>
          <cell r="N1236" t="str">
            <v>Godz.</v>
          </cell>
          <cell r="R1236" t="str">
            <v>S. prow.</v>
          </cell>
          <cell r="AF1236" t="str">
            <v>wygrany</v>
          </cell>
          <cell r="AG1236" t="str">
            <v>przegrany</v>
          </cell>
        </row>
        <row r="1237">
          <cell r="B1237" t="str">
            <v>Boisko</v>
          </cell>
          <cell r="C1237" t="str">
            <v>Gra</v>
          </cell>
          <cell r="I1237">
            <v>177</v>
          </cell>
          <cell r="N1237" t="str">
            <v>rozp.</v>
          </cell>
          <cell r="P1237" t="str">
            <v>zak.</v>
          </cell>
          <cell r="R1237" t="str">
            <v>S. serw.</v>
          </cell>
        </row>
        <row r="1238">
          <cell r="A1238">
            <v>177</v>
          </cell>
          <cell r="B1238">
            <v>5</v>
          </cell>
          <cell r="C1238" t="str">
            <v>podwójna kobiet J</v>
          </cell>
          <cell r="H1238">
            <v>19</v>
          </cell>
          <cell r="I1238">
            <v>21</v>
          </cell>
          <cell r="J1238">
            <v>17</v>
          </cell>
          <cell r="K1238">
            <v>21</v>
          </cell>
          <cell r="P1238">
            <v>0.58958333333333335</v>
          </cell>
          <cell r="R1238">
            <v>0.58958333333333335</v>
          </cell>
          <cell r="S1238" t="str">
            <v>sob 13:30</v>
          </cell>
          <cell r="X1238">
            <v>177</v>
          </cell>
          <cell r="Y1238" t="str">
            <v>podwójna kobiet J</v>
          </cell>
          <cell r="Z1238" t="str">
            <v>G3560</v>
          </cell>
          <cell r="AA1238" t="str">
            <v>P3555</v>
          </cell>
          <cell r="AB1238" t="str">
            <v>M3309</v>
          </cell>
          <cell r="AC1238" t="str">
            <v>P2838</v>
          </cell>
          <cell r="AD1238" t="str">
            <v>M3309</v>
          </cell>
          <cell r="AE1238" t="str">
            <v>P2838</v>
          </cell>
          <cell r="AF1238" t="str">
            <v>21:19,21:17</v>
          </cell>
          <cell r="AG1238" t="str">
            <v>19:21,17:21</v>
          </cell>
          <cell r="AH1238" t="str">
            <v/>
          </cell>
          <cell r="AI1238">
            <v>19</v>
          </cell>
          <cell r="AJ1238">
            <v>21</v>
          </cell>
          <cell r="AK1238">
            <v>17</v>
          </cell>
          <cell r="AL1238">
            <v>21</v>
          </cell>
          <cell r="AM1238">
            <v>0</v>
          </cell>
          <cell r="AN1238">
            <v>0</v>
          </cell>
        </row>
        <row r="1239">
          <cell r="A1239" t="str">
            <v/>
          </cell>
          <cell r="B1239" t="str">
            <v>Daria GUJSKA (UKS Kiko Zamość)</v>
          </cell>
          <cell r="H1239" t="str">
            <v>G3560</v>
          </cell>
          <cell r="K1239" t="str">
            <v>M3309</v>
          </cell>
          <cell r="N1239" t="str">
            <v>Edyta MIETŁA (MKS Spartakus Niepołomice)</v>
          </cell>
        </row>
        <row r="1240">
          <cell r="A1240" t="str">
            <v/>
          </cell>
          <cell r="B1240" t="str">
            <v>Kinga PALONKA (UKS Kiko Zamość)</v>
          </cell>
          <cell r="H1240" t="str">
            <v>P3555</v>
          </cell>
          <cell r="K1240" t="str">
            <v>P2838</v>
          </cell>
          <cell r="N1240" t="str">
            <v>Aleksandra PAPRZYCKA (MKB Lednik Miastko)</v>
          </cell>
        </row>
        <row r="1242">
          <cell r="B1242" t="str">
            <v/>
          </cell>
          <cell r="K1242" t="str">
            <v>zwycięzca(cy): 21:19,21:17</v>
          </cell>
        </row>
        <row r="1243">
          <cell r="B1243">
            <v>2</v>
          </cell>
          <cell r="C1243" t="str">
            <v>dzień turnieju.</v>
          </cell>
          <cell r="I1243" t="str">
            <v>Nr meczu</v>
          </cell>
          <cell r="N1243" t="str">
            <v>Godz.</v>
          </cell>
          <cell r="R1243" t="str">
            <v>S. prow.</v>
          </cell>
          <cell r="AF1243" t="str">
            <v>wygrany</v>
          </cell>
          <cell r="AG1243" t="str">
            <v>przegrany</v>
          </cell>
        </row>
        <row r="1244">
          <cell r="B1244" t="str">
            <v>Boisko</v>
          </cell>
          <cell r="C1244" t="str">
            <v>Gra</v>
          </cell>
          <cell r="I1244">
            <v>178</v>
          </cell>
          <cell r="N1244" t="str">
            <v>rozp.</v>
          </cell>
          <cell r="P1244" t="str">
            <v>zak.</v>
          </cell>
          <cell r="R1244" t="str">
            <v>S. serw.</v>
          </cell>
        </row>
        <row r="1245">
          <cell r="A1245">
            <v>178</v>
          </cell>
          <cell r="B1245">
            <v>3</v>
          </cell>
          <cell r="C1245" t="str">
            <v>podwójna kobiet J</v>
          </cell>
          <cell r="H1245">
            <v>21</v>
          </cell>
          <cell r="I1245">
            <v>18</v>
          </cell>
          <cell r="J1245">
            <v>21</v>
          </cell>
          <cell r="K1245">
            <v>7</v>
          </cell>
          <cell r="P1245">
            <v>0.60069444444444442</v>
          </cell>
          <cell r="R1245">
            <v>0.60069444444444442</v>
          </cell>
          <cell r="S1245" t="str">
            <v>sob 13:30</v>
          </cell>
          <cell r="X1245">
            <v>178</v>
          </cell>
          <cell r="Y1245" t="str">
            <v>podwójna kobiet J</v>
          </cell>
          <cell r="Z1245" t="str">
            <v>M3662</v>
          </cell>
          <cell r="AA1245" t="str">
            <v>Ś3664</v>
          </cell>
          <cell r="AB1245" t="str">
            <v>K3257</v>
          </cell>
          <cell r="AC1245" t="str">
            <v>S3950</v>
          </cell>
          <cell r="AD1245" t="str">
            <v>M3662</v>
          </cell>
          <cell r="AE1245" t="str">
            <v>Ś3664</v>
          </cell>
          <cell r="AF1245" t="str">
            <v>21:18,21:7</v>
          </cell>
          <cell r="AG1245" t="str">
            <v>18:21,7:21</v>
          </cell>
          <cell r="AH1245" t="str">
            <v/>
          </cell>
          <cell r="AI1245">
            <v>21</v>
          </cell>
          <cell r="AJ1245">
            <v>18</v>
          </cell>
          <cell r="AK1245">
            <v>21</v>
          </cell>
          <cell r="AL1245">
            <v>7</v>
          </cell>
          <cell r="AM1245">
            <v>0</v>
          </cell>
          <cell r="AN1245">
            <v>0</v>
          </cell>
        </row>
        <row r="1246">
          <cell r="A1246" t="str">
            <v/>
          </cell>
          <cell r="B1246" t="str">
            <v>Anita MIELNICZEK (UKS Orbitek Straszęcin)</v>
          </cell>
          <cell r="H1246" t="str">
            <v>M3662</v>
          </cell>
          <cell r="K1246" t="str">
            <v>K3257</v>
          </cell>
          <cell r="N1246" t="str">
            <v>Nikola KOSZMIDER (UKS Feniks Kędzierzyn-Koźle)</v>
          </cell>
        </row>
        <row r="1247">
          <cell r="A1247" t="str">
            <v/>
          </cell>
          <cell r="B1247" t="str">
            <v>Gabriela ŚLISZ (UKS Orbitek Straszęcin)</v>
          </cell>
          <cell r="H1247" t="str">
            <v>Ś3664</v>
          </cell>
          <cell r="K1247" t="str">
            <v>S3950</v>
          </cell>
          <cell r="N1247" t="str">
            <v>Klaudia SOCHA (KS Chojnik Jelenia Góra)</v>
          </cell>
        </row>
        <row r="1249">
          <cell r="B1249" t="str">
            <v>zwycięzca(cy): 21:18,21:7</v>
          </cell>
          <cell r="K1249" t="str">
            <v/>
          </cell>
        </row>
        <row r="1250">
          <cell r="B1250">
            <v>2</v>
          </cell>
          <cell r="C1250" t="str">
            <v>dzień turnieju.</v>
          </cell>
          <cell r="I1250" t="str">
            <v>Nr meczu</v>
          </cell>
          <cell r="N1250" t="str">
            <v>Godz.</v>
          </cell>
          <cell r="R1250" t="str">
            <v>S. prow.</v>
          </cell>
          <cell r="S1250" t="str">
            <v>JANECKI Andrzej</v>
          </cell>
          <cell r="AF1250" t="str">
            <v>wygrany</v>
          </cell>
          <cell r="AG1250" t="str">
            <v>przegrany</v>
          </cell>
        </row>
        <row r="1251">
          <cell r="B1251" t="str">
            <v>Boisko</v>
          </cell>
          <cell r="C1251" t="str">
            <v>Gra</v>
          </cell>
          <cell r="I1251">
            <v>179</v>
          </cell>
          <cell r="N1251" t="str">
            <v>rozp.</v>
          </cell>
          <cell r="P1251" t="str">
            <v>zak.</v>
          </cell>
          <cell r="R1251" t="str">
            <v>S. serw.</v>
          </cell>
        </row>
        <row r="1252">
          <cell r="A1252">
            <v>179</v>
          </cell>
          <cell r="B1252">
            <v>2</v>
          </cell>
          <cell r="C1252" t="str">
            <v>podwójna kobiet J</v>
          </cell>
          <cell r="H1252">
            <v>21</v>
          </cell>
          <cell r="I1252">
            <v>18</v>
          </cell>
          <cell r="J1252">
            <v>21</v>
          </cell>
          <cell r="K1252">
            <v>16</v>
          </cell>
          <cell r="P1252">
            <v>0.59444444444444444</v>
          </cell>
          <cell r="R1252">
            <v>0.59444444444444444</v>
          </cell>
          <cell r="S1252" t="str">
            <v>sob 13:30</v>
          </cell>
          <cell r="X1252">
            <v>179</v>
          </cell>
          <cell r="Y1252" t="str">
            <v>podwójna kobiet J</v>
          </cell>
          <cell r="Z1252" t="str">
            <v>G2661</v>
          </cell>
          <cell r="AA1252" t="str">
            <v>K3351</v>
          </cell>
          <cell r="AB1252" t="str">
            <v>B3862</v>
          </cell>
          <cell r="AC1252" t="str">
            <v>G3134</v>
          </cell>
          <cell r="AD1252" t="str">
            <v>G2661</v>
          </cell>
          <cell r="AE1252" t="str">
            <v>K3351</v>
          </cell>
          <cell r="AF1252" t="str">
            <v>21:18,21:16</v>
          </cell>
          <cell r="AG1252" t="str">
            <v>18:21,16:21</v>
          </cell>
          <cell r="AH1252" t="str">
            <v/>
          </cell>
          <cell r="AI1252">
            <v>21</v>
          </cell>
          <cell r="AJ1252">
            <v>18</v>
          </cell>
          <cell r="AK1252">
            <v>21</v>
          </cell>
          <cell r="AL1252">
            <v>16</v>
          </cell>
          <cell r="AM1252">
            <v>0</v>
          </cell>
          <cell r="AN1252">
            <v>0</v>
          </cell>
        </row>
        <row r="1253">
          <cell r="A1253" t="str">
            <v/>
          </cell>
          <cell r="B1253" t="str">
            <v>Diana GŁOWACKA (LUKS Księżyno)</v>
          </cell>
          <cell r="H1253" t="str">
            <v>G2661</v>
          </cell>
          <cell r="K1253" t="str">
            <v>B3862</v>
          </cell>
          <cell r="N1253" t="str">
            <v>Aleksandra BIAŁEK (UKS Start Widełka)</v>
          </cell>
        </row>
        <row r="1254">
          <cell r="A1254" t="str">
            <v/>
          </cell>
          <cell r="B1254" t="str">
            <v>Paulina KACZOROWSKA (KS Chojnik Jelenia Góra)</v>
          </cell>
          <cell r="H1254" t="str">
            <v>K3351</v>
          </cell>
          <cell r="K1254" t="str">
            <v>G3134</v>
          </cell>
          <cell r="N1254" t="str">
            <v>Katarzyna GRUSZKA (UKS Orbitek Straszęcin)</v>
          </cell>
        </row>
        <row r="1256">
          <cell r="B1256" t="str">
            <v>zwycięzca(cy): 21:18,21:16</v>
          </cell>
          <cell r="K1256" t="str">
            <v/>
          </cell>
        </row>
        <row r="1257">
          <cell r="B1257">
            <v>2</v>
          </cell>
          <cell r="C1257" t="str">
            <v>dzień turnieju.</v>
          </cell>
          <cell r="I1257" t="str">
            <v>Nr meczu</v>
          </cell>
          <cell r="N1257" t="str">
            <v>Godz.</v>
          </cell>
          <cell r="R1257" t="str">
            <v>S. prow.</v>
          </cell>
          <cell r="AF1257" t="str">
            <v>wygrany</v>
          </cell>
          <cell r="AG1257" t="str">
            <v>przegrany</v>
          </cell>
        </row>
        <row r="1258">
          <cell r="B1258" t="str">
            <v>Boisko</v>
          </cell>
          <cell r="C1258" t="str">
            <v>Gra</v>
          </cell>
          <cell r="I1258">
            <v>180</v>
          </cell>
          <cell r="N1258" t="str">
            <v>rozp.</v>
          </cell>
          <cell r="P1258" t="str">
            <v>zak.</v>
          </cell>
          <cell r="R1258" t="str">
            <v>S. serw.</v>
          </cell>
        </row>
        <row r="1259">
          <cell r="A1259">
            <v>180</v>
          </cell>
          <cell r="B1259">
            <v>7</v>
          </cell>
          <cell r="C1259" t="str">
            <v>podwójna mężczyzn J</v>
          </cell>
          <cell r="H1259">
            <v>21</v>
          </cell>
          <cell r="I1259">
            <v>16</v>
          </cell>
          <cell r="J1259">
            <v>21</v>
          </cell>
          <cell r="K1259">
            <v>16</v>
          </cell>
          <cell r="P1259">
            <v>0.59513888888888888</v>
          </cell>
          <cell r="R1259">
            <v>0.59513888888888888</v>
          </cell>
          <cell r="S1259" t="str">
            <v>sob 13:30</v>
          </cell>
          <cell r="X1259">
            <v>180</v>
          </cell>
          <cell r="Y1259" t="str">
            <v>podwójna mężczyzn J</v>
          </cell>
          <cell r="Z1259" t="str">
            <v>K3935</v>
          </cell>
          <cell r="AA1259" t="str">
            <v>S3502</v>
          </cell>
          <cell r="AB1259" t="str">
            <v>U4307</v>
          </cell>
          <cell r="AC1259" t="str">
            <v>W3545</v>
          </cell>
          <cell r="AD1259" t="str">
            <v>K3935</v>
          </cell>
          <cell r="AE1259" t="str">
            <v>S3502</v>
          </cell>
          <cell r="AF1259" t="str">
            <v>21:16,21:16</v>
          </cell>
          <cell r="AG1259" t="str">
            <v>16:21,16:21</v>
          </cell>
          <cell r="AH1259" t="str">
            <v/>
          </cell>
          <cell r="AI1259">
            <v>21</v>
          </cell>
          <cell r="AJ1259">
            <v>16</v>
          </cell>
          <cell r="AK1259">
            <v>21</v>
          </cell>
          <cell r="AL1259">
            <v>16</v>
          </cell>
          <cell r="AM1259">
            <v>0</v>
          </cell>
          <cell r="AN1259">
            <v>0</v>
          </cell>
        </row>
        <row r="1260">
          <cell r="A1260" t="str">
            <v/>
          </cell>
          <cell r="B1260" t="str">
            <v>Michał KAŹMIERCZAK (UKS Feniks Kędzierzyn-Koźle)</v>
          </cell>
          <cell r="H1260" t="str">
            <v>K3935</v>
          </cell>
          <cell r="K1260" t="str">
            <v>U4307</v>
          </cell>
          <cell r="N1260" t="str">
            <v>Michał USTIMOWICZ (LKS Technik Głubczyce)</v>
          </cell>
        </row>
        <row r="1261">
          <cell r="A1261" t="str">
            <v/>
          </cell>
          <cell r="B1261" t="str">
            <v>Jakub SMAJDA (UKS Ząbkowice Dąbrowa Górn.)</v>
          </cell>
          <cell r="H1261" t="str">
            <v>S3502</v>
          </cell>
          <cell r="K1261" t="str">
            <v>W3545</v>
          </cell>
          <cell r="N1261" t="str">
            <v>Marcin WNUK (MKS Orlicz Suchedniów)</v>
          </cell>
        </row>
        <row r="1263">
          <cell r="B1263" t="str">
            <v>zwycięzca(cy): 21:16,21:16</v>
          </cell>
          <cell r="K1263" t="str">
            <v/>
          </cell>
        </row>
        <row r="1264">
          <cell r="B1264">
            <v>2</v>
          </cell>
          <cell r="C1264" t="str">
            <v>dzień turnieju.</v>
          </cell>
          <cell r="I1264" t="str">
            <v>Nr meczu</v>
          </cell>
          <cell r="N1264" t="str">
            <v>Godz.</v>
          </cell>
          <cell r="R1264" t="str">
            <v>S. prow.</v>
          </cell>
          <cell r="AF1264" t="str">
            <v>wygrany</v>
          </cell>
          <cell r="AG1264" t="str">
            <v>przegrany</v>
          </cell>
        </row>
        <row r="1265">
          <cell r="B1265" t="str">
            <v>Boisko</v>
          </cell>
          <cell r="C1265" t="str">
            <v>Gra</v>
          </cell>
          <cell r="I1265">
            <v>181</v>
          </cell>
          <cell r="N1265" t="str">
            <v>rozp.</v>
          </cell>
          <cell r="P1265" t="str">
            <v>zak.</v>
          </cell>
          <cell r="R1265" t="str">
            <v>S. serw.</v>
          </cell>
        </row>
        <row r="1266">
          <cell r="A1266">
            <v>181</v>
          </cell>
          <cell r="B1266">
            <v>8</v>
          </cell>
          <cell r="C1266" t="str">
            <v>podwójna mężczyzn J</v>
          </cell>
          <cell r="H1266">
            <v>12</v>
          </cell>
          <cell r="I1266">
            <v>21</v>
          </cell>
          <cell r="J1266">
            <v>21</v>
          </cell>
          <cell r="K1266">
            <v>15</v>
          </cell>
          <cell r="L1266">
            <v>21</v>
          </cell>
          <cell r="M1266">
            <v>23</v>
          </cell>
          <cell r="P1266">
            <v>0.60069444444444442</v>
          </cell>
          <cell r="R1266">
            <v>0.60069444444444442</v>
          </cell>
          <cell r="S1266" t="str">
            <v>sob 13:30</v>
          </cell>
          <cell r="X1266">
            <v>181</v>
          </cell>
          <cell r="Y1266" t="str">
            <v>podwójna mężczyzn J</v>
          </cell>
          <cell r="Z1266" t="str">
            <v>K4230</v>
          </cell>
          <cell r="AA1266" t="str">
            <v>N3148</v>
          </cell>
          <cell r="AB1266" t="str">
            <v>P3707</v>
          </cell>
          <cell r="AC1266" t="str">
            <v>S3365</v>
          </cell>
          <cell r="AD1266" t="str">
            <v>P3707</v>
          </cell>
          <cell r="AE1266" t="str">
            <v>S3365</v>
          </cell>
          <cell r="AF1266" t="str">
            <v>21:12,15:21,23:21</v>
          </cell>
          <cell r="AG1266" t="str">
            <v>12:21,21:15,21:23</v>
          </cell>
          <cell r="AH1266" t="str">
            <v/>
          </cell>
          <cell r="AI1266">
            <v>12</v>
          </cell>
          <cell r="AJ1266">
            <v>21</v>
          </cell>
          <cell r="AK1266">
            <v>21</v>
          </cell>
          <cell r="AL1266">
            <v>15</v>
          </cell>
          <cell r="AM1266">
            <v>21</v>
          </cell>
          <cell r="AN1266">
            <v>23</v>
          </cell>
        </row>
        <row r="1267">
          <cell r="A1267" t="str">
            <v/>
          </cell>
          <cell r="B1267" t="str">
            <v>Wiktor KRAWCZYK (UKSB Milenium Warszawa)</v>
          </cell>
          <cell r="H1267" t="str">
            <v>K4230</v>
          </cell>
          <cell r="K1267" t="str">
            <v>P3707</v>
          </cell>
          <cell r="N1267" t="str">
            <v>Bartosz PIEKARZ (UKS Orliki Ropica Polska)</v>
          </cell>
        </row>
        <row r="1268">
          <cell r="A1268" t="str">
            <v/>
          </cell>
          <cell r="B1268" t="str">
            <v>Kamil NASIŁOWSKI (UKSB Milenium Warszawa)</v>
          </cell>
          <cell r="H1268" t="str">
            <v>N3148</v>
          </cell>
          <cell r="K1268" t="str">
            <v>S3365</v>
          </cell>
          <cell r="N1268" t="str">
            <v>Bartosz SZUKAŁA (UKS Orkan Przeźmierowo)</v>
          </cell>
        </row>
        <row r="1270">
          <cell r="B1270" t="str">
            <v/>
          </cell>
          <cell r="K1270" t="str">
            <v>zwycięzca(cy): 21:12,15:21,23:21</v>
          </cell>
        </row>
        <row r="1271">
          <cell r="B1271">
            <v>2</v>
          </cell>
          <cell r="C1271" t="str">
            <v>dzień turnieju.</v>
          </cell>
          <cell r="I1271" t="str">
            <v>Nr meczu</v>
          </cell>
          <cell r="N1271" t="str">
            <v>Godz.</v>
          </cell>
          <cell r="R1271" t="str">
            <v>S. prow.</v>
          </cell>
          <cell r="AF1271" t="str">
            <v>wygrany</v>
          </cell>
          <cell r="AG1271" t="str">
            <v>przegrany</v>
          </cell>
        </row>
        <row r="1272">
          <cell r="B1272" t="str">
            <v>Boisko</v>
          </cell>
          <cell r="C1272" t="str">
            <v>Gra</v>
          </cell>
          <cell r="I1272">
            <v>182</v>
          </cell>
          <cell r="N1272" t="str">
            <v>rozp.</v>
          </cell>
          <cell r="P1272" t="str">
            <v>zak.</v>
          </cell>
          <cell r="R1272" t="str">
            <v>S. serw.</v>
          </cell>
        </row>
        <row r="1273">
          <cell r="A1273">
            <v>182</v>
          </cell>
          <cell r="B1273">
            <v>6</v>
          </cell>
          <cell r="C1273" t="str">
            <v>podwójna mężczyzn J</v>
          </cell>
          <cell r="H1273">
            <v>21</v>
          </cell>
          <cell r="I1273">
            <v>19</v>
          </cell>
          <cell r="J1273">
            <v>21</v>
          </cell>
          <cell r="K1273">
            <v>12</v>
          </cell>
          <cell r="P1273">
            <v>0.58888888888888891</v>
          </cell>
          <cell r="R1273">
            <v>0.58888888888888891</v>
          </cell>
          <cell r="S1273" t="str">
            <v>sob 13:30</v>
          </cell>
          <cell r="X1273">
            <v>182</v>
          </cell>
          <cell r="Y1273" t="str">
            <v>podwójna mężczyzn J</v>
          </cell>
          <cell r="Z1273" t="str">
            <v>K3149</v>
          </cell>
          <cell r="AA1273" t="str">
            <v>T3923</v>
          </cell>
          <cell r="AB1273" t="str">
            <v>R3804</v>
          </cell>
          <cell r="AC1273" t="str">
            <v>W3805</v>
          </cell>
          <cell r="AD1273" t="str">
            <v>K3149</v>
          </cell>
          <cell r="AE1273" t="str">
            <v>T3923</v>
          </cell>
          <cell r="AF1273" t="str">
            <v>21:19,21:12</v>
          </cell>
          <cell r="AG1273" t="str">
            <v>19:21,12:21</v>
          </cell>
          <cell r="AH1273" t="str">
            <v/>
          </cell>
          <cell r="AI1273">
            <v>21</v>
          </cell>
          <cell r="AJ1273">
            <v>19</v>
          </cell>
          <cell r="AK1273">
            <v>21</v>
          </cell>
          <cell r="AL1273">
            <v>12</v>
          </cell>
          <cell r="AM1273">
            <v>0</v>
          </cell>
          <cell r="AN1273">
            <v>0</v>
          </cell>
        </row>
        <row r="1274">
          <cell r="A1274" t="str">
            <v/>
          </cell>
          <cell r="B1274" t="str">
            <v>Dominik KRZĘCIO (AZSWAT Warszawa)</v>
          </cell>
          <cell r="H1274" t="str">
            <v>K3149</v>
          </cell>
          <cell r="K1274" t="str">
            <v>R3804</v>
          </cell>
          <cell r="N1274" t="str">
            <v>Sebastian REGEŃCZUK (KS Match Point Ślęza)</v>
          </cell>
        </row>
        <row r="1275">
          <cell r="A1275" t="str">
            <v/>
          </cell>
          <cell r="B1275" t="str">
            <v>Paweł TOMASZEWSKI (MKS Orlicz Suchedniów)</v>
          </cell>
          <cell r="H1275" t="str">
            <v>T3923</v>
          </cell>
          <cell r="K1275" t="str">
            <v>W3805</v>
          </cell>
          <cell r="N1275" t="str">
            <v>Jan WOLAŃCZYK (KS Match Point Ślęza)</v>
          </cell>
        </row>
        <row r="1277">
          <cell r="B1277" t="str">
            <v>zwycięzca(cy): 21:19,21:12</v>
          </cell>
          <cell r="K1277" t="str">
            <v/>
          </cell>
        </row>
        <row r="1278">
          <cell r="B1278">
            <v>2</v>
          </cell>
          <cell r="C1278" t="str">
            <v>dzień turnieju.</v>
          </cell>
          <cell r="I1278" t="str">
            <v>Nr meczu</v>
          </cell>
          <cell r="N1278" t="str">
            <v>Godz.</v>
          </cell>
          <cell r="R1278" t="str">
            <v>S. prow.</v>
          </cell>
          <cell r="AF1278" t="str">
            <v>wygrany</v>
          </cell>
          <cell r="AG1278" t="str">
            <v>przegrany</v>
          </cell>
        </row>
        <row r="1279">
          <cell r="B1279" t="str">
            <v>Boisko</v>
          </cell>
          <cell r="C1279" t="str">
            <v>Gra</v>
          </cell>
          <cell r="I1279">
            <v>183</v>
          </cell>
          <cell r="N1279" t="str">
            <v>rozp.</v>
          </cell>
          <cell r="P1279" t="str">
            <v>zak.</v>
          </cell>
          <cell r="R1279" t="str">
            <v>S. serw.</v>
          </cell>
        </row>
        <row r="1280">
          <cell r="A1280">
            <v>183</v>
          </cell>
          <cell r="B1280">
            <v>3</v>
          </cell>
          <cell r="C1280" t="str">
            <v>podwójna mężczyzn J</v>
          </cell>
          <cell r="H1280">
            <v>17</v>
          </cell>
          <cell r="I1280">
            <v>21</v>
          </cell>
          <cell r="J1280">
            <v>10</v>
          </cell>
          <cell r="K1280">
            <v>21</v>
          </cell>
          <cell r="P1280">
            <v>0.58124999999999993</v>
          </cell>
          <cell r="R1280">
            <v>0.58124999999999993</v>
          </cell>
          <cell r="S1280" t="str">
            <v>sob 13:30</v>
          </cell>
          <cell r="X1280">
            <v>183</v>
          </cell>
          <cell r="Y1280" t="str">
            <v>podwójna mężczyzn J</v>
          </cell>
          <cell r="Z1280" t="str">
            <v>P3934</v>
          </cell>
          <cell r="AA1280" t="str">
            <v>S3245</v>
          </cell>
          <cell r="AB1280" t="str">
            <v>B2621</v>
          </cell>
          <cell r="AC1280" t="str">
            <v>S2695</v>
          </cell>
          <cell r="AD1280" t="str">
            <v>B2621</v>
          </cell>
          <cell r="AE1280" t="str">
            <v>S2695</v>
          </cell>
          <cell r="AF1280" t="str">
            <v>21:17,21:10</v>
          </cell>
          <cell r="AG1280" t="str">
            <v>17:21,10:21</v>
          </cell>
          <cell r="AH1280" t="str">
            <v/>
          </cell>
          <cell r="AI1280">
            <v>17</v>
          </cell>
          <cell r="AJ1280">
            <v>21</v>
          </cell>
          <cell r="AK1280">
            <v>10</v>
          </cell>
          <cell r="AL1280">
            <v>21</v>
          </cell>
          <cell r="AM1280">
            <v>0</v>
          </cell>
          <cell r="AN1280">
            <v>0</v>
          </cell>
        </row>
        <row r="1281">
          <cell r="A1281" t="str">
            <v/>
          </cell>
          <cell r="B1281" t="str">
            <v>Patryk PŁAZA (UKS Smecz Bogatynia)</v>
          </cell>
          <cell r="H1281" t="str">
            <v>P3934</v>
          </cell>
          <cell r="K1281" t="str">
            <v>B2621</v>
          </cell>
          <cell r="N1281" t="str">
            <v>Mateusz BIERNACKI (UKS Hubal Białystok)</v>
          </cell>
        </row>
        <row r="1282">
          <cell r="A1282" t="str">
            <v/>
          </cell>
          <cell r="B1282" t="str">
            <v>Arkadiusz SŁUPEK (KS Chojnik Jelenia Góra)</v>
          </cell>
          <cell r="H1282" t="str">
            <v>S3245</v>
          </cell>
          <cell r="K1282" t="str">
            <v>S2695</v>
          </cell>
          <cell r="N1282" t="str">
            <v>Przemysław SZYDŁOWSKI (LKS Technik Głubczyce)</v>
          </cell>
        </row>
        <row r="1284">
          <cell r="B1284" t="str">
            <v/>
          </cell>
          <cell r="K1284" t="str">
            <v>zwycięzca(cy): 21:17,21:10</v>
          </cell>
        </row>
        <row r="1285">
          <cell r="B1285">
            <v>2</v>
          </cell>
          <cell r="C1285" t="str">
            <v>dzień turnieju.</v>
          </cell>
          <cell r="I1285" t="str">
            <v>Nr meczu</v>
          </cell>
          <cell r="N1285" t="str">
            <v>Godz.</v>
          </cell>
          <cell r="R1285" t="str">
            <v>S. prow.</v>
          </cell>
          <cell r="AF1285" t="str">
            <v>wygrany</v>
          </cell>
          <cell r="AG1285" t="str">
            <v>przegrany</v>
          </cell>
        </row>
        <row r="1286">
          <cell r="B1286" t="str">
            <v>Boisko</v>
          </cell>
          <cell r="C1286" t="str">
            <v>Gra</v>
          </cell>
          <cell r="I1286">
            <v>184</v>
          </cell>
          <cell r="N1286" t="str">
            <v>rozp.</v>
          </cell>
          <cell r="P1286" t="str">
            <v>zak.</v>
          </cell>
          <cell r="R1286" t="str">
            <v>S. serw.</v>
          </cell>
        </row>
        <row r="1287">
          <cell r="A1287">
            <v>184</v>
          </cell>
          <cell r="B1287">
            <v>1</v>
          </cell>
          <cell r="C1287" t="str">
            <v>pojedyncza kobiet J</v>
          </cell>
          <cell r="H1287">
            <v>21</v>
          </cell>
          <cell r="I1287">
            <v>18</v>
          </cell>
          <cell r="J1287">
            <v>19</v>
          </cell>
          <cell r="K1287">
            <v>21</v>
          </cell>
          <cell r="L1287">
            <v>21</v>
          </cell>
          <cell r="M1287">
            <v>9</v>
          </cell>
          <cell r="P1287">
            <v>0.60902777777777783</v>
          </cell>
          <cell r="R1287">
            <v>0.60902777777777783</v>
          </cell>
          <cell r="S1287" t="str">
            <v>sob 14:00</v>
          </cell>
          <cell r="X1287">
            <v>184</v>
          </cell>
          <cell r="Y1287" t="str">
            <v>pojedyncza kobiet J</v>
          </cell>
          <cell r="Z1287" t="str">
            <v>J2971</v>
          </cell>
          <cell r="AA1287" t="str">
            <v/>
          </cell>
          <cell r="AB1287" t="str">
            <v>B3564</v>
          </cell>
          <cell r="AC1287" t="str">
            <v/>
          </cell>
          <cell r="AD1287" t="str">
            <v>J2971</v>
          </cell>
          <cell r="AE1287" t="str">
            <v/>
          </cell>
          <cell r="AF1287" t="str">
            <v>21:18,19:21,21:9</v>
          </cell>
          <cell r="AG1287" t="str">
            <v>18:21,21:19,9:21</v>
          </cell>
          <cell r="AH1287" t="str">
            <v/>
          </cell>
          <cell r="AI1287">
            <v>21</v>
          </cell>
          <cell r="AJ1287">
            <v>18</v>
          </cell>
          <cell r="AK1287">
            <v>19</v>
          </cell>
          <cell r="AL1287">
            <v>21</v>
          </cell>
          <cell r="AM1287">
            <v>21</v>
          </cell>
          <cell r="AN1287">
            <v>9</v>
          </cell>
        </row>
        <row r="1288">
          <cell r="A1288" t="str">
            <v/>
          </cell>
          <cell r="B1288" t="str">
            <v>Karolina JANOWSKA (UKS Hubal Białystok)</v>
          </cell>
          <cell r="H1288" t="str">
            <v>J2971</v>
          </cell>
          <cell r="K1288" t="str">
            <v>B3564</v>
          </cell>
          <cell r="N1288" t="str">
            <v>Kinga BARNA (UKS 2 Sobótka)</v>
          </cell>
        </row>
        <row r="1289">
          <cell r="A1289" t="str">
            <v/>
          </cell>
          <cell r="B1289" t="str">
            <v/>
          </cell>
          <cell r="H1289" t="str">
            <v/>
          </cell>
          <cell r="K1289" t="str">
            <v/>
          </cell>
          <cell r="N1289" t="str">
            <v/>
          </cell>
        </row>
        <row r="1291">
          <cell r="B1291" t="str">
            <v>zwycięzca(cy): 21:18,19:21,21:9</v>
          </cell>
          <cell r="K1291" t="str">
            <v/>
          </cell>
        </row>
        <row r="1292">
          <cell r="B1292">
            <v>2</v>
          </cell>
          <cell r="C1292" t="str">
            <v>dzień turnieju.</v>
          </cell>
          <cell r="I1292" t="str">
            <v>Nr meczu</v>
          </cell>
          <cell r="N1292" t="str">
            <v>Godz.</v>
          </cell>
          <cell r="R1292" t="str">
            <v>S. prow.</v>
          </cell>
          <cell r="AF1292" t="str">
            <v>wygrany</v>
          </cell>
          <cell r="AG1292" t="str">
            <v>przegrany</v>
          </cell>
        </row>
        <row r="1293">
          <cell r="B1293" t="str">
            <v>Boisko</v>
          </cell>
          <cell r="C1293" t="str">
            <v>Gra</v>
          </cell>
          <cell r="I1293">
            <v>185</v>
          </cell>
          <cell r="N1293" t="str">
            <v>rozp.</v>
          </cell>
          <cell r="P1293" t="str">
            <v>zak.</v>
          </cell>
          <cell r="R1293" t="str">
            <v>S. serw.</v>
          </cell>
        </row>
        <row r="1294">
          <cell r="A1294">
            <v>185</v>
          </cell>
          <cell r="B1294">
            <v>5</v>
          </cell>
          <cell r="C1294" t="str">
            <v>pojedyncza kobiet J</v>
          </cell>
          <cell r="H1294">
            <v>21</v>
          </cell>
          <cell r="I1294">
            <v>10</v>
          </cell>
          <cell r="J1294">
            <v>21</v>
          </cell>
          <cell r="K1294">
            <v>18</v>
          </cell>
          <cell r="P1294">
            <v>0.6166666666666667</v>
          </cell>
          <cell r="R1294">
            <v>0.6166666666666667</v>
          </cell>
          <cell r="S1294" t="str">
            <v>sob 14:00</v>
          </cell>
          <cell r="X1294">
            <v>185</v>
          </cell>
          <cell r="Y1294" t="str">
            <v>pojedyncza kobiet J</v>
          </cell>
          <cell r="Z1294" t="str">
            <v>M3309</v>
          </cell>
          <cell r="AA1294" t="str">
            <v/>
          </cell>
          <cell r="AB1294" t="str">
            <v>K3151</v>
          </cell>
          <cell r="AC1294" t="str">
            <v/>
          </cell>
          <cell r="AD1294" t="str">
            <v>M3309</v>
          </cell>
          <cell r="AE1294" t="str">
            <v/>
          </cell>
          <cell r="AF1294" t="str">
            <v>21:10,21:18</v>
          </cell>
          <cell r="AG1294" t="str">
            <v>10:21,18:21</v>
          </cell>
          <cell r="AH1294" t="str">
            <v/>
          </cell>
          <cell r="AI1294">
            <v>21</v>
          </cell>
          <cell r="AJ1294">
            <v>10</v>
          </cell>
          <cell r="AK1294">
            <v>21</v>
          </cell>
          <cell r="AL1294">
            <v>18</v>
          </cell>
          <cell r="AM1294">
            <v>0</v>
          </cell>
          <cell r="AN1294">
            <v>0</v>
          </cell>
        </row>
        <row r="1295">
          <cell r="A1295" t="str">
            <v/>
          </cell>
          <cell r="B1295" t="str">
            <v>Edyta MIETŁA (MKS Spartakus Niepołomice)</v>
          </cell>
          <cell r="H1295" t="str">
            <v>M3309</v>
          </cell>
          <cell r="K1295" t="str">
            <v>K3151</v>
          </cell>
          <cell r="N1295" t="str">
            <v>Maria KOPYT (UKSB Milenium Warszawa)</v>
          </cell>
        </row>
        <row r="1296">
          <cell r="A1296" t="str">
            <v/>
          </cell>
          <cell r="B1296" t="str">
            <v/>
          </cell>
          <cell r="H1296" t="str">
            <v/>
          </cell>
          <cell r="K1296" t="str">
            <v/>
          </cell>
          <cell r="N1296" t="str">
            <v/>
          </cell>
        </row>
        <row r="1298">
          <cell r="B1298" t="str">
            <v>zwycięzca(cy): 21:10,21:18</v>
          </cell>
          <cell r="K1298" t="str">
            <v/>
          </cell>
        </row>
        <row r="1299">
          <cell r="B1299">
            <v>2</v>
          </cell>
          <cell r="C1299" t="str">
            <v>dzień turnieju.</v>
          </cell>
          <cell r="I1299" t="str">
            <v>Nr meczu</v>
          </cell>
          <cell r="N1299" t="str">
            <v>Godz.</v>
          </cell>
          <cell r="R1299" t="str">
            <v>S. prow.</v>
          </cell>
          <cell r="AF1299" t="str">
            <v>wygrany</v>
          </cell>
          <cell r="AG1299" t="str">
            <v>przegrany</v>
          </cell>
        </row>
        <row r="1300">
          <cell r="B1300" t="str">
            <v>Boisko</v>
          </cell>
          <cell r="C1300" t="str">
            <v>Gra</v>
          </cell>
          <cell r="I1300">
            <v>186</v>
          </cell>
          <cell r="N1300" t="str">
            <v>rozp.</v>
          </cell>
          <cell r="P1300" t="str">
            <v>zak.</v>
          </cell>
          <cell r="R1300" t="str">
            <v>S. serw.</v>
          </cell>
        </row>
        <row r="1301">
          <cell r="A1301">
            <v>186</v>
          </cell>
          <cell r="B1301">
            <v>4</v>
          </cell>
          <cell r="C1301" t="str">
            <v>pojedyncza kobiet J</v>
          </cell>
          <cell r="H1301">
            <v>21</v>
          </cell>
          <cell r="I1301">
            <v>3</v>
          </cell>
          <cell r="J1301">
            <v>21</v>
          </cell>
          <cell r="K1301">
            <v>2</v>
          </cell>
          <cell r="P1301">
            <v>0.59583333333333333</v>
          </cell>
          <cell r="R1301">
            <v>0.59583333333333333</v>
          </cell>
          <cell r="S1301" t="str">
            <v>sob 14:00</v>
          </cell>
          <cell r="X1301">
            <v>186</v>
          </cell>
          <cell r="Y1301" t="str">
            <v>pojedyncza kobiet J</v>
          </cell>
          <cell r="Z1301" t="str">
            <v>K3863</v>
          </cell>
          <cell r="AA1301" t="str">
            <v/>
          </cell>
          <cell r="AB1301" t="str">
            <v>X57</v>
          </cell>
          <cell r="AC1301" t="str">
            <v/>
          </cell>
          <cell r="AD1301" t="str">
            <v>K3863</v>
          </cell>
          <cell r="AE1301" t="str">
            <v/>
          </cell>
          <cell r="AF1301" t="str">
            <v>21:3,21:2</v>
          </cell>
          <cell r="AG1301" t="str">
            <v>3:21,2:21</v>
          </cell>
          <cell r="AH1301" t="str">
            <v/>
          </cell>
          <cell r="AI1301">
            <v>21</v>
          </cell>
          <cell r="AJ1301">
            <v>3</v>
          </cell>
          <cell r="AK1301">
            <v>21</v>
          </cell>
          <cell r="AL1301">
            <v>2</v>
          </cell>
          <cell r="AM1301">
            <v>0</v>
          </cell>
          <cell r="AN1301">
            <v>0</v>
          </cell>
        </row>
        <row r="1302">
          <cell r="A1302" t="str">
            <v/>
          </cell>
          <cell r="B1302" t="str">
            <v>Katarzyna KUTACHA (UKS Start Widełka)</v>
          </cell>
          <cell r="H1302" t="str">
            <v>K3863</v>
          </cell>
          <cell r="K1302" t="str">
            <v>X57</v>
          </cell>
          <cell r="N1302" t="str">
            <v>Yuliya PRACH (Vinnica Ukraina)</v>
          </cell>
        </row>
        <row r="1303">
          <cell r="A1303" t="str">
            <v/>
          </cell>
          <cell r="B1303" t="str">
            <v/>
          </cell>
          <cell r="H1303" t="str">
            <v/>
          </cell>
          <cell r="K1303" t="str">
            <v/>
          </cell>
          <cell r="N1303" t="str">
            <v/>
          </cell>
        </row>
        <row r="1305">
          <cell r="B1305" t="str">
            <v>zwycięzca(cy): 21:3,21:2</v>
          </cell>
          <cell r="K1305" t="str">
            <v/>
          </cell>
        </row>
        <row r="1306">
          <cell r="B1306">
            <v>2</v>
          </cell>
          <cell r="C1306" t="str">
            <v>dzień turnieju.</v>
          </cell>
          <cell r="I1306" t="str">
            <v>Nr meczu</v>
          </cell>
          <cell r="N1306" t="str">
            <v>Godz.</v>
          </cell>
          <cell r="R1306" t="str">
            <v>S. prow.</v>
          </cell>
          <cell r="AF1306" t="str">
            <v>wygrany</v>
          </cell>
          <cell r="AG1306" t="str">
            <v>przegrany</v>
          </cell>
        </row>
        <row r="1307">
          <cell r="B1307" t="str">
            <v>Boisko</v>
          </cell>
          <cell r="C1307" t="str">
            <v>Gra</v>
          </cell>
          <cell r="I1307">
            <v>187</v>
          </cell>
          <cell r="N1307" t="str">
            <v>rozp.</v>
          </cell>
          <cell r="P1307" t="str">
            <v>zak.</v>
          </cell>
          <cell r="R1307" t="str">
            <v>S. serw.</v>
          </cell>
        </row>
        <row r="1308">
          <cell r="A1308">
            <v>187</v>
          </cell>
          <cell r="B1308">
            <v>6</v>
          </cell>
          <cell r="C1308" t="str">
            <v>pojedyncza kobiet J</v>
          </cell>
          <cell r="H1308">
            <v>6</v>
          </cell>
          <cell r="I1308">
            <v>21</v>
          </cell>
          <cell r="J1308">
            <v>7</v>
          </cell>
          <cell r="K1308">
            <v>21</v>
          </cell>
          <cell r="P1308">
            <v>0.61527777777777781</v>
          </cell>
          <cell r="R1308">
            <v>0.61527777777777781</v>
          </cell>
          <cell r="S1308" t="str">
            <v>sob 14:00</v>
          </cell>
          <cell r="X1308">
            <v>187</v>
          </cell>
          <cell r="Y1308" t="str">
            <v>pojedyncza kobiet J</v>
          </cell>
          <cell r="Z1308" t="str">
            <v>G3560</v>
          </cell>
          <cell r="AA1308" t="str">
            <v/>
          </cell>
          <cell r="AB1308" t="str">
            <v>X38</v>
          </cell>
          <cell r="AC1308" t="str">
            <v/>
          </cell>
          <cell r="AD1308" t="str">
            <v>X38</v>
          </cell>
          <cell r="AE1308" t="str">
            <v/>
          </cell>
          <cell r="AF1308" t="str">
            <v>21:6,21:7</v>
          </cell>
          <cell r="AG1308" t="str">
            <v>6:21,7:21</v>
          </cell>
          <cell r="AH1308" t="str">
            <v/>
          </cell>
          <cell r="AI1308">
            <v>6</v>
          </cell>
          <cell r="AJ1308">
            <v>21</v>
          </cell>
          <cell r="AK1308">
            <v>7</v>
          </cell>
          <cell r="AL1308">
            <v>21</v>
          </cell>
          <cell r="AM1308">
            <v>0</v>
          </cell>
          <cell r="AN1308">
            <v>0</v>
          </cell>
        </row>
        <row r="1309">
          <cell r="A1309" t="str">
            <v/>
          </cell>
          <cell r="B1309" t="str">
            <v>Daria GUJSKA (UKS Kiko Zamość)</v>
          </cell>
          <cell r="H1309" t="str">
            <v>G3560</v>
          </cell>
          <cell r="K1309" t="str">
            <v>X38</v>
          </cell>
          <cell r="N1309" t="str">
            <v>Tatiana LEMA (Lwów Ukraina)</v>
          </cell>
        </row>
        <row r="1310">
          <cell r="A1310" t="str">
            <v/>
          </cell>
          <cell r="B1310" t="str">
            <v/>
          </cell>
          <cell r="H1310" t="str">
            <v/>
          </cell>
          <cell r="K1310" t="str">
            <v/>
          </cell>
          <cell r="N1310" t="str">
            <v/>
          </cell>
        </row>
        <row r="1312">
          <cell r="B1312" t="str">
            <v/>
          </cell>
          <cell r="K1312" t="str">
            <v>zwycięzca(cy): 21:6,21:7</v>
          </cell>
        </row>
        <row r="1313">
          <cell r="B1313">
            <v>2</v>
          </cell>
          <cell r="C1313" t="str">
            <v>dzień turnieju.</v>
          </cell>
          <cell r="I1313" t="str">
            <v>Nr meczu</v>
          </cell>
          <cell r="N1313" t="str">
            <v>Godz.</v>
          </cell>
          <cell r="R1313" t="str">
            <v>S. prow.</v>
          </cell>
          <cell r="AF1313" t="str">
            <v>wygrany</v>
          </cell>
          <cell r="AG1313" t="str">
            <v>przegrany</v>
          </cell>
        </row>
        <row r="1314">
          <cell r="B1314" t="str">
            <v>Boisko</v>
          </cell>
          <cell r="C1314" t="str">
            <v>Gra</v>
          </cell>
          <cell r="I1314">
            <v>188</v>
          </cell>
          <cell r="N1314" t="str">
            <v>rozp.</v>
          </cell>
          <cell r="P1314" t="str">
            <v>zak.</v>
          </cell>
          <cell r="R1314" t="str">
            <v>S. serw.</v>
          </cell>
        </row>
        <row r="1315">
          <cell r="A1315">
            <v>188</v>
          </cell>
          <cell r="B1315">
            <v>7</v>
          </cell>
          <cell r="C1315" t="str">
            <v>pojedyncza kobiet J</v>
          </cell>
          <cell r="H1315">
            <v>13</v>
          </cell>
          <cell r="I1315">
            <v>21</v>
          </cell>
          <cell r="J1315">
            <v>21</v>
          </cell>
          <cell r="K1315">
            <v>19</v>
          </cell>
          <cell r="L1315">
            <v>10</v>
          </cell>
          <cell r="M1315">
            <v>21</v>
          </cell>
          <cell r="P1315">
            <v>0.62986111111111109</v>
          </cell>
          <cell r="R1315">
            <v>0.62986111111111109</v>
          </cell>
          <cell r="S1315" t="str">
            <v>sob 14:00</v>
          </cell>
          <cell r="X1315">
            <v>188</v>
          </cell>
          <cell r="Y1315" t="str">
            <v>pojedyncza kobiet J</v>
          </cell>
          <cell r="Z1315" t="str">
            <v>R3364</v>
          </cell>
          <cell r="AA1315" t="str">
            <v/>
          </cell>
          <cell r="AB1315" t="str">
            <v>P2838</v>
          </cell>
          <cell r="AC1315" t="str">
            <v/>
          </cell>
          <cell r="AD1315" t="str">
            <v>P2838</v>
          </cell>
          <cell r="AE1315" t="str">
            <v/>
          </cell>
          <cell r="AF1315" t="str">
            <v>21:13,19:21,21:10</v>
          </cell>
          <cell r="AG1315" t="str">
            <v>13:21,21:19,10:21</v>
          </cell>
          <cell r="AH1315" t="str">
            <v/>
          </cell>
          <cell r="AI1315">
            <v>13</v>
          </cell>
          <cell r="AJ1315">
            <v>21</v>
          </cell>
          <cell r="AK1315">
            <v>21</v>
          </cell>
          <cell r="AL1315">
            <v>19</v>
          </cell>
          <cell r="AM1315">
            <v>10</v>
          </cell>
          <cell r="AN1315">
            <v>21</v>
          </cell>
        </row>
        <row r="1316">
          <cell r="A1316" t="str">
            <v/>
          </cell>
          <cell r="B1316" t="str">
            <v>Kinga ROGALSKA (UKS 2 Sobótka)</v>
          </cell>
          <cell r="H1316" t="str">
            <v>R3364</v>
          </cell>
          <cell r="K1316" t="str">
            <v>P2838</v>
          </cell>
          <cell r="N1316" t="str">
            <v>Aleksandra PAPRZYCKA (MKB Lednik Miastko)</v>
          </cell>
        </row>
        <row r="1317">
          <cell r="A1317" t="str">
            <v/>
          </cell>
          <cell r="B1317" t="str">
            <v/>
          </cell>
          <cell r="H1317" t="str">
            <v/>
          </cell>
          <cell r="K1317" t="str">
            <v/>
          </cell>
          <cell r="N1317" t="str">
            <v/>
          </cell>
        </row>
        <row r="1319">
          <cell r="B1319" t="str">
            <v/>
          </cell>
          <cell r="K1319" t="str">
            <v>zwycięzca(cy): 21:13,19:21,21:10</v>
          </cell>
        </row>
        <row r="1320">
          <cell r="B1320">
            <v>2</v>
          </cell>
          <cell r="C1320" t="str">
            <v>dzień turnieju.</v>
          </cell>
          <cell r="I1320" t="str">
            <v>Nr meczu</v>
          </cell>
          <cell r="N1320" t="str">
            <v>Godz.</v>
          </cell>
          <cell r="R1320" t="str">
            <v>S. prow.</v>
          </cell>
          <cell r="AF1320" t="str">
            <v>wygrany</v>
          </cell>
          <cell r="AG1320" t="str">
            <v>przegrany</v>
          </cell>
        </row>
        <row r="1321">
          <cell r="B1321" t="str">
            <v>Boisko</v>
          </cell>
          <cell r="C1321" t="str">
            <v>Gra</v>
          </cell>
          <cell r="I1321">
            <v>189</v>
          </cell>
          <cell r="N1321" t="str">
            <v>rozp.</v>
          </cell>
          <cell r="P1321" t="str">
            <v>zak.</v>
          </cell>
          <cell r="R1321" t="str">
            <v>S. serw.</v>
          </cell>
        </row>
        <row r="1322">
          <cell r="A1322">
            <v>189</v>
          </cell>
          <cell r="B1322">
            <v>1</v>
          </cell>
          <cell r="C1322" t="str">
            <v>pojedyncza kobiet J</v>
          </cell>
          <cell r="H1322">
            <v>21</v>
          </cell>
          <cell r="I1322">
            <v>9</v>
          </cell>
          <cell r="J1322">
            <v>20</v>
          </cell>
          <cell r="K1322">
            <v>22</v>
          </cell>
          <cell r="L1322">
            <v>21</v>
          </cell>
          <cell r="M1322">
            <v>17</v>
          </cell>
          <cell r="P1322">
            <v>0.63750000000000007</v>
          </cell>
          <cell r="R1322">
            <v>0.63750000000000007</v>
          </cell>
          <cell r="S1322" t="str">
            <v>sob 14:00</v>
          </cell>
          <cell r="X1322">
            <v>189</v>
          </cell>
          <cell r="Y1322" t="str">
            <v>pojedyncza kobiet J</v>
          </cell>
          <cell r="Z1322" t="str">
            <v>D3155</v>
          </cell>
          <cell r="AA1322" t="str">
            <v/>
          </cell>
          <cell r="AB1322" t="str">
            <v>S3950</v>
          </cell>
          <cell r="AC1322" t="str">
            <v/>
          </cell>
          <cell r="AD1322" t="str">
            <v>D3155</v>
          </cell>
          <cell r="AE1322" t="str">
            <v/>
          </cell>
          <cell r="AF1322" t="str">
            <v>21:9,20:22,21:17</v>
          </cell>
          <cell r="AG1322" t="str">
            <v>9:21,22:20,17:21</v>
          </cell>
          <cell r="AH1322" t="str">
            <v/>
          </cell>
          <cell r="AI1322">
            <v>21</v>
          </cell>
          <cell r="AJ1322">
            <v>9</v>
          </cell>
          <cell r="AK1322">
            <v>20</v>
          </cell>
          <cell r="AL1322">
            <v>22</v>
          </cell>
          <cell r="AM1322">
            <v>21</v>
          </cell>
          <cell r="AN1322">
            <v>17</v>
          </cell>
        </row>
        <row r="1323">
          <cell r="A1323" t="str">
            <v/>
          </cell>
          <cell r="B1323" t="str">
            <v>Anna DĘBSKA (UKSB Milenium Warszawa)</v>
          </cell>
          <cell r="H1323" t="str">
            <v>D3155</v>
          </cell>
          <cell r="K1323" t="str">
            <v>S3950</v>
          </cell>
          <cell r="N1323" t="str">
            <v>Klaudia SOCHA (KS Chojnik Jelenia Góra)</v>
          </cell>
        </row>
        <row r="1324">
          <cell r="A1324" t="str">
            <v/>
          </cell>
          <cell r="B1324" t="str">
            <v/>
          </cell>
          <cell r="H1324" t="str">
            <v/>
          </cell>
          <cell r="K1324" t="str">
            <v/>
          </cell>
          <cell r="N1324" t="str">
            <v/>
          </cell>
        </row>
        <row r="1326">
          <cell r="B1326" t="str">
            <v>zwycięzca(cy): 21:9,20:22,21:17</v>
          </cell>
          <cell r="K1326" t="str">
            <v/>
          </cell>
        </row>
        <row r="1327">
          <cell r="B1327">
            <v>2</v>
          </cell>
          <cell r="C1327" t="str">
            <v>dzień turnieju.</v>
          </cell>
          <cell r="I1327" t="str">
            <v>Nr meczu</v>
          </cell>
          <cell r="N1327" t="str">
            <v>Godz.</v>
          </cell>
          <cell r="R1327" t="str">
            <v>S. prow.</v>
          </cell>
          <cell r="AF1327" t="str">
            <v>wygrany</v>
          </cell>
          <cell r="AG1327" t="str">
            <v>przegrany</v>
          </cell>
        </row>
        <row r="1328">
          <cell r="B1328" t="str">
            <v>Boisko</v>
          </cell>
          <cell r="C1328" t="str">
            <v>Gra</v>
          </cell>
          <cell r="I1328">
            <v>190</v>
          </cell>
          <cell r="N1328" t="str">
            <v>rozp.</v>
          </cell>
          <cell r="P1328" t="str">
            <v>zak.</v>
          </cell>
          <cell r="R1328" t="str">
            <v>S. serw.</v>
          </cell>
        </row>
        <row r="1329">
          <cell r="A1329">
            <v>190</v>
          </cell>
          <cell r="B1329">
            <v>2</v>
          </cell>
          <cell r="C1329" t="str">
            <v>pojedyncza mężczyzn J</v>
          </cell>
          <cell r="H1329">
            <v>21</v>
          </cell>
          <cell r="I1329">
            <v>11</v>
          </cell>
          <cell r="J1329">
            <v>22</v>
          </cell>
          <cell r="K1329">
            <v>20</v>
          </cell>
          <cell r="P1329">
            <v>0.62152777777777779</v>
          </cell>
          <cell r="R1329">
            <v>0.62152777777777779</v>
          </cell>
          <cell r="S1329" t="str">
            <v>sob 14:30</v>
          </cell>
          <cell r="X1329">
            <v>190</v>
          </cell>
          <cell r="Y1329" t="str">
            <v>pojedyncza mężczyzn J</v>
          </cell>
          <cell r="Z1329" t="str">
            <v>W2914</v>
          </cell>
          <cell r="AA1329" t="str">
            <v/>
          </cell>
          <cell r="AB1329" t="str">
            <v>U4307</v>
          </cell>
          <cell r="AC1329" t="str">
            <v/>
          </cell>
          <cell r="AD1329" t="str">
            <v>W2914</v>
          </cell>
          <cell r="AE1329" t="str">
            <v/>
          </cell>
          <cell r="AF1329" t="str">
            <v>21:11,22:20</v>
          </cell>
          <cell r="AG1329" t="str">
            <v>11:21,20:22</v>
          </cell>
          <cell r="AH1329" t="str">
            <v/>
          </cell>
          <cell r="AI1329">
            <v>21</v>
          </cell>
          <cell r="AJ1329">
            <v>11</v>
          </cell>
          <cell r="AK1329">
            <v>22</v>
          </cell>
          <cell r="AL1329">
            <v>20</v>
          </cell>
          <cell r="AM1329">
            <v>0</v>
          </cell>
          <cell r="AN1329">
            <v>0</v>
          </cell>
        </row>
        <row r="1330">
          <cell r="A1330" t="str">
            <v/>
          </cell>
          <cell r="B1330" t="str">
            <v>Piotr WASILUK (LUKS Badminton Choroszcz)</v>
          </cell>
          <cell r="H1330" t="str">
            <v>W2914</v>
          </cell>
          <cell r="K1330" t="str">
            <v>U4307</v>
          </cell>
          <cell r="N1330" t="str">
            <v>Michał USTIMOWICZ (LKS Technik Głubczyce)</v>
          </cell>
        </row>
        <row r="1331">
          <cell r="A1331" t="str">
            <v/>
          </cell>
          <cell r="B1331" t="str">
            <v/>
          </cell>
          <cell r="H1331" t="str">
            <v/>
          </cell>
          <cell r="K1331" t="str">
            <v/>
          </cell>
          <cell r="N1331" t="str">
            <v/>
          </cell>
        </row>
        <row r="1333">
          <cell r="B1333" t="str">
            <v>zwycięzca(cy): 21:11,22:20</v>
          </cell>
          <cell r="K1333" t="str">
            <v/>
          </cell>
        </row>
        <row r="1334">
          <cell r="B1334">
            <v>2</v>
          </cell>
          <cell r="C1334" t="str">
            <v>dzień turnieju.</v>
          </cell>
          <cell r="I1334" t="str">
            <v>Nr meczu</v>
          </cell>
          <cell r="N1334" t="str">
            <v>Godz.</v>
          </cell>
          <cell r="R1334" t="str">
            <v>S. prow.</v>
          </cell>
          <cell r="AF1334" t="str">
            <v>wygrany</v>
          </cell>
          <cell r="AG1334" t="str">
            <v>przegrany</v>
          </cell>
        </row>
        <row r="1335">
          <cell r="B1335" t="str">
            <v>Boisko</v>
          </cell>
          <cell r="C1335" t="str">
            <v>Gra</v>
          </cell>
          <cell r="I1335">
            <v>191</v>
          </cell>
          <cell r="N1335" t="str">
            <v>rozp.</v>
          </cell>
          <cell r="P1335" t="str">
            <v>zak.</v>
          </cell>
          <cell r="R1335" t="str">
            <v>S. serw.</v>
          </cell>
        </row>
        <row r="1336">
          <cell r="A1336">
            <v>191</v>
          </cell>
          <cell r="B1336">
            <v>3</v>
          </cell>
          <cell r="C1336" t="str">
            <v>pojedyncza mężczyzn J</v>
          </cell>
          <cell r="H1336">
            <v>21</v>
          </cell>
          <cell r="I1336">
            <v>5</v>
          </cell>
          <cell r="J1336">
            <v>21</v>
          </cell>
          <cell r="K1336">
            <v>9</v>
          </cell>
          <cell r="P1336">
            <v>0.62152777777777779</v>
          </cell>
          <cell r="R1336">
            <v>0.62152777777777779</v>
          </cell>
          <cell r="S1336" t="str">
            <v>sob 14:30</v>
          </cell>
          <cell r="X1336">
            <v>191</v>
          </cell>
          <cell r="Y1336" t="str">
            <v>pojedyncza mężczyzn J</v>
          </cell>
          <cell r="Z1336" t="str">
            <v>B2621</v>
          </cell>
          <cell r="AA1336" t="str">
            <v/>
          </cell>
          <cell r="AB1336" t="str">
            <v>W3805</v>
          </cell>
          <cell r="AC1336" t="str">
            <v/>
          </cell>
          <cell r="AD1336" t="str">
            <v>B2621</v>
          </cell>
          <cell r="AE1336" t="str">
            <v/>
          </cell>
          <cell r="AF1336" t="str">
            <v>21:5,21:9</v>
          </cell>
          <cell r="AG1336" t="str">
            <v>5:21,9:21</v>
          </cell>
          <cell r="AH1336" t="str">
            <v/>
          </cell>
          <cell r="AI1336">
            <v>21</v>
          </cell>
          <cell r="AJ1336">
            <v>5</v>
          </cell>
          <cell r="AK1336">
            <v>21</v>
          </cell>
          <cell r="AL1336">
            <v>9</v>
          </cell>
          <cell r="AM1336">
            <v>0</v>
          </cell>
          <cell r="AN1336">
            <v>0</v>
          </cell>
        </row>
        <row r="1337">
          <cell r="A1337" t="str">
            <v/>
          </cell>
          <cell r="B1337" t="str">
            <v>Mateusz BIERNACKI (UKS Hubal Białystok)</v>
          </cell>
          <cell r="H1337" t="str">
            <v>B2621</v>
          </cell>
          <cell r="K1337" t="str">
            <v>W3805</v>
          </cell>
          <cell r="N1337" t="str">
            <v>Jan WOLAŃCZYK (KS Match Point Ślęza)</v>
          </cell>
        </row>
        <row r="1338">
          <cell r="A1338" t="str">
            <v/>
          </cell>
          <cell r="B1338" t="str">
            <v/>
          </cell>
          <cell r="H1338" t="str">
            <v/>
          </cell>
          <cell r="K1338" t="str">
            <v/>
          </cell>
          <cell r="N1338" t="str">
            <v/>
          </cell>
        </row>
        <row r="1340">
          <cell r="B1340" t="str">
            <v>zwycięzca(cy): 21:5,21:9</v>
          </cell>
          <cell r="K1340" t="str">
            <v/>
          </cell>
        </row>
        <row r="1341">
          <cell r="B1341">
            <v>2</v>
          </cell>
          <cell r="C1341" t="str">
            <v>dzień turnieju.</v>
          </cell>
          <cell r="I1341" t="str">
            <v>Nr meczu</v>
          </cell>
          <cell r="N1341" t="str">
            <v>Godz.</v>
          </cell>
          <cell r="R1341" t="str">
            <v>S. prow.</v>
          </cell>
          <cell r="AF1341" t="str">
            <v>wygrany</v>
          </cell>
          <cell r="AG1341" t="str">
            <v>przegrany</v>
          </cell>
        </row>
        <row r="1342">
          <cell r="B1342" t="str">
            <v>Boisko</v>
          </cell>
          <cell r="C1342" t="str">
            <v>Gra</v>
          </cell>
          <cell r="I1342">
            <v>192</v>
          </cell>
          <cell r="N1342" t="str">
            <v>rozp.</v>
          </cell>
          <cell r="P1342" t="str">
            <v>zak.</v>
          </cell>
          <cell r="R1342" t="str">
            <v>S. serw.</v>
          </cell>
        </row>
        <row r="1343">
          <cell r="A1343">
            <v>192</v>
          </cell>
          <cell r="B1343">
            <v>4</v>
          </cell>
          <cell r="C1343" t="str">
            <v>pojedyncza mężczyzn J</v>
          </cell>
          <cell r="H1343">
            <v>13</v>
          </cell>
          <cell r="I1343">
            <v>21</v>
          </cell>
          <cell r="J1343">
            <v>21</v>
          </cell>
          <cell r="K1343">
            <v>8</v>
          </cell>
          <cell r="L1343">
            <v>19</v>
          </cell>
          <cell r="M1343">
            <v>21</v>
          </cell>
          <cell r="P1343">
            <v>0.63472222222222219</v>
          </cell>
          <cell r="R1343">
            <v>0.63472222222222219</v>
          </cell>
          <cell r="S1343" t="str">
            <v>sob 14:30</v>
          </cell>
          <cell r="X1343">
            <v>192</v>
          </cell>
          <cell r="Y1343" t="str">
            <v>pojedyncza mężczyzn J</v>
          </cell>
          <cell r="Z1343" t="str">
            <v>N3333</v>
          </cell>
          <cell r="AA1343" t="str">
            <v/>
          </cell>
          <cell r="AB1343" t="str">
            <v>S2695</v>
          </cell>
          <cell r="AC1343" t="str">
            <v/>
          </cell>
          <cell r="AD1343" t="str">
            <v>S2695</v>
          </cell>
          <cell r="AE1343" t="str">
            <v/>
          </cell>
          <cell r="AF1343" t="str">
            <v>21:13,8:21,21:19</v>
          </cell>
          <cell r="AG1343" t="str">
            <v>13:21,21:8,19:21</v>
          </cell>
          <cell r="AH1343" t="str">
            <v/>
          </cell>
          <cell r="AI1343">
            <v>13</v>
          </cell>
          <cell r="AJ1343">
            <v>21</v>
          </cell>
          <cell r="AK1343">
            <v>21</v>
          </cell>
          <cell r="AL1343">
            <v>8</v>
          </cell>
          <cell r="AM1343">
            <v>19</v>
          </cell>
          <cell r="AN1343">
            <v>21</v>
          </cell>
        </row>
        <row r="1344">
          <cell r="A1344" t="str">
            <v/>
          </cell>
          <cell r="B1344" t="str">
            <v>Marcin NOWAK (UKS Smecz Bogatynia)</v>
          </cell>
          <cell r="H1344" t="str">
            <v>N3333</v>
          </cell>
          <cell r="K1344" t="str">
            <v>S2695</v>
          </cell>
          <cell r="N1344" t="str">
            <v>Przemysław SZYDŁOWSKI (LKS Technik Głubczyce)</v>
          </cell>
        </row>
        <row r="1345">
          <cell r="A1345" t="str">
            <v/>
          </cell>
          <cell r="B1345" t="str">
            <v/>
          </cell>
          <cell r="H1345" t="str">
            <v/>
          </cell>
          <cell r="K1345" t="str">
            <v/>
          </cell>
          <cell r="N1345" t="str">
            <v/>
          </cell>
        </row>
        <row r="1347">
          <cell r="B1347" t="str">
            <v/>
          </cell>
          <cell r="K1347" t="str">
            <v>zwycięzca(cy): 21:13,8:21,21:19</v>
          </cell>
        </row>
        <row r="1348">
          <cell r="B1348">
            <v>2</v>
          </cell>
          <cell r="C1348" t="str">
            <v>dzień turnieju.</v>
          </cell>
          <cell r="I1348" t="str">
            <v>Nr meczu</v>
          </cell>
          <cell r="N1348" t="str">
            <v>Godz.</v>
          </cell>
          <cell r="R1348" t="str">
            <v>S. prow.</v>
          </cell>
          <cell r="AF1348" t="str">
            <v>wygrany</v>
          </cell>
          <cell r="AG1348" t="str">
            <v>przegrany</v>
          </cell>
        </row>
        <row r="1349">
          <cell r="B1349" t="str">
            <v>Boisko</v>
          </cell>
          <cell r="C1349" t="str">
            <v>Gra</v>
          </cell>
          <cell r="I1349">
            <v>193</v>
          </cell>
          <cell r="N1349" t="str">
            <v>rozp.</v>
          </cell>
          <cell r="P1349" t="str">
            <v>zak.</v>
          </cell>
          <cell r="R1349" t="str">
            <v>S. serw.</v>
          </cell>
        </row>
        <row r="1350">
          <cell r="A1350">
            <v>193</v>
          </cell>
          <cell r="B1350">
            <v>8</v>
          </cell>
          <cell r="C1350" t="str">
            <v>pojedyncza mężczyzn J</v>
          </cell>
          <cell r="H1350">
            <v>10</v>
          </cell>
          <cell r="I1350">
            <v>21</v>
          </cell>
          <cell r="J1350">
            <v>21</v>
          </cell>
          <cell r="K1350">
            <v>18</v>
          </cell>
          <cell r="L1350">
            <v>22</v>
          </cell>
          <cell r="M1350">
            <v>20</v>
          </cell>
          <cell r="P1350">
            <v>0.64236111111111105</v>
          </cell>
          <cell r="R1350">
            <v>0.64236111111111105</v>
          </cell>
          <cell r="S1350" t="str">
            <v>sob 14:30</v>
          </cell>
          <cell r="X1350">
            <v>193</v>
          </cell>
          <cell r="Y1350" t="str">
            <v>pojedyncza mężczyzn J</v>
          </cell>
          <cell r="Z1350" t="str">
            <v>L3566</v>
          </cell>
          <cell r="AA1350" t="str">
            <v/>
          </cell>
          <cell r="AB1350" t="str">
            <v>K3935</v>
          </cell>
          <cell r="AC1350" t="str">
            <v/>
          </cell>
          <cell r="AD1350" t="str">
            <v>L3566</v>
          </cell>
          <cell r="AE1350" t="str">
            <v/>
          </cell>
          <cell r="AF1350" t="str">
            <v>10:21,21:18,22:20</v>
          </cell>
          <cell r="AG1350" t="str">
            <v>21:10,18:21,20:22</v>
          </cell>
          <cell r="AH1350" t="str">
            <v/>
          </cell>
          <cell r="AI1350">
            <v>10</v>
          </cell>
          <cell r="AJ1350">
            <v>21</v>
          </cell>
          <cell r="AK1350">
            <v>21</v>
          </cell>
          <cell r="AL1350">
            <v>18</v>
          </cell>
          <cell r="AM1350">
            <v>22</v>
          </cell>
          <cell r="AN1350">
            <v>20</v>
          </cell>
        </row>
        <row r="1351">
          <cell r="A1351" t="str">
            <v/>
          </cell>
          <cell r="B1351" t="str">
            <v>Paweł LEPIANKA (UKS Kiko Zamość)</v>
          </cell>
          <cell r="H1351" t="str">
            <v>L3566</v>
          </cell>
          <cell r="K1351" t="str">
            <v>K3935</v>
          </cell>
          <cell r="N1351" t="str">
            <v>Michał KAŹMIERCZAK (UKS Feniks Kędzierzyn-Koźle)</v>
          </cell>
        </row>
        <row r="1352">
          <cell r="A1352" t="str">
            <v/>
          </cell>
          <cell r="B1352" t="str">
            <v/>
          </cell>
          <cell r="H1352" t="str">
            <v/>
          </cell>
          <cell r="K1352" t="str">
            <v/>
          </cell>
          <cell r="N1352" t="str">
            <v/>
          </cell>
        </row>
        <row r="1354">
          <cell r="B1354" t="str">
            <v>zwycięzca(cy): 10:21,21:18,22:20</v>
          </cell>
          <cell r="K1354" t="str">
            <v/>
          </cell>
        </row>
        <row r="1355">
          <cell r="B1355">
            <v>2</v>
          </cell>
          <cell r="C1355" t="str">
            <v>dzień turnieju.</v>
          </cell>
          <cell r="I1355" t="str">
            <v>Nr meczu</v>
          </cell>
          <cell r="N1355" t="str">
            <v>Godz.</v>
          </cell>
          <cell r="R1355" t="str">
            <v>S. prow.</v>
          </cell>
          <cell r="AF1355" t="str">
            <v>wygrany</v>
          </cell>
          <cell r="AG1355" t="str">
            <v>przegrany</v>
          </cell>
        </row>
        <row r="1356">
          <cell r="B1356" t="str">
            <v>Boisko</v>
          </cell>
          <cell r="C1356" t="str">
            <v>Gra</v>
          </cell>
          <cell r="I1356">
            <v>194</v>
          </cell>
          <cell r="N1356" t="str">
            <v>rozp.</v>
          </cell>
          <cell r="P1356" t="str">
            <v>zak.</v>
          </cell>
          <cell r="R1356" t="str">
            <v>S. serw.</v>
          </cell>
        </row>
        <row r="1357">
          <cell r="A1357">
            <v>194</v>
          </cell>
          <cell r="B1357">
            <v>6</v>
          </cell>
          <cell r="C1357" t="str">
            <v>pojedyncza mężczyzn J</v>
          </cell>
          <cell r="H1357">
            <v>21</v>
          </cell>
          <cell r="I1357">
            <v>13</v>
          </cell>
          <cell r="J1357">
            <v>21</v>
          </cell>
          <cell r="K1357">
            <v>18</v>
          </cell>
          <cell r="P1357">
            <v>0.63472222222222219</v>
          </cell>
          <cell r="R1357">
            <v>0.63472222222222219</v>
          </cell>
          <cell r="S1357" t="str">
            <v>sob 14:30</v>
          </cell>
          <cell r="X1357">
            <v>194</v>
          </cell>
          <cell r="Y1357" t="str">
            <v>pojedyncza mężczyzn J</v>
          </cell>
          <cell r="Z1357" t="str">
            <v>S2973</v>
          </cell>
          <cell r="AA1357" t="str">
            <v/>
          </cell>
          <cell r="AB1357" t="str">
            <v>P3934</v>
          </cell>
          <cell r="AC1357" t="str">
            <v/>
          </cell>
          <cell r="AD1357" t="str">
            <v>S2973</v>
          </cell>
          <cell r="AE1357" t="str">
            <v/>
          </cell>
          <cell r="AF1357" t="str">
            <v>21:13,21:18</v>
          </cell>
          <cell r="AG1357" t="str">
            <v>13:21,18:21</v>
          </cell>
          <cell r="AH1357" t="str">
            <v/>
          </cell>
          <cell r="AI1357">
            <v>21</v>
          </cell>
          <cell r="AJ1357">
            <v>13</v>
          </cell>
          <cell r="AK1357">
            <v>21</v>
          </cell>
          <cell r="AL1357">
            <v>18</v>
          </cell>
          <cell r="AM1357">
            <v>0</v>
          </cell>
          <cell r="AN1357">
            <v>0</v>
          </cell>
        </row>
        <row r="1358">
          <cell r="A1358" t="str">
            <v/>
          </cell>
          <cell r="B1358" t="str">
            <v>Tomasz SAGUN (UKS Hubal Białystok)</v>
          </cell>
          <cell r="H1358" t="str">
            <v>S2973</v>
          </cell>
          <cell r="K1358" t="str">
            <v>P3934</v>
          </cell>
          <cell r="N1358" t="str">
            <v>Patryk PŁAZA (UKS Smecz Bogatynia)</v>
          </cell>
        </row>
        <row r="1359">
          <cell r="A1359" t="str">
            <v/>
          </cell>
          <cell r="B1359" t="str">
            <v/>
          </cell>
          <cell r="H1359" t="str">
            <v/>
          </cell>
          <cell r="K1359" t="str">
            <v/>
          </cell>
          <cell r="N1359" t="str">
            <v/>
          </cell>
        </row>
        <row r="1361">
          <cell r="B1361" t="str">
            <v>zwycięzca(cy): 21:13,21:18</v>
          </cell>
          <cell r="K1361" t="str">
            <v/>
          </cell>
        </row>
        <row r="1362">
          <cell r="B1362">
            <v>2</v>
          </cell>
          <cell r="C1362" t="str">
            <v>dzień turnieju.</v>
          </cell>
          <cell r="I1362" t="str">
            <v>Nr meczu</v>
          </cell>
          <cell r="N1362" t="str">
            <v>Godz.</v>
          </cell>
          <cell r="R1362" t="str">
            <v>S. prow.</v>
          </cell>
          <cell r="AF1362" t="str">
            <v>wygrany</v>
          </cell>
          <cell r="AG1362" t="str">
            <v>przegrany</v>
          </cell>
        </row>
        <row r="1363">
          <cell r="B1363" t="str">
            <v>Boisko</v>
          </cell>
          <cell r="C1363" t="str">
            <v>Gra</v>
          </cell>
          <cell r="I1363">
            <v>195</v>
          </cell>
          <cell r="N1363" t="str">
            <v>rozp.</v>
          </cell>
          <cell r="P1363" t="str">
            <v>zak.</v>
          </cell>
          <cell r="R1363" t="str">
            <v>S. serw.</v>
          </cell>
        </row>
        <row r="1364">
          <cell r="A1364">
            <v>195</v>
          </cell>
          <cell r="B1364">
            <v>5</v>
          </cell>
          <cell r="C1364" t="str">
            <v>pojedyncza mężczyzn J</v>
          </cell>
          <cell r="H1364">
            <v>21</v>
          </cell>
          <cell r="I1364">
            <v>10</v>
          </cell>
          <cell r="J1364">
            <v>21</v>
          </cell>
          <cell r="K1364">
            <v>13</v>
          </cell>
          <cell r="P1364">
            <v>0.63124999999999998</v>
          </cell>
          <cell r="R1364">
            <v>0.63124999999999998</v>
          </cell>
          <cell r="S1364" t="str">
            <v>sob 14:30</v>
          </cell>
          <cell r="X1364">
            <v>195</v>
          </cell>
          <cell r="Y1364" t="str">
            <v>pojedyncza mężczyzn J</v>
          </cell>
          <cell r="Z1364" t="str">
            <v>J3112</v>
          </cell>
          <cell r="AA1364" t="str">
            <v/>
          </cell>
          <cell r="AB1364" t="str">
            <v>R3804</v>
          </cell>
          <cell r="AC1364" t="str">
            <v/>
          </cell>
          <cell r="AD1364" t="str">
            <v>J3112</v>
          </cell>
          <cell r="AE1364" t="str">
            <v/>
          </cell>
          <cell r="AF1364" t="str">
            <v>21:10,21:13</v>
          </cell>
          <cell r="AG1364" t="str">
            <v>10:21,13:21</v>
          </cell>
          <cell r="AH1364" t="str">
            <v/>
          </cell>
          <cell r="AI1364">
            <v>21</v>
          </cell>
          <cell r="AJ1364">
            <v>10</v>
          </cell>
          <cell r="AK1364">
            <v>21</v>
          </cell>
          <cell r="AL1364">
            <v>13</v>
          </cell>
          <cell r="AM1364">
            <v>0</v>
          </cell>
          <cell r="AN1364">
            <v>0</v>
          </cell>
        </row>
        <row r="1365">
          <cell r="A1365" t="str">
            <v/>
          </cell>
          <cell r="B1365" t="str">
            <v>Krzysztof JAKOWCZUK (UKS Hubal Białystok)</v>
          </cell>
          <cell r="H1365" t="str">
            <v>J3112</v>
          </cell>
          <cell r="K1365" t="str">
            <v>R3804</v>
          </cell>
          <cell r="N1365" t="str">
            <v>Sebastian REGEŃCZUK (KS Match Point Ślęza)</v>
          </cell>
        </row>
        <row r="1366">
          <cell r="A1366" t="str">
            <v/>
          </cell>
          <cell r="B1366" t="str">
            <v/>
          </cell>
          <cell r="H1366" t="str">
            <v/>
          </cell>
          <cell r="K1366" t="str">
            <v/>
          </cell>
          <cell r="N1366" t="str">
            <v/>
          </cell>
        </row>
        <row r="1368">
          <cell r="B1368" t="str">
            <v>zwycięzca(cy): 21:10,21:13</v>
          </cell>
          <cell r="K1368" t="str">
            <v/>
          </cell>
        </row>
        <row r="1369">
          <cell r="B1369">
            <v>2</v>
          </cell>
          <cell r="C1369" t="str">
            <v>dzień turnieju.</v>
          </cell>
          <cell r="I1369" t="str">
            <v>Nr meczu</v>
          </cell>
          <cell r="N1369" t="str">
            <v>Godz.</v>
          </cell>
          <cell r="R1369" t="str">
            <v>S. prow.</v>
          </cell>
          <cell r="AF1369" t="str">
            <v>wygrany</v>
          </cell>
          <cell r="AG1369" t="str">
            <v>przegrany</v>
          </cell>
        </row>
        <row r="1370">
          <cell r="B1370" t="str">
            <v>Boisko</v>
          </cell>
          <cell r="C1370" t="str">
            <v>Gra</v>
          </cell>
          <cell r="I1370">
            <v>196</v>
          </cell>
          <cell r="N1370" t="str">
            <v>rozp.</v>
          </cell>
          <cell r="P1370" t="str">
            <v>zak.</v>
          </cell>
          <cell r="R1370" t="str">
            <v>S. serw.</v>
          </cell>
        </row>
        <row r="1371">
          <cell r="A1371">
            <v>196</v>
          </cell>
          <cell r="B1371">
            <v>2</v>
          </cell>
          <cell r="C1371" t="str">
            <v>pojedyncza dziewcząt JM</v>
          </cell>
          <cell r="H1371">
            <v>21</v>
          </cell>
          <cell r="I1371">
            <v>13</v>
          </cell>
          <cell r="J1371">
            <v>21</v>
          </cell>
          <cell r="K1371">
            <v>17</v>
          </cell>
          <cell r="P1371">
            <v>0.64444444444444449</v>
          </cell>
          <cell r="R1371">
            <v>0.64444444444444449</v>
          </cell>
          <cell r="S1371" t="str">
            <v>sob 15:00</v>
          </cell>
          <cell r="X1371">
            <v>196</v>
          </cell>
          <cell r="Y1371" t="str">
            <v>pojedyncza dziewcząt JM</v>
          </cell>
          <cell r="Z1371" t="str">
            <v>S3617</v>
          </cell>
          <cell r="AA1371" t="str">
            <v/>
          </cell>
          <cell r="AB1371" t="str">
            <v>S4168</v>
          </cell>
          <cell r="AC1371" t="str">
            <v/>
          </cell>
          <cell r="AD1371" t="str">
            <v>S3617</v>
          </cell>
          <cell r="AE1371" t="str">
            <v/>
          </cell>
          <cell r="AF1371" t="str">
            <v>21:13,21:17</v>
          </cell>
          <cell r="AG1371" t="str">
            <v>13:21,17:21</v>
          </cell>
          <cell r="AH1371" t="str">
            <v/>
          </cell>
          <cell r="AI1371">
            <v>21</v>
          </cell>
          <cell r="AJ1371">
            <v>13</v>
          </cell>
          <cell r="AK1371">
            <v>21</v>
          </cell>
          <cell r="AL1371">
            <v>17</v>
          </cell>
          <cell r="AM1371">
            <v>0</v>
          </cell>
          <cell r="AN1371">
            <v>0</v>
          </cell>
        </row>
        <row r="1372">
          <cell r="A1372" t="str">
            <v/>
          </cell>
          <cell r="B1372" t="str">
            <v>Katarzyna SŁOMBA (UKSB Volant Mielec)</v>
          </cell>
          <cell r="H1372" t="str">
            <v>S3617</v>
          </cell>
          <cell r="K1372" t="str">
            <v>S4168</v>
          </cell>
          <cell r="N1372" t="str">
            <v>Agnieszka SZYMASZEK (UKS Orbitek Straszęcin)</v>
          </cell>
        </row>
        <row r="1373">
          <cell r="A1373" t="str">
            <v/>
          </cell>
          <cell r="B1373" t="str">
            <v/>
          </cell>
          <cell r="H1373" t="str">
            <v/>
          </cell>
          <cell r="K1373" t="str">
            <v/>
          </cell>
          <cell r="N1373" t="str">
            <v/>
          </cell>
        </row>
        <row r="1375">
          <cell r="B1375" t="str">
            <v>zwycięzca(cy): 21:13,21:17</v>
          </cell>
          <cell r="K1375" t="str">
            <v/>
          </cell>
        </row>
        <row r="1376">
          <cell r="B1376">
            <v>2</v>
          </cell>
          <cell r="C1376" t="str">
            <v>dzień turnieju.</v>
          </cell>
          <cell r="I1376" t="str">
            <v>Nr meczu</v>
          </cell>
          <cell r="N1376" t="str">
            <v>Godz.</v>
          </cell>
          <cell r="R1376" t="str">
            <v>S. prow.</v>
          </cell>
          <cell r="AF1376" t="str">
            <v>wygrany</v>
          </cell>
          <cell r="AG1376" t="str">
            <v>przegrany</v>
          </cell>
        </row>
        <row r="1377">
          <cell r="B1377" t="str">
            <v>Boisko</v>
          </cell>
          <cell r="C1377" t="str">
            <v>Gra</v>
          </cell>
          <cell r="I1377">
            <v>197</v>
          </cell>
          <cell r="N1377" t="str">
            <v>rozp.</v>
          </cell>
          <cell r="P1377" t="str">
            <v>zak.</v>
          </cell>
          <cell r="R1377" t="str">
            <v>S. serw.</v>
          </cell>
        </row>
        <row r="1378">
          <cell r="A1378">
            <v>197</v>
          </cell>
          <cell r="B1378">
            <v>3</v>
          </cell>
          <cell r="C1378" t="str">
            <v>pojedyncza chłopców JM</v>
          </cell>
          <cell r="H1378">
            <v>18</v>
          </cell>
          <cell r="I1378">
            <v>21</v>
          </cell>
          <cell r="J1378">
            <v>21</v>
          </cell>
          <cell r="K1378">
            <v>19</v>
          </cell>
          <cell r="L1378">
            <v>21</v>
          </cell>
          <cell r="M1378">
            <v>19</v>
          </cell>
          <cell r="P1378">
            <v>0.65277777777777779</v>
          </cell>
          <cell r="R1378">
            <v>0.65277777777777779</v>
          </cell>
          <cell r="S1378" t="str">
            <v>sob 15:00</v>
          </cell>
          <cell r="X1378">
            <v>197</v>
          </cell>
          <cell r="Y1378" t="str">
            <v>pojedyncza chłopców JM</v>
          </cell>
          <cell r="Z1378" t="str">
            <v>K3867</v>
          </cell>
          <cell r="AA1378" t="str">
            <v/>
          </cell>
          <cell r="AB1378" t="str">
            <v>X10</v>
          </cell>
          <cell r="AC1378" t="str">
            <v/>
          </cell>
          <cell r="AD1378" t="str">
            <v>K3867</v>
          </cell>
          <cell r="AE1378" t="str">
            <v/>
          </cell>
          <cell r="AF1378" t="str">
            <v>18:21,21:19,21:19</v>
          </cell>
          <cell r="AG1378" t="str">
            <v>21:18,19:21,19:21</v>
          </cell>
          <cell r="AH1378" t="str">
            <v/>
          </cell>
          <cell r="AI1378">
            <v>18</v>
          </cell>
          <cell r="AJ1378">
            <v>21</v>
          </cell>
          <cell r="AK1378">
            <v>21</v>
          </cell>
          <cell r="AL1378">
            <v>19</v>
          </cell>
          <cell r="AM1378">
            <v>21</v>
          </cell>
          <cell r="AN1378">
            <v>19</v>
          </cell>
        </row>
        <row r="1379">
          <cell r="A1379" t="str">
            <v/>
          </cell>
          <cell r="B1379" t="str">
            <v>Patryk KOPEĆ (MKS Stal Nowa Dęba)</v>
          </cell>
          <cell r="H1379" t="str">
            <v>K3867</v>
          </cell>
          <cell r="K1379" t="str">
            <v>X10</v>
          </cell>
          <cell r="N1379" t="str">
            <v>Dmitry KUSIMITSKI (Brześć Białoruś)</v>
          </cell>
        </row>
        <row r="1380">
          <cell r="A1380" t="str">
            <v/>
          </cell>
          <cell r="B1380" t="str">
            <v/>
          </cell>
          <cell r="H1380" t="str">
            <v/>
          </cell>
          <cell r="K1380" t="str">
            <v/>
          </cell>
          <cell r="N1380" t="str">
            <v/>
          </cell>
        </row>
        <row r="1382">
          <cell r="B1382" t="str">
            <v>zwycięzca(cy): 18:21,21:19,21:19</v>
          </cell>
          <cell r="K1382" t="str">
            <v/>
          </cell>
        </row>
        <row r="1383">
          <cell r="B1383">
            <v>2</v>
          </cell>
          <cell r="C1383" t="str">
            <v>dzień turnieju.</v>
          </cell>
          <cell r="I1383" t="str">
            <v>Nr meczu</v>
          </cell>
          <cell r="N1383" t="str">
            <v>Godz.</v>
          </cell>
          <cell r="R1383" t="str">
            <v>S. prow.</v>
          </cell>
          <cell r="AF1383" t="str">
            <v>wygrany</v>
          </cell>
          <cell r="AG1383" t="str">
            <v>przegrany</v>
          </cell>
        </row>
        <row r="1384">
          <cell r="B1384" t="str">
            <v>Boisko</v>
          </cell>
          <cell r="C1384" t="str">
            <v>Gra</v>
          </cell>
          <cell r="I1384">
            <v>198</v>
          </cell>
          <cell r="N1384" t="str">
            <v>rozp.</v>
          </cell>
          <cell r="P1384" t="str">
            <v>zak.</v>
          </cell>
          <cell r="R1384" t="str">
            <v>S. serw.</v>
          </cell>
        </row>
        <row r="1385">
          <cell r="A1385">
            <v>198</v>
          </cell>
          <cell r="B1385">
            <v>7</v>
          </cell>
          <cell r="C1385" t="str">
            <v>pojedyncza chłopców JM</v>
          </cell>
          <cell r="H1385">
            <v>21</v>
          </cell>
          <cell r="I1385">
            <v>19</v>
          </cell>
          <cell r="J1385">
            <v>13</v>
          </cell>
          <cell r="K1385">
            <v>21</v>
          </cell>
          <cell r="L1385">
            <v>21</v>
          </cell>
          <cell r="M1385">
            <v>12</v>
          </cell>
          <cell r="P1385">
            <v>0.66527777777777775</v>
          </cell>
          <cell r="R1385">
            <v>0.66527777777777775</v>
          </cell>
          <cell r="S1385" t="str">
            <v>sob 15:00</v>
          </cell>
          <cell r="X1385">
            <v>198</v>
          </cell>
          <cell r="Y1385" t="str">
            <v>pojedyncza chłopców JM</v>
          </cell>
          <cell r="Z1385" t="str">
            <v>X39</v>
          </cell>
          <cell r="AA1385" t="str">
            <v/>
          </cell>
          <cell r="AB1385" t="str">
            <v>J3436</v>
          </cell>
          <cell r="AC1385" t="str">
            <v/>
          </cell>
          <cell r="AD1385" t="str">
            <v>X39</v>
          </cell>
          <cell r="AE1385" t="str">
            <v/>
          </cell>
          <cell r="AF1385" t="str">
            <v>21:19,13:21,21:12</v>
          </cell>
          <cell r="AG1385" t="str">
            <v>19:21,21:13,12:21</v>
          </cell>
          <cell r="AH1385" t="str">
            <v/>
          </cell>
          <cell r="AI1385">
            <v>21</v>
          </cell>
          <cell r="AJ1385">
            <v>19</v>
          </cell>
          <cell r="AK1385">
            <v>13</v>
          </cell>
          <cell r="AL1385">
            <v>21</v>
          </cell>
          <cell r="AM1385">
            <v>21</v>
          </cell>
          <cell r="AN1385">
            <v>12</v>
          </cell>
        </row>
        <row r="1386">
          <cell r="A1386" t="str">
            <v/>
          </cell>
          <cell r="B1386" t="str">
            <v>Adam Šářec  (Slavoj Cesky Tesin)</v>
          </cell>
          <cell r="H1386" t="str">
            <v>X39</v>
          </cell>
          <cell r="K1386" t="str">
            <v>J3436</v>
          </cell>
          <cell r="N1386" t="str">
            <v>Patryk JAS (UKS Kometa Sianów)</v>
          </cell>
        </row>
        <row r="1387">
          <cell r="A1387" t="str">
            <v/>
          </cell>
          <cell r="B1387" t="str">
            <v/>
          </cell>
          <cell r="H1387" t="str">
            <v/>
          </cell>
          <cell r="K1387" t="str">
            <v/>
          </cell>
          <cell r="N1387" t="str">
            <v/>
          </cell>
        </row>
        <row r="1389">
          <cell r="B1389" t="str">
            <v>zwycięzca(cy): 21:19,13:21,21:12</v>
          </cell>
          <cell r="K1389" t="str">
            <v/>
          </cell>
        </row>
        <row r="1390">
          <cell r="B1390">
            <v>2</v>
          </cell>
          <cell r="C1390" t="str">
            <v>dzień turnieju.</v>
          </cell>
          <cell r="I1390" t="str">
            <v>Nr meczu</v>
          </cell>
          <cell r="N1390" t="str">
            <v>Godz.</v>
          </cell>
          <cell r="R1390" t="str">
            <v>S. prow.</v>
          </cell>
          <cell r="AF1390" t="str">
            <v>wygrany</v>
          </cell>
          <cell r="AG1390" t="str">
            <v>przegrany</v>
          </cell>
        </row>
        <row r="1391">
          <cell r="B1391" t="str">
            <v>Boisko</v>
          </cell>
          <cell r="C1391" t="str">
            <v>Gra</v>
          </cell>
          <cell r="I1391">
            <v>199</v>
          </cell>
          <cell r="N1391" t="str">
            <v>rozp.</v>
          </cell>
          <cell r="P1391" t="str">
            <v>zak.</v>
          </cell>
          <cell r="R1391" t="str">
            <v>S. serw.</v>
          </cell>
        </row>
        <row r="1392">
          <cell r="A1392">
            <v>199</v>
          </cell>
          <cell r="B1392">
            <v>5</v>
          </cell>
          <cell r="C1392" t="str">
            <v>pojedyncza chłopców JM</v>
          </cell>
          <cell r="H1392">
            <v>12</v>
          </cell>
          <cell r="I1392">
            <v>21</v>
          </cell>
          <cell r="J1392">
            <v>6</v>
          </cell>
          <cell r="K1392">
            <v>21</v>
          </cell>
          <cell r="P1392">
            <v>0.64444444444444449</v>
          </cell>
          <cell r="R1392">
            <v>0.64444444444444449</v>
          </cell>
          <cell r="S1392" t="str">
            <v>sob 15:00</v>
          </cell>
          <cell r="X1392">
            <v>199</v>
          </cell>
          <cell r="Y1392" t="str">
            <v>pojedyncza chłopców JM</v>
          </cell>
          <cell r="Z1392" t="str">
            <v>B4079</v>
          </cell>
          <cell r="AA1392" t="str">
            <v/>
          </cell>
          <cell r="AB1392" t="str">
            <v>M4193</v>
          </cell>
          <cell r="AC1392" t="str">
            <v/>
          </cell>
          <cell r="AD1392" t="str">
            <v>M4193</v>
          </cell>
          <cell r="AE1392" t="str">
            <v/>
          </cell>
          <cell r="AF1392" t="str">
            <v>21:12,21:6</v>
          </cell>
          <cell r="AG1392" t="str">
            <v>12:21,6:21</v>
          </cell>
          <cell r="AH1392" t="str">
            <v/>
          </cell>
          <cell r="AI1392">
            <v>12</v>
          </cell>
          <cell r="AJ1392">
            <v>21</v>
          </cell>
          <cell r="AK1392">
            <v>6</v>
          </cell>
          <cell r="AL1392">
            <v>21</v>
          </cell>
          <cell r="AM1392">
            <v>0</v>
          </cell>
          <cell r="AN1392">
            <v>0</v>
          </cell>
        </row>
        <row r="1393">
          <cell r="A1393" t="str">
            <v/>
          </cell>
          <cell r="B1393" t="str">
            <v>Kamil BARTKIEWICZ (UKS Ząbkowice Dąbrowa Górn.)</v>
          </cell>
          <cell r="H1393" t="str">
            <v>B4079</v>
          </cell>
          <cell r="K1393" t="str">
            <v>M4193</v>
          </cell>
          <cell r="N1393" t="str">
            <v>Robert MIRGA (LKS Technik Głubczyce)</v>
          </cell>
        </row>
        <row r="1394">
          <cell r="A1394" t="str">
            <v/>
          </cell>
          <cell r="B1394" t="str">
            <v/>
          </cell>
          <cell r="H1394" t="str">
            <v/>
          </cell>
          <cell r="K1394" t="str">
            <v/>
          </cell>
          <cell r="N1394" t="str">
            <v/>
          </cell>
        </row>
        <row r="1396">
          <cell r="B1396" t="str">
            <v/>
          </cell>
          <cell r="K1396" t="str">
            <v>zwycięzca(cy): 21:12,21:6</v>
          </cell>
        </row>
        <row r="1397">
          <cell r="B1397">
            <v>2</v>
          </cell>
          <cell r="C1397" t="str">
            <v>dzień turnieju.</v>
          </cell>
          <cell r="I1397" t="str">
            <v>Nr meczu</v>
          </cell>
          <cell r="N1397" t="str">
            <v>Godz.</v>
          </cell>
          <cell r="R1397" t="str">
            <v>S. prow.</v>
          </cell>
          <cell r="AF1397" t="str">
            <v>wygrany</v>
          </cell>
          <cell r="AG1397" t="str">
            <v>przegrany</v>
          </cell>
        </row>
        <row r="1398">
          <cell r="B1398" t="str">
            <v>Boisko</v>
          </cell>
          <cell r="C1398" t="str">
            <v>Gra</v>
          </cell>
          <cell r="I1398">
            <v>200</v>
          </cell>
          <cell r="N1398" t="str">
            <v>rozp.</v>
          </cell>
          <cell r="P1398" t="str">
            <v>zak.</v>
          </cell>
          <cell r="R1398" t="str">
            <v>S. serw.</v>
          </cell>
        </row>
        <row r="1399">
          <cell r="A1399">
            <v>200</v>
          </cell>
          <cell r="B1399">
            <v>1</v>
          </cell>
          <cell r="C1399" t="str">
            <v>pojedyncza chłopców JM</v>
          </cell>
          <cell r="H1399">
            <v>21</v>
          </cell>
          <cell r="I1399">
            <v>23</v>
          </cell>
          <cell r="J1399">
            <v>17</v>
          </cell>
          <cell r="K1399">
            <v>21</v>
          </cell>
          <cell r="P1399">
            <v>0.65416666666666667</v>
          </cell>
          <cell r="R1399">
            <v>0.65416666666666667</v>
          </cell>
          <cell r="S1399" t="str">
            <v>sob 15:00</v>
          </cell>
          <cell r="X1399">
            <v>200</v>
          </cell>
          <cell r="Y1399" t="str">
            <v>pojedyncza chłopców JM</v>
          </cell>
          <cell r="Z1399" t="str">
            <v>N3834</v>
          </cell>
          <cell r="AA1399" t="str">
            <v/>
          </cell>
          <cell r="AB1399" t="str">
            <v>S3778</v>
          </cell>
          <cell r="AC1399" t="str">
            <v/>
          </cell>
          <cell r="AD1399" t="str">
            <v>S3778</v>
          </cell>
          <cell r="AE1399" t="str">
            <v/>
          </cell>
          <cell r="AF1399" t="str">
            <v>23:21,21:17</v>
          </cell>
          <cell r="AG1399" t="str">
            <v>21:23,17:21</v>
          </cell>
          <cell r="AH1399" t="str">
            <v/>
          </cell>
          <cell r="AI1399">
            <v>21</v>
          </cell>
          <cell r="AJ1399">
            <v>23</v>
          </cell>
          <cell r="AK1399">
            <v>17</v>
          </cell>
          <cell r="AL1399">
            <v>21</v>
          </cell>
          <cell r="AM1399">
            <v>0</v>
          </cell>
          <cell r="AN1399">
            <v>0</v>
          </cell>
        </row>
        <row r="1400">
          <cell r="A1400" t="str">
            <v/>
          </cell>
          <cell r="B1400" t="str">
            <v>Jędrzej NOWAK (KS Chojnik Jelenia Góra)</v>
          </cell>
          <cell r="H1400" t="str">
            <v>N3834</v>
          </cell>
          <cell r="K1400" t="str">
            <v>S3778</v>
          </cell>
          <cell r="N1400" t="str">
            <v>Damian SADALSKI (UKS Orkan Przeźmierowo)</v>
          </cell>
        </row>
        <row r="1401">
          <cell r="A1401" t="str">
            <v/>
          </cell>
          <cell r="B1401" t="str">
            <v/>
          </cell>
          <cell r="H1401" t="str">
            <v/>
          </cell>
          <cell r="K1401" t="str">
            <v/>
          </cell>
          <cell r="N1401" t="str">
            <v/>
          </cell>
        </row>
        <row r="1403">
          <cell r="B1403" t="str">
            <v/>
          </cell>
          <cell r="K1403" t="str">
            <v>zwycięzca(cy): 23:21,21:17</v>
          </cell>
        </row>
        <row r="1404">
          <cell r="B1404">
            <v>2</v>
          </cell>
          <cell r="C1404" t="str">
            <v>dzień turnieju.</v>
          </cell>
          <cell r="I1404" t="str">
            <v>Nr meczu</v>
          </cell>
          <cell r="N1404" t="str">
            <v>Godz.</v>
          </cell>
          <cell r="R1404" t="str">
            <v>S. prow.</v>
          </cell>
          <cell r="AF1404" t="str">
            <v>wygrany</v>
          </cell>
          <cell r="AG1404" t="str">
            <v>przegrany</v>
          </cell>
        </row>
        <row r="1405">
          <cell r="B1405" t="str">
            <v>Boisko</v>
          </cell>
          <cell r="C1405" t="str">
            <v>Gra</v>
          </cell>
          <cell r="I1405">
            <v>201</v>
          </cell>
          <cell r="N1405" t="str">
            <v>rozp.</v>
          </cell>
          <cell r="P1405" t="str">
            <v>zak.</v>
          </cell>
          <cell r="R1405" t="str">
            <v>S. serw.</v>
          </cell>
        </row>
        <row r="1406">
          <cell r="A1406">
            <v>201</v>
          </cell>
          <cell r="B1406">
            <v>4</v>
          </cell>
          <cell r="C1406" t="str">
            <v>mieszana J</v>
          </cell>
          <cell r="H1406">
            <v>21</v>
          </cell>
          <cell r="I1406">
            <v>14</v>
          </cell>
          <cell r="J1406">
            <v>21</v>
          </cell>
          <cell r="K1406">
            <v>9</v>
          </cell>
          <cell r="P1406">
            <v>0.65833333333333333</v>
          </cell>
          <cell r="R1406">
            <v>0.65833333333333333</v>
          </cell>
          <cell r="S1406" t="str">
            <v>sob 15:30</v>
          </cell>
          <cell r="X1406">
            <v>201</v>
          </cell>
          <cell r="Y1406" t="str">
            <v>mieszana J</v>
          </cell>
          <cell r="Z1406" t="str">
            <v>N3148</v>
          </cell>
          <cell r="AA1406" t="str">
            <v>T3157</v>
          </cell>
          <cell r="AB1406" t="str">
            <v>K3149</v>
          </cell>
          <cell r="AC1406" t="str">
            <v>P3283</v>
          </cell>
          <cell r="AD1406" t="str">
            <v>N3148</v>
          </cell>
          <cell r="AE1406" t="str">
            <v>T3157</v>
          </cell>
          <cell r="AF1406" t="str">
            <v>21:14,21:9</v>
          </cell>
          <cell r="AG1406" t="str">
            <v>14:21,9:21</v>
          </cell>
          <cell r="AH1406" t="str">
            <v/>
          </cell>
          <cell r="AI1406">
            <v>21</v>
          </cell>
          <cell r="AJ1406">
            <v>14</v>
          </cell>
          <cell r="AK1406">
            <v>21</v>
          </cell>
          <cell r="AL1406">
            <v>9</v>
          </cell>
          <cell r="AM1406">
            <v>0</v>
          </cell>
          <cell r="AN1406">
            <v>0</v>
          </cell>
        </row>
        <row r="1407">
          <cell r="A1407" t="str">
            <v/>
          </cell>
          <cell r="B1407" t="str">
            <v>Kamil NASIŁOWSKI (UKSB Milenium Warszawa)</v>
          </cell>
          <cell r="H1407" t="str">
            <v>N3148</v>
          </cell>
          <cell r="K1407" t="str">
            <v>K3149</v>
          </cell>
          <cell r="N1407" t="str">
            <v>Dominik KRZĘCIO (AZSWAT Warszawa)</v>
          </cell>
        </row>
        <row r="1408">
          <cell r="A1408" t="str">
            <v/>
          </cell>
          <cell r="B1408" t="str">
            <v>Adrianna TATAJ (UKSB Milenium Warszawa)</v>
          </cell>
          <cell r="H1408" t="str">
            <v>T3157</v>
          </cell>
          <cell r="K1408" t="str">
            <v>P3283</v>
          </cell>
          <cell r="N1408" t="str">
            <v>Magdalena POPRZECZKO (UKS Badminton Stare Babice)</v>
          </cell>
        </row>
        <row r="1410">
          <cell r="B1410" t="str">
            <v>zwycięzca(cy): 21:14,21:9</v>
          </cell>
          <cell r="K1410" t="str">
            <v/>
          </cell>
        </row>
        <row r="1411">
          <cell r="B1411">
            <v>2</v>
          </cell>
          <cell r="C1411" t="str">
            <v>dzień turnieju.</v>
          </cell>
          <cell r="I1411" t="str">
            <v>Nr meczu</v>
          </cell>
          <cell r="N1411" t="str">
            <v>Godz.</v>
          </cell>
          <cell r="R1411" t="str">
            <v>S. prow.</v>
          </cell>
          <cell r="AF1411" t="str">
            <v>wygrany</v>
          </cell>
          <cell r="AG1411" t="str">
            <v>przegrany</v>
          </cell>
        </row>
        <row r="1412">
          <cell r="B1412" t="str">
            <v>Boisko</v>
          </cell>
          <cell r="C1412" t="str">
            <v>Gra</v>
          </cell>
          <cell r="I1412">
            <v>202</v>
          </cell>
          <cell r="N1412" t="str">
            <v>rozp.</v>
          </cell>
          <cell r="P1412" t="str">
            <v>zak.</v>
          </cell>
          <cell r="R1412" t="str">
            <v>S. serw.</v>
          </cell>
        </row>
        <row r="1413">
          <cell r="A1413">
            <v>202</v>
          </cell>
          <cell r="B1413">
            <v>6</v>
          </cell>
          <cell r="C1413" t="str">
            <v>mieszana J</v>
          </cell>
          <cell r="H1413">
            <v>19</v>
          </cell>
          <cell r="I1413">
            <v>21</v>
          </cell>
          <cell r="J1413">
            <v>21</v>
          </cell>
          <cell r="K1413">
            <v>18</v>
          </cell>
          <cell r="L1413">
            <v>18</v>
          </cell>
          <cell r="M1413">
            <v>21</v>
          </cell>
          <cell r="P1413">
            <v>0.67013888888888884</v>
          </cell>
          <cell r="R1413">
            <v>0.67013888888888884</v>
          </cell>
          <cell r="S1413" t="str">
            <v>sob 15:30</v>
          </cell>
          <cell r="X1413">
            <v>202</v>
          </cell>
          <cell r="Y1413" t="str">
            <v>mieszana J</v>
          </cell>
          <cell r="Z1413" t="str">
            <v>Z3080</v>
          </cell>
          <cell r="AA1413" t="str">
            <v>G3134</v>
          </cell>
          <cell r="AB1413" t="str">
            <v>K4230</v>
          </cell>
          <cell r="AC1413" t="str">
            <v>K3151</v>
          </cell>
          <cell r="AD1413" t="str">
            <v>K4230</v>
          </cell>
          <cell r="AE1413" t="str">
            <v>K3151</v>
          </cell>
          <cell r="AF1413" t="str">
            <v>21:19,18:21,21:18</v>
          </cell>
          <cell r="AG1413" t="str">
            <v>19:21,21:18,18:21</v>
          </cell>
          <cell r="AH1413" t="str">
            <v/>
          </cell>
          <cell r="AI1413">
            <v>19</v>
          </cell>
          <cell r="AJ1413">
            <v>21</v>
          </cell>
          <cell r="AK1413">
            <v>21</v>
          </cell>
          <cell r="AL1413">
            <v>18</v>
          </cell>
          <cell r="AM1413">
            <v>18</v>
          </cell>
          <cell r="AN1413">
            <v>21</v>
          </cell>
        </row>
        <row r="1414">
          <cell r="A1414" t="str">
            <v/>
          </cell>
          <cell r="B1414" t="str">
            <v>Konrad ZAUCHA (UKS Orbitek Straszęcin)</v>
          </cell>
          <cell r="H1414" t="str">
            <v>Z3080</v>
          </cell>
          <cell r="K1414" t="str">
            <v>K4230</v>
          </cell>
          <cell r="N1414" t="str">
            <v>Wiktor KRAWCZYK (UKSB Milenium Warszawa)</v>
          </cell>
        </row>
        <row r="1415">
          <cell r="A1415" t="str">
            <v/>
          </cell>
          <cell r="B1415" t="str">
            <v>Katarzyna GRUSZKA (UKS Orbitek Straszęcin)</v>
          </cell>
          <cell r="H1415" t="str">
            <v>G3134</v>
          </cell>
          <cell r="K1415" t="str">
            <v>K3151</v>
          </cell>
          <cell r="N1415" t="str">
            <v>Maria KOPYT (UKSB Milenium Warszawa)</v>
          </cell>
        </row>
        <row r="1417">
          <cell r="B1417" t="str">
            <v/>
          </cell>
          <cell r="K1417" t="str">
            <v>zwycięzca(cy): 21:19,18:21,21:18</v>
          </cell>
        </row>
        <row r="1418">
          <cell r="B1418">
            <v>2</v>
          </cell>
          <cell r="C1418" t="str">
            <v>dzień turnieju.</v>
          </cell>
          <cell r="I1418" t="str">
            <v>Nr meczu</v>
          </cell>
          <cell r="N1418" t="str">
            <v>Godz.</v>
          </cell>
          <cell r="R1418" t="str">
            <v>S. prow.</v>
          </cell>
          <cell r="AF1418" t="str">
            <v>wygrany</v>
          </cell>
          <cell r="AG1418" t="str">
            <v>przegrany</v>
          </cell>
        </row>
        <row r="1419">
          <cell r="B1419" t="str">
            <v>Boisko</v>
          </cell>
          <cell r="C1419" t="str">
            <v>Gra</v>
          </cell>
          <cell r="I1419">
            <v>203</v>
          </cell>
          <cell r="N1419" t="str">
            <v>rozp.</v>
          </cell>
          <cell r="P1419" t="str">
            <v>zak.</v>
          </cell>
          <cell r="R1419" t="str">
            <v>S. serw.</v>
          </cell>
        </row>
        <row r="1420">
          <cell r="A1420">
            <v>203</v>
          </cell>
          <cell r="B1420">
            <v>5</v>
          </cell>
          <cell r="C1420" t="str">
            <v>pojedyncza kobiet J</v>
          </cell>
          <cell r="H1420">
            <v>7</v>
          </cell>
          <cell r="I1420">
            <v>21</v>
          </cell>
          <cell r="J1420">
            <v>21</v>
          </cell>
          <cell r="K1420">
            <v>18</v>
          </cell>
          <cell r="L1420">
            <v>21</v>
          </cell>
          <cell r="M1420">
            <v>14</v>
          </cell>
          <cell r="P1420">
            <v>0.68611111111111101</v>
          </cell>
          <cell r="R1420">
            <v>0.68611111111111101</v>
          </cell>
          <cell r="S1420" t="str">
            <v>sob 15:30</v>
          </cell>
          <cell r="X1420">
            <v>203</v>
          </cell>
          <cell r="Y1420" t="str">
            <v>pojedyncza kobiet J</v>
          </cell>
          <cell r="Z1420" t="str">
            <v>M3309</v>
          </cell>
          <cell r="AA1420" t="str">
            <v/>
          </cell>
          <cell r="AB1420" t="str">
            <v>K3863</v>
          </cell>
          <cell r="AC1420" t="str">
            <v/>
          </cell>
          <cell r="AD1420" t="str">
            <v>M3309</v>
          </cell>
          <cell r="AE1420" t="str">
            <v/>
          </cell>
          <cell r="AF1420" t="str">
            <v>7:21,21:18,21:14</v>
          </cell>
          <cell r="AG1420" t="str">
            <v>21:7,18:21,14:21</v>
          </cell>
          <cell r="AH1420" t="str">
            <v/>
          </cell>
          <cell r="AI1420">
            <v>7</v>
          </cell>
          <cell r="AJ1420">
            <v>21</v>
          </cell>
          <cell r="AK1420">
            <v>21</v>
          </cell>
          <cell r="AL1420">
            <v>18</v>
          </cell>
          <cell r="AM1420">
            <v>21</v>
          </cell>
          <cell r="AN1420">
            <v>14</v>
          </cell>
        </row>
        <row r="1421">
          <cell r="A1421" t="str">
            <v/>
          </cell>
          <cell r="B1421" t="str">
            <v>Edyta MIETŁA (MKS Spartakus Niepołomice)</v>
          </cell>
          <cell r="H1421" t="str">
            <v>M3309</v>
          </cell>
          <cell r="K1421" t="str">
            <v>K3863</v>
          </cell>
          <cell r="N1421" t="str">
            <v>Katarzyna KUTACHA (UKS Start Widełka)</v>
          </cell>
        </row>
        <row r="1422">
          <cell r="A1422" t="str">
            <v/>
          </cell>
          <cell r="B1422" t="str">
            <v/>
          </cell>
          <cell r="H1422" t="str">
            <v/>
          </cell>
          <cell r="K1422" t="str">
            <v/>
          </cell>
          <cell r="N1422" t="str">
            <v/>
          </cell>
        </row>
        <row r="1424">
          <cell r="B1424" t="str">
            <v>zwycięzca(cy): 7:21,21:18,21:14</v>
          </cell>
          <cell r="K1424" t="str">
            <v/>
          </cell>
        </row>
        <row r="1425">
          <cell r="B1425">
            <v>2</v>
          </cell>
          <cell r="C1425" t="str">
            <v>dzień turnieju.</v>
          </cell>
          <cell r="I1425" t="str">
            <v>Nr meczu</v>
          </cell>
          <cell r="N1425" t="str">
            <v>Godz.</v>
          </cell>
          <cell r="R1425" t="str">
            <v>S. prow.</v>
          </cell>
          <cell r="AF1425" t="str">
            <v>wygrany</v>
          </cell>
          <cell r="AG1425" t="str">
            <v>przegrany</v>
          </cell>
        </row>
        <row r="1426">
          <cell r="B1426" t="str">
            <v>Boisko</v>
          </cell>
          <cell r="C1426" t="str">
            <v>Gra</v>
          </cell>
          <cell r="I1426">
            <v>204</v>
          </cell>
          <cell r="N1426" t="str">
            <v>rozp.</v>
          </cell>
          <cell r="P1426" t="str">
            <v>zak.</v>
          </cell>
          <cell r="R1426" t="str">
            <v>S. serw.</v>
          </cell>
        </row>
        <row r="1427">
          <cell r="A1427">
            <v>204</v>
          </cell>
          <cell r="B1427">
            <v>1</v>
          </cell>
          <cell r="C1427" t="str">
            <v>pojedyncza kobiet J</v>
          </cell>
          <cell r="H1427">
            <v>21</v>
          </cell>
          <cell r="I1427">
            <v>13</v>
          </cell>
          <cell r="J1427">
            <v>17</v>
          </cell>
          <cell r="K1427">
            <v>21</v>
          </cell>
          <cell r="L1427">
            <v>18</v>
          </cell>
          <cell r="M1427">
            <v>21</v>
          </cell>
          <cell r="P1427">
            <v>0.6875</v>
          </cell>
          <cell r="R1427">
            <v>0.6875</v>
          </cell>
          <cell r="S1427" t="str">
            <v>sob 15:30</v>
          </cell>
          <cell r="X1427">
            <v>204</v>
          </cell>
          <cell r="Y1427" t="str">
            <v>pojedyncza kobiet J</v>
          </cell>
          <cell r="Z1427" t="str">
            <v>X38</v>
          </cell>
          <cell r="AA1427" t="str">
            <v/>
          </cell>
          <cell r="AB1427" t="str">
            <v>P2838</v>
          </cell>
          <cell r="AC1427" t="str">
            <v/>
          </cell>
          <cell r="AD1427" t="str">
            <v>P2838</v>
          </cell>
          <cell r="AE1427" t="str">
            <v/>
          </cell>
          <cell r="AF1427" t="str">
            <v>13:21,21:17,21:18</v>
          </cell>
          <cell r="AG1427" t="str">
            <v>21:13,17:21,18:21</v>
          </cell>
          <cell r="AH1427" t="str">
            <v/>
          </cell>
          <cell r="AI1427">
            <v>21</v>
          </cell>
          <cell r="AJ1427">
            <v>13</v>
          </cell>
          <cell r="AK1427">
            <v>17</v>
          </cell>
          <cell r="AL1427">
            <v>21</v>
          </cell>
          <cell r="AM1427">
            <v>18</v>
          </cell>
          <cell r="AN1427">
            <v>21</v>
          </cell>
        </row>
        <row r="1428">
          <cell r="A1428" t="str">
            <v/>
          </cell>
          <cell r="B1428" t="str">
            <v>Tatiana LEMA (Lwów Ukraina)</v>
          </cell>
          <cell r="H1428" t="str">
            <v>X38</v>
          </cell>
          <cell r="K1428" t="str">
            <v>P2838</v>
          </cell>
          <cell r="N1428" t="str">
            <v>Aleksandra PAPRZYCKA (MKB Lednik Miastko)</v>
          </cell>
        </row>
        <row r="1429">
          <cell r="A1429" t="str">
            <v/>
          </cell>
          <cell r="B1429" t="str">
            <v/>
          </cell>
          <cell r="H1429" t="str">
            <v/>
          </cell>
          <cell r="K1429" t="str">
            <v/>
          </cell>
          <cell r="N1429" t="str">
            <v/>
          </cell>
        </row>
        <row r="1431">
          <cell r="B1431" t="str">
            <v/>
          </cell>
          <cell r="K1431" t="str">
            <v>zwycięzca(cy): 13:21,21:17,21:18</v>
          </cell>
        </row>
        <row r="1432">
          <cell r="B1432">
            <v>2</v>
          </cell>
          <cell r="C1432" t="str">
            <v>dzień turnieju.</v>
          </cell>
          <cell r="I1432" t="str">
            <v>Nr meczu</v>
          </cell>
          <cell r="N1432" t="str">
            <v>Godz.</v>
          </cell>
          <cell r="R1432" t="str">
            <v>S. prow.</v>
          </cell>
          <cell r="AF1432" t="str">
            <v>wygrany</v>
          </cell>
          <cell r="AG1432" t="str">
            <v>przegrany</v>
          </cell>
        </row>
        <row r="1433">
          <cell r="B1433" t="str">
            <v>Boisko</v>
          </cell>
          <cell r="C1433" t="str">
            <v>Gra</v>
          </cell>
          <cell r="I1433">
            <v>205</v>
          </cell>
          <cell r="N1433" t="str">
            <v>rozp.</v>
          </cell>
          <cell r="P1433" t="str">
            <v>zak.</v>
          </cell>
          <cell r="R1433" t="str">
            <v>S. serw.</v>
          </cell>
        </row>
        <row r="1434">
          <cell r="A1434">
            <v>205</v>
          </cell>
          <cell r="B1434">
            <v>8</v>
          </cell>
          <cell r="C1434" t="str">
            <v>pojedyncza mężczyzn J</v>
          </cell>
          <cell r="H1434">
            <v>21</v>
          </cell>
          <cell r="I1434">
            <v>11</v>
          </cell>
          <cell r="J1434">
            <v>21</v>
          </cell>
          <cell r="K1434">
            <v>10</v>
          </cell>
          <cell r="P1434">
            <v>0.6777777777777777</v>
          </cell>
          <cell r="R1434">
            <v>0.6777777777777777</v>
          </cell>
          <cell r="S1434" t="str">
            <v>sob 15:30</v>
          </cell>
          <cell r="X1434">
            <v>205</v>
          </cell>
          <cell r="Y1434" t="str">
            <v>pojedyncza mężczyzn J</v>
          </cell>
          <cell r="Z1434" t="str">
            <v>B2621</v>
          </cell>
          <cell r="AA1434" t="str">
            <v/>
          </cell>
          <cell r="AB1434" t="str">
            <v>S2695</v>
          </cell>
          <cell r="AC1434" t="str">
            <v/>
          </cell>
          <cell r="AD1434" t="str">
            <v>B2621</v>
          </cell>
          <cell r="AE1434" t="str">
            <v/>
          </cell>
          <cell r="AF1434" t="str">
            <v>21:11,21:10</v>
          </cell>
          <cell r="AG1434" t="str">
            <v>11:21,10:21</v>
          </cell>
          <cell r="AH1434" t="str">
            <v/>
          </cell>
          <cell r="AI1434">
            <v>21</v>
          </cell>
          <cell r="AJ1434">
            <v>11</v>
          </cell>
          <cell r="AK1434">
            <v>21</v>
          </cell>
          <cell r="AL1434">
            <v>10</v>
          </cell>
          <cell r="AM1434">
            <v>0</v>
          </cell>
          <cell r="AN1434">
            <v>0</v>
          </cell>
        </row>
        <row r="1435">
          <cell r="A1435" t="str">
            <v/>
          </cell>
          <cell r="B1435" t="str">
            <v>Mateusz BIERNACKI (UKS Hubal Białystok)</v>
          </cell>
          <cell r="H1435" t="str">
            <v>B2621</v>
          </cell>
          <cell r="K1435" t="str">
            <v>S2695</v>
          </cell>
          <cell r="N1435" t="str">
            <v>Przemysław SZYDŁOWSKI (LKS Technik Głubczyce)</v>
          </cell>
        </row>
        <row r="1436">
          <cell r="A1436" t="str">
            <v/>
          </cell>
          <cell r="B1436" t="str">
            <v/>
          </cell>
          <cell r="H1436" t="str">
            <v/>
          </cell>
          <cell r="K1436" t="str">
            <v/>
          </cell>
          <cell r="N1436" t="str">
            <v/>
          </cell>
        </row>
        <row r="1438">
          <cell r="B1438" t="str">
            <v>zwycięzca(cy): 21:11,21:10</v>
          </cell>
          <cell r="K1438" t="str">
            <v/>
          </cell>
        </row>
        <row r="1439">
          <cell r="B1439">
            <v>2</v>
          </cell>
          <cell r="C1439" t="str">
            <v>dzień turnieju.</v>
          </cell>
          <cell r="I1439" t="str">
            <v>Nr meczu</v>
          </cell>
          <cell r="N1439" t="str">
            <v>Godz.</v>
          </cell>
          <cell r="R1439" t="str">
            <v>S. prow.</v>
          </cell>
          <cell r="AF1439" t="str">
            <v>wygrany</v>
          </cell>
          <cell r="AG1439" t="str">
            <v>przegrany</v>
          </cell>
        </row>
        <row r="1440">
          <cell r="B1440" t="str">
            <v>Boisko</v>
          </cell>
          <cell r="C1440" t="str">
            <v>Gra</v>
          </cell>
          <cell r="I1440">
            <v>206</v>
          </cell>
          <cell r="N1440" t="str">
            <v>rozp.</v>
          </cell>
          <cell r="P1440" t="str">
            <v>zak.</v>
          </cell>
          <cell r="R1440" t="str">
            <v>S. serw.</v>
          </cell>
        </row>
        <row r="1441">
          <cell r="A1441">
            <v>206</v>
          </cell>
          <cell r="B1441">
            <v>2</v>
          </cell>
          <cell r="C1441" t="str">
            <v>pojedyncza mężczyzn J</v>
          </cell>
          <cell r="H1441">
            <v>21</v>
          </cell>
          <cell r="I1441">
            <v>18</v>
          </cell>
          <cell r="J1441">
            <v>21</v>
          </cell>
          <cell r="K1441">
            <v>17</v>
          </cell>
          <cell r="P1441">
            <v>0.68194444444444446</v>
          </cell>
          <cell r="R1441">
            <v>0.68194444444444446</v>
          </cell>
          <cell r="S1441" t="str">
            <v>sob 15:30</v>
          </cell>
          <cell r="X1441">
            <v>206</v>
          </cell>
          <cell r="Y1441" t="str">
            <v>pojedyncza mężczyzn J</v>
          </cell>
          <cell r="Z1441" t="str">
            <v>L3566</v>
          </cell>
          <cell r="AA1441" t="str">
            <v/>
          </cell>
          <cell r="AB1441" t="str">
            <v>S2973</v>
          </cell>
          <cell r="AC1441" t="str">
            <v/>
          </cell>
          <cell r="AD1441" t="str">
            <v>L3566</v>
          </cell>
          <cell r="AE1441" t="str">
            <v/>
          </cell>
          <cell r="AF1441" t="str">
            <v>21:18,21:17</v>
          </cell>
          <cell r="AG1441" t="str">
            <v>18:21,17:21</v>
          </cell>
          <cell r="AH1441" t="str">
            <v/>
          </cell>
          <cell r="AI1441">
            <v>21</v>
          </cell>
          <cell r="AJ1441">
            <v>18</v>
          </cell>
          <cell r="AK1441">
            <v>21</v>
          </cell>
          <cell r="AL1441">
            <v>17</v>
          </cell>
          <cell r="AM1441">
            <v>0</v>
          </cell>
          <cell r="AN1441">
            <v>0</v>
          </cell>
        </row>
        <row r="1442">
          <cell r="A1442" t="str">
            <v/>
          </cell>
          <cell r="B1442" t="str">
            <v>Paweł LEPIANKA (UKS Kiko Zamość)</v>
          </cell>
          <cell r="H1442" t="str">
            <v>L3566</v>
          </cell>
          <cell r="K1442" t="str">
            <v>S2973</v>
          </cell>
          <cell r="N1442" t="str">
            <v>Tomasz SAGUN (UKS Hubal Białystok)</v>
          </cell>
        </row>
        <row r="1443">
          <cell r="A1443" t="str">
            <v/>
          </cell>
          <cell r="B1443" t="str">
            <v/>
          </cell>
          <cell r="H1443" t="str">
            <v/>
          </cell>
          <cell r="K1443" t="str">
            <v/>
          </cell>
          <cell r="N1443" t="str">
            <v/>
          </cell>
        </row>
        <row r="1445">
          <cell r="B1445" t="str">
            <v>zwycięzca(cy): 21:18,21:17</v>
          </cell>
          <cell r="K1445" t="str">
            <v/>
          </cell>
        </row>
        <row r="1446">
          <cell r="B1446">
            <v>2</v>
          </cell>
          <cell r="C1446" t="str">
            <v>dzień turnieju.</v>
          </cell>
          <cell r="I1446" t="str">
            <v>Nr meczu</v>
          </cell>
          <cell r="N1446" t="str">
            <v>Godz.</v>
          </cell>
          <cell r="R1446" t="str">
            <v>S. prow.</v>
          </cell>
          <cell r="AF1446" t="str">
            <v>wygrany</v>
          </cell>
          <cell r="AG1446" t="str">
            <v>przegrany</v>
          </cell>
        </row>
        <row r="1447">
          <cell r="B1447" t="str">
            <v>Boisko</v>
          </cell>
          <cell r="C1447" t="str">
            <v>Gra</v>
          </cell>
          <cell r="I1447">
            <v>207</v>
          </cell>
          <cell r="N1447" t="str">
            <v>rozp.</v>
          </cell>
          <cell r="P1447" t="str">
            <v>zak.</v>
          </cell>
          <cell r="R1447" t="str">
            <v>S. serw.</v>
          </cell>
        </row>
        <row r="1448">
          <cell r="A1448">
            <v>207</v>
          </cell>
          <cell r="B1448">
            <v>3</v>
          </cell>
          <cell r="C1448" t="str">
            <v>mieszana JM</v>
          </cell>
          <cell r="H1448">
            <v>21</v>
          </cell>
          <cell r="I1448">
            <v>15</v>
          </cell>
          <cell r="J1448">
            <v>21</v>
          </cell>
          <cell r="K1448">
            <v>17</v>
          </cell>
          <cell r="P1448">
            <v>0.68541666666666667</v>
          </cell>
          <cell r="R1448">
            <v>0.68541666666666667</v>
          </cell>
          <cell r="S1448" t="str">
            <v>sob 16:00</v>
          </cell>
          <cell r="X1448">
            <v>207</v>
          </cell>
          <cell r="Y1448" t="str">
            <v>mieszana JM</v>
          </cell>
          <cell r="Z1448" t="str">
            <v>X56</v>
          </cell>
          <cell r="AA1448" t="str">
            <v>X20</v>
          </cell>
          <cell r="AB1448" t="str">
            <v>W4049</v>
          </cell>
          <cell r="AC1448" t="str">
            <v>C3958</v>
          </cell>
          <cell r="AD1448" t="str">
            <v>X56</v>
          </cell>
          <cell r="AE1448" t="str">
            <v>X20</v>
          </cell>
          <cell r="AF1448" t="str">
            <v>21:15,21:17</v>
          </cell>
          <cell r="AG1448" t="str">
            <v>15:21,17:21</v>
          </cell>
          <cell r="AH1448" t="str">
            <v/>
          </cell>
          <cell r="AI1448">
            <v>21</v>
          </cell>
          <cell r="AJ1448">
            <v>15</v>
          </cell>
          <cell r="AK1448">
            <v>21</v>
          </cell>
          <cell r="AL1448">
            <v>17</v>
          </cell>
          <cell r="AM1448">
            <v>0</v>
          </cell>
          <cell r="AN1448">
            <v>0</v>
          </cell>
        </row>
        <row r="1449">
          <cell r="A1449" t="str">
            <v/>
          </cell>
          <cell r="B1449" t="str">
            <v>Artem TKACHUK (Vinnica Ukraina)</v>
          </cell>
          <cell r="H1449" t="str">
            <v>X56</v>
          </cell>
          <cell r="K1449" t="str">
            <v>W4049</v>
          </cell>
          <cell r="N1449" t="str">
            <v>Kamil WUDARSKI (UKS Iskra Sarbice)</v>
          </cell>
        </row>
        <row r="1450">
          <cell r="A1450" t="str">
            <v/>
          </cell>
          <cell r="B1450" t="str">
            <v>Inna SEBOVA (Vinnica Ukraina)</v>
          </cell>
          <cell r="H1450" t="str">
            <v>X20</v>
          </cell>
          <cell r="K1450" t="str">
            <v>C3958</v>
          </cell>
          <cell r="N1450" t="str">
            <v>Milena CICHOMSKA (UKS Iskra Sarbice)</v>
          </cell>
        </row>
        <row r="1452">
          <cell r="B1452" t="str">
            <v>zwycięzca(cy): 21:15,21:17</v>
          </cell>
          <cell r="K1452" t="str">
            <v/>
          </cell>
        </row>
        <row r="1453">
          <cell r="B1453">
            <v>2</v>
          </cell>
          <cell r="C1453" t="str">
            <v>dzień turnieju.</v>
          </cell>
          <cell r="I1453" t="str">
            <v>Nr meczu</v>
          </cell>
          <cell r="N1453" t="str">
            <v>Godz.</v>
          </cell>
          <cell r="R1453" t="str">
            <v>S. prow.</v>
          </cell>
          <cell r="AF1453" t="str">
            <v>wygrany</v>
          </cell>
          <cell r="AG1453" t="str">
            <v>przegrany</v>
          </cell>
        </row>
        <row r="1454">
          <cell r="B1454" t="str">
            <v>Boisko</v>
          </cell>
          <cell r="C1454" t="str">
            <v>Gra</v>
          </cell>
          <cell r="I1454">
            <v>208</v>
          </cell>
          <cell r="N1454" t="str">
            <v>rozp.</v>
          </cell>
          <cell r="P1454" t="str">
            <v>zak.</v>
          </cell>
          <cell r="R1454" t="str">
            <v>S. serw.</v>
          </cell>
        </row>
        <row r="1455">
          <cell r="A1455">
            <v>208</v>
          </cell>
          <cell r="B1455">
            <v>4</v>
          </cell>
          <cell r="C1455" t="str">
            <v>mieszana JM</v>
          </cell>
          <cell r="H1455">
            <v>13</v>
          </cell>
          <cell r="I1455">
            <v>21</v>
          </cell>
          <cell r="J1455">
            <v>10</v>
          </cell>
          <cell r="K1455">
            <v>21</v>
          </cell>
          <cell r="P1455">
            <v>0.6875</v>
          </cell>
          <cell r="R1455">
            <v>0.6875</v>
          </cell>
          <cell r="S1455" t="str">
            <v>sob 16:00</v>
          </cell>
          <cell r="X1455">
            <v>208</v>
          </cell>
          <cell r="Y1455" t="str">
            <v>mieszana JM</v>
          </cell>
          <cell r="Z1455" t="str">
            <v>X10</v>
          </cell>
          <cell r="AA1455" t="str">
            <v>X09</v>
          </cell>
          <cell r="AB1455" t="str">
            <v>M4193</v>
          </cell>
          <cell r="AC1455" t="str">
            <v>M3790</v>
          </cell>
          <cell r="AD1455" t="str">
            <v>M4193</v>
          </cell>
          <cell r="AE1455" t="str">
            <v>M3790</v>
          </cell>
          <cell r="AF1455" t="str">
            <v>21:13,21:10</v>
          </cell>
          <cell r="AG1455" t="str">
            <v>13:21,10:21</v>
          </cell>
          <cell r="AH1455" t="str">
            <v/>
          </cell>
          <cell r="AI1455">
            <v>13</v>
          </cell>
          <cell r="AJ1455">
            <v>21</v>
          </cell>
          <cell r="AK1455">
            <v>10</v>
          </cell>
          <cell r="AL1455">
            <v>21</v>
          </cell>
          <cell r="AM1455">
            <v>0</v>
          </cell>
          <cell r="AN1455">
            <v>0</v>
          </cell>
        </row>
        <row r="1456">
          <cell r="A1456" t="str">
            <v/>
          </cell>
          <cell r="B1456" t="str">
            <v>Dmitry KUSIMITSKI (Brześć Białoruś)</v>
          </cell>
          <cell r="H1456" t="str">
            <v>X10</v>
          </cell>
          <cell r="K1456" t="str">
            <v>M4193</v>
          </cell>
          <cell r="N1456" t="str">
            <v>Robert MIRGA (LKS Technik Głubczyce)</v>
          </cell>
        </row>
        <row r="1457">
          <cell r="A1457" t="str">
            <v/>
          </cell>
          <cell r="B1457" t="str">
            <v>Mariana VERBITSKA (Brześć Białoruś)</v>
          </cell>
          <cell r="H1457" t="str">
            <v>X09</v>
          </cell>
          <cell r="K1457" t="str">
            <v>M3790</v>
          </cell>
          <cell r="N1457" t="str">
            <v>Kornelia MARCZAK (UKS Plesbad Pszczyna)</v>
          </cell>
        </row>
        <row r="1459">
          <cell r="B1459" t="str">
            <v/>
          </cell>
          <cell r="K1459" t="str">
            <v>zwycięzca(cy): 21:13,21:10</v>
          </cell>
        </row>
        <row r="1460">
          <cell r="B1460">
            <v>2</v>
          </cell>
          <cell r="C1460" t="str">
            <v>dzień turnieju.</v>
          </cell>
          <cell r="I1460" t="str">
            <v>Nr meczu</v>
          </cell>
          <cell r="N1460" t="str">
            <v>Godz.</v>
          </cell>
          <cell r="R1460" t="str">
            <v>S. prow.</v>
          </cell>
          <cell r="AF1460" t="str">
            <v>wygrany</v>
          </cell>
          <cell r="AG1460" t="str">
            <v>przegrany</v>
          </cell>
        </row>
        <row r="1461">
          <cell r="B1461" t="str">
            <v>Boisko</v>
          </cell>
          <cell r="C1461" t="str">
            <v>Gra</v>
          </cell>
          <cell r="I1461">
            <v>209</v>
          </cell>
          <cell r="N1461" t="str">
            <v>rozp.</v>
          </cell>
          <cell r="P1461" t="str">
            <v>zak.</v>
          </cell>
          <cell r="R1461" t="str">
            <v>S. serw.</v>
          </cell>
        </row>
        <row r="1462">
          <cell r="A1462">
            <v>209</v>
          </cell>
          <cell r="B1462">
            <v>6</v>
          </cell>
          <cell r="C1462" t="str">
            <v>podwójna chłopców JM</v>
          </cell>
          <cell r="H1462">
            <v>11</v>
          </cell>
          <cell r="I1462">
            <v>21</v>
          </cell>
          <cell r="J1462">
            <v>17</v>
          </cell>
          <cell r="K1462">
            <v>21</v>
          </cell>
          <cell r="P1462">
            <v>0.71180555555555547</v>
          </cell>
          <cell r="R1462">
            <v>0.71180555555555547</v>
          </cell>
          <cell r="S1462" t="str">
            <v>sob 16:00</v>
          </cell>
          <cell r="X1462">
            <v>209</v>
          </cell>
          <cell r="Y1462" t="str">
            <v>podwójna chłopców JM</v>
          </cell>
          <cell r="Z1462" t="str">
            <v>D3323</v>
          </cell>
          <cell r="AA1462" t="str">
            <v>M4225</v>
          </cell>
          <cell r="AB1462" t="str">
            <v>M3524</v>
          </cell>
          <cell r="AC1462" t="str">
            <v>M4193</v>
          </cell>
          <cell r="AD1462" t="str">
            <v>M3524</v>
          </cell>
          <cell r="AE1462" t="str">
            <v>M4193</v>
          </cell>
          <cell r="AF1462" t="str">
            <v>21:11,21:17</v>
          </cell>
          <cell r="AG1462" t="str">
            <v>11:21,17:21</v>
          </cell>
          <cell r="AH1462" t="str">
            <v/>
          </cell>
          <cell r="AI1462">
            <v>11</v>
          </cell>
          <cell r="AJ1462">
            <v>21</v>
          </cell>
          <cell r="AK1462">
            <v>17</v>
          </cell>
          <cell r="AL1462">
            <v>21</v>
          </cell>
          <cell r="AM1462">
            <v>0</v>
          </cell>
          <cell r="AN1462">
            <v>0</v>
          </cell>
        </row>
        <row r="1463">
          <cell r="A1463" t="str">
            <v/>
          </cell>
          <cell r="B1463" t="str">
            <v>Mateusz DANIELAK (KKS Ruch Piotrków Tryb.)</v>
          </cell>
          <cell r="H1463" t="str">
            <v>D3323</v>
          </cell>
          <cell r="K1463" t="str">
            <v>M3524</v>
          </cell>
          <cell r="N1463" t="str">
            <v>Dawid MAZUR (LKS Technik Głubczyce)</v>
          </cell>
        </row>
        <row r="1464">
          <cell r="A1464" t="str">
            <v/>
          </cell>
          <cell r="B1464" t="str">
            <v>Bartosz MARKIEWICZ (MLKS Solec Kuj.)</v>
          </cell>
          <cell r="H1464" t="str">
            <v>M4225</v>
          </cell>
          <cell r="K1464" t="str">
            <v>M4193</v>
          </cell>
          <cell r="N1464" t="str">
            <v>Robert MIRGA (LKS Technik Głubczyce)</v>
          </cell>
        </row>
        <row r="1466">
          <cell r="B1466" t="str">
            <v/>
          </cell>
          <cell r="K1466" t="str">
            <v>zwycięzca(cy): 21:11,21:17</v>
          </cell>
        </row>
        <row r="1467">
          <cell r="B1467">
            <v>2</v>
          </cell>
          <cell r="C1467" t="str">
            <v>dzień turnieju.</v>
          </cell>
          <cell r="I1467" t="str">
            <v>Nr meczu</v>
          </cell>
          <cell r="N1467" t="str">
            <v>Godz.</v>
          </cell>
          <cell r="R1467" t="str">
            <v>S. prow.</v>
          </cell>
          <cell r="AF1467" t="str">
            <v>wygrany</v>
          </cell>
          <cell r="AG1467" t="str">
            <v>przegrany</v>
          </cell>
        </row>
        <row r="1468">
          <cell r="B1468" t="str">
            <v>Boisko</v>
          </cell>
          <cell r="C1468" t="str">
            <v>Gra</v>
          </cell>
          <cell r="I1468">
            <v>210</v>
          </cell>
          <cell r="N1468" t="str">
            <v>rozp.</v>
          </cell>
          <cell r="P1468" t="str">
            <v>zak.</v>
          </cell>
          <cell r="R1468" t="str">
            <v>S. serw.</v>
          </cell>
        </row>
        <row r="1469">
          <cell r="A1469">
            <v>210</v>
          </cell>
          <cell r="B1469">
            <v>2</v>
          </cell>
          <cell r="C1469" t="str">
            <v>pojedyncza dziewcząt JM</v>
          </cell>
          <cell r="H1469">
            <v>8</v>
          </cell>
          <cell r="I1469">
            <v>21</v>
          </cell>
          <cell r="J1469">
            <v>22</v>
          </cell>
          <cell r="K1469">
            <v>20</v>
          </cell>
          <cell r="L1469">
            <v>14</v>
          </cell>
          <cell r="M1469">
            <v>21</v>
          </cell>
          <cell r="P1469">
            <v>0.71736111111111101</v>
          </cell>
          <cell r="R1469">
            <v>0.71736111111111101</v>
          </cell>
          <cell r="S1469" t="str">
            <v>sob 16:30</v>
          </cell>
          <cell r="X1469">
            <v>210</v>
          </cell>
          <cell r="Y1469" t="str">
            <v>pojedyncza dziewcząt JM</v>
          </cell>
          <cell r="Z1469" t="str">
            <v>W4435</v>
          </cell>
          <cell r="AA1469" t="str">
            <v/>
          </cell>
          <cell r="AB1469" t="str">
            <v>X19</v>
          </cell>
          <cell r="AC1469" t="str">
            <v/>
          </cell>
          <cell r="AD1469" t="str">
            <v>X19</v>
          </cell>
          <cell r="AE1469" t="str">
            <v/>
          </cell>
          <cell r="AF1469" t="str">
            <v>21:8,20:22,21:14</v>
          </cell>
          <cell r="AG1469" t="str">
            <v>8:21,22:20,14:21</v>
          </cell>
          <cell r="AH1469" t="str">
            <v/>
          </cell>
          <cell r="AI1469">
            <v>8</v>
          </cell>
          <cell r="AJ1469">
            <v>21</v>
          </cell>
          <cell r="AK1469">
            <v>22</v>
          </cell>
          <cell r="AL1469">
            <v>20</v>
          </cell>
          <cell r="AM1469">
            <v>14</v>
          </cell>
          <cell r="AN1469">
            <v>21</v>
          </cell>
        </row>
        <row r="1470">
          <cell r="A1470" t="str">
            <v/>
          </cell>
          <cell r="B1470" t="str">
            <v>Karolina WŁADZIŃSKA (----)</v>
          </cell>
          <cell r="H1470" t="str">
            <v>W4435</v>
          </cell>
          <cell r="K1470" t="str">
            <v>X19</v>
          </cell>
          <cell r="N1470" t="str">
            <v>Oleksandra LUGOVYKH (Vinnica Ukraina)</v>
          </cell>
        </row>
        <row r="1471">
          <cell r="A1471" t="str">
            <v/>
          </cell>
          <cell r="B1471" t="str">
            <v/>
          </cell>
          <cell r="H1471" t="str">
            <v/>
          </cell>
          <cell r="K1471" t="str">
            <v/>
          </cell>
          <cell r="N1471" t="str">
            <v/>
          </cell>
        </row>
        <row r="1473">
          <cell r="B1473" t="str">
            <v/>
          </cell>
          <cell r="K1473" t="str">
            <v>zwycięzca(cy): 21:8,20:22,21:14</v>
          </cell>
        </row>
        <row r="1474">
          <cell r="B1474">
            <v>2</v>
          </cell>
          <cell r="C1474" t="str">
            <v>dzień turnieju.</v>
          </cell>
          <cell r="I1474" t="str">
            <v>Nr meczu</v>
          </cell>
          <cell r="N1474" t="str">
            <v>Godz.</v>
          </cell>
          <cell r="R1474" t="str">
            <v>S. prow.</v>
          </cell>
          <cell r="AF1474" t="str">
            <v>wygrany</v>
          </cell>
          <cell r="AG1474" t="str">
            <v>przegrany</v>
          </cell>
        </row>
        <row r="1475">
          <cell r="B1475" t="str">
            <v>Boisko</v>
          </cell>
          <cell r="C1475" t="str">
            <v>Gra</v>
          </cell>
          <cell r="I1475">
            <v>211</v>
          </cell>
          <cell r="N1475" t="str">
            <v>rozp.</v>
          </cell>
          <cell r="P1475" t="str">
            <v>zak.</v>
          </cell>
          <cell r="R1475" t="str">
            <v>S. serw.</v>
          </cell>
        </row>
        <row r="1476">
          <cell r="A1476">
            <v>211</v>
          </cell>
          <cell r="B1476">
            <v>3</v>
          </cell>
          <cell r="C1476" t="str">
            <v>pojedyncza dziewcząt JM</v>
          </cell>
          <cell r="H1476">
            <v>21</v>
          </cell>
          <cell r="I1476">
            <v>6</v>
          </cell>
          <cell r="J1476">
            <v>21</v>
          </cell>
          <cell r="K1476">
            <v>14</v>
          </cell>
          <cell r="P1476">
            <v>0.7104166666666667</v>
          </cell>
          <cell r="R1476">
            <v>0.7104166666666667</v>
          </cell>
          <cell r="S1476" t="str">
            <v>sob 16:30</v>
          </cell>
          <cell r="X1476">
            <v>211</v>
          </cell>
          <cell r="Y1476" t="str">
            <v>pojedyncza dziewcząt JM</v>
          </cell>
          <cell r="Z1476" t="str">
            <v>S3951</v>
          </cell>
          <cell r="AA1476" t="str">
            <v/>
          </cell>
          <cell r="AB1476" t="str">
            <v>I4204</v>
          </cell>
          <cell r="AC1476" t="str">
            <v/>
          </cell>
          <cell r="AD1476" t="str">
            <v>S3951</v>
          </cell>
          <cell r="AE1476" t="str">
            <v/>
          </cell>
          <cell r="AF1476" t="str">
            <v>21:6,21:14</v>
          </cell>
          <cell r="AG1476" t="str">
            <v>6:21,14:21</v>
          </cell>
          <cell r="AH1476" t="str">
            <v/>
          </cell>
          <cell r="AI1476">
            <v>21</v>
          </cell>
          <cell r="AJ1476">
            <v>6</v>
          </cell>
          <cell r="AK1476">
            <v>21</v>
          </cell>
          <cell r="AL1476">
            <v>14</v>
          </cell>
          <cell r="AM1476">
            <v>0</v>
          </cell>
          <cell r="AN1476">
            <v>0</v>
          </cell>
        </row>
        <row r="1477">
          <cell r="A1477" t="str">
            <v/>
          </cell>
          <cell r="B1477" t="str">
            <v>Oliwia SOCHA (KS Chojnik Jelenia Góra)</v>
          </cell>
          <cell r="H1477" t="str">
            <v>S3951</v>
          </cell>
          <cell r="K1477" t="str">
            <v>I4204</v>
          </cell>
          <cell r="N1477" t="str">
            <v>Agata ISKRA (UKS Unia Bieruń)</v>
          </cell>
        </row>
        <row r="1478">
          <cell r="A1478" t="str">
            <v/>
          </cell>
          <cell r="B1478" t="str">
            <v/>
          </cell>
          <cell r="H1478" t="str">
            <v/>
          </cell>
          <cell r="K1478" t="str">
            <v/>
          </cell>
          <cell r="N1478" t="str">
            <v/>
          </cell>
        </row>
        <row r="1480">
          <cell r="B1480" t="str">
            <v>zwycięzca(cy): 21:6,21:14</v>
          </cell>
          <cell r="K1480" t="str">
            <v/>
          </cell>
        </row>
        <row r="1481">
          <cell r="B1481">
            <v>2</v>
          </cell>
          <cell r="C1481" t="str">
            <v>dzień turnieju.</v>
          </cell>
          <cell r="I1481" t="str">
            <v>Nr meczu</v>
          </cell>
          <cell r="N1481" t="str">
            <v>Godz.</v>
          </cell>
          <cell r="R1481" t="str">
            <v>S. prow.</v>
          </cell>
          <cell r="AF1481" t="str">
            <v>wygrany</v>
          </cell>
          <cell r="AG1481" t="str">
            <v>przegrany</v>
          </cell>
        </row>
        <row r="1482">
          <cell r="B1482" t="str">
            <v>Boisko</v>
          </cell>
          <cell r="C1482" t="str">
            <v>Gra</v>
          </cell>
          <cell r="I1482">
            <v>212</v>
          </cell>
          <cell r="N1482" t="str">
            <v>rozp.</v>
          </cell>
          <cell r="P1482" t="str">
            <v>zak.</v>
          </cell>
          <cell r="R1482" t="str">
            <v>S. serw.</v>
          </cell>
        </row>
        <row r="1483">
          <cell r="A1483">
            <v>212</v>
          </cell>
          <cell r="B1483">
            <v>4</v>
          </cell>
          <cell r="C1483" t="str">
            <v>pojedyncza dziewcząt JM</v>
          </cell>
          <cell r="H1483">
            <v>7</v>
          </cell>
          <cell r="I1483">
            <v>21</v>
          </cell>
          <cell r="J1483">
            <v>14</v>
          </cell>
          <cell r="K1483">
            <v>21</v>
          </cell>
          <cell r="P1483">
            <v>0.7055555555555556</v>
          </cell>
          <cell r="R1483">
            <v>0.7055555555555556</v>
          </cell>
          <cell r="S1483" t="str">
            <v>sob 16:30</v>
          </cell>
          <cell r="X1483">
            <v>212</v>
          </cell>
          <cell r="Y1483" t="str">
            <v>pojedyncza dziewcząt JM</v>
          </cell>
          <cell r="Z1483" t="str">
            <v>S3617</v>
          </cell>
          <cell r="AA1483" t="str">
            <v/>
          </cell>
          <cell r="AB1483" t="str">
            <v>K4207</v>
          </cell>
          <cell r="AC1483" t="str">
            <v/>
          </cell>
          <cell r="AD1483" t="str">
            <v>K4207</v>
          </cell>
          <cell r="AE1483" t="str">
            <v/>
          </cell>
          <cell r="AF1483" t="str">
            <v>21:7,21:14</v>
          </cell>
          <cell r="AG1483" t="str">
            <v>7:21,14:21</v>
          </cell>
          <cell r="AH1483" t="str">
            <v/>
          </cell>
          <cell r="AI1483">
            <v>7</v>
          </cell>
          <cell r="AJ1483">
            <v>21</v>
          </cell>
          <cell r="AK1483">
            <v>14</v>
          </cell>
          <cell r="AL1483">
            <v>21</v>
          </cell>
          <cell r="AM1483">
            <v>0</v>
          </cell>
          <cell r="AN1483">
            <v>0</v>
          </cell>
        </row>
        <row r="1484">
          <cell r="A1484" t="str">
            <v/>
          </cell>
          <cell r="B1484" t="str">
            <v>Katarzyna SŁOMBA (UKSB Volant Mielec)</v>
          </cell>
          <cell r="H1484" t="str">
            <v>S3617</v>
          </cell>
          <cell r="K1484" t="str">
            <v>K4207</v>
          </cell>
          <cell r="N1484" t="str">
            <v>Urszula KARWOWSKA (UKSB Milenium Warszawa)</v>
          </cell>
        </row>
        <row r="1485">
          <cell r="A1485" t="str">
            <v/>
          </cell>
          <cell r="B1485" t="str">
            <v/>
          </cell>
          <cell r="H1485" t="str">
            <v/>
          </cell>
          <cell r="K1485" t="str">
            <v/>
          </cell>
          <cell r="N1485" t="str">
            <v/>
          </cell>
        </row>
        <row r="1487">
          <cell r="B1487" t="str">
            <v/>
          </cell>
          <cell r="K1487" t="str">
            <v>zwycięzca(cy): 21:7,21:14</v>
          </cell>
        </row>
        <row r="1488">
          <cell r="B1488">
            <v>2</v>
          </cell>
          <cell r="C1488" t="str">
            <v>dzień turnieju.</v>
          </cell>
          <cell r="I1488" t="str">
            <v>Nr meczu</v>
          </cell>
          <cell r="N1488" t="str">
            <v>Godz.</v>
          </cell>
          <cell r="R1488" t="str">
            <v>S. prow.</v>
          </cell>
          <cell r="AF1488" t="str">
            <v>wygrany</v>
          </cell>
          <cell r="AG1488" t="str">
            <v>przegrany</v>
          </cell>
        </row>
        <row r="1489">
          <cell r="B1489" t="str">
            <v>Boisko</v>
          </cell>
          <cell r="C1489" t="str">
            <v>Gra</v>
          </cell>
          <cell r="I1489">
            <v>213</v>
          </cell>
          <cell r="N1489" t="str">
            <v>rozp.</v>
          </cell>
          <cell r="P1489" t="str">
            <v>zak.</v>
          </cell>
          <cell r="R1489" t="str">
            <v>S. serw.</v>
          </cell>
        </row>
        <row r="1490">
          <cell r="A1490">
            <v>213</v>
          </cell>
          <cell r="B1490">
            <v>5</v>
          </cell>
          <cell r="C1490" t="str">
            <v>pojedyncza dziewcząt JM</v>
          </cell>
          <cell r="H1490">
            <v>21</v>
          </cell>
          <cell r="I1490">
            <v>10</v>
          </cell>
          <cell r="J1490">
            <v>21</v>
          </cell>
          <cell r="K1490">
            <v>13</v>
          </cell>
          <cell r="P1490">
            <v>0.71111111111111114</v>
          </cell>
          <cell r="R1490">
            <v>0.71111111111111114</v>
          </cell>
          <cell r="S1490" t="str">
            <v>sob 16:30</v>
          </cell>
          <cell r="X1490">
            <v>213</v>
          </cell>
          <cell r="Y1490" t="str">
            <v>pojedyncza dziewcząt JM</v>
          </cell>
          <cell r="Z1490" t="str">
            <v>Ś3779</v>
          </cell>
          <cell r="AA1490" t="str">
            <v/>
          </cell>
          <cell r="AB1490" t="str">
            <v>X28</v>
          </cell>
          <cell r="AC1490" t="str">
            <v/>
          </cell>
          <cell r="AD1490" t="str">
            <v>Ś3779</v>
          </cell>
          <cell r="AE1490" t="str">
            <v/>
          </cell>
          <cell r="AF1490" t="str">
            <v>21:10,21:13</v>
          </cell>
          <cell r="AG1490" t="str">
            <v>10:21,13:21</v>
          </cell>
          <cell r="AH1490" t="str">
            <v/>
          </cell>
          <cell r="AI1490">
            <v>21</v>
          </cell>
          <cell r="AJ1490">
            <v>10</v>
          </cell>
          <cell r="AK1490">
            <v>21</v>
          </cell>
          <cell r="AL1490">
            <v>13</v>
          </cell>
          <cell r="AM1490">
            <v>0</v>
          </cell>
          <cell r="AN1490">
            <v>0</v>
          </cell>
        </row>
        <row r="1491">
          <cell r="A1491" t="str">
            <v/>
          </cell>
          <cell r="B1491" t="str">
            <v>Magdalena ŚWIERCZYŃSKA (UKS Orkan Przeźmierowo)</v>
          </cell>
          <cell r="H1491" t="str">
            <v>Ś3779</v>
          </cell>
          <cell r="K1491" t="str">
            <v>X28</v>
          </cell>
          <cell r="N1491" t="str">
            <v>Yulia BAYAROUSKAYA (Białoruś)</v>
          </cell>
        </row>
        <row r="1492">
          <cell r="A1492" t="str">
            <v/>
          </cell>
          <cell r="B1492" t="str">
            <v/>
          </cell>
          <cell r="H1492" t="str">
            <v/>
          </cell>
          <cell r="K1492" t="str">
            <v/>
          </cell>
          <cell r="N1492" t="str">
            <v/>
          </cell>
        </row>
        <row r="1494">
          <cell r="B1494" t="str">
            <v>zwycięzca(cy): 21:10,21:13</v>
          </cell>
          <cell r="K1494" t="str">
            <v/>
          </cell>
        </row>
        <row r="1495">
          <cell r="B1495">
            <v>2</v>
          </cell>
          <cell r="C1495" t="str">
            <v>dzień turnieju.</v>
          </cell>
          <cell r="I1495" t="str">
            <v>Nr meczu</v>
          </cell>
          <cell r="N1495" t="str">
            <v>Godz.</v>
          </cell>
          <cell r="R1495" t="str">
            <v>S. prow.</v>
          </cell>
          <cell r="AF1495" t="str">
            <v>wygrany</v>
          </cell>
          <cell r="AG1495" t="str">
            <v>przegrany</v>
          </cell>
        </row>
        <row r="1496">
          <cell r="B1496" t="str">
            <v>Boisko</v>
          </cell>
          <cell r="C1496" t="str">
            <v>Gra</v>
          </cell>
          <cell r="I1496">
            <v>214</v>
          </cell>
          <cell r="N1496" t="str">
            <v>rozp.</v>
          </cell>
          <cell r="P1496" t="str">
            <v>zak.</v>
          </cell>
          <cell r="R1496" t="str">
            <v>S. serw.</v>
          </cell>
        </row>
        <row r="1497">
          <cell r="A1497">
            <v>214</v>
          </cell>
          <cell r="B1497">
            <v>1</v>
          </cell>
          <cell r="C1497" t="str">
            <v>pojedyncza chłopców JM</v>
          </cell>
          <cell r="H1497">
            <v>21</v>
          </cell>
          <cell r="I1497">
            <v>6</v>
          </cell>
          <cell r="J1497">
            <v>21</v>
          </cell>
          <cell r="K1497">
            <v>14</v>
          </cell>
          <cell r="P1497">
            <v>0.70486111111111116</v>
          </cell>
          <cell r="R1497">
            <v>0.70486111111111116</v>
          </cell>
          <cell r="S1497" t="str">
            <v>sob 16:30</v>
          </cell>
          <cell r="X1497">
            <v>214</v>
          </cell>
          <cell r="Y1497" t="str">
            <v>pojedyncza chłopców JM</v>
          </cell>
          <cell r="Z1497" t="str">
            <v>J2970</v>
          </cell>
          <cell r="AA1497" t="str">
            <v/>
          </cell>
          <cell r="AB1497" t="str">
            <v>K3867</v>
          </cell>
          <cell r="AC1497" t="str">
            <v/>
          </cell>
          <cell r="AD1497" t="str">
            <v>J2970</v>
          </cell>
          <cell r="AE1497" t="str">
            <v/>
          </cell>
          <cell r="AF1497" t="str">
            <v>21:6,21:14</v>
          </cell>
          <cell r="AG1497" t="str">
            <v>6:21,14:21</v>
          </cell>
          <cell r="AH1497" t="str">
            <v/>
          </cell>
          <cell r="AI1497">
            <v>21</v>
          </cell>
          <cell r="AJ1497">
            <v>6</v>
          </cell>
          <cell r="AK1497">
            <v>21</v>
          </cell>
          <cell r="AL1497">
            <v>14</v>
          </cell>
          <cell r="AM1497">
            <v>0</v>
          </cell>
          <cell r="AN1497">
            <v>0</v>
          </cell>
        </row>
        <row r="1498">
          <cell r="A1498" t="str">
            <v/>
          </cell>
          <cell r="B1498" t="str">
            <v>Aleksander JABŁOŃSKI (UKS Hubal Białystok)</v>
          </cell>
          <cell r="H1498" t="str">
            <v>J2970</v>
          </cell>
          <cell r="K1498" t="str">
            <v>K3867</v>
          </cell>
          <cell r="N1498" t="str">
            <v>Patryk KOPEĆ (MKS Stal Nowa Dęba)</v>
          </cell>
        </row>
        <row r="1499">
          <cell r="A1499" t="str">
            <v/>
          </cell>
          <cell r="B1499" t="str">
            <v/>
          </cell>
          <cell r="H1499" t="str">
            <v/>
          </cell>
          <cell r="K1499" t="str">
            <v/>
          </cell>
          <cell r="N1499" t="str">
            <v/>
          </cell>
        </row>
        <row r="1501">
          <cell r="B1501" t="str">
            <v>zwycięzca(cy): 21:6,21:14</v>
          </cell>
          <cell r="K1501" t="str">
            <v/>
          </cell>
        </row>
        <row r="1502">
          <cell r="B1502">
            <v>2</v>
          </cell>
          <cell r="C1502" t="str">
            <v>dzień turnieju.</v>
          </cell>
          <cell r="I1502" t="str">
            <v>Nr meczu</v>
          </cell>
          <cell r="N1502" t="str">
            <v>Godz.</v>
          </cell>
          <cell r="R1502" t="str">
            <v>S. prow.</v>
          </cell>
          <cell r="AF1502" t="str">
            <v>wygrany</v>
          </cell>
          <cell r="AG1502" t="str">
            <v>przegrany</v>
          </cell>
        </row>
        <row r="1503">
          <cell r="B1503" t="str">
            <v>Boisko</v>
          </cell>
          <cell r="C1503" t="str">
            <v>Gra</v>
          </cell>
          <cell r="I1503">
            <v>215</v>
          </cell>
          <cell r="N1503" t="str">
            <v>rozp.</v>
          </cell>
          <cell r="P1503" t="str">
            <v>zak.</v>
          </cell>
          <cell r="R1503" t="str">
            <v>S. serw.</v>
          </cell>
        </row>
        <row r="1504">
          <cell r="A1504">
            <v>215</v>
          </cell>
          <cell r="B1504">
            <v>8</v>
          </cell>
          <cell r="C1504" t="str">
            <v>pojedyncza chłopców JM</v>
          </cell>
          <cell r="H1504">
            <v>16</v>
          </cell>
          <cell r="I1504">
            <v>21</v>
          </cell>
          <cell r="J1504">
            <v>21</v>
          </cell>
          <cell r="K1504">
            <v>19</v>
          </cell>
          <cell r="L1504">
            <v>21</v>
          </cell>
          <cell r="M1504">
            <v>17</v>
          </cell>
          <cell r="P1504">
            <v>0.73749999999999993</v>
          </cell>
          <cell r="R1504">
            <v>0.73749999999999993</v>
          </cell>
          <cell r="S1504" t="str">
            <v>sob 16:30</v>
          </cell>
          <cell r="X1504">
            <v>215</v>
          </cell>
          <cell r="Y1504" t="str">
            <v>pojedyncza chłopców JM</v>
          </cell>
          <cell r="Z1504" t="str">
            <v>X56</v>
          </cell>
          <cell r="AA1504" t="str">
            <v/>
          </cell>
          <cell r="AB1504" t="str">
            <v>X39</v>
          </cell>
          <cell r="AC1504" t="str">
            <v/>
          </cell>
          <cell r="AD1504" t="str">
            <v>X56</v>
          </cell>
          <cell r="AE1504" t="str">
            <v/>
          </cell>
          <cell r="AF1504" t="str">
            <v>16:21,21:19,21:17</v>
          </cell>
          <cell r="AG1504" t="str">
            <v>21:16,19:21,17:21</v>
          </cell>
          <cell r="AH1504" t="str">
            <v/>
          </cell>
          <cell r="AI1504">
            <v>16</v>
          </cell>
          <cell r="AJ1504">
            <v>21</v>
          </cell>
          <cell r="AK1504">
            <v>21</v>
          </cell>
          <cell r="AL1504">
            <v>19</v>
          </cell>
          <cell r="AM1504">
            <v>21</v>
          </cell>
          <cell r="AN1504">
            <v>17</v>
          </cell>
        </row>
        <row r="1505">
          <cell r="A1505" t="str">
            <v/>
          </cell>
          <cell r="B1505" t="str">
            <v>Artem TKACHUK (Vinnica Ukraina)</v>
          </cell>
          <cell r="H1505" t="str">
            <v>X56</v>
          </cell>
          <cell r="K1505" t="str">
            <v>X39</v>
          </cell>
          <cell r="N1505" t="str">
            <v>Adam Šářec  (Slavoj Cesky Tesin)</v>
          </cell>
        </row>
        <row r="1506">
          <cell r="A1506" t="str">
            <v/>
          </cell>
          <cell r="B1506" t="str">
            <v/>
          </cell>
          <cell r="H1506" t="str">
            <v/>
          </cell>
          <cell r="K1506" t="str">
            <v/>
          </cell>
          <cell r="N1506" t="str">
            <v/>
          </cell>
        </row>
        <row r="1508">
          <cell r="B1508" t="str">
            <v>zwycięzca(cy): 16:21,21:19,21:17</v>
          </cell>
          <cell r="K1508" t="str">
            <v/>
          </cell>
        </row>
        <row r="1509">
          <cell r="B1509">
            <v>2</v>
          </cell>
          <cell r="C1509" t="str">
            <v>dzień turnieju.</v>
          </cell>
          <cell r="I1509" t="str">
            <v>Nr meczu</v>
          </cell>
          <cell r="N1509" t="str">
            <v>Godz.</v>
          </cell>
          <cell r="R1509" t="str">
            <v>S. prow.</v>
          </cell>
          <cell r="AF1509" t="str">
            <v>wygrany</v>
          </cell>
          <cell r="AG1509" t="str">
            <v>przegrany</v>
          </cell>
        </row>
        <row r="1510">
          <cell r="B1510" t="str">
            <v>Boisko</v>
          </cell>
          <cell r="C1510" t="str">
            <v>Gra</v>
          </cell>
          <cell r="I1510">
            <v>216</v>
          </cell>
          <cell r="N1510" t="str">
            <v>rozp.</v>
          </cell>
          <cell r="P1510" t="str">
            <v>zak.</v>
          </cell>
          <cell r="R1510" t="str">
            <v>S. serw.</v>
          </cell>
        </row>
        <row r="1511">
          <cell r="A1511">
            <v>216</v>
          </cell>
          <cell r="B1511">
            <v>2</v>
          </cell>
          <cell r="C1511" t="str">
            <v>pojedyncza chłopców JM</v>
          </cell>
          <cell r="H1511">
            <v>16</v>
          </cell>
          <cell r="I1511">
            <v>21</v>
          </cell>
          <cell r="J1511">
            <v>18</v>
          </cell>
          <cell r="K1511">
            <v>21</v>
          </cell>
          <cell r="P1511">
            <v>0.74097222222222225</v>
          </cell>
          <cell r="R1511">
            <v>0.74097222222222225</v>
          </cell>
          <cell r="S1511" t="str">
            <v>sob 16:30</v>
          </cell>
          <cell r="X1511">
            <v>216</v>
          </cell>
          <cell r="Y1511" t="str">
            <v>pojedyncza chłopców JM</v>
          </cell>
          <cell r="Z1511" t="str">
            <v>M4193</v>
          </cell>
          <cell r="AA1511" t="str">
            <v/>
          </cell>
          <cell r="AB1511" t="str">
            <v>D3323</v>
          </cell>
          <cell r="AC1511" t="str">
            <v/>
          </cell>
          <cell r="AD1511" t="str">
            <v>D3323</v>
          </cell>
          <cell r="AE1511" t="str">
            <v/>
          </cell>
          <cell r="AF1511" t="str">
            <v>21:16,21:18</v>
          </cell>
          <cell r="AG1511" t="str">
            <v>16:21,18:21</v>
          </cell>
          <cell r="AH1511" t="str">
            <v/>
          </cell>
          <cell r="AI1511">
            <v>16</v>
          </cell>
          <cell r="AJ1511">
            <v>21</v>
          </cell>
          <cell r="AK1511">
            <v>18</v>
          </cell>
          <cell r="AL1511">
            <v>21</v>
          </cell>
          <cell r="AM1511">
            <v>0</v>
          </cell>
          <cell r="AN1511">
            <v>0</v>
          </cell>
        </row>
        <row r="1512">
          <cell r="A1512" t="str">
            <v/>
          </cell>
          <cell r="B1512" t="str">
            <v>Robert MIRGA (LKS Technik Głubczyce)</v>
          </cell>
          <cell r="H1512" t="str">
            <v>M4193</v>
          </cell>
          <cell r="K1512" t="str">
            <v>D3323</v>
          </cell>
          <cell r="N1512" t="str">
            <v>Mateusz DANIELAK (KKS Ruch Piotrków Tryb.)</v>
          </cell>
        </row>
        <row r="1513">
          <cell r="A1513" t="str">
            <v/>
          </cell>
          <cell r="B1513" t="str">
            <v/>
          </cell>
          <cell r="H1513" t="str">
            <v/>
          </cell>
          <cell r="K1513" t="str">
            <v/>
          </cell>
          <cell r="N1513" t="str">
            <v/>
          </cell>
        </row>
        <row r="1515">
          <cell r="B1515" t="str">
            <v/>
          </cell>
          <cell r="K1515" t="str">
            <v>zwycięzca(cy): 21:16,21:18</v>
          </cell>
        </row>
        <row r="1516">
          <cell r="B1516">
            <v>2</v>
          </cell>
          <cell r="C1516" t="str">
            <v>dzień turnieju.</v>
          </cell>
          <cell r="I1516" t="str">
            <v>Nr meczu</v>
          </cell>
          <cell r="N1516" t="str">
            <v>Godz.</v>
          </cell>
          <cell r="R1516" t="str">
            <v>S. prow.</v>
          </cell>
          <cell r="AF1516" t="str">
            <v>wygrany</v>
          </cell>
          <cell r="AG1516" t="str">
            <v>przegrany</v>
          </cell>
        </row>
        <row r="1517">
          <cell r="B1517" t="str">
            <v>Boisko</v>
          </cell>
          <cell r="C1517" t="str">
            <v>Gra</v>
          </cell>
          <cell r="I1517">
            <v>217</v>
          </cell>
          <cell r="N1517" t="str">
            <v>rozp.</v>
          </cell>
          <cell r="P1517" t="str">
            <v>zak.</v>
          </cell>
          <cell r="R1517" t="str">
            <v>S. serw.</v>
          </cell>
        </row>
        <row r="1518">
          <cell r="A1518">
            <v>217</v>
          </cell>
          <cell r="B1518">
            <v>7</v>
          </cell>
          <cell r="C1518" t="str">
            <v>pojedyncza chłopców JM</v>
          </cell>
          <cell r="H1518">
            <v>14</v>
          </cell>
          <cell r="I1518">
            <v>21</v>
          </cell>
          <cell r="J1518">
            <v>21</v>
          </cell>
          <cell r="K1518">
            <v>18</v>
          </cell>
          <cell r="L1518">
            <v>10</v>
          </cell>
          <cell r="M1518">
            <v>21</v>
          </cell>
          <cell r="P1518">
            <v>0.71875</v>
          </cell>
          <cell r="R1518">
            <v>0.71875</v>
          </cell>
          <cell r="S1518" t="str">
            <v>sob 16:30</v>
          </cell>
          <cell r="X1518">
            <v>217</v>
          </cell>
          <cell r="Y1518" t="str">
            <v>pojedyncza chłopców JM</v>
          </cell>
          <cell r="Z1518" t="str">
            <v>S3778</v>
          </cell>
          <cell r="AA1518" t="str">
            <v/>
          </cell>
          <cell r="AB1518" t="str">
            <v>K4248</v>
          </cell>
          <cell r="AC1518" t="str">
            <v/>
          </cell>
          <cell r="AD1518" t="str">
            <v>K4248</v>
          </cell>
          <cell r="AE1518" t="str">
            <v/>
          </cell>
          <cell r="AF1518" t="str">
            <v>21:14,18:21,21:10</v>
          </cell>
          <cell r="AG1518" t="str">
            <v>14:21,21:18,10:21</v>
          </cell>
          <cell r="AH1518" t="str">
            <v/>
          </cell>
          <cell r="AI1518">
            <v>14</v>
          </cell>
          <cell r="AJ1518">
            <v>21</v>
          </cell>
          <cell r="AK1518">
            <v>21</v>
          </cell>
          <cell r="AL1518">
            <v>18</v>
          </cell>
          <cell r="AM1518">
            <v>10</v>
          </cell>
          <cell r="AN1518">
            <v>21</v>
          </cell>
        </row>
        <row r="1519">
          <cell r="A1519" t="str">
            <v/>
          </cell>
          <cell r="B1519" t="str">
            <v>Damian SADALSKI (UKS Orkan Przeźmierowo)</v>
          </cell>
          <cell r="H1519" t="str">
            <v>S3778</v>
          </cell>
          <cell r="K1519" t="str">
            <v>K4248</v>
          </cell>
          <cell r="N1519" t="str">
            <v>Michał KIKOSICKI (KSR Wolant Łódź)</v>
          </cell>
        </row>
        <row r="1520">
          <cell r="A1520" t="str">
            <v/>
          </cell>
          <cell r="B1520" t="str">
            <v/>
          </cell>
          <cell r="H1520" t="str">
            <v/>
          </cell>
          <cell r="K1520" t="str">
            <v/>
          </cell>
          <cell r="N1520" t="str">
            <v/>
          </cell>
        </row>
        <row r="1522">
          <cell r="B1522" t="str">
            <v/>
          </cell>
          <cell r="K1522" t="str">
            <v>zwycięzca(cy): 21:14,18:21,21:10</v>
          </cell>
        </row>
        <row r="1523">
          <cell r="B1523">
            <v>2</v>
          </cell>
          <cell r="C1523" t="str">
            <v>dzień turnieju.</v>
          </cell>
          <cell r="I1523" t="str">
            <v>Nr meczu</v>
          </cell>
          <cell r="N1523" t="str">
            <v>Godz.</v>
          </cell>
          <cell r="R1523" t="str">
            <v>S. prow.</v>
          </cell>
          <cell r="AF1523" t="str">
            <v>wygrany</v>
          </cell>
          <cell r="AG1523" t="str">
            <v>przegrany</v>
          </cell>
        </row>
        <row r="1524">
          <cell r="B1524" t="str">
            <v>Boisko</v>
          </cell>
          <cell r="C1524" t="str">
            <v>Gra</v>
          </cell>
          <cell r="I1524">
            <v>218</v>
          </cell>
          <cell r="N1524" t="str">
            <v>rozp.</v>
          </cell>
          <cell r="P1524" t="str">
            <v>zak.</v>
          </cell>
          <cell r="R1524" t="str">
            <v>S. serw.</v>
          </cell>
        </row>
        <row r="1525">
          <cell r="A1525">
            <v>218</v>
          </cell>
          <cell r="B1525">
            <v>1</v>
          </cell>
          <cell r="C1525" t="str">
            <v>mieszana J</v>
          </cell>
          <cell r="H1525">
            <v>19</v>
          </cell>
          <cell r="I1525">
            <v>21</v>
          </cell>
          <cell r="J1525">
            <v>21</v>
          </cell>
          <cell r="K1525">
            <v>9</v>
          </cell>
          <cell r="L1525">
            <v>21</v>
          </cell>
          <cell r="M1525">
            <v>10</v>
          </cell>
          <cell r="P1525">
            <v>0.73055555555555562</v>
          </cell>
          <cell r="R1525">
            <v>0.73055555555555562</v>
          </cell>
          <cell r="S1525" t="str">
            <v>sob 17:00</v>
          </cell>
          <cell r="X1525">
            <v>218</v>
          </cell>
          <cell r="Y1525" t="str">
            <v>mieszana J</v>
          </cell>
          <cell r="Z1525" t="str">
            <v>W2914</v>
          </cell>
          <cell r="AA1525" t="str">
            <v>J2971</v>
          </cell>
          <cell r="AB1525" t="str">
            <v>N3148</v>
          </cell>
          <cell r="AC1525" t="str">
            <v>T3157</v>
          </cell>
          <cell r="AD1525" t="str">
            <v>W2914</v>
          </cell>
          <cell r="AE1525" t="str">
            <v>J2971</v>
          </cell>
          <cell r="AF1525" t="str">
            <v>19:21,21:9,21:10</v>
          </cell>
          <cell r="AG1525" t="str">
            <v>21:19,9:21,10:21</v>
          </cell>
          <cell r="AH1525" t="str">
            <v/>
          </cell>
          <cell r="AI1525">
            <v>19</v>
          </cell>
          <cell r="AJ1525">
            <v>21</v>
          </cell>
          <cell r="AK1525">
            <v>21</v>
          </cell>
          <cell r="AL1525">
            <v>9</v>
          </cell>
          <cell r="AM1525">
            <v>21</v>
          </cell>
          <cell r="AN1525">
            <v>10</v>
          </cell>
        </row>
        <row r="1526">
          <cell r="A1526" t="str">
            <v/>
          </cell>
          <cell r="B1526" t="str">
            <v>Piotr WASILUK (LUKS Badminton Choroszcz)</v>
          </cell>
          <cell r="H1526" t="str">
            <v>W2914</v>
          </cell>
          <cell r="K1526" t="str">
            <v>N3148</v>
          </cell>
          <cell r="N1526" t="str">
            <v>Kamil NASIŁOWSKI (UKSB Milenium Warszawa)</v>
          </cell>
        </row>
        <row r="1527">
          <cell r="A1527" t="str">
            <v/>
          </cell>
          <cell r="B1527" t="str">
            <v>Karolina JANOWSKA (UKS Hubal Białystok)</v>
          </cell>
          <cell r="H1527" t="str">
            <v>J2971</v>
          </cell>
          <cell r="K1527" t="str">
            <v>T3157</v>
          </cell>
          <cell r="N1527" t="str">
            <v>Adrianna TATAJ (UKSB Milenium Warszawa)</v>
          </cell>
        </row>
        <row r="1529">
          <cell r="B1529" t="str">
            <v>zwycięzca(cy): 19:21,21:9,21:10</v>
          </cell>
          <cell r="K1529" t="str">
            <v/>
          </cell>
        </row>
        <row r="1530">
          <cell r="B1530">
            <v>2</v>
          </cell>
          <cell r="C1530" t="str">
            <v>dzień turnieju.</v>
          </cell>
          <cell r="I1530" t="str">
            <v>Nr meczu</v>
          </cell>
          <cell r="N1530" t="str">
            <v>Godz.</v>
          </cell>
          <cell r="R1530" t="str">
            <v>S. prow.</v>
          </cell>
          <cell r="AF1530" t="str">
            <v>wygrany</v>
          </cell>
          <cell r="AG1530" t="str">
            <v>przegrany</v>
          </cell>
        </row>
        <row r="1531">
          <cell r="B1531" t="str">
            <v>Boisko</v>
          </cell>
          <cell r="C1531" t="str">
            <v>Gra</v>
          </cell>
          <cell r="I1531">
            <v>219</v>
          </cell>
          <cell r="N1531" t="str">
            <v>rozp.</v>
          </cell>
          <cell r="P1531" t="str">
            <v>zak.</v>
          </cell>
          <cell r="R1531" t="str">
            <v>S. serw.</v>
          </cell>
        </row>
        <row r="1532">
          <cell r="A1532">
            <v>219</v>
          </cell>
          <cell r="B1532">
            <v>4</v>
          </cell>
          <cell r="C1532" t="str">
            <v>mieszana J</v>
          </cell>
          <cell r="H1532">
            <v>14</v>
          </cell>
          <cell r="I1532">
            <v>21</v>
          </cell>
          <cell r="J1532">
            <v>19</v>
          </cell>
          <cell r="K1532">
            <v>21</v>
          </cell>
          <cell r="P1532">
            <v>0.72361111111111109</v>
          </cell>
          <cell r="R1532">
            <v>0.72361111111111109</v>
          </cell>
          <cell r="S1532" t="str">
            <v>sob 17:00</v>
          </cell>
          <cell r="X1532">
            <v>219</v>
          </cell>
          <cell r="Y1532" t="str">
            <v>mieszana J</v>
          </cell>
          <cell r="Z1532" t="str">
            <v>K4230</v>
          </cell>
          <cell r="AA1532" t="str">
            <v>K3151</v>
          </cell>
          <cell r="AB1532" t="str">
            <v>S3502</v>
          </cell>
          <cell r="AC1532" t="str">
            <v>K3863</v>
          </cell>
          <cell r="AD1532" t="str">
            <v>S3502</v>
          </cell>
          <cell r="AE1532" t="str">
            <v>K3863</v>
          </cell>
          <cell r="AF1532" t="str">
            <v>21:14,21:19</v>
          </cell>
          <cell r="AG1532" t="str">
            <v>14:21,19:21</v>
          </cell>
          <cell r="AH1532" t="str">
            <v/>
          </cell>
          <cell r="AI1532">
            <v>14</v>
          </cell>
          <cell r="AJ1532">
            <v>21</v>
          </cell>
          <cell r="AK1532">
            <v>19</v>
          </cell>
          <cell r="AL1532">
            <v>21</v>
          </cell>
          <cell r="AM1532">
            <v>0</v>
          </cell>
          <cell r="AN1532">
            <v>0</v>
          </cell>
        </row>
        <row r="1533">
          <cell r="A1533" t="str">
            <v/>
          </cell>
          <cell r="B1533" t="str">
            <v>Wiktor KRAWCZYK (UKSB Milenium Warszawa)</v>
          </cell>
          <cell r="H1533" t="str">
            <v>K4230</v>
          </cell>
          <cell r="K1533" t="str">
            <v>S3502</v>
          </cell>
          <cell r="N1533" t="str">
            <v>Jakub SMAJDA (UKS Ząbkowice Dąbrowa Górn.)</v>
          </cell>
        </row>
        <row r="1534">
          <cell r="A1534" t="str">
            <v/>
          </cell>
          <cell r="B1534" t="str">
            <v>Maria KOPYT (UKSB Milenium Warszawa)</v>
          </cell>
          <cell r="H1534" t="str">
            <v>K3151</v>
          </cell>
          <cell r="K1534" t="str">
            <v>K3863</v>
          </cell>
          <cell r="N1534" t="str">
            <v>Katarzyna KUTACHA (UKS Start Widełka)</v>
          </cell>
        </row>
        <row r="1536">
          <cell r="B1536" t="str">
            <v/>
          </cell>
          <cell r="K1536" t="str">
            <v>zwycięzca(cy): 21:14,21:19</v>
          </cell>
        </row>
        <row r="1537">
          <cell r="B1537">
            <v>2</v>
          </cell>
          <cell r="C1537" t="str">
            <v>dzień turnieju.</v>
          </cell>
          <cell r="I1537" t="str">
            <v>Nr meczu</v>
          </cell>
          <cell r="N1537" t="str">
            <v>Godz.</v>
          </cell>
          <cell r="R1537" t="str">
            <v>S. prow.</v>
          </cell>
          <cell r="AF1537" t="str">
            <v>wygrany</v>
          </cell>
          <cell r="AG1537" t="str">
            <v>przegrany</v>
          </cell>
        </row>
        <row r="1538">
          <cell r="B1538" t="str">
            <v>Boisko</v>
          </cell>
          <cell r="C1538" t="str">
            <v>Gra</v>
          </cell>
          <cell r="I1538">
            <v>220</v>
          </cell>
          <cell r="N1538" t="str">
            <v>rozp.</v>
          </cell>
          <cell r="P1538" t="str">
            <v>zak.</v>
          </cell>
          <cell r="R1538" t="str">
            <v>S. serw.</v>
          </cell>
        </row>
        <row r="1539">
          <cell r="A1539">
            <v>220</v>
          </cell>
          <cell r="B1539">
            <v>7</v>
          </cell>
          <cell r="C1539" t="str">
            <v>mieszana JM</v>
          </cell>
          <cell r="H1539">
            <v>15</v>
          </cell>
          <cell r="I1539">
            <v>21</v>
          </cell>
          <cell r="J1539">
            <v>17</v>
          </cell>
          <cell r="K1539">
            <v>21</v>
          </cell>
          <cell r="P1539">
            <v>0.78125</v>
          </cell>
          <cell r="R1539">
            <v>0.78125</v>
          </cell>
          <cell r="S1539" t="str">
            <v>sob 17:00</v>
          </cell>
          <cell r="X1539">
            <v>220</v>
          </cell>
          <cell r="Y1539" t="str">
            <v>mieszana JM</v>
          </cell>
          <cell r="Z1539" t="str">
            <v>M3524</v>
          </cell>
          <cell r="AA1539" t="str">
            <v>S3617</v>
          </cell>
          <cell r="AB1539" t="str">
            <v>X56</v>
          </cell>
          <cell r="AC1539" t="str">
            <v>X20</v>
          </cell>
          <cell r="AD1539" t="str">
            <v>X56</v>
          </cell>
          <cell r="AE1539" t="str">
            <v>X20</v>
          </cell>
          <cell r="AF1539" t="str">
            <v>21:15,21:17</v>
          </cell>
          <cell r="AG1539" t="str">
            <v>15:21,17:21</v>
          </cell>
          <cell r="AH1539" t="str">
            <v/>
          </cell>
          <cell r="AI1539">
            <v>15</v>
          </cell>
          <cell r="AJ1539">
            <v>21</v>
          </cell>
          <cell r="AK1539">
            <v>17</v>
          </cell>
          <cell r="AL1539">
            <v>21</v>
          </cell>
          <cell r="AM1539">
            <v>0</v>
          </cell>
          <cell r="AN1539">
            <v>0</v>
          </cell>
        </row>
        <row r="1540">
          <cell r="A1540" t="str">
            <v/>
          </cell>
          <cell r="B1540" t="str">
            <v>Dawid MAZUR (LKS Technik Głubczyce)</v>
          </cell>
          <cell r="H1540" t="str">
            <v>M3524</v>
          </cell>
          <cell r="K1540" t="str">
            <v>X56</v>
          </cell>
          <cell r="N1540" t="str">
            <v>Artem TKACHUK (Vinnica Ukraina)</v>
          </cell>
        </row>
        <row r="1541">
          <cell r="A1541" t="str">
            <v/>
          </cell>
          <cell r="B1541" t="str">
            <v>Katarzyna SŁOMBA (UKSB Volant Mielec)</v>
          </cell>
          <cell r="H1541" t="str">
            <v>S3617</v>
          </cell>
          <cell r="K1541" t="str">
            <v>X20</v>
          </cell>
          <cell r="N1541" t="str">
            <v>Inna SEBOVA (Vinnica Ukraina)</v>
          </cell>
        </row>
        <row r="1543">
          <cell r="B1543" t="str">
            <v/>
          </cell>
          <cell r="K1543" t="str">
            <v>zwycięzca(cy): 21:15,21:17</v>
          </cell>
        </row>
        <row r="1544">
          <cell r="B1544">
            <v>2</v>
          </cell>
          <cell r="C1544" t="str">
            <v>dzień turnieju.</v>
          </cell>
          <cell r="I1544" t="str">
            <v>Nr meczu</v>
          </cell>
          <cell r="N1544" t="str">
            <v>Godz.</v>
          </cell>
          <cell r="R1544" t="str">
            <v>S. prow.</v>
          </cell>
          <cell r="AF1544" t="str">
            <v>wygrany</v>
          </cell>
          <cell r="AG1544" t="str">
            <v>przegrany</v>
          </cell>
        </row>
        <row r="1545">
          <cell r="B1545" t="str">
            <v>Boisko</v>
          </cell>
          <cell r="C1545" t="str">
            <v>Gra</v>
          </cell>
          <cell r="I1545">
            <v>221</v>
          </cell>
          <cell r="N1545" t="str">
            <v>rozp.</v>
          </cell>
          <cell r="P1545" t="str">
            <v>zak.</v>
          </cell>
          <cell r="R1545" t="str">
            <v>S. serw.</v>
          </cell>
        </row>
        <row r="1546">
          <cell r="A1546">
            <v>221</v>
          </cell>
          <cell r="B1546">
            <v>8</v>
          </cell>
          <cell r="C1546" t="str">
            <v>mieszana JM</v>
          </cell>
          <cell r="H1546">
            <v>21</v>
          </cell>
          <cell r="I1546">
            <v>15</v>
          </cell>
          <cell r="J1546">
            <v>21</v>
          </cell>
          <cell r="K1546">
            <v>19</v>
          </cell>
          <cell r="P1546">
            <v>0.77777777777777779</v>
          </cell>
          <cell r="R1546">
            <v>0.77777777777777779</v>
          </cell>
          <cell r="S1546" t="str">
            <v>sob 17:00</v>
          </cell>
          <cell r="X1546">
            <v>221</v>
          </cell>
          <cell r="Y1546" t="str">
            <v>mieszana JM</v>
          </cell>
          <cell r="Z1546" t="str">
            <v>M4193</v>
          </cell>
          <cell r="AA1546" t="str">
            <v>M3790</v>
          </cell>
          <cell r="AB1546" t="str">
            <v>K4248</v>
          </cell>
          <cell r="AC1546" t="str">
            <v>R3686</v>
          </cell>
          <cell r="AD1546" t="str">
            <v>M4193</v>
          </cell>
          <cell r="AE1546" t="str">
            <v>M3790</v>
          </cell>
          <cell r="AF1546" t="str">
            <v>21:15,21:19</v>
          </cell>
          <cell r="AG1546" t="str">
            <v>15:21,19:21</v>
          </cell>
          <cell r="AH1546" t="str">
            <v/>
          </cell>
          <cell r="AI1546">
            <v>21</v>
          </cell>
          <cell r="AJ1546">
            <v>15</v>
          </cell>
          <cell r="AK1546">
            <v>21</v>
          </cell>
          <cell r="AL1546">
            <v>19</v>
          </cell>
          <cell r="AM1546">
            <v>0</v>
          </cell>
          <cell r="AN1546">
            <v>0</v>
          </cell>
        </row>
        <row r="1547">
          <cell r="A1547" t="str">
            <v/>
          </cell>
          <cell r="B1547" t="str">
            <v>Robert MIRGA (LKS Technik Głubczyce)</v>
          </cell>
          <cell r="H1547" t="str">
            <v>M4193</v>
          </cell>
          <cell r="K1547" t="str">
            <v>K4248</v>
          </cell>
          <cell r="N1547" t="str">
            <v>Michał KIKOSICKI (KSR Wolant Łódź)</v>
          </cell>
        </row>
        <row r="1548">
          <cell r="A1548" t="str">
            <v/>
          </cell>
          <cell r="B1548" t="str">
            <v>Kornelia MARCZAK (UKS Plesbad Pszczyna)</v>
          </cell>
          <cell r="H1548" t="str">
            <v>M3790</v>
          </cell>
          <cell r="K1548" t="str">
            <v>R3686</v>
          </cell>
          <cell r="N1548" t="str">
            <v>Julita RYBAŁT (UKS Hubal Białystok)</v>
          </cell>
        </row>
        <row r="1550">
          <cell r="B1550" t="str">
            <v>zwycięzca(cy): 21:15,21:19</v>
          </cell>
          <cell r="K1550" t="str">
            <v/>
          </cell>
        </row>
        <row r="1551">
          <cell r="B1551">
            <v>2</v>
          </cell>
          <cell r="C1551" t="str">
            <v>dzień turnieju.</v>
          </cell>
          <cell r="I1551" t="str">
            <v>Nr meczu</v>
          </cell>
          <cell r="N1551" t="str">
            <v>Godz.</v>
          </cell>
          <cell r="R1551" t="str">
            <v>S. prow.</v>
          </cell>
          <cell r="AF1551" t="str">
            <v>wygrany</v>
          </cell>
          <cell r="AG1551" t="str">
            <v>przegrany</v>
          </cell>
        </row>
        <row r="1552">
          <cell r="B1552" t="str">
            <v>Boisko</v>
          </cell>
          <cell r="C1552" t="str">
            <v>Gra</v>
          </cell>
          <cell r="I1552">
            <v>222</v>
          </cell>
          <cell r="N1552" t="str">
            <v>rozp.</v>
          </cell>
          <cell r="P1552" t="str">
            <v>zak.</v>
          </cell>
          <cell r="R1552" t="str">
            <v>S. serw.</v>
          </cell>
        </row>
        <row r="1553">
          <cell r="A1553">
            <v>222</v>
          </cell>
          <cell r="B1553">
            <v>3</v>
          </cell>
          <cell r="C1553" t="str">
            <v>podwójna dziewcząt JM</v>
          </cell>
          <cell r="H1553">
            <v>3</v>
          </cell>
          <cell r="I1553">
            <v>21</v>
          </cell>
          <cell r="J1553">
            <v>18</v>
          </cell>
          <cell r="K1553">
            <v>21</v>
          </cell>
          <cell r="P1553">
            <v>0.75138888888888899</v>
          </cell>
          <cell r="R1553">
            <v>0.75138888888888899</v>
          </cell>
          <cell r="S1553" t="str">
            <v>sob 17:30</v>
          </cell>
          <cell r="X1553">
            <v>222</v>
          </cell>
          <cell r="Y1553" t="str">
            <v>podwójna dziewcząt JM</v>
          </cell>
          <cell r="Z1553" t="str">
            <v>X28</v>
          </cell>
          <cell r="AA1553" t="str">
            <v>G4721</v>
          </cell>
          <cell r="AB1553" t="str">
            <v>X19</v>
          </cell>
          <cell r="AC1553" t="str">
            <v>X20</v>
          </cell>
          <cell r="AD1553" t="str">
            <v>X19</v>
          </cell>
          <cell r="AE1553" t="str">
            <v>X20</v>
          </cell>
          <cell r="AF1553" t="str">
            <v>21:3,21:18</v>
          </cell>
          <cell r="AG1553" t="str">
            <v>3:21,18:21</v>
          </cell>
          <cell r="AH1553" t="str">
            <v/>
          </cell>
          <cell r="AI1553">
            <v>3</v>
          </cell>
          <cell r="AJ1553">
            <v>21</v>
          </cell>
          <cell r="AK1553">
            <v>18</v>
          </cell>
          <cell r="AL1553">
            <v>21</v>
          </cell>
          <cell r="AM1553">
            <v>0</v>
          </cell>
          <cell r="AN1553">
            <v>0</v>
          </cell>
        </row>
        <row r="1554">
          <cell r="A1554" t="str">
            <v/>
          </cell>
          <cell r="B1554" t="str">
            <v>Yulia BAYAROUSKAYA (Białoruś)</v>
          </cell>
          <cell r="H1554" t="str">
            <v>X28</v>
          </cell>
          <cell r="K1554" t="str">
            <v>X19</v>
          </cell>
          <cell r="N1554" t="str">
            <v>Oleksandra LUGOVYKH (Vinnica Ukraina)</v>
          </cell>
        </row>
        <row r="1555">
          <cell r="A1555" t="str">
            <v/>
          </cell>
          <cell r="B1555" t="str">
            <v>Kinga GURZ (UKS Sokół Ropczyce)</v>
          </cell>
          <cell r="H1555" t="str">
            <v>G4721</v>
          </cell>
          <cell r="K1555" t="str">
            <v>X20</v>
          </cell>
          <cell r="N1555" t="str">
            <v>Inna SEBOVA (Vinnica Ukraina)</v>
          </cell>
        </row>
        <row r="1557">
          <cell r="B1557" t="str">
            <v/>
          </cell>
          <cell r="K1557" t="str">
            <v>zwycięzca(cy): 21:3,21:18</v>
          </cell>
        </row>
        <row r="1558">
          <cell r="B1558">
            <v>2</v>
          </cell>
          <cell r="C1558" t="str">
            <v>dzień turnieju.</v>
          </cell>
          <cell r="I1558" t="str">
            <v>Nr meczu</v>
          </cell>
          <cell r="N1558" t="str">
            <v>Godz.</v>
          </cell>
          <cell r="R1558" t="str">
            <v>S. prow.</v>
          </cell>
          <cell r="AF1558" t="str">
            <v>wygrany</v>
          </cell>
          <cell r="AG1558" t="str">
            <v>przegrany</v>
          </cell>
        </row>
        <row r="1559">
          <cell r="B1559" t="str">
            <v>Boisko</v>
          </cell>
          <cell r="C1559" t="str">
            <v>Gra</v>
          </cell>
          <cell r="I1559">
            <v>223</v>
          </cell>
          <cell r="N1559" t="str">
            <v>rozp.</v>
          </cell>
          <cell r="P1559" t="str">
            <v>zak.</v>
          </cell>
          <cell r="R1559" t="str">
            <v>S. serw.</v>
          </cell>
        </row>
        <row r="1560">
          <cell r="A1560">
            <v>223</v>
          </cell>
          <cell r="B1560">
            <v>6</v>
          </cell>
          <cell r="C1560" t="str">
            <v>podwójna dziewcząt JM</v>
          </cell>
          <cell r="H1560">
            <v>15</v>
          </cell>
          <cell r="I1560">
            <v>21</v>
          </cell>
          <cell r="J1560">
            <v>21</v>
          </cell>
          <cell r="K1560">
            <v>12</v>
          </cell>
          <cell r="L1560">
            <v>21</v>
          </cell>
          <cell r="M1560">
            <v>17</v>
          </cell>
          <cell r="P1560">
            <v>0.77013888888888893</v>
          </cell>
          <cell r="R1560">
            <v>0.77013888888888893</v>
          </cell>
          <cell r="S1560" t="str">
            <v>sob 17:30</v>
          </cell>
          <cell r="X1560">
            <v>223</v>
          </cell>
          <cell r="Y1560" t="str">
            <v>podwójna dziewcząt JM</v>
          </cell>
          <cell r="Z1560" t="str">
            <v>J3786</v>
          </cell>
          <cell r="AA1560" t="str">
            <v>M3661</v>
          </cell>
          <cell r="AB1560" t="str">
            <v>Ś3779</v>
          </cell>
          <cell r="AC1560" t="str">
            <v>W4435</v>
          </cell>
          <cell r="AD1560" t="str">
            <v>J3786</v>
          </cell>
          <cell r="AE1560" t="str">
            <v>M3661</v>
          </cell>
          <cell r="AF1560" t="str">
            <v>15:21,21:12,21:17</v>
          </cell>
          <cell r="AG1560" t="str">
            <v>21:15,12:21,17:21</v>
          </cell>
          <cell r="AH1560" t="str">
            <v/>
          </cell>
          <cell r="AI1560">
            <v>15</v>
          </cell>
          <cell r="AJ1560">
            <v>21</v>
          </cell>
          <cell r="AK1560">
            <v>21</v>
          </cell>
          <cell r="AL1560">
            <v>12</v>
          </cell>
          <cell r="AM1560">
            <v>21</v>
          </cell>
          <cell r="AN1560">
            <v>17</v>
          </cell>
        </row>
        <row r="1561">
          <cell r="A1561" t="str">
            <v/>
          </cell>
          <cell r="B1561" t="str">
            <v>Emilia JAWORSKA (MKS Spartakus Niepołomice)</v>
          </cell>
          <cell r="H1561" t="str">
            <v>J3786</v>
          </cell>
          <cell r="K1561" t="str">
            <v>Ś3779</v>
          </cell>
          <cell r="N1561" t="str">
            <v>Magdalena ŚWIERCZYŃSKA (UKS Orkan Przeźmierowo)</v>
          </cell>
        </row>
        <row r="1562">
          <cell r="A1562" t="str">
            <v/>
          </cell>
          <cell r="B1562" t="str">
            <v>Magdalena MACHNIK (UKS Orbitek Straszęcin)</v>
          </cell>
          <cell r="H1562" t="str">
            <v>M3661</v>
          </cell>
          <cell r="K1562" t="str">
            <v>W4435</v>
          </cell>
          <cell r="N1562" t="str">
            <v>Karolina WŁADZIŃSKA (----)</v>
          </cell>
        </row>
        <row r="1564">
          <cell r="B1564" t="str">
            <v>zwycięzca(cy): 15:21,21:12,21:17</v>
          </cell>
          <cell r="K1564" t="str">
            <v/>
          </cell>
        </row>
        <row r="1565">
          <cell r="B1565">
            <v>2</v>
          </cell>
          <cell r="C1565" t="str">
            <v>dzień turnieju.</v>
          </cell>
          <cell r="I1565" t="str">
            <v>Nr meczu</v>
          </cell>
          <cell r="N1565" t="str">
            <v>Godz.</v>
          </cell>
          <cell r="R1565" t="str">
            <v>S. prow.</v>
          </cell>
          <cell r="AF1565" t="str">
            <v>wygrany</v>
          </cell>
          <cell r="AG1565" t="str">
            <v>przegrany</v>
          </cell>
        </row>
        <row r="1566">
          <cell r="B1566" t="str">
            <v>Boisko</v>
          </cell>
          <cell r="C1566" t="str">
            <v>Gra</v>
          </cell>
          <cell r="I1566">
            <v>224</v>
          </cell>
          <cell r="N1566" t="str">
            <v>rozp.</v>
          </cell>
          <cell r="P1566" t="str">
            <v>zak.</v>
          </cell>
          <cell r="R1566" t="str">
            <v>S. serw.</v>
          </cell>
        </row>
        <row r="1567">
          <cell r="A1567">
            <v>224</v>
          </cell>
          <cell r="B1567">
            <v>4</v>
          </cell>
          <cell r="C1567" t="str">
            <v>podwójna kobiet J</v>
          </cell>
          <cell r="H1567">
            <v>21</v>
          </cell>
          <cell r="I1567">
            <v>10</v>
          </cell>
          <cell r="J1567">
            <v>21</v>
          </cell>
          <cell r="K1567">
            <v>15</v>
          </cell>
          <cell r="P1567">
            <v>0.76041666666666663</v>
          </cell>
          <cell r="R1567">
            <v>0.76041666666666663</v>
          </cell>
          <cell r="S1567" t="str">
            <v>sob 17:30</v>
          </cell>
          <cell r="X1567">
            <v>224</v>
          </cell>
          <cell r="Y1567" t="str">
            <v>podwójna kobiet J</v>
          </cell>
          <cell r="Z1567" t="str">
            <v>D3155</v>
          </cell>
          <cell r="AA1567" t="str">
            <v>T3157</v>
          </cell>
          <cell r="AB1567" t="str">
            <v>G2661</v>
          </cell>
          <cell r="AC1567" t="str">
            <v>K3351</v>
          </cell>
          <cell r="AD1567" t="str">
            <v>D3155</v>
          </cell>
          <cell r="AE1567" t="str">
            <v>T3157</v>
          </cell>
          <cell r="AF1567" t="str">
            <v>21:10,21:15</v>
          </cell>
          <cell r="AG1567" t="str">
            <v>10:21,15:21</v>
          </cell>
          <cell r="AH1567" t="str">
            <v/>
          </cell>
          <cell r="AI1567">
            <v>21</v>
          </cell>
          <cell r="AJ1567">
            <v>10</v>
          </cell>
          <cell r="AK1567">
            <v>21</v>
          </cell>
          <cell r="AL1567">
            <v>15</v>
          </cell>
          <cell r="AM1567">
            <v>0</v>
          </cell>
          <cell r="AN1567">
            <v>0</v>
          </cell>
        </row>
        <row r="1568">
          <cell r="A1568" t="str">
            <v/>
          </cell>
          <cell r="B1568" t="str">
            <v>Anna DĘBSKA (UKSB Milenium Warszawa)</v>
          </cell>
          <cell r="H1568" t="str">
            <v>D3155</v>
          </cell>
          <cell r="K1568" t="str">
            <v>G2661</v>
          </cell>
          <cell r="N1568" t="str">
            <v>Diana GŁOWACKA (LUKS Księżyno)</v>
          </cell>
        </row>
        <row r="1569">
          <cell r="A1569" t="str">
            <v/>
          </cell>
          <cell r="B1569" t="str">
            <v>Adrianna TATAJ (UKSB Milenium Warszawa)</v>
          </cell>
          <cell r="H1569" t="str">
            <v>T3157</v>
          </cell>
          <cell r="K1569" t="str">
            <v>K3351</v>
          </cell>
          <cell r="N1569" t="str">
            <v>Paulina KACZOROWSKA (KS Chojnik Jelenia Góra)</v>
          </cell>
        </row>
        <row r="1571">
          <cell r="B1571" t="str">
            <v>zwycięzca(cy): 21:10,21:15</v>
          </cell>
          <cell r="K1571" t="str">
            <v/>
          </cell>
        </row>
        <row r="1572">
          <cell r="B1572">
            <v>2</v>
          </cell>
          <cell r="C1572" t="str">
            <v>dzień turnieju.</v>
          </cell>
          <cell r="I1572" t="str">
            <v>Nr meczu</v>
          </cell>
          <cell r="N1572" t="str">
            <v>Godz.</v>
          </cell>
          <cell r="R1572" t="str">
            <v>S. prow.</v>
          </cell>
          <cell r="AF1572" t="str">
            <v>wygrany</v>
          </cell>
          <cell r="AG1572" t="str">
            <v>przegrany</v>
          </cell>
        </row>
        <row r="1573">
          <cell r="B1573" t="str">
            <v>Boisko</v>
          </cell>
          <cell r="C1573" t="str">
            <v>Gra</v>
          </cell>
          <cell r="I1573">
            <v>225</v>
          </cell>
          <cell r="N1573" t="str">
            <v>rozp.</v>
          </cell>
          <cell r="P1573" t="str">
            <v>zak.</v>
          </cell>
          <cell r="R1573" t="str">
            <v>S. serw.</v>
          </cell>
        </row>
        <row r="1574">
          <cell r="A1574">
            <v>225</v>
          </cell>
          <cell r="B1574">
            <v>3</v>
          </cell>
          <cell r="C1574" t="str">
            <v>podwójna chłopców JM</v>
          </cell>
          <cell r="H1574">
            <v>21</v>
          </cell>
          <cell r="I1574">
            <v>11</v>
          </cell>
          <cell r="J1574">
            <v>21</v>
          </cell>
          <cell r="K1574">
            <v>17</v>
          </cell>
          <cell r="P1574">
            <v>0.77569444444444446</v>
          </cell>
          <cell r="R1574">
            <v>0.77569444444444446</v>
          </cell>
          <cell r="S1574" t="str">
            <v>sob 17:30</v>
          </cell>
          <cell r="X1574">
            <v>225</v>
          </cell>
          <cell r="Y1574" t="str">
            <v>podwójna chłopców JM</v>
          </cell>
          <cell r="Z1574" t="str">
            <v>F4048</v>
          </cell>
          <cell r="AA1574" t="str">
            <v>W4049</v>
          </cell>
          <cell r="AB1574" t="str">
            <v>X41</v>
          </cell>
          <cell r="AC1574" t="str">
            <v>X39</v>
          </cell>
          <cell r="AD1574" t="str">
            <v>F4048</v>
          </cell>
          <cell r="AE1574" t="str">
            <v>W4049</v>
          </cell>
          <cell r="AF1574" t="str">
            <v>21:11,21:17</v>
          </cell>
          <cell r="AG1574" t="str">
            <v>11:21,17:21</v>
          </cell>
          <cell r="AH1574" t="str">
            <v/>
          </cell>
          <cell r="AI1574">
            <v>21</v>
          </cell>
          <cell r="AJ1574">
            <v>11</v>
          </cell>
          <cell r="AK1574">
            <v>21</v>
          </cell>
          <cell r="AL1574">
            <v>17</v>
          </cell>
          <cell r="AM1574">
            <v>0</v>
          </cell>
          <cell r="AN1574">
            <v>0</v>
          </cell>
        </row>
        <row r="1575">
          <cell r="A1575" t="str">
            <v/>
          </cell>
          <cell r="B1575" t="str">
            <v>Konrad FRĄTCZAK (UKS Iskra Sarbice)</v>
          </cell>
          <cell r="H1575" t="str">
            <v>F4048</v>
          </cell>
          <cell r="K1575" t="str">
            <v>X41</v>
          </cell>
          <cell r="N1575" t="str">
            <v>Marek Kufa  (Slavoj Cesky Tesin)</v>
          </cell>
        </row>
        <row r="1576">
          <cell r="A1576" t="str">
            <v/>
          </cell>
          <cell r="B1576" t="str">
            <v>Kamil WUDARSKI (UKS Iskra Sarbice)</v>
          </cell>
          <cell r="H1576" t="str">
            <v>W4049</v>
          </cell>
          <cell r="K1576" t="str">
            <v>X39</v>
          </cell>
          <cell r="N1576" t="str">
            <v>Adam Šářec  (Slavoj Cesky Tesin)</v>
          </cell>
        </row>
        <row r="1578">
          <cell r="B1578" t="str">
            <v>zwycięzca(cy): 21:11,21:17</v>
          </cell>
          <cell r="K1578" t="str">
            <v/>
          </cell>
        </row>
        <row r="1579">
          <cell r="B1579">
            <v>2</v>
          </cell>
          <cell r="C1579" t="str">
            <v>dzień turnieju.</v>
          </cell>
          <cell r="I1579" t="str">
            <v>Nr meczu</v>
          </cell>
          <cell r="N1579" t="str">
            <v>Godz.</v>
          </cell>
          <cell r="R1579" t="str">
            <v>S. prow.</v>
          </cell>
          <cell r="AF1579" t="str">
            <v>wygrany</v>
          </cell>
          <cell r="AG1579" t="str">
            <v>przegrany</v>
          </cell>
        </row>
        <row r="1580">
          <cell r="B1580" t="str">
            <v>Boisko</v>
          </cell>
          <cell r="C1580" t="str">
            <v>Gra</v>
          </cell>
          <cell r="I1580">
            <v>226</v>
          </cell>
          <cell r="N1580" t="str">
            <v>rozp.</v>
          </cell>
          <cell r="P1580" t="str">
            <v>zak.</v>
          </cell>
          <cell r="R1580" t="str">
            <v>S. serw.</v>
          </cell>
        </row>
        <row r="1581">
          <cell r="A1581">
            <v>226</v>
          </cell>
          <cell r="B1581">
            <v>2</v>
          </cell>
          <cell r="C1581" t="str">
            <v>podwójna chłopców JM</v>
          </cell>
          <cell r="H1581">
            <v>21</v>
          </cell>
          <cell r="I1581">
            <v>19</v>
          </cell>
          <cell r="J1581">
            <v>21</v>
          </cell>
          <cell r="K1581">
            <v>18</v>
          </cell>
          <cell r="P1581">
            <v>0.81180555555555556</v>
          </cell>
          <cell r="R1581">
            <v>0.81180555555555556</v>
          </cell>
          <cell r="S1581" t="str">
            <v>sob 17:30</v>
          </cell>
          <cell r="X1581">
            <v>226</v>
          </cell>
          <cell r="Y1581" t="str">
            <v>podwójna chłopców JM</v>
          </cell>
          <cell r="Z1581" t="str">
            <v>M3524</v>
          </cell>
          <cell r="AA1581" t="str">
            <v>M4193</v>
          </cell>
          <cell r="AB1581" t="str">
            <v>J2970</v>
          </cell>
          <cell r="AC1581" t="str">
            <v>J3436</v>
          </cell>
          <cell r="AD1581" t="str">
            <v>M3524</v>
          </cell>
          <cell r="AE1581" t="str">
            <v>M4193</v>
          </cell>
          <cell r="AF1581" t="str">
            <v>21:19,21:18</v>
          </cell>
          <cell r="AG1581" t="str">
            <v>19:21,18:21</v>
          </cell>
          <cell r="AH1581" t="str">
            <v/>
          </cell>
          <cell r="AI1581">
            <v>21</v>
          </cell>
          <cell r="AJ1581">
            <v>19</v>
          </cell>
          <cell r="AK1581">
            <v>21</v>
          </cell>
          <cell r="AL1581">
            <v>18</v>
          </cell>
          <cell r="AM1581">
            <v>0</v>
          </cell>
          <cell r="AN1581">
            <v>0</v>
          </cell>
        </row>
        <row r="1582">
          <cell r="A1582" t="str">
            <v/>
          </cell>
          <cell r="B1582" t="str">
            <v>Dawid MAZUR (LKS Technik Głubczyce)</v>
          </cell>
          <cell r="H1582" t="str">
            <v>M3524</v>
          </cell>
          <cell r="K1582" t="str">
            <v>J2970</v>
          </cell>
          <cell r="N1582" t="str">
            <v>Aleksander JABŁOŃSKI (UKS Hubal Białystok)</v>
          </cell>
        </row>
        <row r="1583">
          <cell r="A1583" t="str">
            <v/>
          </cell>
          <cell r="B1583" t="str">
            <v>Robert MIRGA (LKS Technik Głubczyce)</v>
          </cell>
          <cell r="H1583" t="str">
            <v>M4193</v>
          </cell>
          <cell r="K1583" t="str">
            <v>J3436</v>
          </cell>
          <cell r="N1583" t="str">
            <v>Patryk JAS (UKS Kometa Sianów)</v>
          </cell>
        </row>
        <row r="1585">
          <cell r="B1585" t="str">
            <v>zwycięzca(cy): 21:19,21:18</v>
          </cell>
          <cell r="K1585" t="str">
            <v/>
          </cell>
        </row>
        <row r="1586">
          <cell r="B1586">
            <v>2</v>
          </cell>
          <cell r="C1586" t="str">
            <v>dzień turnieju.</v>
          </cell>
          <cell r="I1586" t="str">
            <v>Nr meczu</v>
          </cell>
          <cell r="N1586" t="str">
            <v>Godz.</v>
          </cell>
          <cell r="R1586" t="str">
            <v>S. prow.</v>
          </cell>
          <cell r="AF1586" t="str">
            <v>wygrany</v>
          </cell>
          <cell r="AG1586" t="str">
            <v>przegrany</v>
          </cell>
        </row>
        <row r="1587">
          <cell r="B1587" t="str">
            <v>Boisko</v>
          </cell>
          <cell r="C1587" t="str">
            <v>Gra</v>
          </cell>
          <cell r="I1587">
            <v>227</v>
          </cell>
          <cell r="N1587" t="str">
            <v>rozp.</v>
          </cell>
          <cell r="P1587" t="str">
            <v>zak.</v>
          </cell>
          <cell r="R1587" t="str">
            <v>S. serw.</v>
          </cell>
        </row>
        <row r="1588">
          <cell r="A1588">
            <v>227</v>
          </cell>
          <cell r="B1588">
            <v>5</v>
          </cell>
          <cell r="C1588" t="str">
            <v>pojedyncza kobiet J</v>
          </cell>
          <cell r="H1588">
            <v>21</v>
          </cell>
          <cell r="I1588">
            <v>11</v>
          </cell>
          <cell r="J1588">
            <v>21</v>
          </cell>
          <cell r="K1588">
            <v>13</v>
          </cell>
          <cell r="P1588">
            <v>0.77222222222222225</v>
          </cell>
          <cell r="R1588">
            <v>0.77222222222222225</v>
          </cell>
          <cell r="S1588" t="str">
            <v>sob 18:00</v>
          </cell>
          <cell r="X1588">
            <v>227</v>
          </cell>
          <cell r="Y1588" t="str">
            <v>pojedyncza kobiet J</v>
          </cell>
          <cell r="Z1588" t="str">
            <v>J2971</v>
          </cell>
          <cell r="AA1588" t="str">
            <v/>
          </cell>
          <cell r="AB1588" t="str">
            <v>M3309</v>
          </cell>
          <cell r="AC1588" t="str">
            <v/>
          </cell>
          <cell r="AD1588" t="str">
            <v>J2971</v>
          </cell>
          <cell r="AE1588" t="str">
            <v/>
          </cell>
          <cell r="AF1588" t="str">
            <v>21:11,21:13</v>
          </cell>
          <cell r="AG1588" t="str">
            <v>11:21,13:21</v>
          </cell>
          <cell r="AH1588" t="str">
            <v/>
          </cell>
          <cell r="AI1588">
            <v>21</v>
          </cell>
          <cell r="AJ1588">
            <v>11</v>
          </cell>
          <cell r="AK1588">
            <v>21</v>
          </cell>
          <cell r="AL1588">
            <v>13</v>
          </cell>
          <cell r="AM1588">
            <v>0</v>
          </cell>
          <cell r="AN1588">
            <v>0</v>
          </cell>
        </row>
        <row r="1589">
          <cell r="A1589" t="str">
            <v/>
          </cell>
          <cell r="B1589" t="str">
            <v>Karolina JANOWSKA (UKS Hubal Białystok)</v>
          </cell>
          <cell r="H1589" t="str">
            <v>J2971</v>
          </cell>
          <cell r="K1589" t="str">
            <v>M3309</v>
          </cell>
          <cell r="N1589" t="str">
            <v>Edyta MIETŁA (MKS Spartakus Niepołomice)</v>
          </cell>
        </row>
        <row r="1590">
          <cell r="A1590" t="str">
            <v/>
          </cell>
          <cell r="B1590" t="str">
            <v/>
          </cell>
          <cell r="H1590" t="str">
            <v/>
          </cell>
          <cell r="K1590" t="str">
            <v/>
          </cell>
          <cell r="N1590" t="str">
            <v/>
          </cell>
        </row>
        <row r="1592">
          <cell r="B1592" t="str">
            <v>zwycięzca(cy): 21:11,21:13</v>
          </cell>
          <cell r="K1592" t="str">
            <v/>
          </cell>
        </row>
        <row r="1593">
          <cell r="B1593">
            <v>2</v>
          </cell>
          <cell r="C1593" t="str">
            <v>dzień turnieju.</v>
          </cell>
          <cell r="I1593" t="str">
            <v>Nr meczu</v>
          </cell>
          <cell r="N1593" t="str">
            <v>Godz.</v>
          </cell>
          <cell r="R1593" t="str">
            <v>S. prow.</v>
          </cell>
          <cell r="AF1593" t="str">
            <v>wygrany</v>
          </cell>
          <cell r="AG1593" t="str">
            <v>przegrany</v>
          </cell>
        </row>
        <row r="1594">
          <cell r="B1594" t="str">
            <v>Boisko</v>
          </cell>
          <cell r="C1594" t="str">
            <v>Gra</v>
          </cell>
          <cell r="I1594">
            <v>228</v>
          </cell>
          <cell r="N1594" t="str">
            <v>rozp.</v>
          </cell>
          <cell r="P1594" t="str">
            <v>zak.</v>
          </cell>
          <cell r="R1594" t="str">
            <v>S. serw.</v>
          </cell>
        </row>
        <row r="1595">
          <cell r="A1595">
            <v>228</v>
          </cell>
          <cell r="B1595">
            <v>6</v>
          </cell>
          <cell r="C1595" t="str">
            <v>pojedyncza kobiet J</v>
          </cell>
          <cell r="H1595">
            <v>15</v>
          </cell>
          <cell r="I1595">
            <v>21</v>
          </cell>
          <cell r="J1595">
            <v>14</v>
          </cell>
          <cell r="K1595">
            <v>21</v>
          </cell>
          <cell r="P1595">
            <v>0.7895833333333333</v>
          </cell>
          <cell r="R1595">
            <v>0.7895833333333333</v>
          </cell>
          <cell r="S1595" t="str">
            <v>sob 18:00</v>
          </cell>
          <cell r="X1595">
            <v>228</v>
          </cell>
          <cell r="Y1595" t="str">
            <v>pojedyncza kobiet J</v>
          </cell>
          <cell r="Z1595" t="str">
            <v>P2838</v>
          </cell>
          <cell r="AA1595" t="str">
            <v/>
          </cell>
          <cell r="AB1595" t="str">
            <v>D3155</v>
          </cell>
          <cell r="AC1595" t="str">
            <v/>
          </cell>
          <cell r="AD1595" t="str">
            <v>D3155</v>
          </cell>
          <cell r="AE1595" t="str">
            <v/>
          </cell>
          <cell r="AF1595" t="str">
            <v>21:15,21:14</v>
          </cell>
          <cell r="AG1595" t="str">
            <v>15:21,14:21</v>
          </cell>
          <cell r="AH1595" t="str">
            <v/>
          </cell>
          <cell r="AI1595">
            <v>15</v>
          </cell>
          <cell r="AJ1595">
            <v>21</v>
          </cell>
          <cell r="AK1595">
            <v>14</v>
          </cell>
          <cell r="AL1595">
            <v>21</v>
          </cell>
          <cell r="AM1595">
            <v>0</v>
          </cell>
          <cell r="AN1595">
            <v>0</v>
          </cell>
        </row>
        <row r="1596">
          <cell r="A1596" t="str">
            <v/>
          </cell>
          <cell r="B1596" t="str">
            <v>Aleksandra PAPRZYCKA (MKB Lednik Miastko)</v>
          </cell>
          <cell r="H1596" t="str">
            <v>P2838</v>
          </cell>
          <cell r="K1596" t="str">
            <v>D3155</v>
          </cell>
          <cell r="N1596" t="str">
            <v>Anna DĘBSKA (UKSB Milenium Warszawa)</v>
          </cell>
        </row>
        <row r="1597">
          <cell r="A1597" t="str">
            <v/>
          </cell>
          <cell r="B1597" t="str">
            <v/>
          </cell>
          <cell r="H1597" t="str">
            <v/>
          </cell>
          <cell r="K1597" t="str">
            <v/>
          </cell>
          <cell r="N1597" t="str">
            <v/>
          </cell>
        </row>
        <row r="1599">
          <cell r="B1599" t="str">
            <v/>
          </cell>
          <cell r="K1599" t="str">
            <v>zwycięzca(cy): 21:15,21:14</v>
          </cell>
        </row>
        <row r="1600">
          <cell r="B1600">
            <v>2</v>
          </cell>
          <cell r="C1600" t="str">
            <v>dzień turnieju.</v>
          </cell>
          <cell r="I1600" t="str">
            <v>Nr meczu</v>
          </cell>
          <cell r="N1600" t="str">
            <v>Godz.</v>
          </cell>
          <cell r="R1600" t="str">
            <v>S. prow.</v>
          </cell>
          <cell r="AF1600" t="str">
            <v>wygrany</v>
          </cell>
          <cell r="AG1600" t="str">
            <v>przegrany</v>
          </cell>
        </row>
        <row r="1601">
          <cell r="B1601" t="str">
            <v>Boisko</v>
          </cell>
          <cell r="C1601" t="str">
            <v>Gra</v>
          </cell>
          <cell r="I1601">
            <v>229</v>
          </cell>
          <cell r="N1601" t="str">
            <v>rozp.</v>
          </cell>
          <cell r="P1601" t="str">
            <v>zak.</v>
          </cell>
          <cell r="R1601" t="str">
            <v>S. serw.</v>
          </cell>
        </row>
        <row r="1602">
          <cell r="A1602">
            <v>229</v>
          </cell>
          <cell r="B1602">
            <v>4</v>
          </cell>
          <cell r="C1602" t="str">
            <v>pojedyncza dziewcząt JM</v>
          </cell>
          <cell r="H1602">
            <v>21</v>
          </cell>
          <cell r="I1602">
            <v>11</v>
          </cell>
          <cell r="J1602">
            <v>21</v>
          </cell>
          <cell r="K1602">
            <v>17</v>
          </cell>
          <cell r="P1602">
            <v>0.78333333333333333</v>
          </cell>
          <cell r="R1602">
            <v>0.78333333333333333</v>
          </cell>
          <cell r="S1602" t="str">
            <v>sob 18:00</v>
          </cell>
          <cell r="X1602">
            <v>229</v>
          </cell>
          <cell r="Y1602" t="str">
            <v>pojedyncza dziewcząt JM</v>
          </cell>
          <cell r="Z1602" t="str">
            <v>X19</v>
          </cell>
          <cell r="AA1602" t="str">
            <v/>
          </cell>
          <cell r="AB1602" t="str">
            <v>S3951</v>
          </cell>
          <cell r="AC1602" t="str">
            <v/>
          </cell>
          <cell r="AD1602" t="str">
            <v>X19</v>
          </cell>
          <cell r="AE1602" t="str">
            <v/>
          </cell>
          <cell r="AF1602" t="str">
            <v>21:11,21:17</v>
          </cell>
          <cell r="AG1602" t="str">
            <v>11:21,17:21</v>
          </cell>
          <cell r="AH1602" t="str">
            <v/>
          </cell>
          <cell r="AI1602">
            <v>21</v>
          </cell>
          <cell r="AJ1602">
            <v>11</v>
          </cell>
          <cell r="AK1602">
            <v>21</v>
          </cell>
          <cell r="AL1602">
            <v>17</v>
          </cell>
          <cell r="AM1602">
            <v>0</v>
          </cell>
          <cell r="AN1602">
            <v>0</v>
          </cell>
        </row>
        <row r="1603">
          <cell r="A1603" t="str">
            <v/>
          </cell>
          <cell r="B1603" t="str">
            <v>Oleksandra LUGOVYKH (Vinnica Ukraina)</v>
          </cell>
          <cell r="H1603" t="str">
            <v>X19</v>
          </cell>
          <cell r="K1603" t="str">
            <v>S3951</v>
          </cell>
          <cell r="N1603" t="str">
            <v>Oliwia SOCHA (KS Chojnik Jelenia Góra)</v>
          </cell>
        </row>
        <row r="1604">
          <cell r="A1604" t="str">
            <v/>
          </cell>
          <cell r="B1604" t="str">
            <v/>
          </cell>
          <cell r="H1604" t="str">
            <v/>
          </cell>
          <cell r="K1604" t="str">
            <v/>
          </cell>
          <cell r="N1604" t="str">
            <v/>
          </cell>
        </row>
        <row r="1606">
          <cell r="B1606" t="str">
            <v>zwycięzca(cy): 21:11,21:17</v>
          </cell>
          <cell r="K1606" t="str">
            <v/>
          </cell>
        </row>
        <row r="1607">
          <cell r="B1607">
            <v>2</v>
          </cell>
          <cell r="C1607" t="str">
            <v>dzień turnieju.</v>
          </cell>
          <cell r="I1607" t="str">
            <v>Nr meczu</v>
          </cell>
          <cell r="N1607" t="str">
            <v>Godz.</v>
          </cell>
          <cell r="R1607" t="str">
            <v>S. prow.</v>
          </cell>
          <cell r="AF1607" t="str">
            <v>wygrany</v>
          </cell>
          <cell r="AG1607" t="str">
            <v>przegrany</v>
          </cell>
        </row>
        <row r="1608">
          <cell r="B1608" t="str">
            <v>Boisko</v>
          </cell>
          <cell r="C1608" t="str">
            <v>Gra</v>
          </cell>
          <cell r="I1608">
            <v>230</v>
          </cell>
          <cell r="N1608" t="str">
            <v>rozp.</v>
          </cell>
          <cell r="P1608" t="str">
            <v>zak.</v>
          </cell>
          <cell r="R1608" t="str">
            <v>S. serw.</v>
          </cell>
        </row>
        <row r="1609">
          <cell r="A1609">
            <v>230</v>
          </cell>
          <cell r="B1609">
            <v>3</v>
          </cell>
          <cell r="C1609" t="str">
            <v>pojedyncza dziewcząt JM</v>
          </cell>
          <cell r="H1609">
            <v>9</v>
          </cell>
          <cell r="I1609">
            <v>21</v>
          </cell>
          <cell r="J1609">
            <v>21</v>
          </cell>
          <cell r="K1609">
            <v>15</v>
          </cell>
          <cell r="L1609">
            <v>10</v>
          </cell>
          <cell r="M1609">
            <v>21</v>
          </cell>
          <cell r="P1609">
            <v>0.81111111111111101</v>
          </cell>
          <cell r="R1609">
            <v>0.81111111111111101</v>
          </cell>
          <cell r="S1609" t="str">
            <v>sob 18:00</v>
          </cell>
          <cell r="X1609">
            <v>230</v>
          </cell>
          <cell r="Y1609" t="str">
            <v>pojedyncza dziewcząt JM</v>
          </cell>
          <cell r="Z1609" t="str">
            <v>K4207</v>
          </cell>
          <cell r="AA1609" t="str">
            <v/>
          </cell>
          <cell r="AB1609" t="str">
            <v>Ś3779</v>
          </cell>
          <cell r="AC1609" t="str">
            <v/>
          </cell>
          <cell r="AD1609" t="str">
            <v>Ś3779</v>
          </cell>
          <cell r="AE1609" t="str">
            <v/>
          </cell>
          <cell r="AF1609" t="str">
            <v>21:9,15:21,21:10</v>
          </cell>
          <cell r="AG1609" t="str">
            <v>9:21,21:15,10:21</v>
          </cell>
          <cell r="AH1609" t="str">
            <v/>
          </cell>
          <cell r="AI1609">
            <v>9</v>
          </cell>
          <cell r="AJ1609">
            <v>21</v>
          </cell>
          <cell r="AK1609">
            <v>21</v>
          </cell>
          <cell r="AL1609">
            <v>15</v>
          </cell>
          <cell r="AM1609">
            <v>10</v>
          </cell>
          <cell r="AN1609">
            <v>21</v>
          </cell>
        </row>
        <row r="1610">
          <cell r="A1610" t="str">
            <v/>
          </cell>
          <cell r="B1610" t="str">
            <v>Urszula KARWOWSKA (UKSB Milenium Warszawa)</v>
          </cell>
          <cell r="H1610" t="str">
            <v>K4207</v>
          </cell>
          <cell r="K1610" t="str">
            <v>Ś3779</v>
          </cell>
          <cell r="N1610" t="str">
            <v>Magdalena ŚWIERCZYŃSKA (UKS Orkan Przeźmierowo)</v>
          </cell>
        </row>
        <row r="1611">
          <cell r="A1611" t="str">
            <v/>
          </cell>
          <cell r="B1611" t="str">
            <v/>
          </cell>
          <cell r="H1611" t="str">
            <v/>
          </cell>
          <cell r="K1611" t="str">
            <v/>
          </cell>
          <cell r="N1611" t="str">
            <v/>
          </cell>
        </row>
        <row r="1613">
          <cell r="B1613" t="str">
            <v/>
          </cell>
          <cell r="K1613" t="str">
            <v>zwycięzca(cy): 21:9,15:21,21:10</v>
          </cell>
        </row>
        <row r="1614">
          <cell r="B1614">
            <v>2</v>
          </cell>
          <cell r="C1614" t="str">
            <v>dzień turnieju.</v>
          </cell>
          <cell r="I1614" t="str">
            <v>Nr meczu</v>
          </cell>
          <cell r="N1614" t="str">
            <v>Godz.</v>
          </cell>
          <cell r="R1614" t="str">
            <v>S. prow.</v>
          </cell>
          <cell r="AF1614" t="str">
            <v>wygrany</v>
          </cell>
          <cell r="AG1614" t="str">
            <v>przegrany</v>
          </cell>
        </row>
        <row r="1615">
          <cell r="B1615" t="str">
            <v>Boisko</v>
          </cell>
          <cell r="C1615" t="str">
            <v>Gra</v>
          </cell>
          <cell r="I1615">
            <v>231</v>
          </cell>
          <cell r="N1615" t="str">
            <v>rozp.</v>
          </cell>
          <cell r="P1615" t="str">
            <v>zak.</v>
          </cell>
          <cell r="R1615" t="str">
            <v>S. serw.</v>
          </cell>
        </row>
        <row r="1616">
          <cell r="A1616">
            <v>231</v>
          </cell>
          <cell r="B1616">
            <v>1</v>
          </cell>
          <cell r="C1616" t="str">
            <v>pojedyncza mężczyzn J</v>
          </cell>
          <cell r="H1616">
            <v>21</v>
          </cell>
          <cell r="I1616">
            <v>10</v>
          </cell>
          <cell r="J1616">
            <v>23</v>
          </cell>
          <cell r="K1616">
            <v>21</v>
          </cell>
          <cell r="P1616">
            <v>0.7944444444444444</v>
          </cell>
          <cell r="R1616">
            <v>0.7944444444444444</v>
          </cell>
          <cell r="S1616" t="str">
            <v>sob 18:30</v>
          </cell>
          <cell r="X1616">
            <v>231</v>
          </cell>
          <cell r="Y1616" t="str">
            <v>pojedyncza mężczyzn J</v>
          </cell>
          <cell r="Z1616" t="str">
            <v>W2914</v>
          </cell>
          <cell r="AA1616" t="str">
            <v/>
          </cell>
          <cell r="AB1616" t="str">
            <v>B2621</v>
          </cell>
          <cell r="AC1616" t="str">
            <v/>
          </cell>
          <cell r="AD1616" t="str">
            <v>W2914</v>
          </cell>
          <cell r="AE1616" t="str">
            <v/>
          </cell>
          <cell r="AF1616" t="str">
            <v>21:10,23:21</v>
          </cell>
          <cell r="AG1616" t="str">
            <v>10:21,21:23</v>
          </cell>
          <cell r="AH1616" t="str">
            <v/>
          </cell>
          <cell r="AI1616">
            <v>21</v>
          </cell>
          <cell r="AJ1616">
            <v>10</v>
          </cell>
          <cell r="AK1616">
            <v>23</v>
          </cell>
          <cell r="AL1616">
            <v>21</v>
          </cell>
          <cell r="AM1616">
            <v>0</v>
          </cell>
          <cell r="AN1616">
            <v>0</v>
          </cell>
        </row>
        <row r="1617">
          <cell r="A1617" t="str">
            <v/>
          </cell>
          <cell r="B1617" t="str">
            <v>Piotr WASILUK (LUKS Badminton Choroszcz)</v>
          </cell>
          <cell r="H1617" t="str">
            <v>W2914</v>
          </cell>
          <cell r="K1617" t="str">
            <v>B2621</v>
          </cell>
          <cell r="N1617" t="str">
            <v>Mateusz BIERNACKI (UKS Hubal Białystok)</v>
          </cell>
        </row>
        <row r="1618">
          <cell r="A1618" t="str">
            <v/>
          </cell>
          <cell r="B1618" t="str">
            <v/>
          </cell>
          <cell r="H1618" t="str">
            <v/>
          </cell>
          <cell r="K1618" t="str">
            <v/>
          </cell>
          <cell r="N1618" t="str">
            <v/>
          </cell>
        </row>
        <row r="1620">
          <cell r="B1620" t="str">
            <v>zwycięzca(cy): 21:10,23:21</v>
          </cell>
          <cell r="K1620" t="str">
            <v/>
          </cell>
        </row>
        <row r="1621">
          <cell r="B1621">
            <v>2</v>
          </cell>
          <cell r="C1621" t="str">
            <v>dzień turnieju.</v>
          </cell>
          <cell r="I1621" t="str">
            <v>Nr meczu</v>
          </cell>
          <cell r="N1621" t="str">
            <v>Godz.</v>
          </cell>
          <cell r="R1621" t="str">
            <v>S. prow.</v>
          </cell>
          <cell r="AF1621" t="str">
            <v>wygrany</v>
          </cell>
          <cell r="AG1621" t="str">
            <v>przegrany</v>
          </cell>
        </row>
        <row r="1622">
          <cell r="B1622" t="str">
            <v>Boisko</v>
          </cell>
          <cell r="C1622" t="str">
            <v>Gra</v>
          </cell>
          <cell r="I1622">
            <v>232</v>
          </cell>
          <cell r="N1622" t="str">
            <v>rozp.</v>
          </cell>
          <cell r="P1622" t="str">
            <v>zak.</v>
          </cell>
          <cell r="R1622" t="str">
            <v>S. serw.</v>
          </cell>
        </row>
        <row r="1623">
          <cell r="A1623">
            <v>232</v>
          </cell>
          <cell r="B1623">
            <v>2</v>
          </cell>
          <cell r="C1623" t="str">
            <v>pojedyncza mężczyzn J</v>
          </cell>
          <cell r="H1623">
            <v>10</v>
          </cell>
          <cell r="I1623">
            <v>21</v>
          </cell>
          <cell r="J1623">
            <v>8</v>
          </cell>
          <cell r="K1623">
            <v>21</v>
          </cell>
          <cell r="P1623">
            <v>0.78888888888888886</v>
          </cell>
          <cell r="R1623">
            <v>0.78888888888888886</v>
          </cell>
          <cell r="S1623" t="str">
            <v>sob 18:30</v>
          </cell>
          <cell r="X1623">
            <v>232</v>
          </cell>
          <cell r="Y1623" t="str">
            <v>pojedyncza mężczyzn J</v>
          </cell>
          <cell r="Z1623" t="str">
            <v>L3566</v>
          </cell>
          <cell r="AA1623" t="str">
            <v/>
          </cell>
          <cell r="AB1623" t="str">
            <v>J3112</v>
          </cell>
          <cell r="AC1623" t="str">
            <v/>
          </cell>
          <cell r="AD1623" t="str">
            <v>J3112</v>
          </cell>
          <cell r="AE1623" t="str">
            <v/>
          </cell>
          <cell r="AF1623" t="str">
            <v>21:10,21:8</v>
          </cell>
          <cell r="AG1623" t="str">
            <v>10:21,8:21</v>
          </cell>
          <cell r="AH1623" t="str">
            <v/>
          </cell>
          <cell r="AI1623">
            <v>10</v>
          </cell>
          <cell r="AJ1623">
            <v>21</v>
          </cell>
          <cell r="AK1623">
            <v>8</v>
          </cell>
          <cell r="AL1623">
            <v>21</v>
          </cell>
          <cell r="AM1623">
            <v>0</v>
          </cell>
          <cell r="AN1623">
            <v>0</v>
          </cell>
        </row>
        <row r="1624">
          <cell r="A1624" t="str">
            <v/>
          </cell>
          <cell r="B1624" t="str">
            <v>Paweł LEPIANKA (UKS Kiko Zamość)</v>
          </cell>
          <cell r="H1624" t="str">
            <v>L3566</v>
          </cell>
          <cell r="K1624" t="str">
            <v>J3112</v>
          </cell>
          <cell r="N1624" t="str">
            <v>Krzysztof JAKOWCZUK (UKS Hubal Białystok)</v>
          </cell>
        </row>
        <row r="1625">
          <cell r="A1625" t="str">
            <v/>
          </cell>
          <cell r="B1625" t="str">
            <v/>
          </cell>
          <cell r="H1625" t="str">
            <v/>
          </cell>
          <cell r="K1625" t="str">
            <v/>
          </cell>
          <cell r="N1625" t="str">
            <v/>
          </cell>
        </row>
        <row r="1627">
          <cell r="B1627" t="str">
            <v/>
          </cell>
          <cell r="K1627" t="str">
            <v>zwycięzca(cy): 21:10,21:8</v>
          </cell>
        </row>
        <row r="1628">
          <cell r="B1628">
            <v>2</v>
          </cell>
          <cell r="C1628" t="str">
            <v>dzień turnieju.</v>
          </cell>
          <cell r="I1628" t="str">
            <v>Nr meczu</v>
          </cell>
          <cell r="N1628" t="str">
            <v>Godz.</v>
          </cell>
          <cell r="R1628" t="str">
            <v>S. prow.</v>
          </cell>
          <cell r="AF1628" t="str">
            <v>wygrany</v>
          </cell>
          <cell r="AG1628" t="str">
            <v>przegrany</v>
          </cell>
        </row>
        <row r="1629">
          <cell r="B1629" t="str">
            <v>Boisko</v>
          </cell>
          <cell r="C1629" t="str">
            <v>Gra</v>
          </cell>
          <cell r="I1629">
            <v>233</v>
          </cell>
          <cell r="N1629" t="str">
            <v>rozp.</v>
          </cell>
          <cell r="P1629" t="str">
            <v>zak.</v>
          </cell>
          <cell r="R1629" t="str">
            <v>S. serw.</v>
          </cell>
        </row>
        <row r="1630">
          <cell r="A1630">
            <v>233</v>
          </cell>
          <cell r="B1630">
            <v>4</v>
          </cell>
          <cell r="C1630" t="str">
            <v>pojedyncza chłopców JM</v>
          </cell>
          <cell r="H1630">
            <v>19</v>
          </cell>
          <cell r="I1630">
            <v>21</v>
          </cell>
          <cell r="J1630">
            <v>21</v>
          </cell>
          <cell r="K1630">
            <v>11</v>
          </cell>
          <cell r="L1630">
            <v>11</v>
          </cell>
          <cell r="M1630">
            <v>21</v>
          </cell>
          <cell r="P1630">
            <v>0.8520833333333333</v>
          </cell>
          <cell r="R1630">
            <v>0.8520833333333333</v>
          </cell>
          <cell r="S1630" t="str">
            <v>sob 18:30</v>
          </cell>
          <cell r="X1630">
            <v>233</v>
          </cell>
          <cell r="Y1630" t="str">
            <v>pojedyncza chłopców JM</v>
          </cell>
          <cell r="Z1630" t="str">
            <v>J2970</v>
          </cell>
          <cell r="AA1630" t="str">
            <v/>
          </cell>
          <cell r="AB1630" t="str">
            <v>X56</v>
          </cell>
          <cell r="AC1630" t="str">
            <v/>
          </cell>
          <cell r="AD1630" t="str">
            <v>X56</v>
          </cell>
          <cell r="AE1630" t="str">
            <v/>
          </cell>
          <cell r="AF1630" t="str">
            <v>21:19,11:21,21:11</v>
          </cell>
          <cell r="AG1630" t="str">
            <v>19:21,21:11,11:21</v>
          </cell>
          <cell r="AH1630" t="str">
            <v/>
          </cell>
          <cell r="AI1630">
            <v>19</v>
          </cell>
          <cell r="AJ1630">
            <v>21</v>
          </cell>
          <cell r="AK1630">
            <v>21</v>
          </cell>
          <cell r="AL1630">
            <v>11</v>
          </cell>
          <cell r="AM1630">
            <v>11</v>
          </cell>
          <cell r="AN1630">
            <v>21</v>
          </cell>
        </row>
        <row r="1631">
          <cell r="A1631" t="str">
            <v/>
          </cell>
          <cell r="B1631" t="str">
            <v>Aleksander JABŁOŃSKI (UKS Hubal Białystok)</v>
          </cell>
          <cell r="H1631" t="str">
            <v>J2970</v>
          </cell>
          <cell r="K1631" t="str">
            <v>X56</v>
          </cell>
          <cell r="N1631" t="str">
            <v>Artem TKACHUK (Vinnica Ukraina)</v>
          </cell>
        </row>
        <row r="1632">
          <cell r="A1632" t="str">
            <v/>
          </cell>
          <cell r="B1632" t="str">
            <v/>
          </cell>
          <cell r="H1632" t="str">
            <v/>
          </cell>
          <cell r="K1632" t="str">
            <v/>
          </cell>
          <cell r="N1632" t="str">
            <v/>
          </cell>
        </row>
        <row r="1634">
          <cell r="B1634" t="str">
            <v/>
          </cell>
          <cell r="K1634" t="str">
            <v>zwycięzca(cy): 21:19,11:21,21:11</v>
          </cell>
        </row>
        <row r="1635">
          <cell r="B1635">
            <v>2</v>
          </cell>
          <cell r="C1635" t="str">
            <v>dzień turnieju.</v>
          </cell>
          <cell r="I1635" t="str">
            <v>Nr meczu</v>
          </cell>
          <cell r="N1635" t="str">
            <v>Godz.</v>
          </cell>
          <cell r="R1635" t="str">
            <v>S. prow.</v>
          </cell>
          <cell r="AF1635" t="str">
            <v>wygrany</v>
          </cell>
          <cell r="AG1635" t="str">
            <v>przegrany</v>
          </cell>
        </row>
        <row r="1636">
          <cell r="B1636" t="str">
            <v>Boisko</v>
          </cell>
          <cell r="C1636" t="str">
            <v>Gra</v>
          </cell>
          <cell r="I1636">
            <v>234</v>
          </cell>
          <cell r="N1636" t="str">
            <v>rozp.</v>
          </cell>
          <cell r="P1636" t="str">
            <v>zak.</v>
          </cell>
          <cell r="R1636" t="str">
            <v>S. serw.</v>
          </cell>
        </row>
        <row r="1637">
          <cell r="A1637">
            <v>234</v>
          </cell>
          <cell r="B1637">
            <v>5</v>
          </cell>
          <cell r="C1637" t="str">
            <v>pojedyncza chłopców JM</v>
          </cell>
          <cell r="H1637">
            <v>21</v>
          </cell>
          <cell r="I1637">
            <v>18</v>
          </cell>
          <cell r="J1637">
            <v>21</v>
          </cell>
          <cell r="K1637">
            <v>16</v>
          </cell>
          <cell r="P1637">
            <v>0.8125</v>
          </cell>
          <cell r="R1637">
            <v>0.8125</v>
          </cell>
          <cell r="S1637" t="str">
            <v>sob 18:30</v>
          </cell>
          <cell r="X1637">
            <v>234</v>
          </cell>
          <cell r="Y1637" t="str">
            <v>pojedyncza chłopców JM</v>
          </cell>
          <cell r="Z1637" t="str">
            <v>D3323</v>
          </cell>
          <cell r="AA1637" t="str">
            <v/>
          </cell>
          <cell r="AB1637" t="str">
            <v>K4248</v>
          </cell>
          <cell r="AC1637" t="str">
            <v/>
          </cell>
          <cell r="AD1637" t="str">
            <v>D3323</v>
          </cell>
          <cell r="AE1637" t="str">
            <v/>
          </cell>
          <cell r="AF1637" t="str">
            <v>21:18,21:16</v>
          </cell>
          <cell r="AG1637" t="str">
            <v>18:21,16:21</v>
          </cell>
          <cell r="AH1637" t="str">
            <v/>
          </cell>
          <cell r="AI1637">
            <v>21</v>
          </cell>
          <cell r="AJ1637">
            <v>18</v>
          </cell>
          <cell r="AK1637">
            <v>21</v>
          </cell>
          <cell r="AL1637">
            <v>16</v>
          </cell>
          <cell r="AM1637">
            <v>0</v>
          </cell>
          <cell r="AN1637">
            <v>0</v>
          </cell>
        </row>
        <row r="1638">
          <cell r="A1638" t="str">
            <v/>
          </cell>
          <cell r="B1638" t="str">
            <v>Mateusz DANIELAK (KKS Ruch Piotrków Tryb.)</v>
          </cell>
          <cell r="H1638" t="str">
            <v>D3323</v>
          </cell>
          <cell r="K1638" t="str">
            <v>K4248</v>
          </cell>
          <cell r="N1638" t="str">
            <v>Michał KIKOSICKI (KSR Wolant Łódź)</v>
          </cell>
        </row>
        <row r="1639">
          <cell r="A1639" t="str">
            <v/>
          </cell>
          <cell r="B1639" t="str">
            <v/>
          </cell>
          <cell r="H1639" t="str">
            <v/>
          </cell>
          <cell r="K1639" t="str">
            <v/>
          </cell>
          <cell r="N1639" t="str">
            <v/>
          </cell>
        </row>
        <row r="1641">
          <cell r="B1641" t="str">
            <v>zwycięzca(cy): 21:18,21:16</v>
          </cell>
          <cell r="K1641" t="str">
            <v/>
          </cell>
        </row>
        <row r="1642">
          <cell r="B1642">
            <v>3</v>
          </cell>
          <cell r="C1642" t="str">
            <v>dzień turnieju.</v>
          </cell>
          <cell r="I1642" t="str">
            <v>Nr meczu</v>
          </cell>
          <cell r="N1642" t="str">
            <v>Godz.</v>
          </cell>
          <cell r="R1642" t="str">
            <v>S. prow.</v>
          </cell>
          <cell r="AF1642" t="str">
            <v>wygrany</v>
          </cell>
          <cell r="AG1642" t="str">
            <v>przegrany</v>
          </cell>
        </row>
        <row r="1643">
          <cell r="B1643" t="str">
            <v>Boisko</v>
          </cell>
          <cell r="C1643" t="str">
            <v>Gra</v>
          </cell>
          <cell r="I1643">
            <v>235</v>
          </cell>
          <cell r="N1643" t="str">
            <v>rozp.</v>
          </cell>
          <cell r="P1643" t="str">
            <v>zak.</v>
          </cell>
          <cell r="R1643" t="str">
            <v>S. serw.</v>
          </cell>
        </row>
        <row r="1644">
          <cell r="A1644">
            <v>235</v>
          </cell>
          <cell r="B1644">
            <v>8</v>
          </cell>
          <cell r="C1644" t="str">
            <v>mieszana J</v>
          </cell>
          <cell r="H1644">
            <v>21</v>
          </cell>
          <cell r="I1644">
            <v>10</v>
          </cell>
          <cell r="J1644">
            <v>21</v>
          </cell>
          <cell r="K1644">
            <v>15</v>
          </cell>
          <cell r="P1644">
            <v>0.4368055555555555</v>
          </cell>
          <cell r="R1644">
            <v>0.4368055555555555</v>
          </cell>
          <cell r="S1644" t="str">
            <v>nie 11:30</v>
          </cell>
          <cell r="X1644">
            <v>235</v>
          </cell>
          <cell r="Y1644" t="str">
            <v>mieszana J</v>
          </cell>
          <cell r="Z1644" t="str">
            <v>W2914</v>
          </cell>
          <cell r="AA1644" t="str">
            <v>J2971</v>
          </cell>
          <cell r="AB1644" t="str">
            <v>S3502</v>
          </cell>
          <cell r="AC1644" t="str">
            <v>K3863</v>
          </cell>
          <cell r="AD1644" t="str">
            <v>W2914</v>
          </cell>
          <cell r="AE1644" t="str">
            <v>J2971</v>
          </cell>
          <cell r="AF1644" t="str">
            <v>21:10,21:15</v>
          </cell>
          <cell r="AG1644" t="str">
            <v>10:21,15:21</v>
          </cell>
          <cell r="AH1644" t="str">
            <v/>
          </cell>
          <cell r="AI1644">
            <v>21</v>
          </cell>
          <cell r="AJ1644">
            <v>10</v>
          </cell>
          <cell r="AK1644">
            <v>21</v>
          </cell>
          <cell r="AL1644">
            <v>15</v>
          </cell>
          <cell r="AM1644">
            <v>0</v>
          </cell>
          <cell r="AN1644">
            <v>0</v>
          </cell>
        </row>
        <row r="1645">
          <cell r="A1645" t="str">
            <v/>
          </cell>
          <cell r="B1645" t="str">
            <v>Piotr WASILUK (LUKS Badminton Choroszcz)</v>
          </cell>
          <cell r="H1645" t="str">
            <v>W2914</v>
          </cell>
          <cell r="K1645" t="str">
            <v>S3502</v>
          </cell>
          <cell r="N1645" t="str">
            <v>Jakub SMAJDA (UKS Ząbkowice Dąbrowa Górn.)</v>
          </cell>
        </row>
        <row r="1646">
          <cell r="A1646" t="str">
            <v/>
          </cell>
          <cell r="B1646" t="str">
            <v>Karolina JANOWSKA (UKS Hubal Białystok)</v>
          </cell>
          <cell r="H1646" t="str">
            <v>J2971</v>
          </cell>
          <cell r="K1646" t="str">
            <v>K3863</v>
          </cell>
          <cell r="N1646" t="str">
            <v>Katarzyna KUTACHA (UKS Start Widełka)</v>
          </cell>
        </row>
        <row r="1648">
          <cell r="B1648" t="str">
            <v>zwycięzca(cy): 21:10,21:15</v>
          </cell>
          <cell r="K1648" t="str">
            <v/>
          </cell>
        </row>
        <row r="1649">
          <cell r="B1649">
            <v>3</v>
          </cell>
          <cell r="C1649" t="str">
            <v>dzień turnieju.</v>
          </cell>
          <cell r="I1649" t="str">
            <v>Nr meczu</v>
          </cell>
          <cell r="N1649" t="str">
            <v>Godz.</v>
          </cell>
          <cell r="R1649" t="str">
            <v>S. prow.</v>
          </cell>
          <cell r="S1649" t="str">
            <v>JANECKI Andrzej</v>
          </cell>
          <cell r="AF1649" t="str">
            <v>wygrany</v>
          </cell>
          <cell r="AG1649" t="str">
            <v>przegrany</v>
          </cell>
        </row>
        <row r="1650">
          <cell r="B1650" t="str">
            <v>Boisko</v>
          </cell>
          <cell r="C1650" t="str">
            <v>Gra</v>
          </cell>
          <cell r="I1650">
            <v>236</v>
          </cell>
          <cell r="N1650" t="str">
            <v>rozp.</v>
          </cell>
          <cell r="P1650" t="str">
            <v>zak.</v>
          </cell>
          <cell r="R1650" t="str">
            <v>S. serw.</v>
          </cell>
        </row>
        <row r="1651">
          <cell r="A1651">
            <v>236</v>
          </cell>
          <cell r="B1651">
            <v>7</v>
          </cell>
          <cell r="C1651" t="str">
            <v>mieszana JM</v>
          </cell>
          <cell r="H1651">
            <v>21</v>
          </cell>
          <cell r="I1651">
            <v>17</v>
          </cell>
          <cell r="J1651">
            <v>21</v>
          </cell>
          <cell r="K1651">
            <v>11</v>
          </cell>
          <cell r="P1651">
            <v>0.4375</v>
          </cell>
          <cell r="R1651">
            <v>0.4375</v>
          </cell>
          <cell r="S1651" t="str">
            <v>nie 11:30</v>
          </cell>
          <cell r="X1651">
            <v>236</v>
          </cell>
          <cell r="Y1651" t="str">
            <v>mieszana JM</v>
          </cell>
          <cell r="Z1651" t="str">
            <v>X56</v>
          </cell>
          <cell r="AA1651" t="str">
            <v>X20</v>
          </cell>
          <cell r="AB1651" t="str">
            <v>M4193</v>
          </cell>
          <cell r="AC1651" t="str">
            <v>M3790</v>
          </cell>
          <cell r="AD1651" t="str">
            <v>X56</v>
          </cell>
          <cell r="AE1651" t="str">
            <v>X20</v>
          </cell>
          <cell r="AF1651" t="str">
            <v>21:17,21:11</v>
          </cell>
          <cell r="AG1651" t="str">
            <v>17:21,11:21</v>
          </cell>
          <cell r="AH1651" t="str">
            <v/>
          </cell>
          <cell r="AI1651">
            <v>21</v>
          </cell>
          <cell r="AJ1651">
            <v>17</v>
          </cell>
          <cell r="AK1651">
            <v>21</v>
          </cell>
          <cell r="AL1651">
            <v>11</v>
          </cell>
          <cell r="AM1651">
            <v>0</v>
          </cell>
          <cell r="AN1651">
            <v>0</v>
          </cell>
        </row>
        <row r="1652">
          <cell r="A1652" t="str">
            <v/>
          </cell>
          <cell r="B1652" t="str">
            <v>Artem TKACHUK (Vinnica Ukraina)</v>
          </cell>
          <cell r="H1652" t="str">
            <v>X56</v>
          </cell>
          <cell r="K1652" t="str">
            <v>M4193</v>
          </cell>
          <cell r="N1652" t="str">
            <v>Robert MIRGA (LKS Technik Głubczyce)</v>
          </cell>
        </row>
        <row r="1653">
          <cell r="A1653" t="str">
            <v/>
          </cell>
          <cell r="B1653" t="str">
            <v>Inna SEBOVA (Vinnica Ukraina)</v>
          </cell>
          <cell r="H1653" t="str">
            <v>X20</v>
          </cell>
          <cell r="K1653" t="str">
            <v>M3790</v>
          </cell>
          <cell r="N1653" t="str">
            <v>Kornelia MARCZAK (UKS Plesbad Pszczyna)</v>
          </cell>
        </row>
        <row r="1655">
          <cell r="B1655" t="str">
            <v>zwycięzca(cy): 21:17,21:11</v>
          </cell>
          <cell r="K1655" t="str">
            <v/>
          </cell>
        </row>
        <row r="1656">
          <cell r="B1656">
            <v>3</v>
          </cell>
          <cell r="C1656" t="str">
            <v>dzień turnieju.</v>
          </cell>
          <cell r="I1656" t="str">
            <v>Nr meczu</v>
          </cell>
          <cell r="N1656" t="str">
            <v>Godz.</v>
          </cell>
          <cell r="R1656" t="str">
            <v>S. prow.</v>
          </cell>
          <cell r="AF1656" t="str">
            <v>wygrany</v>
          </cell>
          <cell r="AG1656" t="str">
            <v>przegrany</v>
          </cell>
        </row>
        <row r="1657">
          <cell r="B1657" t="str">
            <v>Boisko</v>
          </cell>
          <cell r="C1657" t="str">
            <v>Gra</v>
          </cell>
          <cell r="I1657">
            <v>237</v>
          </cell>
          <cell r="N1657" t="str">
            <v>rozp.</v>
          </cell>
          <cell r="P1657" t="str">
            <v>zak.</v>
          </cell>
          <cell r="R1657" t="str">
            <v>S. serw.</v>
          </cell>
        </row>
        <row r="1658">
          <cell r="A1658">
            <v>237</v>
          </cell>
          <cell r="B1658">
            <v>2</v>
          </cell>
          <cell r="C1658" t="str">
            <v>podwójna kobiet J</v>
          </cell>
          <cell r="H1658">
            <v>17</v>
          </cell>
          <cell r="I1658">
            <v>21</v>
          </cell>
          <cell r="J1658">
            <v>20</v>
          </cell>
          <cell r="K1658">
            <v>22</v>
          </cell>
          <cell r="P1658">
            <v>0.47361111111111115</v>
          </cell>
          <cell r="R1658">
            <v>0.47361111111111115</v>
          </cell>
          <cell r="S1658" t="str">
            <v>nie 11:30</v>
          </cell>
          <cell r="X1658">
            <v>237</v>
          </cell>
          <cell r="Y1658" t="str">
            <v>podwójna kobiet J</v>
          </cell>
          <cell r="Z1658" t="str">
            <v>M3309</v>
          </cell>
          <cell r="AA1658" t="str">
            <v>P2838</v>
          </cell>
          <cell r="AB1658" t="str">
            <v>D3155</v>
          </cell>
          <cell r="AC1658" t="str">
            <v>T3157</v>
          </cell>
          <cell r="AD1658" t="str">
            <v>D3155</v>
          </cell>
          <cell r="AE1658" t="str">
            <v>T3157</v>
          </cell>
          <cell r="AF1658" t="str">
            <v>21:17,22:20</v>
          </cell>
          <cell r="AG1658" t="str">
            <v>17:21,20:22</v>
          </cell>
          <cell r="AH1658" t="str">
            <v/>
          </cell>
          <cell r="AI1658">
            <v>17</v>
          </cell>
          <cell r="AJ1658">
            <v>21</v>
          </cell>
          <cell r="AK1658">
            <v>20</v>
          </cell>
          <cell r="AL1658">
            <v>22</v>
          </cell>
          <cell r="AM1658">
            <v>0</v>
          </cell>
          <cell r="AN1658">
            <v>0</v>
          </cell>
        </row>
        <row r="1659">
          <cell r="A1659" t="str">
            <v/>
          </cell>
          <cell r="B1659" t="str">
            <v>Edyta MIETŁA (MKS Spartakus Niepołomice)</v>
          </cell>
          <cell r="H1659" t="str">
            <v>M3309</v>
          </cell>
          <cell r="K1659" t="str">
            <v>D3155</v>
          </cell>
          <cell r="N1659" t="str">
            <v>Anna DĘBSKA (UKSB Milenium Warszawa)</v>
          </cell>
        </row>
        <row r="1660">
          <cell r="A1660" t="str">
            <v/>
          </cell>
          <cell r="B1660" t="str">
            <v>Aleksandra PAPRZYCKA (MKB Lednik Miastko)</v>
          </cell>
          <cell r="H1660" t="str">
            <v>P2838</v>
          </cell>
          <cell r="K1660" t="str">
            <v>T3157</v>
          </cell>
          <cell r="N1660" t="str">
            <v>Adrianna TATAJ (UKSB Milenium Warszawa)</v>
          </cell>
        </row>
        <row r="1662">
          <cell r="B1662" t="str">
            <v/>
          </cell>
          <cell r="K1662" t="str">
            <v>zwycięzca(cy): 21:17,22:20</v>
          </cell>
        </row>
        <row r="1663">
          <cell r="B1663">
            <v>3</v>
          </cell>
          <cell r="C1663" t="str">
            <v>dzień turnieju.</v>
          </cell>
          <cell r="I1663" t="str">
            <v>Nr meczu</v>
          </cell>
          <cell r="N1663" t="str">
            <v>Godz.</v>
          </cell>
          <cell r="R1663" t="str">
            <v>S. prow.</v>
          </cell>
          <cell r="AF1663" t="str">
            <v>wygrany</v>
          </cell>
          <cell r="AG1663" t="str">
            <v>przegrany</v>
          </cell>
        </row>
        <row r="1664">
          <cell r="B1664" t="str">
            <v>Boisko</v>
          </cell>
          <cell r="C1664" t="str">
            <v>Gra</v>
          </cell>
          <cell r="I1664">
            <v>238</v>
          </cell>
          <cell r="N1664" t="str">
            <v>rozp.</v>
          </cell>
          <cell r="P1664" t="str">
            <v>zak.</v>
          </cell>
          <cell r="R1664" t="str">
            <v>S. serw.</v>
          </cell>
        </row>
        <row r="1665">
          <cell r="A1665">
            <v>238</v>
          </cell>
          <cell r="B1665">
            <v>3</v>
          </cell>
          <cell r="C1665" t="str">
            <v>podwójna dziewcząt JM</v>
          </cell>
          <cell r="H1665">
            <v>21</v>
          </cell>
          <cell r="I1665">
            <v>11</v>
          </cell>
          <cell r="J1665">
            <v>21</v>
          </cell>
          <cell r="K1665">
            <v>11</v>
          </cell>
          <cell r="P1665">
            <v>0.48402777777777778</v>
          </cell>
          <cell r="R1665">
            <v>0.48402777777777778</v>
          </cell>
          <cell r="S1665" t="str">
            <v>nie 11:30</v>
          </cell>
          <cell r="X1665">
            <v>238</v>
          </cell>
          <cell r="Y1665" t="str">
            <v>podwójna dziewcząt JM</v>
          </cell>
          <cell r="Z1665" t="str">
            <v>X19</v>
          </cell>
          <cell r="AA1665" t="str">
            <v>X20</v>
          </cell>
          <cell r="AB1665" t="str">
            <v>J3786</v>
          </cell>
          <cell r="AC1665" t="str">
            <v>M3661</v>
          </cell>
          <cell r="AD1665" t="str">
            <v>X19</v>
          </cell>
          <cell r="AE1665" t="str">
            <v>X20</v>
          </cell>
          <cell r="AF1665" t="str">
            <v>21:11,21:11</v>
          </cell>
          <cell r="AG1665" t="str">
            <v>11:21,11:21</v>
          </cell>
          <cell r="AH1665" t="str">
            <v/>
          </cell>
          <cell r="AI1665">
            <v>21</v>
          </cell>
          <cell r="AJ1665">
            <v>11</v>
          </cell>
          <cell r="AK1665">
            <v>21</v>
          </cell>
          <cell r="AL1665">
            <v>11</v>
          </cell>
          <cell r="AM1665">
            <v>0</v>
          </cell>
          <cell r="AN1665">
            <v>0</v>
          </cell>
        </row>
        <row r="1666">
          <cell r="A1666" t="str">
            <v/>
          </cell>
          <cell r="B1666" t="str">
            <v>Oleksandra LUGOVYKH (Vinnica Ukraina)</v>
          </cell>
          <cell r="H1666" t="str">
            <v>X19</v>
          </cell>
          <cell r="K1666" t="str">
            <v>J3786</v>
          </cell>
          <cell r="N1666" t="str">
            <v>Emilia JAWORSKA (MKS Spartakus Niepołomice)</v>
          </cell>
        </row>
        <row r="1667">
          <cell r="A1667" t="str">
            <v/>
          </cell>
          <cell r="B1667" t="str">
            <v>Inna SEBOVA (Vinnica Ukraina)</v>
          </cell>
          <cell r="H1667" t="str">
            <v>X20</v>
          </cell>
          <cell r="K1667" t="str">
            <v>M3661</v>
          </cell>
          <cell r="N1667" t="str">
            <v>Magdalena MACHNIK (UKS Orbitek Straszęcin)</v>
          </cell>
        </row>
        <row r="1669">
          <cell r="B1669" t="str">
            <v>zwycięzca(cy): 21:11,21:11</v>
          </cell>
          <cell r="K1669" t="str">
            <v/>
          </cell>
        </row>
        <row r="1670">
          <cell r="B1670">
            <v>3</v>
          </cell>
          <cell r="C1670" t="str">
            <v>dzień turnieju.</v>
          </cell>
          <cell r="I1670" t="str">
            <v>Nr meczu</v>
          </cell>
          <cell r="N1670" t="str">
            <v>Godz.</v>
          </cell>
          <cell r="R1670" t="str">
            <v>S. prow.</v>
          </cell>
          <cell r="AF1670" t="str">
            <v>wygrany</v>
          </cell>
          <cell r="AG1670" t="str">
            <v>przegrany</v>
          </cell>
        </row>
        <row r="1671">
          <cell r="B1671" t="str">
            <v>Boisko</v>
          </cell>
          <cell r="C1671" t="str">
            <v>Gra</v>
          </cell>
          <cell r="I1671">
            <v>239</v>
          </cell>
          <cell r="N1671" t="str">
            <v>rozp.</v>
          </cell>
          <cell r="P1671" t="str">
            <v>zak.</v>
          </cell>
          <cell r="R1671" t="str">
            <v>S. serw.</v>
          </cell>
        </row>
        <row r="1672">
          <cell r="A1672">
            <v>239</v>
          </cell>
          <cell r="B1672">
            <v>1</v>
          </cell>
          <cell r="C1672" t="str">
            <v>podwójna mężczyzn J</v>
          </cell>
          <cell r="H1672">
            <v>17</v>
          </cell>
          <cell r="I1672">
            <v>21</v>
          </cell>
          <cell r="J1672">
            <v>19</v>
          </cell>
          <cell r="K1672">
            <v>21</v>
          </cell>
          <cell r="P1672">
            <v>0.49652777777777773</v>
          </cell>
          <cell r="R1672">
            <v>0.49652777777777773</v>
          </cell>
          <cell r="S1672" t="str">
            <v>nie 11:30</v>
          </cell>
          <cell r="X1672">
            <v>239</v>
          </cell>
          <cell r="Y1672" t="str">
            <v>podwójna mężczyzn J</v>
          </cell>
          <cell r="Z1672" t="str">
            <v>K3935</v>
          </cell>
          <cell r="AA1672" t="str">
            <v>S3502</v>
          </cell>
          <cell r="AB1672" t="str">
            <v>B2621</v>
          </cell>
          <cell r="AC1672" t="str">
            <v>S2695</v>
          </cell>
          <cell r="AD1672" t="str">
            <v>B2621</v>
          </cell>
          <cell r="AE1672" t="str">
            <v>S2695</v>
          </cell>
          <cell r="AF1672" t="str">
            <v>21:17,21:19</v>
          </cell>
          <cell r="AG1672" t="str">
            <v>17:21,19:21</v>
          </cell>
          <cell r="AH1672" t="str">
            <v/>
          </cell>
          <cell r="AI1672">
            <v>17</v>
          </cell>
          <cell r="AJ1672">
            <v>21</v>
          </cell>
          <cell r="AK1672">
            <v>19</v>
          </cell>
          <cell r="AL1672">
            <v>21</v>
          </cell>
          <cell r="AM1672">
            <v>0</v>
          </cell>
          <cell r="AN1672">
            <v>0</v>
          </cell>
        </row>
        <row r="1673">
          <cell r="A1673" t="str">
            <v/>
          </cell>
          <cell r="B1673" t="str">
            <v>Michał KAŹMIERCZAK (UKS Feniks Kędzierzyn-Koźle)</v>
          </cell>
          <cell r="H1673" t="str">
            <v>K3935</v>
          </cell>
          <cell r="K1673" t="str">
            <v>B2621</v>
          </cell>
          <cell r="N1673" t="str">
            <v>Mateusz BIERNACKI (UKS Hubal Białystok)</v>
          </cell>
        </row>
        <row r="1674">
          <cell r="A1674" t="str">
            <v/>
          </cell>
          <cell r="B1674" t="str">
            <v>Jakub SMAJDA (UKS Ząbkowice Dąbrowa Górn.)</v>
          </cell>
          <cell r="H1674" t="str">
            <v>S3502</v>
          </cell>
          <cell r="K1674" t="str">
            <v>S2695</v>
          </cell>
          <cell r="N1674" t="str">
            <v>Przemysław SZYDŁOWSKI (LKS Technik Głubczyce)</v>
          </cell>
        </row>
        <row r="1676">
          <cell r="B1676" t="str">
            <v/>
          </cell>
          <cell r="K1676" t="str">
            <v>zwycięzca(cy): 21:17,21:19</v>
          </cell>
        </row>
        <row r="1677">
          <cell r="B1677">
            <v>3</v>
          </cell>
          <cell r="C1677" t="str">
            <v>dzień turnieju.</v>
          </cell>
          <cell r="I1677" t="str">
            <v>Nr meczu</v>
          </cell>
          <cell r="N1677" t="str">
            <v>Godz.</v>
          </cell>
          <cell r="R1677" t="str">
            <v>S. prow.</v>
          </cell>
          <cell r="AF1677" t="str">
            <v>wygrany</v>
          </cell>
          <cell r="AG1677" t="str">
            <v>przegrany</v>
          </cell>
        </row>
        <row r="1678">
          <cell r="B1678" t="str">
            <v>Boisko</v>
          </cell>
          <cell r="C1678" t="str">
            <v>Gra</v>
          </cell>
          <cell r="I1678">
            <v>240</v>
          </cell>
          <cell r="N1678" t="str">
            <v>rozp.</v>
          </cell>
          <cell r="P1678" t="str">
            <v>zak.</v>
          </cell>
          <cell r="R1678" t="str">
            <v>S. serw.</v>
          </cell>
        </row>
        <row r="1679">
          <cell r="A1679">
            <v>240</v>
          </cell>
          <cell r="B1679">
            <v>7</v>
          </cell>
          <cell r="C1679" t="str">
            <v>podwójna chłopców JM</v>
          </cell>
          <cell r="H1679">
            <v>14</v>
          </cell>
          <cell r="I1679">
            <v>21</v>
          </cell>
          <cell r="J1679">
            <v>20</v>
          </cell>
          <cell r="K1679">
            <v>22</v>
          </cell>
          <cell r="P1679">
            <v>0.49652777777777773</v>
          </cell>
          <cell r="R1679">
            <v>0.49652777777777773</v>
          </cell>
          <cell r="S1679" t="str">
            <v>nie 11:30</v>
          </cell>
          <cell r="X1679">
            <v>240</v>
          </cell>
          <cell r="Y1679" t="str">
            <v>podwójna chłopców JM</v>
          </cell>
          <cell r="Z1679" t="str">
            <v>F4048</v>
          </cell>
          <cell r="AA1679" t="str">
            <v>W4049</v>
          </cell>
          <cell r="AB1679" t="str">
            <v>M3524</v>
          </cell>
          <cell r="AC1679" t="str">
            <v>M4193</v>
          </cell>
          <cell r="AD1679" t="str">
            <v>M3524</v>
          </cell>
          <cell r="AE1679" t="str">
            <v>M4193</v>
          </cell>
          <cell r="AF1679" t="str">
            <v>21:14,22:20</v>
          </cell>
          <cell r="AG1679" t="str">
            <v>14:21,20:22</v>
          </cell>
          <cell r="AH1679" t="str">
            <v/>
          </cell>
          <cell r="AI1679">
            <v>14</v>
          </cell>
          <cell r="AJ1679">
            <v>21</v>
          </cell>
          <cell r="AK1679">
            <v>20</v>
          </cell>
          <cell r="AL1679">
            <v>22</v>
          </cell>
          <cell r="AM1679">
            <v>0</v>
          </cell>
          <cell r="AN1679">
            <v>0</v>
          </cell>
        </row>
        <row r="1680">
          <cell r="A1680" t="str">
            <v/>
          </cell>
          <cell r="B1680" t="str">
            <v>Konrad FRĄTCZAK (UKS Iskra Sarbice)</v>
          </cell>
          <cell r="H1680" t="str">
            <v>F4048</v>
          </cell>
          <cell r="K1680" t="str">
            <v>M3524</v>
          </cell>
          <cell r="N1680" t="str">
            <v>Dawid MAZUR (LKS Technik Głubczyce)</v>
          </cell>
        </row>
        <row r="1681">
          <cell r="A1681" t="str">
            <v/>
          </cell>
          <cell r="B1681" t="str">
            <v>Kamil WUDARSKI (UKS Iskra Sarbice)</v>
          </cell>
          <cell r="H1681" t="str">
            <v>W4049</v>
          </cell>
          <cell r="K1681" t="str">
            <v>M4193</v>
          </cell>
          <cell r="N1681" t="str">
            <v>Robert MIRGA (LKS Technik Głubczyce)</v>
          </cell>
        </row>
        <row r="1683">
          <cell r="B1683" t="str">
            <v/>
          </cell>
          <cell r="K1683" t="str">
            <v>zwycięzca(cy): 21:14,22:20</v>
          </cell>
        </row>
        <row r="1684">
          <cell r="B1684">
            <v>3</v>
          </cell>
          <cell r="C1684" t="str">
            <v>dzień turnieju.</v>
          </cell>
          <cell r="I1684" t="str">
            <v>Nr meczu</v>
          </cell>
          <cell r="N1684" t="str">
            <v>Godz.</v>
          </cell>
          <cell r="R1684" t="str">
            <v>S. prow.</v>
          </cell>
          <cell r="S1684" t="str">
            <v>JANECKI Andrzej</v>
          </cell>
          <cell r="AF1684" t="str">
            <v>wygrany</v>
          </cell>
          <cell r="AG1684" t="str">
            <v>przegrany</v>
          </cell>
        </row>
        <row r="1685">
          <cell r="B1685" t="str">
            <v>Boisko</v>
          </cell>
          <cell r="C1685" t="str">
            <v>Gra</v>
          </cell>
          <cell r="I1685">
            <v>241</v>
          </cell>
          <cell r="N1685" t="str">
            <v>rozp.</v>
          </cell>
          <cell r="P1685" t="str">
            <v>zak.</v>
          </cell>
          <cell r="R1685" t="str">
            <v>S. serw.</v>
          </cell>
        </row>
        <row r="1686">
          <cell r="A1686">
            <v>241</v>
          </cell>
          <cell r="B1686">
            <v>3</v>
          </cell>
          <cell r="C1686" t="str">
            <v>pojedyncza kobiet J</v>
          </cell>
          <cell r="H1686">
            <v>21</v>
          </cell>
          <cell r="I1686">
            <v>15</v>
          </cell>
          <cell r="J1686">
            <v>21</v>
          </cell>
          <cell r="K1686">
            <v>10</v>
          </cell>
          <cell r="P1686">
            <v>0.50555555555555554</v>
          </cell>
          <cell r="R1686">
            <v>0.50555555555555554</v>
          </cell>
          <cell r="S1686" t="str">
            <v>nie 12:30</v>
          </cell>
          <cell r="X1686">
            <v>241</v>
          </cell>
          <cell r="Y1686" t="str">
            <v>pojedyncza kobiet J</v>
          </cell>
          <cell r="Z1686" t="str">
            <v>J2971</v>
          </cell>
          <cell r="AA1686" t="str">
            <v/>
          </cell>
          <cell r="AB1686" t="str">
            <v>D3155</v>
          </cell>
          <cell r="AC1686" t="str">
            <v/>
          </cell>
          <cell r="AD1686" t="str">
            <v>J2971</v>
          </cell>
          <cell r="AE1686" t="str">
            <v/>
          </cell>
          <cell r="AF1686" t="str">
            <v>21:15,21:10</v>
          </cell>
          <cell r="AG1686" t="str">
            <v>15:21,10:21</v>
          </cell>
          <cell r="AH1686" t="str">
            <v/>
          </cell>
          <cell r="AI1686">
            <v>21</v>
          </cell>
          <cell r="AJ1686">
            <v>15</v>
          </cell>
          <cell r="AK1686">
            <v>21</v>
          </cell>
          <cell r="AL1686">
            <v>10</v>
          </cell>
          <cell r="AM1686">
            <v>0</v>
          </cell>
          <cell r="AN1686">
            <v>0</v>
          </cell>
        </row>
        <row r="1687">
          <cell r="A1687" t="str">
            <v/>
          </cell>
          <cell r="B1687" t="str">
            <v>Karolina JANOWSKA (UKS Hubal Białystok)</v>
          </cell>
          <cell r="H1687" t="str">
            <v>J2971</v>
          </cell>
          <cell r="K1687" t="str">
            <v>D3155</v>
          </cell>
          <cell r="N1687" t="str">
            <v>Anna DĘBSKA (UKSB Milenium Warszawa)</v>
          </cell>
        </row>
        <row r="1688">
          <cell r="A1688" t="str">
            <v/>
          </cell>
          <cell r="B1688" t="str">
            <v/>
          </cell>
          <cell r="H1688" t="str">
            <v/>
          </cell>
          <cell r="K1688" t="str">
            <v/>
          </cell>
          <cell r="N1688" t="str">
            <v/>
          </cell>
        </row>
        <row r="1690">
          <cell r="B1690" t="str">
            <v>zwycięzca(cy): 21:15,21:10</v>
          </cell>
          <cell r="K1690" t="str">
            <v/>
          </cell>
        </row>
        <row r="1691">
          <cell r="B1691">
            <v>3</v>
          </cell>
          <cell r="C1691" t="str">
            <v>dzień turnieju.</v>
          </cell>
          <cell r="I1691" t="str">
            <v>Nr meczu</v>
          </cell>
          <cell r="N1691" t="str">
            <v>Godz.</v>
          </cell>
          <cell r="R1691" t="str">
            <v>S. prow.</v>
          </cell>
          <cell r="AF1691" t="str">
            <v>wygrany</v>
          </cell>
          <cell r="AG1691" t="str">
            <v>przegrany</v>
          </cell>
        </row>
        <row r="1692">
          <cell r="B1692" t="str">
            <v>Boisko</v>
          </cell>
          <cell r="C1692" t="str">
            <v>Gra</v>
          </cell>
          <cell r="I1692">
            <v>242</v>
          </cell>
          <cell r="N1692" t="str">
            <v>rozp.</v>
          </cell>
          <cell r="P1692" t="str">
            <v>zak.</v>
          </cell>
          <cell r="R1692" t="str">
            <v>S. serw.</v>
          </cell>
        </row>
        <row r="1693">
          <cell r="A1693">
            <v>242</v>
          </cell>
          <cell r="B1693">
            <v>8</v>
          </cell>
          <cell r="C1693" t="str">
            <v>pojedyncza dziewcząt JM</v>
          </cell>
          <cell r="H1693">
            <v>21</v>
          </cell>
          <cell r="I1693">
            <v>10</v>
          </cell>
          <cell r="J1693">
            <v>21</v>
          </cell>
          <cell r="K1693">
            <v>13</v>
          </cell>
          <cell r="P1693">
            <v>0.52430555555555558</v>
          </cell>
          <cell r="R1693">
            <v>0.52430555555555558</v>
          </cell>
          <cell r="S1693" t="str">
            <v>nie 12:30</v>
          </cell>
          <cell r="X1693">
            <v>242</v>
          </cell>
          <cell r="Y1693" t="str">
            <v>pojedyncza dziewcząt JM</v>
          </cell>
          <cell r="Z1693" t="str">
            <v>X19</v>
          </cell>
          <cell r="AA1693" t="str">
            <v/>
          </cell>
          <cell r="AB1693" t="str">
            <v>Ś3779</v>
          </cell>
          <cell r="AC1693" t="str">
            <v/>
          </cell>
          <cell r="AD1693" t="str">
            <v>X19</v>
          </cell>
          <cell r="AE1693" t="str">
            <v/>
          </cell>
          <cell r="AF1693" t="str">
            <v>21:10,21:13</v>
          </cell>
          <cell r="AG1693" t="str">
            <v>10:21,13:21</v>
          </cell>
          <cell r="AH1693" t="str">
            <v/>
          </cell>
          <cell r="AI1693">
            <v>21</v>
          </cell>
          <cell r="AJ1693">
            <v>10</v>
          </cell>
          <cell r="AK1693">
            <v>21</v>
          </cell>
          <cell r="AL1693">
            <v>13</v>
          </cell>
          <cell r="AM1693">
            <v>0</v>
          </cell>
          <cell r="AN1693">
            <v>0</v>
          </cell>
        </row>
        <row r="1694">
          <cell r="A1694" t="str">
            <v/>
          </cell>
          <cell r="B1694" t="str">
            <v>Oleksandra LUGOVYKH (Vinnica Ukraina)</v>
          </cell>
          <cell r="H1694" t="str">
            <v>X19</v>
          </cell>
          <cell r="K1694" t="str">
            <v>Ś3779</v>
          </cell>
          <cell r="N1694" t="str">
            <v>Magdalena ŚWIERCZYŃSKA (UKS Orkan Przeźmierowo)</v>
          </cell>
        </row>
        <row r="1695">
          <cell r="A1695" t="str">
            <v/>
          </cell>
          <cell r="B1695" t="str">
            <v/>
          </cell>
          <cell r="H1695" t="str">
            <v/>
          </cell>
          <cell r="K1695" t="str">
            <v/>
          </cell>
          <cell r="N1695" t="str">
            <v/>
          </cell>
        </row>
        <row r="1697">
          <cell r="B1697" t="str">
            <v>zwycięzca(cy): 21:10,21:13</v>
          </cell>
          <cell r="K1697" t="str">
            <v/>
          </cell>
        </row>
        <row r="1698">
          <cell r="B1698">
            <v>3</v>
          </cell>
          <cell r="C1698" t="str">
            <v>dzień turnieju.</v>
          </cell>
          <cell r="I1698" t="str">
            <v>Nr meczu</v>
          </cell>
          <cell r="N1698" t="str">
            <v>Godz.</v>
          </cell>
          <cell r="R1698" t="str">
            <v>S. prow.</v>
          </cell>
          <cell r="AF1698" t="str">
            <v>wygrany</v>
          </cell>
          <cell r="AG1698" t="str">
            <v>przegrany</v>
          </cell>
        </row>
        <row r="1699">
          <cell r="B1699" t="str">
            <v>Boisko</v>
          </cell>
          <cell r="C1699" t="str">
            <v>Gra</v>
          </cell>
          <cell r="I1699">
            <v>243</v>
          </cell>
          <cell r="N1699" t="str">
            <v>rozp.</v>
          </cell>
          <cell r="P1699" t="str">
            <v>zak.</v>
          </cell>
          <cell r="R1699" t="str">
            <v>S. serw.</v>
          </cell>
        </row>
        <row r="1700">
          <cell r="A1700">
            <v>243</v>
          </cell>
          <cell r="B1700">
            <v>4</v>
          </cell>
          <cell r="C1700" t="str">
            <v>pojedyncza mężczyzn J</v>
          </cell>
          <cell r="H1700">
            <v>23</v>
          </cell>
          <cell r="I1700">
            <v>21</v>
          </cell>
          <cell r="J1700">
            <v>12</v>
          </cell>
          <cell r="K1700">
            <v>21</v>
          </cell>
          <cell r="L1700">
            <v>21</v>
          </cell>
          <cell r="M1700">
            <v>18</v>
          </cell>
          <cell r="P1700">
            <v>0.51944444444444449</v>
          </cell>
          <cell r="R1700">
            <v>0.51944444444444449</v>
          </cell>
          <cell r="S1700" t="str">
            <v>nie 12:30</v>
          </cell>
          <cell r="X1700">
            <v>243</v>
          </cell>
          <cell r="Y1700" t="str">
            <v>pojedyncza mężczyzn J</v>
          </cell>
          <cell r="Z1700" t="str">
            <v>W2914</v>
          </cell>
          <cell r="AA1700" t="str">
            <v/>
          </cell>
          <cell r="AB1700" t="str">
            <v>J3112</v>
          </cell>
          <cell r="AC1700" t="str">
            <v/>
          </cell>
          <cell r="AD1700" t="str">
            <v>W2914</v>
          </cell>
          <cell r="AE1700" t="str">
            <v/>
          </cell>
          <cell r="AF1700" t="str">
            <v>23:21,12:21,21:18</v>
          </cell>
          <cell r="AG1700" t="str">
            <v>21:23,21:12,18:21</v>
          </cell>
          <cell r="AH1700" t="str">
            <v/>
          </cell>
          <cell r="AI1700">
            <v>23</v>
          </cell>
          <cell r="AJ1700">
            <v>21</v>
          </cell>
          <cell r="AK1700">
            <v>12</v>
          </cell>
          <cell r="AL1700">
            <v>21</v>
          </cell>
          <cell r="AM1700">
            <v>21</v>
          </cell>
          <cell r="AN1700">
            <v>18</v>
          </cell>
        </row>
        <row r="1701">
          <cell r="A1701" t="str">
            <v/>
          </cell>
          <cell r="B1701" t="str">
            <v>Piotr WASILUK (LUKS Badminton Choroszcz)</v>
          </cell>
          <cell r="H1701" t="str">
            <v>W2914</v>
          </cell>
          <cell r="K1701" t="str">
            <v>J3112</v>
          </cell>
          <cell r="N1701" t="str">
            <v>Krzysztof JAKOWCZUK (UKS Hubal Białystok)</v>
          </cell>
        </row>
        <row r="1702">
          <cell r="A1702" t="str">
            <v/>
          </cell>
          <cell r="B1702" t="str">
            <v/>
          </cell>
          <cell r="H1702" t="str">
            <v/>
          </cell>
          <cell r="K1702" t="str">
            <v/>
          </cell>
          <cell r="N1702" t="str">
            <v/>
          </cell>
        </row>
        <row r="1704">
          <cell r="B1704" t="str">
            <v>zwycięzca(cy): 23:21,12:21,21:18</v>
          </cell>
          <cell r="K1704" t="str">
            <v/>
          </cell>
        </row>
        <row r="1705">
          <cell r="B1705">
            <v>3</v>
          </cell>
          <cell r="C1705" t="str">
            <v>dzień turnieju.</v>
          </cell>
          <cell r="I1705" t="str">
            <v>Nr meczu</v>
          </cell>
          <cell r="N1705" t="str">
            <v>Godz.</v>
          </cell>
          <cell r="R1705" t="str">
            <v>S. prow.</v>
          </cell>
          <cell r="AF1705" t="str">
            <v>wygrany</v>
          </cell>
          <cell r="AG1705" t="str">
            <v>przegrany</v>
          </cell>
        </row>
        <row r="1706">
          <cell r="B1706" t="str">
            <v>Boisko</v>
          </cell>
          <cell r="C1706" t="str">
            <v>Gra</v>
          </cell>
          <cell r="I1706">
            <v>244</v>
          </cell>
          <cell r="N1706" t="str">
            <v>rozp.</v>
          </cell>
          <cell r="P1706" t="str">
            <v>zak.</v>
          </cell>
          <cell r="R1706" t="str">
            <v>S. serw.</v>
          </cell>
        </row>
        <row r="1707">
          <cell r="A1707">
            <v>244</v>
          </cell>
          <cell r="B1707">
            <v>1</v>
          </cell>
          <cell r="C1707" t="str">
            <v>pojedyncza chłopców JM</v>
          </cell>
          <cell r="H1707">
            <v>21</v>
          </cell>
          <cell r="I1707">
            <v>11</v>
          </cell>
          <cell r="J1707">
            <v>18</v>
          </cell>
          <cell r="K1707">
            <v>21</v>
          </cell>
          <cell r="L1707">
            <v>21</v>
          </cell>
          <cell r="M1707">
            <v>11</v>
          </cell>
          <cell r="P1707">
            <v>0.53125</v>
          </cell>
          <cell r="R1707">
            <v>0.53125</v>
          </cell>
          <cell r="S1707" t="str">
            <v>nie 12:30</v>
          </cell>
          <cell r="X1707">
            <v>244</v>
          </cell>
          <cell r="Y1707" t="str">
            <v>pojedyncza chłopców JM</v>
          </cell>
          <cell r="Z1707" t="str">
            <v>X56</v>
          </cell>
          <cell r="AA1707" t="str">
            <v/>
          </cell>
          <cell r="AB1707" t="str">
            <v>D3323</v>
          </cell>
          <cell r="AC1707" t="str">
            <v/>
          </cell>
          <cell r="AD1707" t="str">
            <v>X56</v>
          </cell>
          <cell r="AE1707" t="str">
            <v/>
          </cell>
          <cell r="AF1707" t="str">
            <v>21:11,18:21,21:11</v>
          </cell>
          <cell r="AG1707" t="str">
            <v>11:21,21:18,11:21</v>
          </cell>
          <cell r="AH1707" t="str">
            <v/>
          </cell>
          <cell r="AI1707">
            <v>21</v>
          </cell>
          <cell r="AJ1707">
            <v>11</v>
          </cell>
          <cell r="AK1707">
            <v>18</v>
          </cell>
          <cell r="AL1707">
            <v>21</v>
          </cell>
          <cell r="AM1707">
            <v>21</v>
          </cell>
          <cell r="AN1707">
            <v>11</v>
          </cell>
        </row>
        <row r="1708">
          <cell r="A1708" t="str">
            <v/>
          </cell>
          <cell r="B1708" t="str">
            <v>Artem TKACHUK (Vinnica Ukraina)</v>
          </cell>
          <cell r="H1708" t="str">
            <v>X56</v>
          </cell>
          <cell r="K1708" t="str">
            <v>D3323</v>
          </cell>
          <cell r="N1708" t="str">
            <v>Mateusz DANIELAK (KKS Ruch Piotrków Tryb.)</v>
          </cell>
        </row>
        <row r="1709">
          <cell r="A1709" t="str">
            <v/>
          </cell>
          <cell r="B1709" t="str">
            <v/>
          </cell>
          <cell r="H1709" t="str">
            <v/>
          </cell>
          <cell r="K1709" t="str">
            <v/>
          </cell>
          <cell r="N1709" t="str">
            <v/>
          </cell>
        </row>
        <row r="1711">
          <cell r="B1711" t="str">
            <v>zwycięzca(cy): 21:11,18:21,21:11</v>
          </cell>
          <cell r="K1711" t="str">
            <v/>
          </cell>
        </row>
        <row r="1712">
          <cell r="B1712">
            <v>3</v>
          </cell>
          <cell r="C1712" t="str">
            <v>dzień turnieju.</v>
          </cell>
          <cell r="I1712" t="str">
            <v>Nr meczu</v>
          </cell>
          <cell r="N1712" t="str">
            <v>Godz.</v>
          </cell>
          <cell r="R1712" t="str">
            <v>S. prow.</v>
          </cell>
          <cell r="AF1712" t="str">
            <v>wygrany</v>
          </cell>
          <cell r="AG1712" t="str">
            <v>przegrany</v>
          </cell>
        </row>
        <row r="1713">
          <cell r="B1713" t="str">
            <v>Boisko</v>
          </cell>
          <cell r="C1713" t="str">
            <v>Gra</v>
          </cell>
          <cell r="I1713">
            <v>245</v>
          </cell>
          <cell r="N1713" t="str">
            <v>rozp.</v>
          </cell>
          <cell r="P1713" t="str">
            <v>zak.</v>
          </cell>
          <cell r="R1713" t="str">
            <v>S. serw.</v>
          </cell>
        </row>
        <row r="1714">
          <cell r="A1714">
            <v>245</v>
          </cell>
          <cell r="C1714" t="str">
            <v/>
          </cell>
          <cell r="R1714">
            <v>0</v>
          </cell>
          <cell r="S1714" t="e">
            <v>#N/A</v>
          </cell>
          <cell r="X1714">
            <v>245</v>
          </cell>
          <cell r="Y1714" t="str">
            <v/>
          </cell>
          <cell r="Z1714" t="str">
            <v/>
          </cell>
          <cell r="AA1714" t="str">
            <v/>
          </cell>
          <cell r="AB1714" t="str">
            <v/>
          </cell>
          <cell r="AC1714" t="str">
            <v/>
          </cell>
          <cell r="AD1714" t="str">
            <v/>
          </cell>
          <cell r="AE1714" t="str">
            <v/>
          </cell>
          <cell r="AF1714" t="str">
            <v/>
          </cell>
          <cell r="AG1714" t="str">
            <v/>
          </cell>
          <cell r="AH1714" t="str">
            <v/>
          </cell>
          <cell r="AI1714">
            <v>0</v>
          </cell>
          <cell r="AJ1714">
            <v>0</v>
          </cell>
          <cell r="AK1714">
            <v>0</v>
          </cell>
          <cell r="AL1714">
            <v>0</v>
          </cell>
          <cell r="AM1714">
            <v>0</v>
          </cell>
          <cell r="AN1714">
            <v>0</v>
          </cell>
        </row>
        <row r="1715">
          <cell r="A1715" t="str">
            <v/>
          </cell>
          <cell r="B1715" t="str">
            <v/>
          </cell>
          <cell r="H1715" t="str">
            <v/>
          </cell>
          <cell r="K1715" t="str">
            <v/>
          </cell>
          <cell r="N1715" t="str">
            <v/>
          </cell>
        </row>
        <row r="1716">
          <cell r="A1716" t="str">
            <v/>
          </cell>
          <cell r="B1716" t="str">
            <v/>
          </cell>
          <cell r="H1716" t="str">
            <v/>
          </cell>
          <cell r="K1716" t="str">
            <v/>
          </cell>
          <cell r="N1716" t="str">
            <v/>
          </cell>
        </row>
        <row r="1718">
          <cell r="B1718" t="str">
            <v/>
          </cell>
          <cell r="K1718" t="str">
            <v/>
          </cell>
        </row>
        <row r="1719">
          <cell r="B1719">
            <v>3</v>
          </cell>
          <cell r="C1719" t="str">
            <v>dzień turnieju.</v>
          </cell>
          <cell r="I1719" t="str">
            <v>Nr meczu</v>
          </cell>
          <cell r="N1719" t="str">
            <v>Godz.</v>
          </cell>
          <cell r="R1719" t="str">
            <v>S. prow.</v>
          </cell>
          <cell r="AF1719" t="str">
            <v>wygrany</v>
          </cell>
          <cell r="AG1719" t="str">
            <v>przegrany</v>
          </cell>
        </row>
        <row r="1720">
          <cell r="B1720" t="str">
            <v>Boisko</v>
          </cell>
          <cell r="C1720" t="str">
            <v>Gra</v>
          </cell>
          <cell r="I1720">
            <v>246</v>
          </cell>
          <cell r="N1720" t="str">
            <v>rozp.</v>
          </cell>
          <cell r="P1720" t="str">
            <v>zak.</v>
          </cell>
          <cell r="R1720" t="str">
            <v>S. serw.</v>
          </cell>
        </row>
        <row r="1721">
          <cell r="A1721">
            <v>246</v>
          </cell>
          <cell r="C1721" t="str">
            <v/>
          </cell>
          <cell r="R1721">
            <v>0</v>
          </cell>
          <cell r="S1721" t="e">
            <v>#N/A</v>
          </cell>
          <cell r="X1721">
            <v>246</v>
          </cell>
          <cell r="Y1721" t="str">
            <v/>
          </cell>
          <cell r="Z1721" t="str">
            <v/>
          </cell>
          <cell r="AA1721" t="str">
            <v/>
          </cell>
          <cell r="AB1721" t="str">
            <v/>
          </cell>
          <cell r="AC1721" t="str">
            <v/>
          </cell>
          <cell r="AD1721" t="str">
            <v/>
          </cell>
          <cell r="AE1721" t="str">
            <v/>
          </cell>
          <cell r="AF1721" t="str">
            <v/>
          </cell>
          <cell r="AG1721" t="str">
            <v/>
          </cell>
          <cell r="AH1721" t="str">
            <v/>
          </cell>
          <cell r="AI1721">
            <v>0</v>
          </cell>
          <cell r="AJ1721">
            <v>0</v>
          </cell>
          <cell r="AK1721">
            <v>0</v>
          </cell>
          <cell r="AL1721">
            <v>0</v>
          </cell>
          <cell r="AM1721">
            <v>0</v>
          </cell>
          <cell r="AN1721">
            <v>0</v>
          </cell>
        </row>
        <row r="1722">
          <cell r="A1722" t="str">
            <v/>
          </cell>
          <cell r="B1722" t="str">
            <v/>
          </cell>
          <cell r="H1722" t="str">
            <v/>
          </cell>
          <cell r="K1722" t="str">
            <v/>
          </cell>
          <cell r="N1722" t="str">
            <v/>
          </cell>
        </row>
        <row r="1723">
          <cell r="A1723" t="str">
            <v/>
          </cell>
          <cell r="B1723" t="str">
            <v/>
          </cell>
          <cell r="H1723" t="str">
            <v/>
          </cell>
          <cell r="K1723" t="str">
            <v/>
          </cell>
          <cell r="N1723" t="str">
            <v/>
          </cell>
        </row>
        <row r="1725">
          <cell r="B1725" t="str">
            <v/>
          </cell>
          <cell r="K1725" t="str">
            <v/>
          </cell>
        </row>
        <row r="1726">
          <cell r="B1726">
            <v>3</v>
          </cell>
          <cell r="C1726" t="str">
            <v>dzień turnieju.</v>
          </cell>
          <cell r="I1726" t="str">
            <v>Nr meczu</v>
          </cell>
          <cell r="N1726" t="str">
            <v>Godz.</v>
          </cell>
          <cell r="R1726" t="str">
            <v>S. prow.</v>
          </cell>
          <cell r="AF1726" t="str">
            <v>wygrany</v>
          </cell>
          <cell r="AG1726" t="str">
            <v>przegrany</v>
          </cell>
        </row>
        <row r="1727">
          <cell r="B1727" t="str">
            <v>Boisko</v>
          </cell>
          <cell r="C1727" t="str">
            <v>Gra</v>
          </cell>
          <cell r="I1727">
            <v>247</v>
          </cell>
          <cell r="N1727" t="str">
            <v>rozp.</v>
          </cell>
          <cell r="P1727" t="str">
            <v>zak.</v>
          </cell>
          <cell r="R1727" t="str">
            <v>S. serw.</v>
          </cell>
        </row>
        <row r="1728">
          <cell r="A1728">
            <v>247</v>
          </cell>
          <cell r="C1728" t="str">
            <v/>
          </cell>
          <cell r="R1728">
            <v>0</v>
          </cell>
          <cell r="S1728" t="e">
            <v>#N/A</v>
          </cell>
          <cell r="X1728">
            <v>247</v>
          </cell>
          <cell r="Y1728" t="str">
            <v/>
          </cell>
          <cell r="Z1728" t="str">
            <v/>
          </cell>
          <cell r="AA1728" t="str">
            <v/>
          </cell>
          <cell r="AB1728" t="str">
            <v/>
          </cell>
          <cell r="AC1728" t="str">
            <v/>
          </cell>
          <cell r="AD1728" t="str">
            <v/>
          </cell>
          <cell r="AE1728" t="str">
            <v/>
          </cell>
          <cell r="AF1728" t="str">
            <v/>
          </cell>
          <cell r="AG1728" t="str">
            <v/>
          </cell>
          <cell r="AH1728" t="str">
            <v/>
          </cell>
          <cell r="AI1728">
            <v>0</v>
          </cell>
          <cell r="AJ1728">
            <v>0</v>
          </cell>
          <cell r="AK1728">
            <v>0</v>
          </cell>
          <cell r="AL1728">
            <v>0</v>
          </cell>
          <cell r="AM1728">
            <v>0</v>
          </cell>
          <cell r="AN1728">
            <v>0</v>
          </cell>
        </row>
        <row r="1729">
          <cell r="A1729" t="str">
            <v/>
          </cell>
          <cell r="B1729" t="str">
            <v/>
          </cell>
          <cell r="H1729" t="str">
            <v/>
          </cell>
          <cell r="K1729" t="str">
            <v/>
          </cell>
          <cell r="N1729" t="str">
            <v/>
          </cell>
        </row>
        <row r="1730">
          <cell r="A1730" t="str">
            <v/>
          </cell>
          <cell r="B1730" t="str">
            <v/>
          </cell>
          <cell r="H1730" t="str">
            <v/>
          </cell>
          <cell r="K1730" t="str">
            <v/>
          </cell>
          <cell r="N1730" t="str">
            <v/>
          </cell>
        </row>
        <row r="1732">
          <cell r="B1732" t="str">
            <v/>
          </cell>
          <cell r="K1732" t="str">
            <v/>
          </cell>
        </row>
        <row r="1733">
          <cell r="B1733">
            <v>3</v>
          </cell>
          <cell r="C1733" t="str">
            <v>dzień turnieju.</v>
          </cell>
          <cell r="I1733" t="str">
            <v>Nr meczu</v>
          </cell>
          <cell r="N1733" t="str">
            <v>Godz.</v>
          </cell>
          <cell r="R1733" t="str">
            <v>S. prow.</v>
          </cell>
          <cell r="AF1733" t="str">
            <v>wygrany</v>
          </cell>
          <cell r="AG1733" t="str">
            <v>przegrany</v>
          </cell>
        </row>
        <row r="1734">
          <cell r="B1734" t="str">
            <v>Boisko</v>
          </cell>
          <cell r="C1734" t="str">
            <v>Gra</v>
          </cell>
          <cell r="I1734">
            <v>248</v>
          </cell>
          <cell r="N1734" t="str">
            <v>rozp.</v>
          </cell>
          <cell r="P1734" t="str">
            <v>zak.</v>
          </cell>
          <cell r="R1734" t="str">
            <v>S. serw.</v>
          </cell>
        </row>
        <row r="1735">
          <cell r="A1735">
            <v>248</v>
          </cell>
          <cell r="C1735" t="str">
            <v/>
          </cell>
          <cell r="R1735">
            <v>0</v>
          </cell>
          <cell r="S1735" t="e">
            <v>#N/A</v>
          </cell>
          <cell r="X1735">
            <v>248</v>
          </cell>
          <cell r="Y1735" t="str">
            <v/>
          </cell>
          <cell r="Z1735" t="str">
            <v/>
          </cell>
          <cell r="AA1735" t="str">
            <v/>
          </cell>
          <cell r="AB1735" t="str">
            <v/>
          </cell>
          <cell r="AC1735" t="str">
            <v/>
          </cell>
          <cell r="AD1735" t="str">
            <v/>
          </cell>
          <cell r="AE1735" t="str">
            <v/>
          </cell>
          <cell r="AF1735" t="str">
            <v/>
          </cell>
          <cell r="AG1735" t="str">
            <v/>
          </cell>
          <cell r="AH1735" t="str">
            <v/>
          </cell>
          <cell r="AI1735">
            <v>0</v>
          </cell>
          <cell r="AJ1735">
            <v>0</v>
          </cell>
          <cell r="AK1735">
            <v>0</v>
          </cell>
          <cell r="AL1735">
            <v>0</v>
          </cell>
          <cell r="AM1735">
            <v>0</v>
          </cell>
          <cell r="AN1735">
            <v>0</v>
          </cell>
        </row>
        <row r="1736">
          <cell r="A1736" t="str">
            <v/>
          </cell>
          <cell r="B1736" t="str">
            <v/>
          </cell>
          <cell r="H1736" t="str">
            <v/>
          </cell>
          <cell r="K1736" t="str">
            <v/>
          </cell>
          <cell r="N1736" t="str">
            <v/>
          </cell>
        </row>
        <row r="1737">
          <cell r="A1737" t="str">
            <v/>
          </cell>
          <cell r="B1737" t="str">
            <v/>
          </cell>
          <cell r="H1737" t="str">
            <v/>
          </cell>
          <cell r="K1737" t="str">
            <v/>
          </cell>
          <cell r="N1737" t="str">
            <v/>
          </cell>
        </row>
        <row r="1739">
          <cell r="B1739" t="str">
            <v/>
          </cell>
          <cell r="K1739" t="str">
            <v/>
          </cell>
        </row>
        <row r="1740">
          <cell r="B1740">
            <v>3</v>
          </cell>
          <cell r="C1740" t="str">
            <v>dzień turnieju.</v>
          </cell>
          <cell r="I1740" t="str">
            <v>Nr meczu</v>
          </cell>
          <cell r="N1740" t="str">
            <v>Godz.</v>
          </cell>
          <cell r="R1740" t="str">
            <v>S. prow.</v>
          </cell>
          <cell r="AF1740" t="str">
            <v>wygrany</v>
          </cell>
          <cell r="AG1740" t="str">
            <v>przegrany</v>
          </cell>
        </row>
        <row r="1741">
          <cell r="B1741" t="str">
            <v>Boisko</v>
          </cell>
          <cell r="C1741" t="str">
            <v>Gra</v>
          </cell>
          <cell r="I1741">
            <v>249</v>
          </cell>
          <cell r="N1741" t="str">
            <v>rozp.</v>
          </cell>
          <cell r="P1741" t="str">
            <v>zak.</v>
          </cell>
          <cell r="R1741" t="str">
            <v>S. serw.</v>
          </cell>
        </row>
        <row r="1742">
          <cell r="A1742">
            <v>249</v>
          </cell>
          <cell r="C1742" t="str">
            <v/>
          </cell>
          <cell r="R1742">
            <v>0</v>
          </cell>
          <cell r="S1742" t="e">
            <v>#N/A</v>
          </cell>
          <cell r="X1742">
            <v>249</v>
          </cell>
          <cell r="Y1742" t="str">
            <v/>
          </cell>
          <cell r="Z1742" t="str">
            <v/>
          </cell>
          <cell r="AA1742" t="str">
            <v/>
          </cell>
          <cell r="AB1742" t="str">
            <v/>
          </cell>
          <cell r="AC1742" t="str">
            <v/>
          </cell>
          <cell r="AD1742" t="str">
            <v/>
          </cell>
          <cell r="AE1742" t="str">
            <v/>
          </cell>
          <cell r="AF1742" t="str">
            <v/>
          </cell>
          <cell r="AG1742" t="str">
            <v/>
          </cell>
          <cell r="AH1742" t="str">
            <v/>
          </cell>
          <cell r="AI1742">
            <v>0</v>
          </cell>
          <cell r="AJ1742">
            <v>0</v>
          </cell>
          <cell r="AK1742">
            <v>0</v>
          </cell>
          <cell r="AL1742">
            <v>0</v>
          </cell>
          <cell r="AM1742">
            <v>0</v>
          </cell>
          <cell r="AN1742">
            <v>0</v>
          </cell>
        </row>
        <row r="1743">
          <cell r="A1743" t="str">
            <v/>
          </cell>
          <cell r="B1743" t="str">
            <v/>
          </cell>
          <cell r="H1743" t="str">
            <v/>
          </cell>
          <cell r="K1743" t="str">
            <v/>
          </cell>
          <cell r="N1743" t="str">
            <v/>
          </cell>
        </row>
        <row r="1744">
          <cell r="A1744" t="str">
            <v/>
          </cell>
          <cell r="B1744" t="str">
            <v/>
          </cell>
          <cell r="H1744" t="str">
            <v/>
          </cell>
          <cell r="K1744" t="str">
            <v/>
          </cell>
          <cell r="N1744" t="str">
            <v/>
          </cell>
        </row>
        <row r="1746">
          <cell r="B1746" t="str">
            <v/>
          </cell>
          <cell r="K1746" t="str">
            <v/>
          </cell>
        </row>
        <row r="1747">
          <cell r="B1747">
            <v>3</v>
          </cell>
          <cell r="C1747" t="str">
            <v>dzień turnieju.</v>
          </cell>
          <cell r="I1747" t="str">
            <v>Nr meczu</v>
          </cell>
          <cell r="N1747" t="str">
            <v>Godz.</v>
          </cell>
          <cell r="R1747" t="str">
            <v>S. prow.</v>
          </cell>
          <cell r="AF1747" t="str">
            <v>wygrany</v>
          </cell>
          <cell r="AG1747" t="str">
            <v>przegrany</v>
          </cell>
        </row>
        <row r="1748">
          <cell r="B1748" t="str">
            <v>Boisko</v>
          </cell>
          <cell r="C1748" t="str">
            <v>Gra</v>
          </cell>
          <cell r="I1748">
            <v>250</v>
          </cell>
          <cell r="N1748" t="str">
            <v>rozp.</v>
          </cell>
          <cell r="P1748" t="str">
            <v>zak.</v>
          </cell>
          <cell r="R1748" t="str">
            <v>S. serw.</v>
          </cell>
        </row>
        <row r="1749">
          <cell r="A1749">
            <v>250</v>
          </cell>
          <cell r="C1749" t="str">
            <v/>
          </cell>
          <cell r="R1749">
            <v>0</v>
          </cell>
          <cell r="S1749" t="e">
            <v>#N/A</v>
          </cell>
          <cell r="X1749">
            <v>250</v>
          </cell>
          <cell r="Y1749" t="str">
            <v/>
          </cell>
          <cell r="Z1749" t="str">
            <v/>
          </cell>
          <cell r="AA1749" t="str">
            <v/>
          </cell>
          <cell r="AB1749" t="str">
            <v/>
          </cell>
          <cell r="AC1749" t="str">
            <v/>
          </cell>
          <cell r="AD1749" t="str">
            <v/>
          </cell>
          <cell r="AE1749" t="str">
            <v/>
          </cell>
          <cell r="AF1749" t="str">
            <v/>
          </cell>
          <cell r="AG1749" t="str">
            <v/>
          </cell>
          <cell r="AH1749" t="str">
            <v/>
          </cell>
          <cell r="AI1749">
            <v>0</v>
          </cell>
          <cell r="AJ1749">
            <v>0</v>
          </cell>
          <cell r="AK1749">
            <v>0</v>
          </cell>
          <cell r="AL1749">
            <v>0</v>
          </cell>
          <cell r="AM1749">
            <v>0</v>
          </cell>
          <cell r="AN1749">
            <v>0</v>
          </cell>
        </row>
        <row r="1750">
          <cell r="A1750" t="str">
            <v/>
          </cell>
          <cell r="B1750" t="str">
            <v/>
          </cell>
          <cell r="H1750" t="str">
            <v/>
          </cell>
          <cell r="K1750" t="str">
            <v/>
          </cell>
          <cell r="N1750" t="str">
            <v/>
          </cell>
        </row>
        <row r="1751">
          <cell r="A1751" t="str">
            <v/>
          </cell>
          <cell r="B1751" t="str">
            <v/>
          </cell>
          <cell r="H1751" t="str">
            <v/>
          </cell>
          <cell r="K1751" t="str">
            <v/>
          </cell>
          <cell r="N1751" t="str">
            <v/>
          </cell>
        </row>
        <row r="1753">
          <cell r="B1753" t="str">
            <v/>
          </cell>
          <cell r="K1753" t="str">
            <v/>
          </cell>
        </row>
        <row r="1754">
          <cell r="B1754">
            <v>3</v>
          </cell>
          <cell r="C1754" t="str">
            <v>dzień turnieju.</v>
          </cell>
          <cell r="I1754" t="str">
            <v>Nr meczu</v>
          </cell>
          <cell r="N1754" t="str">
            <v>Godz.</v>
          </cell>
          <cell r="R1754" t="str">
            <v>S. prow.</v>
          </cell>
          <cell r="AF1754" t="str">
            <v>wygrany</v>
          </cell>
          <cell r="AG1754" t="str">
            <v>przegrany</v>
          </cell>
        </row>
        <row r="1755">
          <cell r="B1755" t="str">
            <v>Boisko</v>
          </cell>
          <cell r="C1755" t="str">
            <v>Gra</v>
          </cell>
          <cell r="I1755">
            <v>251</v>
          </cell>
          <cell r="N1755" t="str">
            <v>rozp.</v>
          </cell>
          <cell r="P1755" t="str">
            <v>zak.</v>
          </cell>
          <cell r="R1755" t="str">
            <v>S. serw.</v>
          </cell>
        </row>
        <row r="1756">
          <cell r="A1756">
            <v>251</v>
          </cell>
          <cell r="C1756" t="str">
            <v/>
          </cell>
          <cell r="R1756">
            <v>0</v>
          </cell>
          <cell r="S1756" t="e">
            <v>#N/A</v>
          </cell>
          <cell r="X1756">
            <v>251</v>
          </cell>
          <cell r="Y1756" t="str">
            <v/>
          </cell>
          <cell r="Z1756" t="str">
            <v/>
          </cell>
          <cell r="AA1756" t="str">
            <v/>
          </cell>
          <cell r="AB1756" t="str">
            <v/>
          </cell>
          <cell r="AC1756" t="str">
            <v/>
          </cell>
          <cell r="AD1756" t="str">
            <v/>
          </cell>
          <cell r="AE1756" t="str">
            <v/>
          </cell>
          <cell r="AF1756" t="str">
            <v/>
          </cell>
          <cell r="AG1756" t="str">
            <v/>
          </cell>
          <cell r="AH1756" t="str">
            <v/>
          </cell>
          <cell r="AI1756">
            <v>0</v>
          </cell>
          <cell r="AJ1756">
            <v>0</v>
          </cell>
          <cell r="AK1756">
            <v>0</v>
          </cell>
          <cell r="AL1756">
            <v>0</v>
          </cell>
          <cell r="AM1756">
            <v>0</v>
          </cell>
          <cell r="AN1756">
            <v>0</v>
          </cell>
        </row>
        <row r="1757">
          <cell r="A1757" t="str">
            <v/>
          </cell>
          <cell r="B1757" t="str">
            <v/>
          </cell>
          <cell r="H1757" t="str">
            <v/>
          </cell>
          <cell r="K1757" t="str">
            <v/>
          </cell>
          <cell r="N1757" t="str">
            <v/>
          </cell>
        </row>
        <row r="1758">
          <cell r="A1758" t="str">
            <v/>
          </cell>
          <cell r="B1758" t="str">
            <v/>
          </cell>
          <cell r="H1758" t="str">
            <v/>
          </cell>
          <cell r="K1758" t="str">
            <v/>
          </cell>
          <cell r="N1758" t="str">
            <v/>
          </cell>
        </row>
        <row r="1760">
          <cell r="B1760" t="str">
            <v/>
          </cell>
          <cell r="K1760" t="str">
            <v/>
          </cell>
        </row>
        <row r="1761">
          <cell r="B1761">
            <v>3</v>
          </cell>
          <cell r="C1761" t="str">
            <v>dzień turnieju.</v>
          </cell>
          <cell r="I1761" t="str">
            <v>Nr meczu</v>
          </cell>
          <cell r="N1761" t="str">
            <v>Godz.</v>
          </cell>
          <cell r="R1761" t="str">
            <v>S. prow.</v>
          </cell>
          <cell r="AF1761" t="str">
            <v>wygrany</v>
          </cell>
          <cell r="AG1761" t="str">
            <v>przegrany</v>
          </cell>
        </row>
        <row r="1762">
          <cell r="B1762" t="str">
            <v>Boisko</v>
          </cell>
          <cell r="C1762" t="str">
            <v>Gra</v>
          </cell>
          <cell r="I1762">
            <v>252</v>
          </cell>
          <cell r="N1762" t="str">
            <v>rozp.</v>
          </cell>
          <cell r="P1762" t="str">
            <v>zak.</v>
          </cell>
          <cell r="R1762" t="str">
            <v>S. serw.</v>
          </cell>
        </row>
        <row r="1763">
          <cell r="A1763">
            <v>252</v>
          </cell>
          <cell r="C1763" t="str">
            <v/>
          </cell>
          <cell r="R1763">
            <v>0</v>
          </cell>
          <cell r="S1763" t="e">
            <v>#N/A</v>
          </cell>
          <cell r="X1763">
            <v>252</v>
          </cell>
          <cell r="Y1763" t="str">
            <v/>
          </cell>
          <cell r="Z1763" t="str">
            <v/>
          </cell>
          <cell r="AA1763" t="str">
            <v/>
          </cell>
          <cell r="AB1763" t="str">
            <v/>
          </cell>
          <cell r="AC1763" t="str">
            <v/>
          </cell>
          <cell r="AD1763" t="str">
            <v/>
          </cell>
          <cell r="AE1763" t="str">
            <v/>
          </cell>
          <cell r="AF1763" t="str">
            <v/>
          </cell>
          <cell r="AG1763" t="str">
            <v/>
          </cell>
          <cell r="AH1763" t="str">
            <v/>
          </cell>
          <cell r="AI1763">
            <v>0</v>
          </cell>
          <cell r="AJ1763">
            <v>0</v>
          </cell>
          <cell r="AK1763">
            <v>0</v>
          </cell>
          <cell r="AL1763">
            <v>0</v>
          </cell>
          <cell r="AM1763">
            <v>0</v>
          </cell>
          <cell r="AN1763">
            <v>0</v>
          </cell>
        </row>
        <row r="1764">
          <cell r="A1764" t="str">
            <v/>
          </cell>
          <cell r="B1764" t="str">
            <v/>
          </cell>
          <cell r="H1764" t="str">
            <v/>
          </cell>
          <cell r="K1764" t="str">
            <v/>
          </cell>
          <cell r="N1764" t="str">
            <v/>
          </cell>
        </row>
        <row r="1765">
          <cell r="A1765" t="str">
            <v/>
          </cell>
          <cell r="B1765" t="str">
            <v/>
          </cell>
          <cell r="H1765" t="str">
            <v/>
          </cell>
          <cell r="K1765" t="str">
            <v/>
          </cell>
          <cell r="N1765" t="str">
            <v/>
          </cell>
        </row>
        <row r="1767">
          <cell r="B1767" t="str">
            <v/>
          </cell>
          <cell r="K1767" t="str">
            <v/>
          </cell>
        </row>
        <row r="1768">
          <cell r="B1768">
            <v>3</v>
          </cell>
          <cell r="C1768" t="str">
            <v>dzień turnieju.</v>
          </cell>
          <cell r="I1768" t="str">
            <v>Nr meczu</v>
          </cell>
          <cell r="N1768" t="str">
            <v>Godz.</v>
          </cell>
          <cell r="R1768" t="str">
            <v>S. prow.</v>
          </cell>
          <cell r="AF1768" t="str">
            <v>wygrany</v>
          </cell>
          <cell r="AG1768" t="str">
            <v>przegrany</v>
          </cell>
        </row>
        <row r="1769">
          <cell r="B1769" t="str">
            <v>Boisko</v>
          </cell>
          <cell r="C1769" t="str">
            <v>Gra</v>
          </cell>
          <cell r="I1769">
            <v>253</v>
          </cell>
          <cell r="N1769" t="str">
            <v>rozp.</v>
          </cell>
          <cell r="P1769" t="str">
            <v>zak.</v>
          </cell>
          <cell r="R1769" t="str">
            <v>S. serw.</v>
          </cell>
        </row>
        <row r="1770">
          <cell r="A1770">
            <v>253</v>
          </cell>
          <cell r="C1770" t="str">
            <v/>
          </cell>
          <cell r="R1770">
            <v>0</v>
          </cell>
          <cell r="S1770" t="e">
            <v>#N/A</v>
          </cell>
          <cell r="X1770">
            <v>253</v>
          </cell>
          <cell r="Y1770" t="str">
            <v/>
          </cell>
          <cell r="Z1770" t="str">
            <v/>
          </cell>
          <cell r="AA1770" t="str">
            <v/>
          </cell>
          <cell r="AB1770" t="str">
            <v/>
          </cell>
          <cell r="AC1770" t="str">
            <v/>
          </cell>
          <cell r="AD1770" t="str">
            <v/>
          </cell>
          <cell r="AE1770" t="str">
            <v/>
          </cell>
          <cell r="AF1770" t="str">
            <v/>
          </cell>
          <cell r="AG1770" t="str">
            <v/>
          </cell>
          <cell r="AH1770" t="str">
            <v/>
          </cell>
          <cell r="AI1770">
            <v>0</v>
          </cell>
          <cell r="AJ1770">
            <v>0</v>
          </cell>
          <cell r="AK1770">
            <v>0</v>
          </cell>
          <cell r="AL1770">
            <v>0</v>
          </cell>
          <cell r="AM1770">
            <v>0</v>
          </cell>
          <cell r="AN1770">
            <v>0</v>
          </cell>
        </row>
        <row r="1771">
          <cell r="A1771" t="str">
            <v/>
          </cell>
          <cell r="B1771" t="str">
            <v/>
          </cell>
          <cell r="H1771" t="str">
            <v/>
          </cell>
          <cell r="K1771" t="str">
            <v/>
          </cell>
          <cell r="N1771" t="str">
            <v/>
          </cell>
        </row>
        <row r="1772">
          <cell r="A1772" t="str">
            <v/>
          </cell>
          <cell r="B1772" t="str">
            <v/>
          </cell>
          <cell r="H1772" t="str">
            <v/>
          </cell>
          <cell r="K1772" t="str">
            <v/>
          </cell>
          <cell r="N1772" t="str">
            <v/>
          </cell>
        </row>
        <row r="1774">
          <cell r="B1774" t="str">
            <v/>
          </cell>
          <cell r="K1774" t="str">
            <v/>
          </cell>
        </row>
        <row r="1775">
          <cell r="B1775">
            <v>3</v>
          </cell>
          <cell r="C1775" t="str">
            <v>dzień turnieju.</v>
          </cell>
          <cell r="I1775" t="str">
            <v>Nr meczu</v>
          </cell>
          <cell r="N1775" t="str">
            <v>Godz.</v>
          </cell>
          <cell r="R1775" t="str">
            <v>S. prow.</v>
          </cell>
          <cell r="AF1775" t="str">
            <v>wygrany</v>
          </cell>
          <cell r="AG1775" t="str">
            <v>przegrany</v>
          </cell>
        </row>
        <row r="1776">
          <cell r="B1776" t="str">
            <v>Boisko</v>
          </cell>
          <cell r="C1776" t="str">
            <v>Gra</v>
          </cell>
          <cell r="I1776">
            <v>254</v>
          </cell>
          <cell r="N1776" t="str">
            <v>rozp.</v>
          </cell>
          <cell r="P1776" t="str">
            <v>zak.</v>
          </cell>
          <cell r="R1776" t="str">
            <v>S. serw.</v>
          </cell>
        </row>
        <row r="1777">
          <cell r="A1777">
            <v>254</v>
          </cell>
          <cell r="C1777" t="str">
            <v/>
          </cell>
          <cell r="R1777">
            <v>0</v>
          </cell>
          <cell r="S1777" t="e">
            <v>#N/A</v>
          </cell>
          <cell r="X1777">
            <v>254</v>
          </cell>
          <cell r="Y1777" t="str">
            <v/>
          </cell>
          <cell r="Z1777" t="str">
            <v/>
          </cell>
          <cell r="AA1777" t="str">
            <v/>
          </cell>
          <cell r="AB1777" t="str">
            <v/>
          </cell>
          <cell r="AC1777" t="str">
            <v/>
          </cell>
          <cell r="AD1777" t="str">
            <v/>
          </cell>
          <cell r="AE1777" t="str">
            <v/>
          </cell>
          <cell r="AF1777" t="str">
            <v/>
          </cell>
          <cell r="AG1777" t="str">
            <v/>
          </cell>
          <cell r="AH1777" t="str">
            <v/>
          </cell>
          <cell r="AI1777">
            <v>0</v>
          </cell>
          <cell r="AJ1777">
            <v>0</v>
          </cell>
          <cell r="AK1777">
            <v>0</v>
          </cell>
          <cell r="AL1777">
            <v>0</v>
          </cell>
          <cell r="AM1777">
            <v>0</v>
          </cell>
          <cell r="AN1777">
            <v>0</v>
          </cell>
        </row>
        <row r="1778">
          <cell r="A1778" t="str">
            <v/>
          </cell>
          <cell r="B1778" t="str">
            <v/>
          </cell>
          <cell r="H1778" t="str">
            <v/>
          </cell>
          <cell r="K1778" t="str">
            <v/>
          </cell>
          <cell r="N1778" t="str">
            <v/>
          </cell>
        </row>
        <row r="1779">
          <cell r="A1779" t="str">
            <v/>
          </cell>
          <cell r="B1779" t="str">
            <v/>
          </cell>
          <cell r="H1779" t="str">
            <v/>
          </cell>
          <cell r="K1779" t="str">
            <v/>
          </cell>
          <cell r="N1779" t="str">
            <v/>
          </cell>
        </row>
        <row r="1781">
          <cell r="B1781" t="str">
            <v/>
          </cell>
          <cell r="K1781" t="str">
            <v/>
          </cell>
        </row>
      </sheetData>
      <sheetData sheetId="2" refreshError="1"/>
      <sheetData sheetId="3"/>
      <sheetData sheetId="4" refreshError="1"/>
      <sheetData sheetId="5" refreshError="1"/>
      <sheetData sheetId="6" refreshError="1"/>
      <sheetData sheetId="7">
        <row r="8">
          <cell r="A8" t="str">
            <v>JANECKI Andrzej</v>
          </cell>
        </row>
        <row r="9">
          <cell r="A9" t="str">
            <v xml:space="preserve"> </v>
          </cell>
        </row>
        <row r="10">
          <cell r="A10" t="str">
            <v xml:space="preserve"> </v>
          </cell>
        </row>
        <row r="11">
          <cell r="A11" t="str">
            <v xml:space="preserve"> </v>
          </cell>
        </row>
        <row r="12">
          <cell r="A12" t="str">
            <v xml:space="preserve"> </v>
          </cell>
        </row>
        <row r="13">
          <cell r="A13" t="str">
            <v xml:space="preserve"> </v>
          </cell>
        </row>
        <row r="14">
          <cell r="A14" t="str">
            <v xml:space="preserve"> </v>
          </cell>
        </row>
        <row r="15">
          <cell r="A15" t="str">
            <v xml:space="preserve"> </v>
          </cell>
        </row>
        <row r="16">
          <cell r="A16" t="str">
            <v xml:space="preserve"> </v>
          </cell>
        </row>
        <row r="17">
          <cell r="A17" t="str">
            <v xml:space="preserve"> </v>
          </cell>
        </row>
        <row r="18">
          <cell r="A18" t="str">
            <v xml:space="preserve"> </v>
          </cell>
        </row>
        <row r="19">
          <cell r="A19" t="str">
            <v xml:space="preserve"> </v>
          </cell>
        </row>
        <row r="20">
          <cell r="A20" t="str">
            <v xml:space="preserve"> </v>
          </cell>
        </row>
        <row r="21">
          <cell r="A21" t="str">
            <v xml:space="preserve"> </v>
          </cell>
        </row>
        <row r="22">
          <cell r="A22" t="str">
            <v xml:space="preserve"> </v>
          </cell>
        </row>
        <row r="23">
          <cell r="A23" t="str">
            <v xml:space="preserve"> </v>
          </cell>
        </row>
        <row r="24">
          <cell r="A24" t="str">
            <v xml:space="preserve"> </v>
          </cell>
        </row>
        <row r="25">
          <cell r="A25" t="str">
            <v xml:space="preserve"> </v>
          </cell>
        </row>
        <row r="26">
          <cell r="A26" t="str">
            <v xml:space="preserve"> </v>
          </cell>
        </row>
        <row r="27">
          <cell r="A27" t="str">
            <v xml:space="preserve"> </v>
          </cell>
        </row>
        <row r="28">
          <cell r="A28" t="str">
            <v xml:space="preserve"> </v>
          </cell>
        </row>
        <row r="29">
          <cell r="A29" t="str">
            <v xml:space="preserve"> </v>
          </cell>
        </row>
        <row r="30">
          <cell r="A30" t="str">
            <v xml:space="preserve"> </v>
          </cell>
        </row>
        <row r="31">
          <cell r="A31" t="str">
            <v xml:space="preserve"> </v>
          </cell>
        </row>
        <row r="32">
          <cell r="A32" t="str">
            <v xml:space="preserve"> </v>
          </cell>
        </row>
      </sheetData>
      <sheetData sheetId="8">
        <row r="1">
          <cell r="A1" t="str">
            <v>PZBADNR</v>
          </cell>
          <cell r="B1" t="str">
            <v>IMIĘ</v>
          </cell>
          <cell r="C1" t="str">
            <v>NAZWISKO</v>
          </cell>
          <cell r="D1" t="str">
            <v>KLUB</v>
          </cell>
          <cell r="E1" t="str">
            <v>Nieobecni</v>
          </cell>
        </row>
        <row r="2">
          <cell r="A2" t="str">
            <v>A4673</v>
          </cell>
          <cell r="B2" t="str">
            <v>Szymon</v>
          </cell>
          <cell r="C2" t="str">
            <v>ADAMCZUK</v>
          </cell>
          <cell r="D2" t="str">
            <v>UKS Kiko Zamość</v>
          </cell>
        </row>
        <row r="3">
          <cell r="A3" t="str">
            <v>A4956</v>
          </cell>
          <cell r="B3" t="str">
            <v>Agata</v>
          </cell>
          <cell r="C3" t="str">
            <v>ADAMCZYK</v>
          </cell>
          <cell r="D3" t="str">
            <v>PMKS Chrobry Piotrowice</v>
          </cell>
        </row>
        <row r="4">
          <cell r="A4" t="str">
            <v>A5362</v>
          </cell>
          <cell r="B4" t="str">
            <v>Dominika</v>
          </cell>
          <cell r="C4" t="str">
            <v>ADAMCZYK</v>
          </cell>
          <cell r="D4" t="str">
            <v>PMKS Chrobry Piotrowice</v>
          </cell>
        </row>
        <row r="5">
          <cell r="A5" t="str">
            <v>A 018</v>
          </cell>
          <cell r="B5" t="str">
            <v>Mirosław</v>
          </cell>
          <cell r="C5" t="str">
            <v>ADAMCZYK</v>
          </cell>
          <cell r="D5" t="str">
            <v>----</v>
          </cell>
        </row>
        <row r="6">
          <cell r="A6" t="str">
            <v>A4292</v>
          </cell>
          <cell r="B6" t="str">
            <v>Wiktoria</v>
          </cell>
          <cell r="C6" t="str">
            <v>ADAMEK</v>
          </cell>
          <cell r="D6" t="str">
            <v>UKS Ząbkowice Dąbrowa Górn.</v>
          </cell>
        </row>
        <row r="7">
          <cell r="A7" t="str">
            <v>A3414</v>
          </cell>
          <cell r="B7" t="str">
            <v>Piotr</v>
          </cell>
          <cell r="C7" t="str">
            <v>AGACIŃSKI</v>
          </cell>
          <cell r="D7" t="str">
            <v>----</v>
          </cell>
        </row>
        <row r="8">
          <cell r="A8" t="str">
            <v>A3577</v>
          </cell>
          <cell r="B8" t="str">
            <v>Urszula</v>
          </cell>
          <cell r="C8" t="str">
            <v>ALBRECHT</v>
          </cell>
          <cell r="D8" t="str">
            <v>----</v>
          </cell>
        </row>
        <row r="9">
          <cell r="A9" t="str">
            <v>A2789</v>
          </cell>
          <cell r="B9" t="str">
            <v>Filip</v>
          </cell>
          <cell r="C9" t="str">
            <v>ALBRYCHT</v>
          </cell>
          <cell r="D9" t="str">
            <v>MKS Dwójka Blachownia</v>
          </cell>
        </row>
        <row r="10">
          <cell r="A10" t="str">
            <v>A5420</v>
          </cell>
          <cell r="B10" t="str">
            <v>Przemysław</v>
          </cell>
          <cell r="C10" t="str">
            <v>ALEKSANDROWICZ</v>
          </cell>
          <cell r="D10" t="str">
            <v>----</v>
          </cell>
        </row>
        <row r="11">
          <cell r="A11" t="str">
            <v>A2616</v>
          </cell>
          <cell r="B11" t="str">
            <v>Adam</v>
          </cell>
          <cell r="C11" t="str">
            <v>ANDRZEJEWSKI</v>
          </cell>
          <cell r="D11" t="str">
            <v>----</v>
          </cell>
        </row>
        <row r="12">
          <cell r="A12" t="str">
            <v>A3592</v>
          </cell>
          <cell r="B12" t="str">
            <v>Szymon</v>
          </cell>
          <cell r="C12" t="str">
            <v>ANDRZEJEWSKI</v>
          </cell>
          <cell r="D12" t="str">
            <v>----</v>
          </cell>
        </row>
        <row r="13">
          <cell r="A13" t="str">
            <v>A5040</v>
          </cell>
          <cell r="B13" t="str">
            <v>Oliwia</v>
          </cell>
          <cell r="C13" t="str">
            <v>ANGOWSKA</v>
          </cell>
          <cell r="D13" t="str">
            <v>LUKS Krokus Góralice</v>
          </cell>
        </row>
        <row r="14">
          <cell r="A14" t="str">
            <v>A5374</v>
          </cell>
          <cell r="B14" t="str">
            <v>Eryk</v>
          </cell>
          <cell r="C14" t="str">
            <v>ANIOŁCZYK</v>
          </cell>
          <cell r="D14" t="str">
            <v>----</v>
          </cell>
        </row>
        <row r="15">
          <cell r="A15" t="str">
            <v>A5892</v>
          </cell>
          <cell r="B15" t="str">
            <v>Jakub</v>
          </cell>
          <cell r="C15" t="str">
            <v>ANISIEWICZ</v>
          </cell>
          <cell r="D15" t="str">
            <v>Górnik Łęczna SA</v>
          </cell>
        </row>
        <row r="16">
          <cell r="A16" t="str">
            <v>A5144</v>
          </cell>
          <cell r="B16" t="str">
            <v>Jonasz</v>
          </cell>
          <cell r="C16" t="str">
            <v>ANSION</v>
          </cell>
          <cell r="D16" t="str">
            <v>UKS Kopernik Słupca</v>
          </cell>
        </row>
        <row r="17">
          <cell r="A17" t="str">
            <v>A4397</v>
          </cell>
          <cell r="B17" t="str">
            <v>Kamila</v>
          </cell>
          <cell r="C17" t="str">
            <v>ANTKOWIAK</v>
          </cell>
          <cell r="D17" t="str">
            <v>UKS Siódemka Świebodzin</v>
          </cell>
        </row>
        <row r="18">
          <cell r="A18" t="str">
            <v>A1439</v>
          </cell>
          <cell r="B18" t="str">
            <v>Andrzej</v>
          </cell>
          <cell r="C18" t="str">
            <v>ANTOSIEWICZ</v>
          </cell>
          <cell r="D18" t="str">
            <v>----</v>
          </cell>
        </row>
        <row r="19">
          <cell r="A19" t="str">
            <v>A2054</v>
          </cell>
          <cell r="B19" t="str">
            <v>Kornel</v>
          </cell>
          <cell r="C19" t="str">
            <v>APOSTOLIK</v>
          </cell>
          <cell r="D19" t="str">
            <v>AZSAGH Kraków</v>
          </cell>
        </row>
        <row r="20">
          <cell r="A20" t="str">
            <v>A4863</v>
          </cell>
          <cell r="B20" t="str">
            <v>Patrycja</v>
          </cell>
          <cell r="C20" t="str">
            <v>ARABASZ</v>
          </cell>
          <cell r="D20" t="str">
            <v>MKS Orlicz Suchedniów</v>
          </cell>
        </row>
        <row r="21">
          <cell r="A21" t="str">
            <v>A5115</v>
          </cell>
          <cell r="B21" t="str">
            <v>Artur</v>
          </cell>
          <cell r="C21" t="str">
            <v>AROUTIOUNIAN</v>
          </cell>
          <cell r="D21" t="str">
            <v>MMKS Gdańsk</v>
          </cell>
        </row>
        <row r="22">
          <cell r="A22" t="str">
            <v>A0104</v>
          </cell>
          <cell r="B22" t="str">
            <v>Kamila</v>
          </cell>
          <cell r="C22" t="str">
            <v>AUGUSTYN</v>
          </cell>
          <cell r="D22" t="str">
            <v>SKB Suwałki</v>
          </cell>
        </row>
        <row r="23">
          <cell r="A23" t="str">
            <v>A0542</v>
          </cell>
          <cell r="B23" t="str">
            <v>Krzysztof</v>
          </cell>
          <cell r="C23" t="str">
            <v>AUGUSTYN</v>
          </cell>
          <cell r="D23" t="str">
            <v>SKB Piast Słupsk</v>
          </cell>
        </row>
        <row r="24">
          <cell r="A24" t="str">
            <v>B5739</v>
          </cell>
          <cell r="B24" t="str">
            <v>Paulina</v>
          </cell>
          <cell r="C24" t="str">
            <v>BABICKA</v>
          </cell>
          <cell r="D24" t="str">
            <v>UKS Kiko Zamość</v>
          </cell>
        </row>
        <row r="25">
          <cell r="A25" t="str">
            <v>B3607</v>
          </cell>
          <cell r="B25" t="str">
            <v>Jakub</v>
          </cell>
          <cell r="C25" t="str">
            <v>BABORSKI</v>
          </cell>
          <cell r="D25" t="str">
            <v>UKS Plesbad Pszczyna</v>
          </cell>
        </row>
        <row r="26">
          <cell r="A26" t="str">
            <v>B5956</v>
          </cell>
          <cell r="B26" t="str">
            <v>Karolina</v>
          </cell>
          <cell r="C26" t="str">
            <v>BACHORSKA</v>
          </cell>
          <cell r="D26" t="str">
            <v>OTB Lotka Ostrów Wlkp.</v>
          </cell>
        </row>
        <row r="27">
          <cell r="A27" t="str">
            <v>B5840</v>
          </cell>
          <cell r="B27" t="str">
            <v>Filip</v>
          </cell>
          <cell r="C27" t="str">
            <v>BAER</v>
          </cell>
          <cell r="D27" t="str">
            <v>UKS Iskra Babimost</v>
          </cell>
        </row>
        <row r="28">
          <cell r="A28" t="str">
            <v>B5863</v>
          </cell>
          <cell r="B28" t="str">
            <v>Julia</v>
          </cell>
          <cell r="C28" t="str">
            <v>BAJERSKA</v>
          </cell>
          <cell r="D28" t="str">
            <v>MMKS Gdańsk</v>
          </cell>
        </row>
        <row r="29">
          <cell r="A29" t="str">
            <v>B5224</v>
          </cell>
          <cell r="B29" t="str">
            <v>Sara</v>
          </cell>
          <cell r="C29" t="str">
            <v>BAJURA</v>
          </cell>
          <cell r="D29" t="str">
            <v>UKS Unia Bieruń</v>
          </cell>
        </row>
        <row r="30">
          <cell r="A30" t="str">
            <v>B5329</v>
          </cell>
          <cell r="B30" t="str">
            <v>Paweł</v>
          </cell>
          <cell r="C30" t="str">
            <v>BAKUN</v>
          </cell>
          <cell r="D30" t="str">
            <v>PTS Puszczykowo</v>
          </cell>
        </row>
        <row r="31">
          <cell r="A31" t="str">
            <v>B5909</v>
          </cell>
          <cell r="B31" t="str">
            <v>Martyna</v>
          </cell>
          <cell r="C31" t="str">
            <v>BALA</v>
          </cell>
          <cell r="D31" t="str">
            <v>UKS Junior Wrzosowa</v>
          </cell>
        </row>
        <row r="32">
          <cell r="A32" t="str">
            <v>B4184</v>
          </cell>
          <cell r="B32" t="str">
            <v>Milena</v>
          </cell>
          <cell r="C32" t="str">
            <v>BAŁON</v>
          </cell>
          <cell r="D32" t="str">
            <v>SKB Suwałki</v>
          </cell>
        </row>
        <row r="33">
          <cell r="A33" t="str">
            <v>B4340</v>
          </cell>
          <cell r="B33" t="str">
            <v>Ewelina</v>
          </cell>
          <cell r="C33" t="str">
            <v>BANACH</v>
          </cell>
          <cell r="D33" t="str">
            <v>MLKS Solec Kuj.</v>
          </cell>
        </row>
        <row r="34">
          <cell r="A34" t="str">
            <v>B5710</v>
          </cell>
          <cell r="B34" t="str">
            <v>Oliwia</v>
          </cell>
          <cell r="C34" t="str">
            <v>BANACHOWICZ</v>
          </cell>
          <cell r="D34" t="str">
            <v>UKS 70 Płock</v>
          </cell>
        </row>
        <row r="35">
          <cell r="A35" t="str">
            <v>B4512</v>
          </cell>
          <cell r="B35" t="str">
            <v>Michalina</v>
          </cell>
          <cell r="C35" t="str">
            <v>BANASIK</v>
          </cell>
          <cell r="D35" t="str">
            <v>BKS Kolejarz Katowice</v>
          </cell>
        </row>
        <row r="36">
          <cell r="A36" t="str">
            <v>B5607</v>
          </cell>
          <cell r="B36" t="str">
            <v>Marcelina</v>
          </cell>
          <cell r="C36" t="str">
            <v>BAR</v>
          </cell>
          <cell r="D36" t="str">
            <v>UKSB Volant Mielec</v>
          </cell>
        </row>
        <row r="37">
          <cell r="A37" t="str">
            <v>B5779</v>
          </cell>
          <cell r="B37" t="str">
            <v>Błażej</v>
          </cell>
          <cell r="C37" t="str">
            <v>BARAN</v>
          </cell>
          <cell r="D37" t="str">
            <v>UKS Orliki Ropica Polska</v>
          </cell>
        </row>
        <row r="38">
          <cell r="A38" t="str">
            <v>B2999</v>
          </cell>
          <cell r="B38" t="str">
            <v>Maciej</v>
          </cell>
          <cell r="C38" t="str">
            <v>BARAN</v>
          </cell>
          <cell r="D38" t="str">
            <v>UKS Sokół Ropczyce</v>
          </cell>
        </row>
        <row r="39">
          <cell r="A39" t="str">
            <v>B3552</v>
          </cell>
          <cell r="B39" t="str">
            <v>Mateusz</v>
          </cell>
          <cell r="C39" t="str">
            <v>BARAN</v>
          </cell>
          <cell r="D39" t="str">
            <v>UKS Kiko Zamość</v>
          </cell>
        </row>
        <row r="40">
          <cell r="A40" t="str">
            <v>B3655</v>
          </cell>
          <cell r="B40" t="str">
            <v>Katarzyna</v>
          </cell>
          <cell r="C40" t="str">
            <v>BARANOWSKA</v>
          </cell>
          <cell r="D40" t="str">
            <v>UKS Hubal Białystok</v>
          </cell>
        </row>
        <row r="41">
          <cell r="A41" t="str">
            <v>B2335</v>
          </cell>
          <cell r="B41" t="str">
            <v>Konrad</v>
          </cell>
          <cell r="C41" t="str">
            <v>BARANOWSKI</v>
          </cell>
          <cell r="D41" t="str">
            <v>UKS Hubal Białystok</v>
          </cell>
        </row>
        <row r="42">
          <cell r="A42" t="str">
            <v>B4533</v>
          </cell>
          <cell r="B42" t="str">
            <v>Marcin</v>
          </cell>
          <cell r="C42" t="str">
            <v>BARANOWSKI</v>
          </cell>
          <cell r="D42" t="str">
            <v>AZSOŚ Łódź</v>
          </cell>
        </row>
        <row r="43">
          <cell r="A43" t="str">
            <v>B4648</v>
          </cell>
          <cell r="B43" t="str">
            <v>Hanna</v>
          </cell>
          <cell r="C43" t="str">
            <v>BARAŃSKA</v>
          </cell>
          <cell r="D43" t="str">
            <v>ZKB Maced Polanów</v>
          </cell>
        </row>
        <row r="44">
          <cell r="A44" t="str">
            <v>B4647</v>
          </cell>
          <cell r="B44" t="str">
            <v>Monika</v>
          </cell>
          <cell r="C44" t="str">
            <v>BARAŃSKA</v>
          </cell>
          <cell r="D44" t="str">
            <v>ZKB Maced Polanów</v>
          </cell>
        </row>
        <row r="45">
          <cell r="A45" t="str">
            <v>B5525</v>
          </cell>
          <cell r="B45" t="str">
            <v>Michał</v>
          </cell>
          <cell r="C45" t="str">
            <v>BARAŃSKI</v>
          </cell>
          <cell r="D45" t="str">
            <v>SKB Suwałki</v>
          </cell>
        </row>
        <row r="46">
          <cell r="A46" t="str">
            <v>B4326</v>
          </cell>
          <cell r="B46" t="str">
            <v>Michał</v>
          </cell>
          <cell r="C46" t="str">
            <v>BARBARSKI</v>
          </cell>
          <cell r="D46" t="str">
            <v>UKS Jedynka Ruciane-Nida</v>
          </cell>
        </row>
        <row r="47">
          <cell r="A47" t="str">
            <v>B2905</v>
          </cell>
          <cell r="B47" t="str">
            <v>Maciej</v>
          </cell>
          <cell r="C47" t="str">
            <v>BARCHANOWSKI</v>
          </cell>
          <cell r="D47" t="str">
            <v>SKB Piast Słupsk</v>
          </cell>
        </row>
        <row r="48">
          <cell r="A48" t="str">
            <v>B3564</v>
          </cell>
          <cell r="B48" t="str">
            <v>Kinga</v>
          </cell>
          <cell r="C48" t="str">
            <v>BARNA</v>
          </cell>
          <cell r="D48" t="str">
            <v>UKS 2 Sobótka</v>
          </cell>
        </row>
        <row r="49">
          <cell r="A49" t="str">
            <v>B5415</v>
          </cell>
          <cell r="B49" t="str">
            <v>Patryk</v>
          </cell>
          <cell r="C49" t="str">
            <v>BARTECKI</v>
          </cell>
          <cell r="D49" t="str">
            <v>UKS Plesbad Pszczyna</v>
          </cell>
        </row>
        <row r="50">
          <cell r="A50" t="str">
            <v>B4079</v>
          </cell>
          <cell r="B50" t="str">
            <v>Kamil</v>
          </cell>
          <cell r="C50" t="str">
            <v>BARTKIEWICZ</v>
          </cell>
          <cell r="D50" t="str">
            <v>UKS Ząbkowice Dąbrowa Górn.</v>
          </cell>
        </row>
        <row r="51">
          <cell r="A51" t="str">
            <v>B4897</v>
          </cell>
          <cell r="B51" t="str">
            <v>Natalia</v>
          </cell>
          <cell r="C51" t="str">
            <v>BARTKOWSKA</v>
          </cell>
          <cell r="D51" t="str">
            <v>UKS 70 Płock</v>
          </cell>
        </row>
        <row r="52">
          <cell r="A52" t="str">
            <v>B5823</v>
          </cell>
          <cell r="B52" t="str">
            <v>Jan</v>
          </cell>
          <cell r="C52" t="str">
            <v>BARTLET</v>
          </cell>
          <cell r="D52" t="str">
            <v>UKSB Milenium Warszawa</v>
          </cell>
        </row>
        <row r="53">
          <cell r="A53" t="str">
            <v>B5002</v>
          </cell>
          <cell r="B53" t="str">
            <v>Waldemar</v>
          </cell>
          <cell r="C53" t="str">
            <v>BARTŁOMIEJCZYK</v>
          </cell>
          <cell r="D53" t="str">
            <v>----</v>
          </cell>
        </row>
        <row r="54">
          <cell r="A54" t="str">
            <v>B4861</v>
          </cell>
          <cell r="B54" t="str">
            <v>Iga</v>
          </cell>
          <cell r="C54" t="str">
            <v>BARTMAŃSKA</v>
          </cell>
          <cell r="D54" t="str">
            <v>KS Match Point Ślęza</v>
          </cell>
        </row>
        <row r="55">
          <cell r="A55" t="str">
            <v>B5153</v>
          </cell>
          <cell r="B55" t="str">
            <v>Jędrzej</v>
          </cell>
          <cell r="C55" t="str">
            <v>BARTOL</v>
          </cell>
          <cell r="D55" t="str">
            <v>----</v>
          </cell>
        </row>
        <row r="56">
          <cell r="A56" t="str">
            <v>B2285</v>
          </cell>
          <cell r="B56" t="str">
            <v>Zbigniew</v>
          </cell>
          <cell r="C56" t="str">
            <v>BARTOSZ</v>
          </cell>
          <cell r="D56" t="str">
            <v>----</v>
          </cell>
        </row>
        <row r="57">
          <cell r="A57" t="str">
            <v>B4553</v>
          </cell>
          <cell r="B57" t="str">
            <v>Karolina</v>
          </cell>
          <cell r="C57" t="str">
            <v>BARZYK</v>
          </cell>
          <cell r="D57" t="str">
            <v>UKS Orliki Ropica Polska</v>
          </cell>
        </row>
        <row r="58">
          <cell r="A58" t="str">
            <v>B5199</v>
          </cell>
          <cell r="B58" t="str">
            <v>Olivia</v>
          </cell>
          <cell r="C58" t="str">
            <v>BATKO</v>
          </cell>
          <cell r="D58" t="str">
            <v>MKB Lednik Miastko</v>
          </cell>
        </row>
        <row r="59">
          <cell r="A59" t="str">
            <v>B4236</v>
          </cell>
          <cell r="B59" t="str">
            <v>Karol</v>
          </cell>
          <cell r="C59" t="str">
            <v>BĄK</v>
          </cell>
          <cell r="D59" t="str">
            <v>AZSWAT Warszawa</v>
          </cell>
        </row>
        <row r="60">
          <cell r="A60" t="str">
            <v>B4790</v>
          </cell>
          <cell r="B60" t="str">
            <v>Kamil</v>
          </cell>
          <cell r="C60" t="str">
            <v>BĄKOWSKI</v>
          </cell>
          <cell r="D60" t="str">
            <v>UKS 2 Sobótka</v>
          </cell>
        </row>
        <row r="61">
          <cell r="A61" t="str">
            <v>B5651</v>
          </cell>
          <cell r="B61" t="str">
            <v>Kamil</v>
          </cell>
          <cell r="C61" t="str">
            <v>BEDNARCZYK</v>
          </cell>
          <cell r="D61" t="str">
            <v>PMKS Chrobry Piotrowice</v>
          </cell>
        </row>
        <row r="62">
          <cell r="A62" t="str">
            <v>B5404</v>
          </cell>
          <cell r="B62" t="str">
            <v>Karolina</v>
          </cell>
          <cell r="C62" t="str">
            <v>BEDRUNKA</v>
          </cell>
          <cell r="D62" t="str">
            <v>BKS Kolejarz Katowice</v>
          </cell>
        </row>
        <row r="63">
          <cell r="A63" t="str">
            <v>B5405</v>
          </cell>
          <cell r="B63" t="str">
            <v>Marcin</v>
          </cell>
          <cell r="C63" t="str">
            <v>BEDRUNKA</v>
          </cell>
          <cell r="D63" t="str">
            <v>BKS Kolejarz Katowice</v>
          </cell>
        </row>
        <row r="64">
          <cell r="A64" t="str">
            <v>B5406</v>
          </cell>
          <cell r="B64" t="str">
            <v>Waldemar</v>
          </cell>
          <cell r="C64" t="str">
            <v>BEDRUNKA</v>
          </cell>
          <cell r="D64" t="str">
            <v>BKS Kolejarz Katowice</v>
          </cell>
        </row>
        <row r="65">
          <cell r="A65" t="str">
            <v>B5965</v>
          </cell>
          <cell r="B65" t="str">
            <v>Kacper</v>
          </cell>
          <cell r="C65" t="str">
            <v>BEKER</v>
          </cell>
          <cell r="D65" t="str">
            <v>UMKS Junis Szczucin</v>
          </cell>
        </row>
        <row r="66">
          <cell r="A66" t="str">
            <v>B5812</v>
          </cell>
          <cell r="B66" t="str">
            <v>Jakub</v>
          </cell>
          <cell r="C66" t="str">
            <v>BEKIER</v>
          </cell>
          <cell r="D66" t="str">
            <v>UKS Kiko Zamość</v>
          </cell>
        </row>
        <row r="67">
          <cell r="A67" t="str">
            <v>B3272</v>
          </cell>
          <cell r="B67" t="str">
            <v>Anna</v>
          </cell>
          <cell r="C67" t="str">
            <v>BELICKA</v>
          </cell>
          <cell r="D67" t="str">
            <v>MKS Orlicz Suchedniów</v>
          </cell>
        </row>
        <row r="68">
          <cell r="A68" t="str">
            <v>B3858</v>
          </cell>
          <cell r="B68" t="str">
            <v>Krzysztof</v>
          </cell>
          <cell r="C68" t="str">
            <v>BELICKI</v>
          </cell>
          <cell r="D68" t="str">
            <v>MKS Orlicz Suchedniów</v>
          </cell>
        </row>
        <row r="69">
          <cell r="A69" t="str">
            <v>B5342</v>
          </cell>
          <cell r="B69" t="str">
            <v>Alicja</v>
          </cell>
          <cell r="C69" t="str">
            <v>BELINA</v>
          </cell>
          <cell r="D69" t="str">
            <v>UKS Kiko Zamość</v>
          </cell>
        </row>
        <row r="70">
          <cell r="A70" t="str">
            <v>B1447</v>
          </cell>
          <cell r="B70" t="str">
            <v>Grażyna</v>
          </cell>
          <cell r="C70" t="str">
            <v>BEŁUS</v>
          </cell>
          <cell r="D70" t="str">
            <v>----</v>
          </cell>
        </row>
        <row r="71">
          <cell r="A71" t="str">
            <v>B1454</v>
          </cell>
          <cell r="B71" t="str">
            <v>Jacek</v>
          </cell>
          <cell r="C71" t="str">
            <v>BEŁUS</v>
          </cell>
          <cell r="D71" t="str">
            <v>----</v>
          </cell>
        </row>
        <row r="72">
          <cell r="A72" t="str">
            <v>B4564</v>
          </cell>
          <cell r="B72" t="str">
            <v>Laura</v>
          </cell>
          <cell r="C72" t="str">
            <v>BERESTECKA</v>
          </cell>
          <cell r="D72" t="str">
            <v>LKS Technik Głubczyce</v>
          </cell>
        </row>
        <row r="73">
          <cell r="A73" t="str">
            <v>B4750</v>
          </cell>
          <cell r="B73" t="str">
            <v>Jan</v>
          </cell>
          <cell r="C73" t="str">
            <v>BERGER</v>
          </cell>
          <cell r="D73" t="str">
            <v>UKS Unia Bieruń</v>
          </cell>
        </row>
        <row r="74">
          <cell r="A74" t="str">
            <v>B2412</v>
          </cell>
          <cell r="B74" t="str">
            <v>Justyna</v>
          </cell>
          <cell r="C74" t="str">
            <v>BERNADY</v>
          </cell>
          <cell r="D74" t="str">
            <v>UKS Hubal Białystok</v>
          </cell>
        </row>
        <row r="75">
          <cell r="A75" t="str">
            <v>B5625</v>
          </cell>
          <cell r="B75" t="str">
            <v>Damian</v>
          </cell>
          <cell r="C75" t="str">
            <v>BETLEJ</v>
          </cell>
          <cell r="D75" t="str">
            <v>UKS Arka Umieszcz</v>
          </cell>
        </row>
        <row r="76">
          <cell r="A76" t="str">
            <v>B3510</v>
          </cell>
          <cell r="B76" t="str">
            <v>Karol</v>
          </cell>
          <cell r="C76" t="str">
            <v>BĘBAS</v>
          </cell>
          <cell r="D76" t="str">
            <v>AZSWAT Warszawa</v>
          </cell>
        </row>
        <row r="77">
          <cell r="A77" t="str">
            <v>B4911</v>
          </cell>
          <cell r="B77" t="str">
            <v>Emilia</v>
          </cell>
          <cell r="C77" t="str">
            <v>BĘTKOWSKA</v>
          </cell>
          <cell r="D77" t="str">
            <v>MKSKSOS Kraków</v>
          </cell>
        </row>
        <row r="78">
          <cell r="A78" t="str">
            <v>B4380</v>
          </cell>
          <cell r="B78" t="str">
            <v>Weronika</v>
          </cell>
          <cell r="C78" t="str">
            <v>BIADAŁA</v>
          </cell>
          <cell r="D78" t="str">
            <v>OTB Lotka Ostrów Wlkp.</v>
          </cell>
        </row>
        <row r="79">
          <cell r="A79" t="str">
            <v>B5896</v>
          </cell>
          <cell r="B79" t="str">
            <v>Agnieszka</v>
          </cell>
          <cell r="C79" t="str">
            <v>BIAŁA</v>
          </cell>
          <cell r="D79" t="str">
            <v>Górnik Łęczna SA</v>
          </cell>
        </row>
        <row r="80">
          <cell r="A80" t="str">
            <v>B2558</v>
          </cell>
          <cell r="B80" t="str">
            <v>Anna</v>
          </cell>
          <cell r="C80" t="str">
            <v>BIAŁASIEWICZ</v>
          </cell>
          <cell r="D80" t="str">
            <v>----</v>
          </cell>
        </row>
        <row r="81">
          <cell r="A81" t="str">
            <v>B3862</v>
          </cell>
          <cell r="B81" t="str">
            <v>Aleksandra</v>
          </cell>
          <cell r="C81" t="str">
            <v>BIAŁEK</v>
          </cell>
          <cell r="D81" t="str">
            <v>UKS Start Widełka</v>
          </cell>
        </row>
        <row r="82">
          <cell r="A82" t="str">
            <v>B3419</v>
          </cell>
          <cell r="B82" t="str">
            <v>Beata</v>
          </cell>
          <cell r="C82" t="str">
            <v>BIAŁEK</v>
          </cell>
          <cell r="D82" t="str">
            <v>----</v>
          </cell>
        </row>
        <row r="83">
          <cell r="A83" t="str">
            <v>B2258</v>
          </cell>
          <cell r="B83" t="str">
            <v>Joanna</v>
          </cell>
          <cell r="C83" t="str">
            <v>BIAŁEK</v>
          </cell>
          <cell r="D83" t="str">
            <v>UKS Ostrówek</v>
          </cell>
        </row>
        <row r="84">
          <cell r="A84" t="str">
            <v>B5593</v>
          </cell>
          <cell r="B84" t="str">
            <v>Andzelika</v>
          </cell>
          <cell r="C84" t="str">
            <v>BIAŁKO</v>
          </cell>
          <cell r="D84" t="str">
            <v>LUKS Krokus Góralice</v>
          </cell>
        </row>
        <row r="85">
          <cell r="A85" t="str">
            <v>B5309</v>
          </cell>
          <cell r="B85" t="str">
            <v>Artur</v>
          </cell>
          <cell r="C85" t="str">
            <v>BIAŁOŃ</v>
          </cell>
          <cell r="D85" t="str">
            <v>UKS Plesbad Pszczyna</v>
          </cell>
        </row>
        <row r="86">
          <cell r="A86" t="str">
            <v>B5059</v>
          </cell>
          <cell r="B86" t="str">
            <v>Adam</v>
          </cell>
          <cell r="C86" t="str">
            <v>BIBIK</v>
          </cell>
          <cell r="D86" t="str">
            <v>KSR Wolant Łódź</v>
          </cell>
        </row>
        <row r="87">
          <cell r="A87" t="str">
            <v>B4769</v>
          </cell>
          <cell r="B87" t="str">
            <v>Paweł</v>
          </cell>
          <cell r="C87" t="str">
            <v>BIEGANOWSKI</v>
          </cell>
          <cell r="D87" t="str">
            <v>UKS Feniks Kędzierzyn-Koźle</v>
          </cell>
        </row>
        <row r="88">
          <cell r="A88" t="str">
            <v>B1495</v>
          </cell>
          <cell r="B88" t="str">
            <v>Robert</v>
          </cell>
          <cell r="C88" t="str">
            <v>BIEGANOWSKI</v>
          </cell>
          <cell r="D88" t="str">
            <v>----</v>
          </cell>
        </row>
        <row r="89">
          <cell r="A89" t="str">
            <v>B5220</v>
          </cell>
          <cell r="B89" t="str">
            <v>Arianna</v>
          </cell>
          <cell r="C89" t="str">
            <v>BIEL</v>
          </cell>
          <cell r="D89" t="str">
            <v>UKS Unia Bieruń</v>
          </cell>
        </row>
        <row r="90">
          <cell r="A90" t="str">
            <v>B1462</v>
          </cell>
          <cell r="B90" t="str">
            <v>Krzysztof</v>
          </cell>
          <cell r="C90" t="str">
            <v>BIELA</v>
          </cell>
          <cell r="D90" t="str">
            <v>AZSAGH Kraków</v>
          </cell>
        </row>
        <row r="91">
          <cell r="A91" t="str">
            <v>B4205</v>
          </cell>
          <cell r="B91" t="str">
            <v>Daniela</v>
          </cell>
          <cell r="C91" t="str">
            <v>BIELIŃSKA</v>
          </cell>
          <cell r="D91" t="str">
            <v>UKS Unia Bieruń</v>
          </cell>
        </row>
        <row r="92">
          <cell r="A92" t="str">
            <v>B5555</v>
          </cell>
          <cell r="B92" t="str">
            <v>Aleksandra</v>
          </cell>
          <cell r="C92" t="str">
            <v>BIELSKA</v>
          </cell>
          <cell r="D92" t="str">
            <v>ŚKBad Harcownik Warszawa</v>
          </cell>
        </row>
        <row r="93">
          <cell r="A93" t="str">
            <v>B5391</v>
          </cell>
          <cell r="B93" t="str">
            <v>Katarzyna</v>
          </cell>
          <cell r="C93" t="str">
            <v>BIELSKA</v>
          </cell>
          <cell r="D93" t="str">
            <v>AZSWAT Warszawa</v>
          </cell>
        </row>
        <row r="94">
          <cell r="A94" t="str">
            <v>B4431</v>
          </cell>
          <cell r="B94" t="str">
            <v>Michał</v>
          </cell>
          <cell r="C94" t="str">
            <v>BIENIA</v>
          </cell>
          <cell r="D94" t="str">
            <v>UKS Aktywna Piątka Przemyśl</v>
          </cell>
        </row>
        <row r="95">
          <cell r="A95" t="str">
            <v>B5792</v>
          </cell>
          <cell r="B95" t="str">
            <v>Kacper</v>
          </cell>
          <cell r="C95" t="str">
            <v>BIENIASZ</v>
          </cell>
          <cell r="D95" t="str">
            <v>UKS Orbitek Straszęcin</v>
          </cell>
        </row>
        <row r="96">
          <cell r="A96" t="str">
            <v>B5414</v>
          </cell>
          <cell r="B96" t="str">
            <v>Patryk</v>
          </cell>
          <cell r="C96" t="str">
            <v>BIENIOSZEK</v>
          </cell>
          <cell r="D96" t="str">
            <v>UKS Plesbad Pszczyna</v>
          </cell>
        </row>
        <row r="97">
          <cell r="A97" t="str">
            <v>B5061</v>
          </cell>
          <cell r="B97" t="str">
            <v>Klaudia</v>
          </cell>
          <cell r="C97" t="str">
            <v>BIEŃKOWSKA</v>
          </cell>
          <cell r="D97" t="str">
            <v>UKS 70 Płock</v>
          </cell>
        </row>
        <row r="98">
          <cell r="A98" t="str">
            <v>B0406</v>
          </cell>
          <cell r="B98" t="str">
            <v>Monika</v>
          </cell>
          <cell r="C98" t="str">
            <v>BIEŃKOWSKA</v>
          </cell>
          <cell r="D98" t="str">
            <v>SKB Suwałki</v>
          </cell>
        </row>
        <row r="99">
          <cell r="A99" t="str">
            <v>B3450</v>
          </cell>
          <cell r="B99" t="str">
            <v>Mateusz</v>
          </cell>
          <cell r="C99" t="str">
            <v>BIEŃKOWSKI</v>
          </cell>
          <cell r="D99" t="str">
            <v>UKS 70 Płock</v>
          </cell>
        </row>
        <row r="100">
          <cell r="A100" t="str">
            <v>B2621</v>
          </cell>
          <cell r="B100" t="str">
            <v>Mateusz</v>
          </cell>
          <cell r="C100" t="str">
            <v>BIERNACKI</v>
          </cell>
          <cell r="D100" t="str">
            <v>UKS Hubal Białystok</v>
          </cell>
        </row>
        <row r="101">
          <cell r="A101" t="str">
            <v>B5481</v>
          </cell>
          <cell r="B101" t="str">
            <v>Marek</v>
          </cell>
          <cell r="C101" t="str">
            <v>BIERNAT</v>
          </cell>
          <cell r="D101" t="str">
            <v>----</v>
          </cell>
        </row>
        <row r="102">
          <cell r="A102" t="str">
            <v>B4794</v>
          </cell>
          <cell r="B102" t="str">
            <v>Jakub</v>
          </cell>
          <cell r="C102" t="str">
            <v>BIESEK</v>
          </cell>
          <cell r="D102" t="str">
            <v>MMKS Gdańsk</v>
          </cell>
        </row>
        <row r="103">
          <cell r="A103" t="str">
            <v>B5881</v>
          </cell>
          <cell r="B103" t="str">
            <v>Agata</v>
          </cell>
          <cell r="C103" t="str">
            <v>BIGOŃ</v>
          </cell>
          <cell r="D103" t="str">
            <v>UKS Smecz Milicz</v>
          </cell>
        </row>
        <row r="104">
          <cell r="A104" t="str">
            <v>B4655</v>
          </cell>
          <cell r="B104" t="str">
            <v>Sebastian</v>
          </cell>
          <cell r="C104" t="str">
            <v>BILBIN</v>
          </cell>
          <cell r="D104" t="str">
            <v>SKB Suwałki</v>
          </cell>
        </row>
        <row r="105">
          <cell r="A105" t="str">
            <v>B5680</v>
          </cell>
          <cell r="B105" t="str">
            <v>Zuzanna</v>
          </cell>
          <cell r="C105" t="str">
            <v>BILIŃSKA</v>
          </cell>
          <cell r="D105" t="str">
            <v>UKS Smecz Bogatynia</v>
          </cell>
        </row>
        <row r="106">
          <cell r="A106" t="str">
            <v>B3322</v>
          </cell>
          <cell r="B106" t="str">
            <v>Mariusz</v>
          </cell>
          <cell r="C106" t="str">
            <v>BIŃKOWSKI</v>
          </cell>
          <cell r="D106" t="str">
            <v>KKS Ruch Piotrków Tryb.</v>
          </cell>
        </row>
        <row r="107">
          <cell r="A107" t="str">
            <v>B5288</v>
          </cell>
          <cell r="B107" t="str">
            <v>Andrzej</v>
          </cell>
          <cell r="C107" t="str">
            <v>BITTNER</v>
          </cell>
          <cell r="D107" t="str">
            <v>----</v>
          </cell>
        </row>
        <row r="108">
          <cell r="A108" t="str">
            <v>B4681</v>
          </cell>
          <cell r="B108" t="str">
            <v>Natalia</v>
          </cell>
          <cell r="C108" t="str">
            <v>BLEJWAS</v>
          </cell>
          <cell r="D108" t="str">
            <v>UKS Kopernik Słupca</v>
          </cell>
        </row>
        <row r="109">
          <cell r="A109" t="str">
            <v>B2468</v>
          </cell>
          <cell r="B109" t="str">
            <v>Aleksandra</v>
          </cell>
          <cell r="C109" t="str">
            <v>BŁASZCZYK</v>
          </cell>
          <cell r="D109" t="str">
            <v>ŚKBad Harcownik Warszawa</v>
          </cell>
        </row>
        <row r="110">
          <cell r="A110" t="str">
            <v>B5602</v>
          </cell>
          <cell r="B110" t="str">
            <v>Laura</v>
          </cell>
          <cell r="C110" t="str">
            <v>BŁASZCZYK</v>
          </cell>
          <cell r="D110" t="str">
            <v>UKS Hubal Białystok</v>
          </cell>
        </row>
        <row r="111">
          <cell r="A111" t="str">
            <v>B5638</v>
          </cell>
          <cell r="B111" t="str">
            <v>Jakub</v>
          </cell>
          <cell r="C111" t="str">
            <v>BŁOCH</v>
          </cell>
          <cell r="D111" t="str">
            <v>----</v>
          </cell>
        </row>
        <row r="112">
          <cell r="A112" t="str">
            <v>B5639</v>
          </cell>
          <cell r="B112" t="str">
            <v>Julia</v>
          </cell>
          <cell r="C112" t="str">
            <v>BŁOCH</v>
          </cell>
          <cell r="D112" t="str">
            <v>----</v>
          </cell>
        </row>
        <row r="113">
          <cell r="A113" t="str">
            <v>B1087</v>
          </cell>
          <cell r="B113" t="str">
            <v>Krzysztof</v>
          </cell>
          <cell r="C113" t="str">
            <v>BOBALA</v>
          </cell>
          <cell r="D113" t="str">
            <v>----</v>
          </cell>
        </row>
        <row r="114">
          <cell r="A114" t="str">
            <v>B4938</v>
          </cell>
          <cell r="B114" t="str">
            <v>Mirosław</v>
          </cell>
          <cell r="C114" t="str">
            <v>BOBCZUK</v>
          </cell>
          <cell r="D114" t="str">
            <v>UKS Kiko Zamość</v>
          </cell>
        </row>
        <row r="115">
          <cell r="A115" t="str">
            <v>B5170</v>
          </cell>
          <cell r="B115" t="str">
            <v>Mikołaj</v>
          </cell>
          <cell r="C115" t="str">
            <v>BOBER</v>
          </cell>
          <cell r="D115" t="str">
            <v>KS Wesoła Warszawa</v>
          </cell>
        </row>
        <row r="116">
          <cell r="A116" t="str">
            <v>B4694</v>
          </cell>
          <cell r="B116" t="str">
            <v>Szymon</v>
          </cell>
          <cell r="C116" t="str">
            <v>BOBER</v>
          </cell>
          <cell r="D116" t="str">
            <v>UKS Kometa Sianów</v>
          </cell>
        </row>
        <row r="117">
          <cell r="A117" t="str">
            <v>B4445</v>
          </cell>
          <cell r="B117" t="str">
            <v>Karol</v>
          </cell>
          <cell r="C117" t="str">
            <v>BOBRO</v>
          </cell>
          <cell r="D117" t="str">
            <v>AZSAGH Kraków</v>
          </cell>
        </row>
        <row r="118">
          <cell r="A118" t="str">
            <v>B2620</v>
          </cell>
          <cell r="B118" t="str">
            <v>Miłosz</v>
          </cell>
          <cell r="C118" t="str">
            <v>BOCHAT</v>
          </cell>
          <cell r="D118" t="str">
            <v>MLKS Solec Kuj.</v>
          </cell>
        </row>
        <row r="119">
          <cell r="A119" t="str">
            <v>B2813</v>
          </cell>
          <cell r="B119" t="str">
            <v>Zbigniew</v>
          </cell>
          <cell r="C119" t="str">
            <v>BOCHEN</v>
          </cell>
          <cell r="D119" t="str">
            <v>----</v>
          </cell>
        </row>
        <row r="120">
          <cell r="A120" t="str">
            <v>B4842</v>
          </cell>
          <cell r="B120" t="str">
            <v>Joanna</v>
          </cell>
          <cell r="C120" t="str">
            <v>BOCHENEK</v>
          </cell>
          <cell r="D120" t="str">
            <v>----</v>
          </cell>
        </row>
        <row r="121">
          <cell r="A121" t="str">
            <v>B5752</v>
          </cell>
          <cell r="B121" t="str">
            <v>Karol</v>
          </cell>
          <cell r="C121" t="str">
            <v>BOCHNIAK</v>
          </cell>
          <cell r="D121" t="str">
            <v>UKS Kiko Zamość</v>
          </cell>
        </row>
        <row r="122">
          <cell r="A122" t="str">
            <v>B4678</v>
          </cell>
          <cell r="B122" t="str">
            <v>Marek</v>
          </cell>
          <cell r="C122" t="str">
            <v>BOCZKOWSKI</v>
          </cell>
          <cell r="D122" t="str">
            <v>UKS Kiko Zamość</v>
          </cell>
        </row>
        <row r="123">
          <cell r="A123" t="str">
            <v>B5252</v>
          </cell>
          <cell r="B123" t="str">
            <v>Sebastian</v>
          </cell>
          <cell r="C123" t="str">
            <v>BOCZOŃ</v>
          </cell>
          <cell r="D123" t="str">
            <v>UKS Orliki Ropica Polska</v>
          </cell>
        </row>
        <row r="124">
          <cell r="A124" t="str">
            <v>B5740</v>
          </cell>
          <cell r="B124" t="str">
            <v>Klaudia</v>
          </cell>
          <cell r="C124" t="str">
            <v>BODYS</v>
          </cell>
          <cell r="D124" t="str">
            <v>UKS Kiko Zamość</v>
          </cell>
        </row>
        <row r="125">
          <cell r="A125" t="str">
            <v>B3514</v>
          </cell>
          <cell r="B125" t="str">
            <v>Małgorzata</v>
          </cell>
          <cell r="C125" t="str">
            <v>BOGACKA</v>
          </cell>
          <cell r="D125" t="str">
            <v>SKB Piast Słupsk</v>
          </cell>
        </row>
        <row r="126">
          <cell r="A126" t="str">
            <v>B5088</v>
          </cell>
          <cell r="B126" t="str">
            <v>Adam</v>
          </cell>
          <cell r="C126" t="str">
            <v>BOGACZ</v>
          </cell>
          <cell r="D126" t="str">
            <v>----</v>
          </cell>
        </row>
        <row r="127">
          <cell r="A127" t="str">
            <v>B5421</v>
          </cell>
          <cell r="B127" t="str">
            <v>Marian</v>
          </cell>
          <cell r="C127" t="str">
            <v>BOGACZ</v>
          </cell>
          <cell r="D127" t="str">
            <v>----</v>
          </cell>
        </row>
        <row r="128">
          <cell r="A128" t="str">
            <v>B3410</v>
          </cell>
          <cell r="B128" t="str">
            <v>Adrian</v>
          </cell>
          <cell r="C128" t="str">
            <v>BOGDAN</v>
          </cell>
          <cell r="D128" t="str">
            <v>MKS Stal Nowa Dęba</v>
          </cell>
        </row>
        <row r="129">
          <cell r="A129" t="str">
            <v>B0188</v>
          </cell>
          <cell r="B129" t="str">
            <v>Rafał</v>
          </cell>
          <cell r="C129" t="str">
            <v>BOGDAŃSKI</v>
          </cell>
          <cell r="D129" t="str">
            <v>----</v>
          </cell>
        </row>
        <row r="130">
          <cell r="A130" t="str">
            <v>B5178</v>
          </cell>
          <cell r="B130" t="str">
            <v>Krzysztof</v>
          </cell>
          <cell r="C130" t="str">
            <v>BOGUCKI</v>
          </cell>
          <cell r="D130" t="str">
            <v>----</v>
          </cell>
        </row>
        <row r="131">
          <cell r="A131" t="str">
            <v>B1558</v>
          </cell>
          <cell r="B131" t="str">
            <v>Andrzej</v>
          </cell>
          <cell r="C131" t="str">
            <v>BOGUTA</v>
          </cell>
          <cell r="D131" t="str">
            <v>KS Wesoła Warszawa</v>
          </cell>
        </row>
        <row r="132">
          <cell r="A132" t="str">
            <v>B5650</v>
          </cell>
          <cell r="B132" t="str">
            <v>Szymon</v>
          </cell>
          <cell r="C132" t="str">
            <v>BOJANOWSKI</v>
          </cell>
          <cell r="D132" t="str">
            <v>OTB Lotka Ostrów Wlkp.</v>
          </cell>
        </row>
        <row r="133">
          <cell r="A133" t="str">
            <v>B4793</v>
          </cell>
          <cell r="B133" t="str">
            <v>Julia</v>
          </cell>
          <cell r="C133" t="str">
            <v>BOLESTA</v>
          </cell>
          <cell r="D133" t="str">
            <v>UKSOSIR Badminton Sławno</v>
          </cell>
        </row>
        <row r="134">
          <cell r="A134" t="str">
            <v>B4448</v>
          </cell>
          <cell r="B134" t="str">
            <v>Łukasz</v>
          </cell>
          <cell r="C134" t="str">
            <v>BOLIŃSKI</v>
          </cell>
          <cell r="D134" t="str">
            <v>KS Stal Sulęcin</v>
          </cell>
        </row>
        <row r="135">
          <cell r="A135" t="str">
            <v>B5940</v>
          </cell>
          <cell r="B135" t="str">
            <v>Katarzyna</v>
          </cell>
          <cell r="C135" t="str">
            <v>BOMBA</v>
          </cell>
          <cell r="D135" t="str">
            <v>MMKS Kędzierzyn-Koźle</v>
          </cell>
        </row>
        <row r="136">
          <cell r="A136" t="str">
            <v>B5847</v>
          </cell>
          <cell r="B136" t="str">
            <v>Marta</v>
          </cell>
          <cell r="C136" t="str">
            <v>BOMBAŁA</v>
          </cell>
          <cell r="D136" t="str">
            <v>UKS 70 Płock</v>
          </cell>
        </row>
        <row r="137">
          <cell r="A137" t="str">
            <v>B5954</v>
          </cell>
          <cell r="B137" t="str">
            <v>Jagoda</v>
          </cell>
          <cell r="C137" t="str">
            <v>BONDAR</v>
          </cell>
          <cell r="D137" t="str">
            <v>OTB Lotka Ostrów Wlkp.</v>
          </cell>
        </row>
        <row r="138">
          <cell r="A138" t="str">
            <v>B4388</v>
          </cell>
          <cell r="B138" t="str">
            <v>Adrian</v>
          </cell>
          <cell r="C138" t="str">
            <v>BONDAROW</v>
          </cell>
          <cell r="D138" t="str">
            <v>SKB Suwałki</v>
          </cell>
        </row>
        <row r="139">
          <cell r="A139" t="str">
            <v>B4192</v>
          </cell>
          <cell r="B139" t="str">
            <v>Sebastian</v>
          </cell>
          <cell r="C139" t="str">
            <v>BOREK</v>
          </cell>
          <cell r="D139" t="str">
            <v>UKS Smecz Bogatynia</v>
          </cell>
        </row>
        <row r="140">
          <cell r="A140" t="str">
            <v>B5210</v>
          </cell>
          <cell r="B140" t="str">
            <v>Bartosz</v>
          </cell>
          <cell r="C140" t="str">
            <v>BORONIEC</v>
          </cell>
          <cell r="D140" t="str">
            <v>----</v>
          </cell>
        </row>
        <row r="141">
          <cell r="A141" t="str">
            <v>B5756</v>
          </cell>
          <cell r="B141" t="str">
            <v>Julia</v>
          </cell>
          <cell r="C141" t="str">
            <v>BOROWIEC</v>
          </cell>
          <cell r="D141" t="str">
            <v>UKSB Volant Mielec</v>
          </cell>
        </row>
        <row r="142">
          <cell r="A142" t="str">
            <v>B5798</v>
          </cell>
          <cell r="B142" t="str">
            <v>Karol</v>
          </cell>
          <cell r="C142" t="str">
            <v>BOROWSKI</v>
          </cell>
          <cell r="D142" t="str">
            <v>KS Stal Sulęcin</v>
          </cell>
        </row>
        <row r="143">
          <cell r="A143" t="str">
            <v>B3650</v>
          </cell>
          <cell r="B143" t="str">
            <v>Marcin</v>
          </cell>
          <cell r="C143" t="str">
            <v>BORUCIŃSKI</v>
          </cell>
          <cell r="D143" t="str">
            <v>UKS Badminton Stare Babice</v>
          </cell>
        </row>
        <row r="144">
          <cell r="A144" t="str">
            <v>B2442</v>
          </cell>
          <cell r="B144" t="str">
            <v>Katarzyna</v>
          </cell>
          <cell r="C144" t="str">
            <v>BORYS</v>
          </cell>
          <cell r="D144" t="str">
            <v>UKS Aktywna Piątka Przemyśl</v>
          </cell>
        </row>
        <row r="145">
          <cell r="A145" t="str">
            <v>B5005</v>
          </cell>
          <cell r="B145" t="str">
            <v>Wojciech</v>
          </cell>
          <cell r="C145" t="str">
            <v>BORZĘCKI</v>
          </cell>
          <cell r="D145" t="str">
            <v>STB Energia Lubliniec</v>
          </cell>
        </row>
        <row r="146">
          <cell r="A146" t="str">
            <v>B0711</v>
          </cell>
          <cell r="B146" t="str">
            <v>Angelika</v>
          </cell>
          <cell r="C146" t="str">
            <v>BOŻENTKA</v>
          </cell>
          <cell r="D146" t="str">
            <v>UKS 15 Kędzierzyn-Koźle</v>
          </cell>
        </row>
        <row r="147">
          <cell r="A147" t="str">
            <v>B3642</v>
          </cell>
          <cell r="B147" t="str">
            <v>Ewelina</v>
          </cell>
          <cell r="C147" t="str">
            <v>BRACHA</v>
          </cell>
          <cell r="D147" t="str">
            <v>----</v>
          </cell>
        </row>
        <row r="148">
          <cell r="A148" t="str">
            <v>B4668</v>
          </cell>
          <cell r="B148" t="str">
            <v>Agnieszka</v>
          </cell>
          <cell r="C148" t="str">
            <v>BROJEK</v>
          </cell>
          <cell r="D148" t="str">
            <v>MKS Garwolin</v>
          </cell>
        </row>
        <row r="149">
          <cell r="A149" t="str">
            <v>B2544</v>
          </cell>
          <cell r="B149" t="str">
            <v>Małgorzata</v>
          </cell>
          <cell r="C149" t="str">
            <v>BROJEK</v>
          </cell>
          <cell r="D149" t="str">
            <v>MKS Garwolin</v>
          </cell>
        </row>
        <row r="150">
          <cell r="A150" t="str">
            <v>B4945</v>
          </cell>
          <cell r="B150" t="str">
            <v>Iwona</v>
          </cell>
          <cell r="C150" t="str">
            <v>BROKIENDAL</v>
          </cell>
          <cell r="D150" t="str">
            <v>----</v>
          </cell>
        </row>
        <row r="151">
          <cell r="A151" t="str">
            <v>B3793</v>
          </cell>
          <cell r="B151" t="str">
            <v>Marta</v>
          </cell>
          <cell r="C151" t="str">
            <v>BROSZKO</v>
          </cell>
          <cell r="D151" t="str">
            <v>LKS Technik Głubczyce</v>
          </cell>
        </row>
        <row r="152">
          <cell r="A152" t="str">
            <v>B5111</v>
          </cell>
          <cell r="B152" t="str">
            <v>Jakub</v>
          </cell>
          <cell r="C152" t="str">
            <v>BRUDEK</v>
          </cell>
          <cell r="D152" t="str">
            <v>UKS Plesbad Pszczyna</v>
          </cell>
        </row>
        <row r="153">
          <cell r="A153" t="str">
            <v>B4991</v>
          </cell>
          <cell r="B153" t="str">
            <v>Wojciech</v>
          </cell>
          <cell r="C153" t="str">
            <v>BRUDEK</v>
          </cell>
          <cell r="D153" t="str">
            <v>UKS Plesbad Pszczyna</v>
          </cell>
        </row>
        <row r="154">
          <cell r="A154" t="str">
            <v>B5637</v>
          </cell>
          <cell r="B154" t="str">
            <v>Patryk</v>
          </cell>
          <cell r="C154" t="str">
            <v>BRUDER</v>
          </cell>
          <cell r="D154" t="str">
            <v>----</v>
          </cell>
        </row>
        <row r="155">
          <cell r="A155" t="str">
            <v>B4871</v>
          </cell>
          <cell r="B155" t="str">
            <v>Krzysztof</v>
          </cell>
          <cell r="C155" t="str">
            <v>BRUDNOWSKI</v>
          </cell>
          <cell r="D155" t="str">
            <v>MMKS Gdańsk</v>
          </cell>
        </row>
        <row r="156">
          <cell r="A156" t="str">
            <v>B5239</v>
          </cell>
          <cell r="B156" t="str">
            <v>Mateusz</v>
          </cell>
          <cell r="C156" t="str">
            <v>BRYCZ</v>
          </cell>
          <cell r="D156" t="str">
            <v>UKS Ząbkowice Dąbrowa Górn.</v>
          </cell>
        </row>
        <row r="157">
          <cell r="A157" t="str">
            <v>B4440</v>
          </cell>
          <cell r="B157" t="str">
            <v>Simone</v>
          </cell>
          <cell r="C157" t="str">
            <v>BRYG</v>
          </cell>
          <cell r="D157" t="str">
            <v>AZSAGH Kraków</v>
          </cell>
        </row>
        <row r="158">
          <cell r="A158" t="str">
            <v>B2747</v>
          </cell>
          <cell r="B158" t="str">
            <v>Iwona</v>
          </cell>
          <cell r="C158" t="str">
            <v>BRYK</v>
          </cell>
          <cell r="D158" t="str">
            <v>UKS Ostrówek</v>
          </cell>
        </row>
        <row r="159">
          <cell r="A159" t="str">
            <v>B 047</v>
          </cell>
          <cell r="B159" t="str">
            <v>Maria</v>
          </cell>
          <cell r="C159" t="str">
            <v>BRZEŹNICKA</v>
          </cell>
          <cell r="D159" t="str">
            <v>MKS Garwolin</v>
          </cell>
        </row>
        <row r="160">
          <cell r="A160" t="str">
            <v>B4961</v>
          </cell>
          <cell r="B160" t="str">
            <v>Anna</v>
          </cell>
          <cell r="C160" t="str">
            <v>BRZOSTEK</v>
          </cell>
          <cell r="D160" t="str">
            <v>UKS Iskra Babimost</v>
          </cell>
        </row>
        <row r="161">
          <cell r="A161" t="str">
            <v>B5641</v>
          </cell>
          <cell r="B161" t="str">
            <v>Karolina</v>
          </cell>
          <cell r="C161" t="str">
            <v>BRZYCKA</v>
          </cell>
          <cell r="D161" t="str">
            <v>UKS Sokół Ropczyce</v>
          </cell>
        </row>
        <row r="162">
          <cell r="A162" t="str">
            <v>B3274</v>
          </cell>
          <cell r="B162" t="str">
            <v>Ewelina</v>
          </cell>
          <cell r="C162" t="str">
            <v>BUBENKO</v>
          </cell>
          <cell r="D162" t="str">
            <v>UKS Aktywna Piątka Przemyśl</v>
          </cell>
        </row>
        <row r="163">
          <cell r="A163" t="str">
            <v>B5369</v>
          </cell>
          <cell r="B163" t="str">
            <v>Krystian</v>
          </cell>
          <cell r="C163" t="str">
            <v>BUCH</v>
          </cell>
          <cell r="D163" t="str">
            <v>UKS Ostrówek</v>
          </cell>
        </row>
        <row r="164">
          <cell r="A164" t="str">
            <v>B2025</v>
          </cell>
          <cell r="B164" t="str">
            <v>Karolina</v>
          </cell>
          <cell r="C164" t="str">
            <v>BUCZYŃSKA</v>
          </cell>
          <cell r="D164" t="str">
            <v>UKS Orbitek Straszęcin</v>
          </cell>
        </row>
        <row r="165">
          <cell r="A165" t="str">
            <v>B2515</v>
          </cell>
          <cell r="B165" t="str">
            <v>Wojciech</v>
          </cell>
          <cell r="C165" t="str">
            <v>BUCZYŃSKI</v>
          </cell>
          <cell r="D165" t="str">
            <v>UKS Orbitek Straszęcin</v>
          </cell>
        </row>
        <row r="166">
          <cell r="A166" t="str">
            <v>B5620</v>
          </cell>
          <cell r="B166" t="str">
            <v>Karol</v>
          </cell>
          <cell r="C166" t="str">
            <v>BUDNY</v>
          </cell>
          <cell r="D166" t="str">
            <v>UKS Feniks Kędzierzyn-Koźle</v>
          </cell>
        </row>
        <row r="167">
          <cell r="A167" t="str">
            <v>B4737</v>
          </cell>
          <cell r="B167" t="str">
            <v>Wiktoria</v>
          </cell>
          <cell r="C167" t="str">
            <v>BUDZISZEWSKA</v>
          </cell>
          <cell r="D167" t="str">
            <v>UKS Kiko Zamość</v>
          </cell>
        </row>
        <row r="168">
          <cell r="A168" t="str">
            <v>B4552</v>
          </cell>
          <cell r="B168" t="str">
            <v>Adam</v>
          </cell>
          <cell r="C168" t="str">
            <v>BUGNO</v>
          </cell>
          <cell r="D168" t="str">
            <v>UKS Orliki Ropica Polska</v>
          </cell>
        </row>
        <row r="169">
          <cell r="A169" t="str">
            <v>B3988</v>
          </cell>
          <cell r="B169" t="str">
            <v>Dariusz</v>
          </cell>
          <cell r="C169" t="str">
            <v>BUGNO</v>
          </cell>
          <cell r="D169" t="str">
            <v>UKS Badmin Gorlice</v>
          </cell>
        </row>
        <row r="170">
          <cell r="A170" t="str">
            <v>B4319</v>
          </cell>
          <cell r="B170" t="str">
            <v>Laura</v>
          </cell>
          <cell r="C170" t="str">
            <v>BUJAK</v>
          </cell>
          <cell r="D170" t="str">
            <v>ULKS U-2 Lotka Bytów</v>
          </cell>
        </row>
        <row r="171">
          <cell r="A171" t="str">
            <v>B4127</v>
          </cell>
          <cell r="B171" t="str">
            <v>Paweł</v>
          </cell>
          <cell r="C171" t="str">
            <v>BUJNIK</v>
          </cell>
          <cell r="D171" t="str">
            <v>ŚKBad Harcownik Warszawa</v>
          </cell>
        </row>
        <row r="172">
          <cell r="A172" t="str">
            <v>B5256</v>
          </cell>
          <cell r="B172" t="str">
            <v>Amelia</v>
          </cell>
          <cell r="C172" t="str">
            <v>BUKOWIŃSKA</v>
          </cell>
          <cell r="D172" t="str">
            <v>UMKS Dubiecko</v>
          </cell>
        </row>
        <row r="173">
          <cell r="A173" t="str">
            <v>B4244</v>
          </cell>
          <cell r="B173" t="str">
            <v>Klaudia</v>
          </cell>
          <cell r="C173" t="str">
            <v>BUKOWIŃSKA</v>
          </cell>
          <cell r="D173" t="str">
            <v>UMKS Dubiecko</v>
          </cell>
        </row>
        <row r="174">
          <cell r="A174" t="str">
            <v>B4237</v>
          </cell>
          <cell r="B174" t="str">
            <v>Marta</v>
          </cell>
          <cell r="C174" t="str">
            <v>BUKOWSKA</v>
          </cell>
          <cell r="D174" t="str">
            <v>UKSOSIR Badminton Sławno</v>
          </cell>
        </row>
        <row r="175">
          <cell r="A175" t="str">
            <v>B0110</v>
          </cell>
          <cell r="B175" t="str">
            <v>Adam</v>
          </cell>
          <cell r="C175" t="str">
            <v>BUNIO</v>
          </cell>
          <cell r="D175" t="str">
            <v>MKS Stal Nowa Dęba</v>
          </cell>
        </row>
        <row r="176">
          <cell r="A176" t="str">
            <v>B4050</v>
          </cell>
          <cell r="B176" t="str">
            <v>Marta</v>
          </cell>
          <cell r="C176" t="str">
            <v>BURAKOWSKA</v>
          </cell>
          <cell r="D176" t="str">
            <v>KKS Warmia Olsztyn</v>
          </cell>
        </row>
        <row r="177">
          <cell r="A177" t="str">
            <v>B3723</v>
          </cell>
          <cell r="B177" t="str">
            <v>Łukasz</v>
          </cell>
          <cell r="C177" t="str">
            <v>BURAKOWSKI</v>
          </cell>
          <cell r="D177" t="str">
            <v>KKS Warmia Olsztyn</v>
          </cell>
        </row>
        <row r="178">
          <cell r="A178" t="str">
            <v>B5723</v>
          </cell>
          <cell r="B178" t="str">
            <v>Jakub</v>
          </cell>
          <cell r="C178" t="str">
            <v>BUSZA</v>
          </cell>
          <cell r="D178" t="str">
            <v>UKS Kopernik Słupca</v>
          </cell>
        </row>
        <row r="179">
          <cell r="A179" t="str">
            <v>B5214</v>
          </cell>
          <cell r="B179" t="str">
            <v>Klaudia</v>
          </cell>
          <cell r="C179" t="str">
            <v>BUTKIEWICZ</v>
          </cell>
          <cell r="D179" t="str">
            <v>SKB Suwałki</v>
          </cell>
        </row>
        <row r="180">
          <cell r="A180" t="str">
            <v>B5816</v>
          </cell>
          <cell r="B180" t="str">
            <v>Tomasz</v>
          </cell>
          <cell r="C180" t="str">
            <v>BUZA</v>
          </cell>
          <cell r="D180" t="str">
            <v>UKSB Milenium Warszawa</v>
          </cell>
        </row>
        <row r="181">
          <cell r="A181" t="str">
            <v>B2628</v>
          </cell>
          <cell r="B181" t="str">
            <v>Mateusz</v>
          </cell>
          <cell r="C181" t="str">
            <v>BYCZUK</v>
          </cell>
          <cell r="D181" t="str">
            <v>AZSUWM Olsztyn</v>
          </cell>
        </row>
        <row r="182">
          <cell r="A182" t="str">
            <v>B3103</v>
          </cell>
          <cell r="B182" t="str">
            <v>Maciej</v>
          </cell>
          <cell r="C182" t="str">
            <v>BYSIKIEWICZ</v>
          </cell>
          <cell r="D182" t="str">
            <v>----</v>
          </cell>
        </row>
        <row r="183">
          <cell r="A183" t="str">
            <v>C4297</v>
          </cell>
          <cell r="B183" t="str">
            <v>Michał</v>
          </cell>
          <cell r="C183" t="str">
            <v>CABAŃSKI</v>
          </cell>
          <cell r="D183" t="str">
            <v>UKSOSIR Badminton Sławno</v>
          </cell>
        </row>
        <row r="184">
          <cell r="A184" t="str">
            <v>C5139</v>
          </cell>
          <cell r="B184" t="str">
            <v>Patryk</v>
          </cell>
          <cell r="C184" t="str">
            <v>CADER</v>
          </cell>
          <cell r="D184" t="str">
            <v>MKSKSOS Kraków</v>
          </cell>
        </row>
        <row r="185">
          <cell r="A185" t="str">
            <v>C3328</v>
          </cell>
          <cell r="B185" t="str">
            <v>Wojciech</v>
          </cell>
          <cell r="C185" t="str">
            <v>CERAZY</v>
          </cell>
          <cell r="D185" t="str">
            <v>KS Chojnik Jelenia Góra</v>
          </cell>
        </row>
        <row r="186">
          <cell r="A186" t="str">
            <v>C4878</v>
          </cell>
          <cell r="B186" t="str">
            <v>Michalina</v>
          </cell>
          <cell r="C186" t="str">
            <v>CHABINOWSKA</v>
          </cell>
          <cell r="D186" t="str">
            <v>KKS Warmia Olsztyn</v>
          </cell>
        </row>
        <row r="187">
          <cell r="A187" t="str">
            <v>C4483</v>
          </cell>
          <cell r="B187" t="str">
            <v>Marcelina</v>
          </cell>
          <cell r="C187" t="str">
            <v>CHACHUŁA</v>
          </cell>
          <cell r="D187" t="str">
            <v>UKS Kiko Zamość</v>
          </cell>
        </row>
        <row r="188">
          <cell r="A188" t="str">
            <v>C3075</v>
          </cell>
          <cell r="B188" t="str">
            <v>Wojciech</v>
          </cell>
          <cell r="C188" t="str">
            <v>CHAŁOTOWSKI</v>
          </cell>
          <cell r="D188" t="str">
            <v>----</v>
          </cell>
        </row>
        <row r="189">
          <cell r="A189" t="str">
            <v>C0262</v>
          </cell>
          <cell r="B189" t="str">
            <v>Tomasz</v>
          </cell>
          <cell r="C189" t="str">
            <v>CHARKIEWICZ</v>
          </cell>
          <cell r="D189" t="str">
            <v>----</v>
          </cell>
        </row>
        <row r="190">
          <cell r="A190" t="str">
            <v>C5273</v>
          </cell>
          <cell r="B190" t="str">
            <v>Mateusz</v>
          </cell>
          <cell r="C190" t="str">
            <v>CHĘĆ</v>
          </cell>
          <cell r="D190" t="str">
            <v>PMKS Chrobry Piotrowice</v>
          </cell>
        </row>
        <row r="191">
          <cell r="A191" t="str">
            <v>C5497</v>
          </cell>
          <cell r="B191" t="str">
            <v>Grzegorz</v>
          </cell>
          <cell r="C191" t="str">
            <v>CHMIELEWSKI</v>
          </cell>
          <cell r="D191" t="str">
            <v>----</v>
          </cell>
        </row>
        <row r="192">
          <cell r="A192" t="str">
            <v>C0589</v>
          </cell>
          <cell r="B192" t="str">
            <v>Grzegorz</v>
          </cell>
          <cell r="C192" t="str">
            <v>CHMIELEWSKI</v>
          </cell>
          <cell r="D192" t="str">
            <v>AZSUWM Olsztyn</v>
          </cell>
        </row>
        <row r="193">
          <cell r="A193" t="str">
            <v>C5000</v>
          </cell>
          <cell r="B193" t="str">
            <v>Witold</v>
          </cell>
          <cell r="C193" t="str">
            <v>CHMIELEWSKI</v>
          </cell>
          <cell r="D193" t="str">
            <v>----</v>
          </cell>
        </row>
        <row r="194">
          <cell r="A194" t="str">
            <v>C4789</v>
          </cell>
          <cell r="B194" t="str">
            <v>Piotr</v>
          </cell>
          <cell r="C194" t="str">
            <v>CHMIELOWSKI</v>
          </cell>
          <cell r="D194" t="str">
            <v>UKS 2 Sobótka</v>
          </cell>
        </row>
        <row r="195">
          <cell r="A195" t="str">
            <v>C5530</v>
          </cell>
          <cell r="B195" t="str">
            <v>Mateusz</v>
          </cell>
          <cell r="C195" t="str">
            <v>CHODOROWSKI</v>
          </cell>
          <cell r="D195" t="str">
            <v>SKB Suwałki</v>
          </cell>
        </row>
        <row r="196">
          <cell r="A196" t="str">
            <v>C5264</v>
          </cell>
          <cell r="B196" t="str">
            <v>Maciej</v>
          </cell>
          <cell r="C196" t="str">
            <v>CHOJNACKI</v>
          </cell>
          <cell r="D196" t="str">
            <v>KS Match Point Ślęza</v>
          </cell>
        </row>
        <row r="197">
          <cell r="A197" t="str">
            <v>C5928</v>
          </cell>
          <cell r="B197" t="str">
            <v>Natalia</v>
          </cell>
          <cell r="C197" t="str">
            <v>CHOMIUK</v>
          </cell>
          <cell r="D197" t="str">
            <v>Górnik Łęczna SA</v>
          </cell>
        </row>
        <row r="198">
          <cell r="A198" t="str">
            <v>C3337</v>
          </cell>
          <cell r="B198" t="str">
            <v>Jędrzej</v>
          </cell>
          <cell r="C198" t="str">
            <v>CHORĄŻYCZEWSKI</v>
          </cell>
          <cell r="D198" t="str">
            <v>UKS Siódemka Świebodzin</v>
          </cell>
        </row>
        <row r="199">
          <cell r="A199" t="str">
            <v>C5223</v>
          </cell>
          <cell r="B199" t="str">
            <v>Natalia</v>
          </cell>
          <cell r="C199" t="str">
            <v>CHORZEWSKA</v>
          </cell>
          <cell r="D199" t="str">
            <v>UKS Unia Bieruń</v>
          </cell>
        </row>
        <row r="200">
          <cell r="A200" t="str">
            <v>C5081</v>
          </cell>
          <cell r="B200" t="str">
            <v>Agnieszka</v>
          </cell>
          <cell r="C200" t="str">
            <v>CHRABĄSZCZ</v>
          </cell>
          <cell r="D200" t="str">
            <v>UMKS Junis Szczucin</v>
          </cell>
        </row>
        <row r="201">
          <cell r="A201" t="str">
            <v>C5082</v>
          </cell>
          <cell r="B201" t="str">
            <v>Anna</v>
          </cell>
          <cell r="C201" t="str">
            <v>CHRABĄSZCZ</v>
          </cell>
          <cell r="D201" t="str">
            <v>UMKS Junis Szczucin</v>
          </cell>
        </row>
        <row r="202">
          <cell r="A202" t="str">
            <v>C2306</v>
          </cell>
          <cell r="B202" t="str">
            <v>Katarzyna</v>
          </cell>
          <cell r="C202" t="str">
            <v>CHROMIK</v>
          </cell>
          <cell r="D202" t="str">
            <v>UKS Ostrówek</v>
          </cell>
        </row>
        <row r="203">
          <cell r="A203" t="str">
            <v>C3698</v>
          </cell>
          <cell r="B203" t="str">
            <v>Krystian</v>
          </cell>
          <cell r="C203" t="str">
            <v>CHRZĄŚCIK</v>
          </cell>
          <cell r="D203" t="str">
            <v>UKS Orliki Ropica Polska</v>
          </cell>
        </row>
        <row r="204">
          <cell r="A204" t="str">
            <v>C4268</v>
          </cell>
          <cell r="B204" t="str">
            <v>Karolina</v>
          </cell>
          <cell r="C204" t="str">
            <v>CHUDZIŃSKA</v>
          </cell>
          <cell r="D204" t="str">
            <v>STB Energia Lubliniec</v>
          </cell>
        </row>
        <row r="205">
          <cell r="A205" t="str">
            <v>C3516</v>
          </cell>
          <cell r="B205" t="str">
            <v>Aleksandra</v>
          </cell>
          <cell r="C205" t="str">
            <v>CHYŁA</v>
          </cell>
          <cell r="D205" t="str">
            <v>SKB Piast Słupsk</v>
          </cell>
        </row>
        <row r="206">
          <cell r="A206" t="str">
            <v>C3879</v>
          </cell>
          <cell r="B206" t="str">
            <v>Kamila</v>
          </cell>
          <cell r="C206" t="str">
            <v>CHYTROŚ</v>
          </cell>
          <cell r="D206" t="str">
            <v>MKS Spartakus Niepołomice</v>
          </cell>
        </row>
        <row r="207">
          <cell r="A207" t="str">
            <v>C1861</v>
          </cell>
          <cell r="B207" t="str">
            <v>Przemysław</v>
          </cell>
          <cell r="C207" t="str">
            <v>CIASTOŃ</v>
          </cell>
          <cell r="D207" t="str">
            <v>MLKS Solec Kuj.</v>
          </cell>
        </row>
        <row r="208">
          <cell r="A208" t="str">
            <v>C5714</v>
          </cell>
          <cell r="B208" t="str">
            <v>Tomasz</v>
          </cell>
          <cell r="C208" t="str">
            <v>CIBOROWSKI</v>
          </cell>
          <cell r="D208" t="str">
            <v>----</v>
          </cell>
        </row>
        <row r="209">
          <cell r="A209" t="str">
            <v>C5306</v>
          </cell>
          <cell r="B209" t="str">
            <v>Anna</v>
          </cell>
          <cell r="C209" t="str">
            <v>CICHOCKA</v>
          </cell>
          <cell r="D209" t="str">
            <v>----</v>
          </cell>
        </row>
        <row r="210">
          <cell r="A210" t="str">
            <v>C5327</v>
          </cell>
          <cell r="B210" t="str">
            <v>Walentyna</v>
          </cell>
          <cell r="C210" t="str">
            <v>CICHOCKA</v>
          </cell>
          <cell r="D210" t="str">
            <v>UKS Jagiellonka Medyka</v>
          </cell>
        </row>
        <row r="211">
          <cell r="A211" t="str">
            <v>C1463</v>
          </cell>
          <cell r="B211" t="str">
            <v>Bolesław</v>
          </cell>
          <cell r="C211" t="str">
            <v>CICHOCKI</v>
          </cell>
          <cell r="D211" t="str">
            <v>----</v>
          </cell>
        </row>
        <row r="212">
          <cell r="A212" t="str">
            <v>C3958</v>
          </cell>
          <cell r="B212" t="str">
            <v>Milena</v>
          </cell>
          <cell r="C212" t="str">
            <v>CICHOMSKA</v>
          </cell>
          <cell r="D212" t="str">
            <v>UKS Iskra Sarbice</v>
          </cell>
        </row>
        <row r="213">
          <cell r="A213" t="str">
            <v>C2812</v>
          </cell>
          <cell r="B213" t="str">
            <v>Krystyna</v>
          </cell>
          <cell r="C213" t="str">
            <v>CIELECKA</v>
          </cell>
          <cell r="D213" t="str">
            <v>----</v>
          </cell>
        </row>
        <row r="214">
          <cell r="A214" t="str">
            <v>C5112</v>
          </cell>
          <cell r="B214" t="str">
            <v>Marek</v>
          </cell>
          <cell r="C214" t="str">
            <v>CIELECKI</v>
          </cell>
          <cell r="D214" t="str">
            <v>----</v>
          </cell>
        </row>
        <row r="215">
          <cell r="A215" t="str">
            <v>C5534</v>
          </cell>
          <cell r="B215" t="str">
            <v>Pawł</v>
          </cell>
          <cell r="C215" t="str">
            <v>CIEPIELEWSKI</v>
          </cell>
          <cell r="D215" t="str">
            <v>SKB Suwałki</v>
          </cell>
        </row>
        <row r="216">
          <cell r="A216" t="str">
            <v>C4351</v>
          </cell>
          <cell r="B216" t="str">
            <v>Szymon</v>
          </cell>
          <cell r="C216" t="str">
            <v>CIEPLAK</v>
          </cell>
          <cell r="D216" t="str">
            <v>AZSWAT Warszawa</v>
          </cell>
        </row>
        <row r="217">
          <cell r="A217" t="str">
            <v>C3400</v>
          </cell>
          <cell r="B217" t="str">
            <v>Monika</v>
          </cell>
          <cell r="C217" t="str">
            <v>CIEPŁA</v>
          </cell>
          <cell r="D217" t="str">
            <v>UKS 2 Sobótka</v>
          </cell>
        </row>
        <row r="218">
          <cell r="A218" t="str">
            <v>C5063</v>
          </cell>
          <cell r="B218" t="str">
            <v>Karolina</v>
          </cell>
          <cell r="C218" t="str">
            <v>CIEŚLUK</v>
          </cell>
          <cell r="D218" t="str">
            <v>UKS Hubal Białystok</v>
          </cell>
        </row>
        <row r="219">
          <cell r="A219" t="str">
            <v>C0181</v>
          </cell>
          <cell r="B219" t="str">
            <v>Adam</v>
          </cell>
          <cell r="C219" t="str">
            <v>CIMOSZ</v>
          </cell>
          <cell r="D219" t="str">
            <v>KS Chojnik Jelenia Góra</v>
          </cell>
        </row>
        <row r="220">
          <cell r="A220" t="str">
            <v>C4406</v>
          </cell>
          <cell r="B220" t="str">
            <v>Łukasz</v>
          </cell>
          <cell r="C220" t="str">
            <v>CIMOSZ</v>
          </cell>
          <cell r="D220" t="str">
            <v>KS Chojnik Jelenia Góra</v>
          </cell>
        </row>
        <row r="221">
          <cell r="A221" t="str">
            <v>C2602</v>
          </cell>
          <cell r="B221" t="str">
            <v>Adam</v>
          </cell>
          <cell r="C221" t="str">
            <v>CIOK</v>
          </cell>
          <cell r="D221" t="str">
            <v>AZSUW Warszawa</v>
          </cell>
        </row>
        <row r="222">
          <cell r="A222" t="str">
            <v>C3688</v>
          </cell>
          <cell r="B222" t="str">
            <v>Marcin</v>
          </cell>
          <cell r="C222" t="str">
            <v>CIOK</v>
          </cell>
          <cell r="D222" t="str">
            <v>UKS Dwójka Wesoła</v>
          </cell>
        </row>
        <row r="223">
          <cell r="A223" t="str">
            <v>C5741</v>
          </cell>
          <cell r="B223" t="str">
            <v>Paulina</v>
          </cell>
          <cell r="C223" t="str">
            <v>CIOS</v>
          </cell>
          <cell r="D223" t="str">
            <v>UKS Kiko Zamość</v>
          </cell>
        </row>
        <row r="224">
          <cell r="A224" t="str">
            <v>C5337</v>
          </cell>
          <cell r="B224" t="str">
            <v>Karina</v>
          </cell>
          <cell r="C224" t="str">
            <v>CISOWSKA</v>
          </cell>
          <cell r="D224" t="str">
            <v>UKS 2 Sobótka</v>
          </cell>
        </row>
        <row r="225">
          <cell r="A225" t="str">
            <v>C5897</v>
          </cell>
          <cell r="B225" t="str">
            <v>Angelika</v>
          </cell>
          <cell r="C225" t="str">
            <v>CIUPAK</v>
          </cell>
          <cell r="D225" t="str">
            <v>Górnik Łęczna SA</v>
          </cell>
        </row>
        <row r="226">
          <cell r="A226" t="str">
            <v>C1352</v>
          </cell>
          <cell r="B226" t="str">
            <v>Mateusz</v>
          </cell>
          <cell r="C226" t="str">
            <v>CIURKOT</v>
          </cell>
          <cell r="D226" t="str">
            <v>UKS Orbitek Straszęcin</v>
          </cell>
        </row>
        <row r="227">
          <cell r="A227" t="str">
            <v>C2877</v>
          </cell>
          <cell r="B227" t="str">
            <v>Bartosz</v>
          </cell>
          <cell r="C227" t="str">
            <v>CURZYTEK</v>
          </cell>
          <cell r="D227" t="str">
            <v>UKS Sokół Ropczyce</v>
          </cell>
        </row>
        <row r="228">
          <cell r="A228" t="str">
            <v>C5791</v>
          </cell>
          <cell r="B228" t="str">
            <v>Kasper</v>
          </cell>
          <cell r="C228" t="str">
            <v>CURZYTEK</v>
          </cell>
          <cell r="D228" t="str">
            <v>UKS Sokół Ropczyce</v>
          </cell>
        </row>
        <row r="229">
          <cell r="A229" t="str">
            <v>C0171</v>
          </cell>
          <cell r="B229" t="str">
            <v>Adam</v>
          </cell>
          <cell r="C229" t="str">
            <v>CWALINA</v>
          </cell>
          <cell r="D229" t="str">
            <v>SKB Suwałki</v>
          </cell>
        </row>
        <row r="230">
          <cell r="A230" t="str">
            <v>C5357</v>
          </cell>
          <cell r="B230" t="str">
            <v>Natalia</v>
          </cell>
          <cell r="C230" t="str">
            <v>CYBULSKA</v>
          </cell>
          <cell r="D230" t="str">
            <v>UKS Iskra Babimost</v>
          </cell>
        </row>
        <row r="231">
          <cell r="A231" t="str">
            <v>C3670</v>
          </cell>
          <cell r="B231" t="str">
            <v>Robert</v>
          </cell>
          <cell r="C231" t="str">
            <v>CYBULSKI</v>
          </cell>
          <cell r="D231" t="str">
            <v>MKB Lednik Miastko</v>
          </cell>
        </row>
        <row r="232">
          <cell r="A232" t="str">
            <v>C4264</v>
          </cell>
          <cell r="B232" t="str">
            <v>Szymon</v>
          </cell>
          <cell r="C232" t="str">
            <v>CYBULSKI</v>
          </cell>
          <cell r="D232" t="str">
            <v>MKB Lednik Miastko</v>
          </cell>
        </row>
        <row r="233">
          <cell r="A233" t="str">
            <v>C 031</v>
          </cell>
          <cell r="B233" t="str">
            <v>Dominika</v>
          </cell>
          <cell r="C233" t="str">
            <v>CYGAN</v>
          </cell>
          <cell r="D233" t="str">
            <v>KKS Ruch Piotrków Tryb.</v>
          </cell>
        </row>
        <row r="234">
          <cell r="A234" t="str">
            <v>C4035</v>
          </cell>
          <cell r="B234" t="str">
            <v>Natalia</v>
          </cell>
          <cell r="C234" t="str">
            <v>CYGAN</v>
          </cell>
          <cell r="D234" t="str">
            <v>KKS Ruch Piotrków Tryb.</v>
          </cell>
        </row>
        <row r="235">
          <cell r="A235" t="str">
            <v>C5340</v>
          </cell>
          <cell r="B235" t="str">
            <v>Hubert</v>
          </cell>
          <cell r="C235" t="str">
            <v>CYMBALISTA</v>
          </cell>
          <cell r="D235" t="str">
            <v>UKS 2 Sobótka</v>
          </cell>
        </row>
        <row r="236">
          <cell r="A236" t="str">
            <v>C1202</v>
          </cell>
          <cell r="B236" t="str">
            <v>Mateusz</v>
          </cell>
          <cell r="C236" t="str">
            <v>CZACHOR</v>
          </cell>
          <cell r="D236" t="str">
            <v>MKS Stal Nowa Dęba</v>
          </cell>
        </row>
        <row r="237">
          <cell r="A237" t="str">
            <v>C0358</v>
          </cell>
          <cell r="B237" t="str">
            <v>Filip</v>
          </cell>
          <cell r="C237" t="str">
            <v>CZAJA</v>
          </cell>
          <cell r="D237" t="str">
            <v>UKS Kiko Zamość</v>
          </cell>
        </row>
        <row r="238">
          <cell r="A238" t="str">
            <v>C5397</v>
          </cell>
          <cell r="B238" t="str">
            <v>Igor</v>
          </cell>
          <cell r="C238" t="str">
            <v>CZAPKOWICZ</v>
          </cell>
          <cell r="D238" t="str">
            <v>PMKS Chrobry Piotrowice</v>
          </cell>
        </row>
        <row r="239">
          <cell r="A239" t="str">
            <v>C5991</v>
          </cell>
          <cell r="B239" t="str">
            <v>Gabriela</v>
          </cell>
          <cell r="C239" t="str">
            <v>CZARNECKA</v>
          </cell>
          <cell r="D239" t="str">
            <v>KSR Wolant Łódź</v>
          </cell>
        </row>
        <row r="240">
          <cell r="A240" t="str">
            <v>C4787</v>
          </cell>
          <cell r="B240" t="str">
            <v>Maciej</v>
          </cell>
          <cell r="C240" t="str">
            <v>CZARSKI</v>
          </cell>
          <cell r="D240" t="str">
            <v>AZSWAT Warszawa</v>
          </cell>
        </row>
        <row r="241">
          <cell r="A241" t="str">
            <v>C3953</v>
          </cell>
          <cell r="B241" t="str">
            <v>Mateusz</v>
          </cell>
          <cell r="C241" t="str">
            <v>CZECHOWICZ</v>
          </cell>
          <cell r="D241" t="str">
            <v>KS Chojnik Jelenia Góra</v>
          </cell>
        </row>
        <row r="242">
          <cell r="A242" t="str">
            <v>C4747</v>
          </cell>
          <cell r="B242" t="str">
            <v>Marcin</v>
          </cell>
          <cell r="C242" t="str">
            <v>CZEKAŁA</v>
          </cell>
          <cell r="D242" t="str">
            <v>UKSOSIR Badminton Sławno</v>
          </cell>
        </row>
        <row r="243">
          <cell r="A243" t="str">
            <v>C1712</v>
          </cell>
          <cell r="B243" t="str">
            <v>Robert</v>
          </cell>
          <cell r="C243" t="str">
            <v>CZEMBOR</v>
          </cell>
          <cell r="D243" t="str">
            <v>UKS Plesbad Pszczyna</v>
          </cell>
        </row>
        <row r="244">
          <cell r="A244" t="str">
            <v>C5596</v>
          </cell>
          <cell r="B244" t="str">
            <v>Anna</v>
          </cell>
          <cell r="C244" t="str">
            <v>CZEMPIK</v>
          </cell>
          <cell r="D244" t="str">
            <v>STB Energia Lubliniec</v>
          </cell>
        </row>
        <row r="245">
          <cell r="A245" t="str">
            <v>C5119</v>
          </cell>
          <cell r="B245" t="str">
            <v>Jacek</v>
          </cell>
          <cell r="C245" t="str">
            <v>CZERNECKI</v>
          </cell>
          <cell r="D245" t="str">
            <v>UKS Plesbad Pszczyna</v>
          </cell>
        </row>
        <row r="246">
          <cell r="A246" t="str">
            <v>C5118</v>
          </cell>
          <cell r="B246" t="str">
            <v>Maciej</v>
          </cell>
          <cell r="C246" t="str">
            <v>CZERNECKI</v>
          </cell>
          <cell r="D246" t="str">
            <v>UKS Plesbad Pszczyna</v>
          </cell>
        </row>
        <row r="247">
          <cell r="A247" t="str">
            <v>C5316</v>
          </cell>
          <cell r="B247" t="str">
            <v>Daria</v>
          </cell>
          <cell r="C247" t="str">
            <v>CZERNIAWSKA</v>
          </cell>
          <cell r="D247" t="str">
            <v>SKB Suwałki</v>
          </cell>
        </row>
        <row r="248">
          <cell r="A248" t="str">
            <v>C5783</v>
          </cell>
          <cell r="B248" t="str">
            <v>Filip</v>
          </cell>
          <cell r="C248" t="str">
            <v>CZERWIEC</v>
          </cell>
          <cell r="D248" t="str">
            <v>UKS Orbitek Straszęcin</v>
          </cell>
        </row>
        <row r="249">
          <cell r="A249" t="str">
            <v>C5328</v>
          </cell>
          <cell r="B249" t="str">
            <v>Ewelina</v>
          </cell>
          <cell r="C249" t="str">
            <v>CZERWIŃSKA</v>
          </cell>
          <cell r="D249" t="str">
            <v>UKS Jagiellonka Medyka</v>
          </cell>
        </row>
        <row r="250">
          <cell r="A250" t="str">
            <v>C3964</v>
          </cell>
          <cell r="B250" t="str">
            <v>Karolina</v>
          </cell>
          <cell r="C250" t="str">
            <v>CZERWIŃSKA</v>
          </cell>
          <cell r="D250" t="str">
            <v>UKS Kiko Zamość</v>
          </cell>
        </row>
        <row r="251">
          <cell r="A251" t="str">
            <v>C3008</v>
          </cell>
          <cell r="B251" t="str">
            <v>Kacper</v>
          </cell>
          <cell r="C251" t="str">
            <v>CZERWIŃSKI</v>
          </cell>
          <cell r="D251" t="str">
            <v>UKS Kiko Zamość</v>
          </cell>
        </row>
        <row r="252">
          <cell r="A252" t="str">
            <v>C4181</v>
          </cell>
          <cell r="B252" t="str">
            <v>Miłosz</v>
          </cell>
          <cell r="C252" t="str">
            <v>CZERWIŃSKI</v>
          </cell>
          <cell r="D252" t="str">
            <v>UKS Iskra Babimost</v>
          </cell>
        </row>
        <row r="253">
          <cell r="A253" t="str">
            <v>C4439</v>
          </cell>
          <cell r="B253" t="str">
            <v>Dawid</v>
          </cell>
          <cell r="C253" t="str">
            <v>CZOSNYKA</v>
          </cell>
          <cell r="D253" t="str">
            <v>UKS Sokół Ropczyce</v>
          </cell>
        </row>
        <row r="254">
          <cell r="A254" t="str">
            <v>C5904</v>
          </cell>
          <cell r="B254" t="str">
            <v>Agnieszka</v>
          </cell>
          <cell r="C254" t="str">
            <v>CZUCHRA</v>
          </cell>
          <cell r="D254" t="str">
            <v>BKS Kolejarz Katowice</v>
          </cell>
        </row>
        <row r="255">
          <cell r="A255" t="str">
            <v>C5905</v>
          </cell>
          <cell r="B255" t="str">
            <v>Anna</v>
          </cell>
          <cell r="C255" t="str">
            <v>CZUCHRA</v>
          </cell>
          <cell r="D255" t="str">
            <v>BKS Kolejarz Katowice</v>
          </cell>
        </row>
        <row r="256">
          <cell r="A256" t="str">
            <v>C5829</v>
          </cell>
          <cell r="B256" t="str">
            <v>Natalia</v>
          </cell>
          <cell r="C256" t="str">
            <v>CZUŁOWSKA</v>
          </cell>
          <cell r="D256" t="str">
            <v>KS Stal Sulęcin</v>
          </cell>
        </row>
        <row r="257">
          <cell r="A257" t="str">
            <v>C5828</v>
          </cell>
          <cell r="B257" t="str">
            <v>Wiktoria</v>
          </cell>
          <cell r="C257" t="str">
            <v>CZUŁOWSKA</v>
          </cell>
          <cell r="D257" t="str">
            <v>KS Stal Sulęcin</v>
          </cell>
        </row>
        <row r="258">
          <cell r="A258" t="str">
            <v>C4740</v>
          </cell>
          <cell r="B258" t="str">
            <v>Wiktoria</v>
          </cell>
          <cell r="C258" t="str">
            <v>CZUPAJŁO</v>
          </cell>
          <cell r="D258" t="str">
            <v>UKS Kometa Sianów</v>
          </cell>
        </row>
        <row r="259">
          <cell r="A259" t="str">
            <v>C1892</v>
          </cell>
          <cell r="B259" t="str">
            <v>Tymoteusz</v>
          </cell>
          <cell r="C259" t="str">
            <v>CZYSZ</v>
          </cell>
          <cell r="D259" t="str">
            <v>UKS Plesbad Pszczyna</v>
          </cell>
        </row>
        <row r="260">
          <cell r="A260" t="str">
            <v>Ć2294</v>
          </cell>
          <cell r="B260" t="str">
            <v>Paweł</v>
          </cell>
          <cell r="C260" t="str">
            <v>ĆWIEK</v>
          </cell>
          <cell r="D260" t="str">
            <v>ŚKBad Harcownik Warszawa</v>
          </cell>
        </row>
        <row r="261">
          <cell r="A261" t="str">
            <v>D2547</v>
          </cell>
          <cell r="B261" t="str">
            <v>Andrzej</v>
          </cell>
          <cell r="C261" t="str">
            <v>DADAS</v>
          </cell>
          <cell r="D261" t="str">
            <v>MKS Garwolin</v>
          </cell>
        </row>
        <row r="262">
          <cell r="A262" t="str">
            <v>D5571</v>
          </cell>
          <cell r="B262" t="str">
            <v>Dominik</v>
          </cell>
          <cell r="C262" t="str">
            <v>DADEJ</v>
          </cell>
          <cell r="D262" t="str">
            <v>PMKS Chrobry Piotrowice</v>
          </cell>
        </row>
        <row r="263">
          <cell r="A263" t="str">
            <v>D5860</v>
          </cell>
          <cell r="B263" t="str">
            <v>Kornel</v>
          </cell>
          <cell r="C263" t="str">
            <v>DAHLKE</v>
          </cell>
          <cell r="D263" t="str">
            <v>----</v>
          </cell>
        </row>
        <row r="264">
          <cell r="A264" t="str">
            <v>D0642</v>
          </cell>
          <cell r="B264" t="str">
            <v>Dorota</v>
          </cell>
          <cell r="C264" t="str">
            <v>DANIELAK</v>
          </cell>
          <cell r="D264" t="str">
            <v>KKS Ruch Piotrków Tryb.</v>
          </cell>
        </row>
        <row r="265">
          <cell r="A265" t="str">
            <v>D3323</v>
          </cell>
          <cell r="B265" t="str">
            <v>Mateusz</v>
          </cell>
          <cell r="C265" t="str">
            <v>DANIELAK</v>
          </cell>
          <cell r="D265" t="str">
            <v>KKS Ruch Piotrków Tryb.</v>
          </cell>
        </row>
        <row r="266">
          <cell r="A266" t="str">
            <v>D3427</v>
          </cell>
          <cell r="B266" t="str">
            <v>Wiktoria</v>
          </cell>
          <cell r="C266" t="str">
            <v>DĄBCZYŃSKA</v>
          </cell>
          <cell r="D266" t="str">
            <v>MKS Orlicz Suchedniów</v>
          </cell>
        </row>
        <row r="267">
          <cell r="A267" t="str">
            <v>D5251</v>
          </cell>
          <cell r="B267" t="str">
            <v>Tomasz</v>
          </cell>
          <cell r="C267" t="str">
            <v>DĄBEK</v>
          </cell>
          <cell r="D267" t="str">
            <v>----</v>
          </cell>
        </row>
        <row r="268">
          <cell r="A268" t="str">
            <v>D5078</v>
          </cell>
          <cell r="B268" t="str">
            <v>Kamila</v>
          </cell>
          <cell r="C268" t="str">
            <v>DĄBROWSKA</v>
          </cell>
          <cell r="D268" t="str">
            <v>UKS Badminton Stare Babice</v>
          </cell>
        </row>
        <row r="269">
          <cell r="A269" t="str">
            <v>D5491</v>
          </cell>
          <cell r="B269" t="str">
            <v>Grzegorz</v>
          </cell>
          <cell r="C269" t="str">
            <v>DĄBROWSKI</v>
          </cell>
          <cell r="D269" t="str">
            <v>----</v>
          </cell>
        </row>
        <row r="270">
          <cell r="A270" t="str">
            <v>D2367</v>
          </cell>
          <cell r="B270" t="str">
            <v>Maciej</v>
          </cell>
          <cell r="C270" t="str">
            <v>DĄBROWSKI</v>
          </cell>
          <cell r="D270" t="str">
            <v>UKS Hubal Białystok</v>
          </cell>
        </row>
        <row r="271">
          <cell r="A271" t="str">
            <v>D5914</v>
          </cell>
          <cell r="B271" t="str">
            <v>Jean-Sylvain</v>
          </cell>
          <cell r="C271" t="str">
            <v>DELEPAUT</v>
          </cell>
          <cell r="D271" t="str">
            <v>----</v>
          </cell>
        </row>
        <row r="272">
          <cell r="A272" t="str">
            <v>D5431</v>
          </cell>
          <cell r="B272" t="str">
            <v>Szymon</v>
          </cell>
          <cell r="C272" t="str">
            <v>DEMKÓW</v>
          </cell>
          <cell r="D272" t="str">
            <v>UKS 2 Sobótka</v>
          </cell>
        </row>
        <row r="273">
          <cell r="A273" t="str">
            <v>D5430</v>
          </cell>
          <cell r="B273" t="str">
            <v>Weronika</v>
          </cell>
          <cell r="C273" t="str">
            <v>DEMKÓW</v>
          </cell>
          <cell r="D273" t="str">
            <v>UKS 2 Sobótka</v>
          </cell>
        </row>
        <row r="274">
          <cell r="A274" t="str">
            <v>D5265</v>
          </cell>
          <cell r="B274" t="str">
            <v>Aleksandra</v>
          </cell>
          <cell r="C274" t="str">
            <v>DEMSKA</v>
          </cell>
          <cell r="D274" t="str">
            <v>KS Match Point Ślęza</v>
          </cell>
        </row>
        <row r="275">
          <cell r="A275" t="str">
            <v>D5371</v>
          </cell>
          <cell r="B275" t="str">
            <v>Szymon</v>
          </cell>
          <cell r="C275" t="str">
            <v>DENKIEWICZ</v>
          </cell>
          <cell r="D275" t="str">
            <v>UKS Kiko Zamość</v>
          </cell>
        </row>
        <row r="276">
          <cell r="A276" t="str">
            <v>D4252</v>
          </cell>
          <cell r="B276" t="str">
            <v>Klaudia</v>
          </cell>
          <cell r="C276" t="str">
            <v>DERDA</v>
          </cell>
          <cell r="D276" t="str">
            <v>----</v>
          </cell>
        </row>
        <row r="277">
          <cell r="A277" t="str">
            <v>D3918</v>
          </cell>
          <cell r="B277" t="str">
            <v>Patrycja</v>
          </cell>
          <cell r="C277" t="str">
            <v>DEREWIECKA</v>
          </cell>
          <cell r="D277" t="str">
            <v>UKS Kiko Zamość</v>
          </cell>
        </row>
        <row r="278">
          <cell r="A278" t="str">
            <v>D5343</v>
          </cell>
          <cell r="B278" t="str">
            <v>Jarosław</v>
          </cell>
          <cell r="C278" t="str">
            <v>DEREWIECKI</v>
          </cell>
          <cell r="D278" t="str">
            <v>UKS Kiko Zamość</v>
          </cell>
        </row>
        <row r="279">
          <cell r="A279" t="str">
            <v>D5753</v>
          </cell>
          <cell r="B279" t="str">
            <v>Dawid</v>
          </cell>
          <cell r="C279" t="str">
            <v>DĘBICKI</v>
          </cell>
          <cell r="D279" t="str">
            <v>UKS Kiko Zamość</v>
          </cell>
        </row>
        <row r="280">
          <cell r="A280" t="str">
            <v>D5587</v>
          </cell>
          <cell r="B280" t="str">
            <v>Dominik</v>
          </cell>
          <cell r="C280" t="str">
            <v>DĘBIŃSKI</v>
          </cell>
          <cell r="D280" t="str">
            <v>UKS Kiko Zamość</v>
          </cell>
        </row>
        <row r="281">
          <cell r="A281" t="str">
            <v>D3155</v>
          </cell>
          <cell r="B281" t="str">
            <v>Anna</v>
          </cell>
          <cell r="C281" t="str">
            <v>DĘBSKA</v>
          </cell>
          <cell r="D281" t="str">
            <v>UKSB Milenium Warszawa</v>
          </cell>
        </row>
        <row r="282">
          <cell r="A282" t="str">
            <v>D0758</v>
          </cell>
          <cell r="B282" t="str">
            <v>Jakub</v>
          </cell>
          <cell r="C282" t="str">
            <v>DĘBSKI</v>
          </cell>
          <cell r="D282" t="str">
            <v>ŚKBad Harcownik Warszawa</v>
          </cell>
        </row>
        <row r="283">
          <cell r="A283" t="str">
            <v>D2039</v>
          </cell>
          <cell r="B283" t="str">
            <v>Paweł</v>
          </cell>
          <cell r="C283" t="str">
            <v>DĘBSKI</v>
          </cell>
          <cell r="D283" t="str">
            <v>ŚKBad Harcownik Warszawa</v>
          </cell>
        </row>
        <row r="284">
          <cell r="A284" t="str">
            <v>D5802</v>
          </cell>
          <cell r="B284" t="str">
            <v>Katarzyna</v>
          </cell>
          <cell r="C284" t="str">
            <v>DŁUGOSZ</v>
          </cell>
          <cell r="D284" t="str">
            <v>UKS Iskra Babimost</v>
          </cell>
        </row>
        <row r="285">
          <cell r="A285" t="str">
            <v>D3428</v>
          </cell>
          <cell r="B285" t="str">
            <v>Adrian</v>
          </cell>
          <cell r="C285" t="str">
            <v>DOBOSIEWICZ</v>
          </cell>
          <cell r="D285" t="str">
            <v>ŚKBad Harcownik Warszawa</v>
          </cell>
        </row>
        <row r="286">
          <cell r="A286" t="str">
            <v>D0749</v>
          </cell>
          <cell r="B286" t="str">
            <v>Mateusz</v>
          </cell>
          <cell r="C286" t="str">
            <v>DOBROŃSKI</v>
          </cell>
          <cell r="D286" t="str">
            <v>AZSUWM Olsztyn</v>
          </cell>
        </row>
        <row r="287">
          <cell r="A287" t="str">
            <v>D5971</v>
          </cell>
          <cell r="B287" t="str">
            <v>Agata</v>
          </cell>
          <cell r="C287" t="str">
            <v>DOBROWOLSKA</v>
          </cell>
          <cell r="D287" t="str">
            <v>KS Chojnik Jelenia Góra</v>
          </cell>
        </row>
        <row r="288">
          <cell r="A288" t="str">
            <v>D4683</v>
          </cell>
          <cell r="B288" t="str">
            <v>Nadia</v>
          </cell>
          <cell r="C288" t="str">
            <v>DOBROWOLSKA</v>
          </cell>
          <cell r="D288" t="str">
            <v>UKS Kopernik Słupca</v>
          </cell>
        </row>
        <row r="289">
          <cell r="A289" t="str">
            <v>D5509</v>
          </cell>
          <cell r="B289" t="str">
            <v>Zbigniew</v>
          </cell>
          <cell r="C289" t="str">
            <v>DOLATA</v>
          </cell>
          <cell r="D289" t="str">
            <v>----</v>
          </cell>
        </row>
        <row r="290">
          <cell r="A290" t="str">
            <v>D5619</v>
          </cell>
          <cell r="B290" t="str">
            <v>Paweł</v>
          </cell>
          <cell r="C290" t="str">
            <v>DOLIBÓG</v>
          </cell>
          <cell r="D290" t="str">
            <v>----</v>
          </cell>
        </row>
        <row r="291">
          <cell r="A291" t="str">
            <v>D2843</v>
          </cell>
          <cell r="B291" t="str">
            <v>Emilia</v>
          </cell>
          <cell r="C291" t="str">
            <v>DOLNA</v>
          </cell>
          <cell r="D291" t="str">
            <v>SKB Piast Słupsk</v>
          </cell>
        </row>
        <row r="292">
          <cell r="A292" t="str">
            <v>D5992</v>
          </cell>
          <cell r="B292" t="str">
            <v>Marta</v>
          </cell>
          <cell r="C292" t="str">
            <v>DOLNIAK</v>
          </cell>
          <cell r="D292" t="str">
            <v>KSR Wolant Łódź</v>
          </cell>
        </row>
        <row r="293">
          <cell r="A293" t="str">
            <v>D 026</v>
          </cell>
          <cell r="B293" t="str">
            <v>Jerzy</v>
          </cell>
          <cell r="C293" t="str">
            <v>DOŁHAN</v>
          </cell>
          <cell r="D293" t="str">
            <v>SKB Suwałki</v>
          </cell>
        </row>
        <row r="294">
          <cell r="A294" t="str">
            <v>D5052</v>
          </cell>
          <cell r="B294" t="str">
            <v>Patrycja</v>
          </cell>
          <cell r="C294" t="str">
            <v>DOMAŃSKA</v>
          </cell>
          <cell r="D294" t="str">
            <v>----</v>
          </cell>
        </row>
        <row r="295">
          <cell r="A295" t="str">
            <v>D5547</v>
          </cell>
          <cell r="B295" t="str">
            <v>Weronika</v>
          </cell>
          <cell r="C295" t="str">
            <v>DOMAŃSKA</v>
          </cell>
          <cell r="D295" t="str">
            <v>AZSAGH Kraków</v>
          </cell>
        </row>
        <row r="296">
          <cell r="A296" t="str">
            <v>D4797</v>
          </cell>
          <cell r="B296" t="str">
            <v>Anna</v>
          </cell>
          <cell r="C296" t="str">
            <v>DOMŻALSKA</v>
          </cell>
          <cell r="D296" t="str">
            <v>SLKS Tramp Orneta</v>
          </cell>
        </row>
        <row r="297">
          <cell r="A297" t="str">
            <v>D4545</v>
          </cell>
          <cell r="B297" t="str">
            <v>Joanna</v>
          </cell>
          <cell r="C297" t="str">
            <v>DORAWA</v>
          </cell>
          <cell r="D297" t="str">
            <v>MKB Lednik Miastko</v>
          </cell>
        </row>
        <row r="298">
          <cell r="A298" t="str">
            <v>D1081</v>
          </cell>
          <cell r="B298" t="str">
            <v>Zbigniew</v>
          </cell>
          <cell r="C298" t="str">
            <v>DORNA</v>
          </cell>
          <cell r="D298" t="str">
            <v>----</v>
          </cell>
        </row>
        <row r="299">
          <cell r="A299" t="str">
            <v>D0591</v>
          </cell>
          <cell r="B299" t="str">
            <v>Agata</v>
          </cell>
          <cell r="C299" t="str">
            <v>DOROSZKIEWICZ</v>
          </cell>
          <cell r="D299" t="str">
            <v>----</v>
          </cell>
        </row>
        <row r="300">
          <cell r="A300" t="str">
            <v>D5803</v>
          </cell>
          <cell r="B300" t="str">
            <v>Amelia</v>
          </cell>
          <cell r="C300" t="str">
            <v>DRAGA</v>
          </cell>
          <cell r="D300" t="str">
            <v>UKS Iskra Babimost</v>
          </cell>
        </row>
        <row r="301">
          <cell r="A301" t="str">
            <v>D5143</v>
          </cell>
          <cell r="B301" t="str">
            <v>Wojciech</v>
          </cell>
          <cell r="C301" t="str">
            <v>DRANIKOWSKI</v>
          </cell>
          <cell r="D301" t="str">
            <v>UKS Kopernik Słupca</v>
          </cell>
        </row>
        <row r="302">
          <cell r="A302" t="str">
            <v>D5062</v>
          </cell>
          <cell r="B302" t="str">
            <v>Emilia</v>
          </cell>
          <cell r="C302" t="str">
            <v>DRĄGOWSKA</v>
          </cell>
          <cell r="D302" t="str">
            <v>UKS Hubal Białystok</v>
          </cell>
        </row>
        <row r="303">
          <cell r="A303" t="str">
            <v>D3423</v>
          </cell>
          <cell r="B303" t="str">
            <v>Ryszard</v>
          </cell>
          <cell r="C303" t="str">
            <v>DRĄŻKOWSKI</v>
          </cell>
          <cell r="D303" t="str">
            <v>----</v>
          </cell>
        </row>
        <row r="304">
          <cell r="A304" t="str">
            <v>D0119</v>
          </cell>
          <cell r="B304" t="str">
            <v>Wiesław</v>
          </cell>
          <cell r="C304" t="str">
            <v>DREWICZ</v>
          </cell>
          <cell r="D304" t="str">
            <v>----</v>
          </cell>
        </row>
        <row r="305">
          <cell r="A305" t="str">
            <v>D2976</v>
          </cell>
          <cell r="B305" t="str">
            <v>Krzysztof</v>
          </cell>
          <cell r="C305" t="str">
            <v>DROŃ</v>
          </cell>
          <cell r="D305" t="str">
            <v>UKS Hubal Białystok</v>
          </cell>
        </row>
        <row r="306">
          <cell r="A306" t="str">
            <v>D5718</v>
          </cell>
          <cell r="B306" t="str">
            <v>Wiktoria</v>
          </cell>
          <cell r="C306" t="str">
            <v>DROŃ</v>
          </cell>
          <cell r="D306" t="str">
            <v>LUKS Badminton Choroszcz</v>
          </cell>
        </row>
        <row r="307">
          <cell r="A307" t="str">
            <v>D5608</v>
          </cell>
          <cell r="B307" t="str">
            <v>Karolina</v>
          </cell>
          <cell r="C307" t="str">
            <v>DROZDOWSKA</v>
          </cell>
          <cell r="D307" t="str">
            <v>UKSB Volant Mielec</v>
          </cell>
        </row>
        <row r="308">
          <cell r="A308" t="str">
            <v>D5616</v>
          </cell>
          <cell r="B308" t="str">
            <v>Tomasz</v>
          </cell>
          <cell r="C308" t="str">
            <v>DROŻDŻAK</v>
          </cell>
          <cell r="D308" t="str">
            <v>AZSAGH Kraków</v>
          </cell>
        </row>
        <row r="309">
          <cell r="A309" t="str">
            <v>D5617</v>
          </cell>
          <cell r="B309" t="str">
            <v>Patryk</v>
          </cell>
          <cell r="C309" t="str">
            <v>DRUŚ</v>
          </cell>
          <cell r="D309" t="str">
            <v>UKS 70 Płock</v>
          </cell>
        </row>
        <row r="310">
          <cell r="A310" t="str">
            <v>D0593</v>
          </cell>
          <cell r="B310" t="str">
            <v>Lech</v>
          </cell>
          <cell r="C310" t="str">
            <v>DRYŻAŁOWSKI</v>
          </cell>
          <cell r="D310" t="str">
            <v>AZSUWM Olsztyn</v>
          </cell>
        </row>
        <row r="311">
          <cell r="A311" t="str">
            <v>D1898</v>
          </cell>
          <cell r="B311" t="str">
            <v>Mateusz</v>
          </cell>
          <cell r="C311" t="str">
            <v>DUBOWSKI</v>
          </cell>
          <cell r="D311" t="str">
            <v>UKS Hubal Białystok</v>
          </cell>
        </row>
        <row r="312">
          <cell r="A312" t="str">
            <v>D4628</v>
          </cell>
          <cell r="B312" t="str">
            <v>Anna</v>
          </cell>
          <cell r="C312" t="str">
            <v>DUDA</v>
          </cell>
          <cell r="D312" t="str">
            <v>ULKS U-2 Lotka Bytów</v>
          </cell>
        </row>
        <row r="313">
          <cell r="A313" t="str">
            <v>D3651</v>
          </cell>
          <cell r="B313" t="str">
            <v>Ewelina</v>
          </cell>
          <cell r="C313" t="str">
            <v>DUDEK</v>
          </cell>
          <cell r="D313" t="str">
            <v>UKS Ostrówek</v>
          </cell>
        </row>
        <row r="314">
          <cell r="A314" t="str">
            <v>D4699</v>
          </cell>
          <cell r="B314" t="str">
            <v>Wiktoria</v>
          </cell>
          <cell r="C314" t="str">
            <v>DUDEK</v>
          </cell>
          <cell r="D314" t="str">
            <v>----</v>
          </cell>
        </row>
        <row r="315">
          <cell r="A315" t="str">
            <v>D5258</v>
          </cell>
          <cell r="B315" t="str">
            <v>Aleksandra</v>
          </cell>
          <cell r="C315" t="str">
            <v>DUDZIAK</v>
          </cell>
          <cell r="D315" t="str">
            <v>UMKS Dubiecko</v>
          </cell>
        </row>
        <row r="316">
          <cell r="A316" t="str">
            <v>D5336</v>
          </cell>
          <cell r="B316" t="str">
            <v>Artur</v>
          </cell>
          <cell r="C316" t="str">
            <v>DUDZIAK</v>
          </cell>
          <cell r="D316" t="str">
            <v>UMKS Dubiecko</v>
          </cell>
        </row>
        <row r="317">
          <cell r="A317" t="str">
            <v>D5257</v>
          </cell>
          <cell r="B317" t="str">
            <v>Izabela</v>
          </cell>
          <cell r="C317" t="str">
            <v>DUDZIAK</v>
          </cell>
          <cell r="D317" t="str">
            <v>UMKS Dubiecko</v>
          </cell>
        </row>
        <row r="318">
          <cell r="A318" t="str">
            <v>D5865</v>
          </cell>
          <cell r="B318" t="str">
            <v>Jakub</v>
          </cell>
          <cell r="C318" t="str">
            <v>DUDZIAK</v>
          </cell>
          <cell r="D318" t="str">
            <v>UMKS Dubiecko</v>
          </cell>
        </row>
        <row r="319">
          <cell r="A319" t="str">
            <v>D5295</v>
          </cell>
          <cell r="B319" t="str">
            <v>Wiktoria</v>
          </cell>
          <cell r="C319" t="str">
            <v>DUDZIC</v>
          </cell>
          <cell r="D319" t="str">
            <v>UKS KSBad Kraków</v>
          </cell>
        </row>
        <row r="320">
          <cell r="A320" t="str">
            <v>D4912</v>
          </cell>
          <cell r="B320" t="str">
            <v>Magda</v>
          </cell>
          <cell r="C320" t="str">
            <v>DUDZIŃSKA</v>
          </cell>
          <cell r="D320" t="str">
            <v>KKS Ruch Piotrków Tryb.</v>
          </cell>
        </row>
        <row r="321">
          <cell r="A321" t="str">
            <v>D5085</v>
          </cell>
          <cell r="B321" t="str">
            <v>Karol</v>
          </cell>
          <cell r="C321" t="str">
            <v>DULAK</v>
          </cell>
          <cell r="D321" t="str">
            <v>UMKS Junis Szczucin</v>
          </cell>
        </row>
        <row r="322">
          <cell r="A322" t="str">
            <v>D5381</v>
          </cell>
          <cell r="B322" t="str">
            <v>Wojciech</v>
          </cell>
          <cell r="C322" t="str">
            <v>DULĘBA</v>
          </cell>
          <cell r="D322" t="str">
            <v>MKS Orlicz Suchedniów</v>
          </cell>
        </row>
        <row r="323">
          <cell r="A323" t="str">
            <v>D4915</v>
          </cell>
          <cell r="B323" t="str">
            <v>Kinga</v>
          </cell>
          <cell r="C323" t="str">
            <v>DULIŃSKA</v>
          </cell>
          <cell r="D323" t="str">
            <v>UKS 25 Kielce</v>
          </cell>
        </row>
        <row r="324">
          <cell r="A324" t="str">
            <v>D4918</v>
          </cell>
          <cell r="B324" t="str">
            <v>Wiktor</v>
          </cell>
          <cell r="C324" t="str">
            <v>DULIŃSKI</v>
          </cell>
          <cell r="D324" t="str">
            <v>UKS 25 Kielce</v>
          </cell>
        </row>
        <row r="325">
          <cell r="A325" t="str">
            <v>D5972</v>
          </cell>
          <cell r="B325" t="str">
            <v>Martin</v>
          </cell>
          <cell r="C325" t="str">
            <v>DUNIEC</v>
          </cell>
          <cell r="D325" t="str">
            <v>KS Chojnik Jelenia Góra</v>
          </cell>
        </row>
        <row r="326">
          <cell r="A326" t="str">
            <v>D3181</v>
          </cell>
          <cell r="B326" t="str">
            <v>Barbara</v>
          </cell>
          <cell r="C326" t="str">
            <v>DWORAKOWSKA</v>
          </cell>
          <cell r="D326" t="str">
            <v>UKSB Milenium Warszawa</v>
          </cell>
        </row>
        <row r="327">
          <cell r="A327" t="str">
            <v>D4088</v>
          </cell>
          <cell r="B327" t="str">
            <v>Julka</v>
          </cell>
          <cell r="C327" t="str">
            <v>DWORZYŃSKA</v>
          </cell>
          <cell r="D327" t="str">
            <v>KKS Ruch Piotrków Tryb.</v>
          </cell>
        </row>
        <row r="328">
          <cell r="A328" t="str">
            <v>D3178</v>
          </cell>
          <cell r="B328" t="str">
            <v>Dominika</v>
          </cell>
          <cell r="C328" t="str">
            <v>DYBAŁ</v>
          </cell>
          <cell r="D328" t="str">
            <v>AZSAGH Kraków</v>
          </cell>
        </row>
        <row r="329">
          <cell r="A329" t="str">
            <v>D1191</v>
          </cell>
          <cell r="B329" t="str">
            <v>Wiktor</v>
          </cell>
          <cell r="C329" t="str">
            <v>DYBUL</v>
          </cell>
          <cell r="D329" t="str">
            <v>KS Wesoła Warszawa</v>
          </cell>
        </row>
        <row r="330">
          <cell r="A330" t="str">
            <v>D2926</v>
          </cell>
          <cell r="B330" t="str">
            <v>Łukasz</v>
          </cell>
          <cell r="C330" t="str">
            <v>DYCHA</v>
          </cell>
          <cell r="D330" t="str">
            <v>MKS Stal Nowa Dęba</v>
          </cell>
        </row>
        <row r="331">
          <cell r="A331" t="str">
            <v>D5786</v>
          </cell>
          <cell r="B331" t="str">
            <v>Martin</v>
          </cell>
          <cell r="C331" t="str">
            <v>DYDO</v>
          </cell>
          <cell r="D331" t="str">
            <v>UKS Orbitek Straszęcin</v>
          </cell>
        </row>
        <row r="332">
          <cell r="A332" t="str">
            <v>D5782</v>
          </cell>
          <cell r="B332" t="str">
            <v>Arkadiusz</v>
          </cell>
          <cell r="C332" t="str">
            <v>DYDYŃSKI</v>
          </cell>
          <cell r="D332" t="str">
            <v>UKS Orbitek Straszęcin</v>
          </cell>
        </row>
        <row r="333">
          <cell r="A333" t="str">
            <v>D3989</v>
          </cell>
          <cell r="B333" t="str">
            <v>Tomasz</v>
          </cell>
          <cell r="C333" t="str">
            <v>DYLĄG</v>
          </cell>
          <cell r="D333" t="str">
            <v>UKS Badmin Gorlice</v>
          </cell>
        </row>
        <row r="334">
          <cell r="A334" t="str">
            <v>D4622</v>
          </cell>
          <cell r="B334" t="str">
            <v>Klaudia</v>
          </cell>
          <cell r="C334" t="str">
            <v>DYMEK</v>
          </cell>
          <cell r="D334" t="str">
            <v>UKS 70 Płock</v>
          </cell>
        </row>
        <row r="335">
          <cell r="A335" t="str">
            <v>D1636</v>
          </cell>
          <cell r="B335" t="str">
            <v>Mateusz</v>
          </cell>
          <cell r="C335" t="str">
            <v>DYNAK</v>
          </cell>
          <cell r="D335" t="str">
            <v>SKB Piast Słupsk</v>
          </cell>
        </row>
        <row r="336">
          <cell r="A336" t="str">
            <v>D4524</v>
          </cell>
          <cell r="B336" t="str">
            <v>Piotr</v>
          </cell>
          <cell r="C336" t="str">
            <v>DYNIA</v>
          </cell>
          <cell r="D336" t="str">
            <v>ŚKBad Harcownik Warszawa</v>
          </cell>
        </row>
        <row r="337">
          <cell r="A337" t="str">
            <v>D4892</v>
          </cell>
          <cell r="B337" t="str">
            <v>Jakub</v>
          </cell>
          <cell r="C337" t="str">
            <v>DYNIEWICZ</v>
          </cell>
          <cell r="D337" t="str">
            <v>UKSB Milenium Warszawa</v>
          </cell>
        </row>
        <row r="338">
          <cell r="A338" t="str">
            <v>D4893</v>
          </cell>
          <cell r="B338" t="str">
            <v>Karolina</v>
          </cell>
          <cell r="C338" t="str">
            <v>DYNIEWICZ</v>
          </cell>
          <cell r="D338" t="str">
            <v>UKSB Milenium Warszawa</v>
          </cell>
        </row>
        <row r="339">
          <cell r="A339" t="str">
            <v>D5432</v>
          </cell>
          <cell r="B339" t="str">
            <v>Barbara</v>
          </cell>
          <cell r="C339" t="str">
            <v>DYRCZ</v>
          </cell>
          <cell r="D339" t="str">
            <v>UKS 2 Sobótka</v>
          </cell>
        </row>
        <row r="340">
          <cell r="A340" t="str">
            <v>D5795</v>
          </cell>
          <cell r="B340" t="str">
            <v>Wiktor</v>
          </cell>
          <cell r="C340" t="str">
            <v>DYRCZ</v>
          </cell>
          <cell r="D340" t="str">
            <v>UKS 2 Sobótka</v>
          </cell>
        </row>
        <row r="341">
          <cell r="A341" t="str">
            <v>D4970</v>
          </cell>
          <cell r="B341" t="str">
            <v>Wojciech</v>
          </cell>
          <cell r="C341" t="str">
            <v>DYRCZ</v>
          </cell>
          <cell r="D341" t="str">
            <v>UKS Astra Wrocław</v>
          </cell>
        </row>
        <row r="342">
          <cell r="A342" t="str">
            <v>D4771</v>
          </cell>
          <cell r="B342" t="str">
            <v>Paulina</v>
          </cell>
          <cell r="C342" t="str">
            <v>DYSARZ</v>
          </cell>
          <cell r="D342" t="str">
            <v>----</v>
          </cell>
        </row>
        <row r="343">
          <cell r="A343" t="str">
            <v>D5217</v>
          </cell>
          <cell r="B343" t="str">
            <v>Dominika</v>
          </cell>
          <cell r="C343" t="str">
            <v>DZIDA</v>
          </cell>
          <cell r="D343" t="str">
            <v>SKB Suwałki</v>
          </cell>
        </row>
        <row r="344">
          <cell r="A344" t="str">
            <v>D5425</v>
          </cell>
          <cell r="B344" t="str">
            <v>Adam</v>
          </cell>
          <cell r="C344" t="str">
            <v>DZIEDZIC</v>
          </cell>
          <cell r="D344" t="str">
            <v>KS Chojnik Jelenia Góra</v>
          </cell>
        </row>
        <row r="345">
          <cell r="A345" t="str">
            <v>D5494</v>
          </cell>
          <cell r="B345" t="str">
            <v>Leszek</v>
          </cell>
          <cell r="C345" t="str">
            <v>DZIEDZIC</v>
          </cell>
          <cell r="D345" t="str">
            <v>KB Vol-Trick Kępno</v>
          </cell>
        </row>
        <row r="346">
          <cell r="A346" t="str">
            <v>D5642</v>
          </cell>
          <cell r="B346" t="str">
            <v>Maria</v>
          </cell>
          <cell r="C346" t="str">
            <v>DZIEDZIC</v>
          </cell>
          <cell r="D346" t="str">
            <v>UKS Sokół Ropczyce</v>
          </cell>
        </row>
        <row r="347">
          <cell r="A347" t="str">
            <v>D5927</v>
          </cell>
          <cell r="B347" t="str">
            <v>Agnieszka</v>
          </cell>
          <cell r="C347" t="str">
            <v>DZIEDZICKA</v>
          </cell>
          <cell r="D347" t="str">
            <v>Górnik Łęczna SA</v>
          </cell>
        </row>
        <row r="348">
          <cell r="A348" t="str">
            <v>D5611</v>
          </cell>
          <cell r="B348" t="str">
            <v>Agnieszka</v>
          </cell>
          <cell r="C348" t="str">
            <v>DZIEJARSKA</v>
          </cell>
          <cell r="D348" t="str">
            <v>UKS Dwójka Wesoła</v>
          </cell>
        </row>
        <row r="349">
          <cell r="A349" t="str">
            <v>D5646</v>
          </cell>
          <cell r="B349" t="str">
            <v>Adrian</v>
          </cell>
          <cell r="C349" t="str">
            <v>DZIEKAN</v>
          </cell>
          <cell r="D349" t="str">
            <v>UKSB Volant Mielec</v>
          </cell>
        </row>
        <row r="350">
          <cell r="A350" t="str">
            <v>D4266</v>
          </cell>
          <cell r="B350" t="str">
            <v>Karolina</v>
          </cell>
          <cell r="C350" t="str">
            <v>DZIEKAN</v>
          </cell>
          <cell r="D350" t="str">
            <v>UKSB Volant Mielec</v>
          </cell>
        </row>
        <row r="351">
          <cell r="A351" t="str">
            <v>D5240</v>
          </cell>
          <cell r="B351" t="str">
            <v>Jakub</v>
          </cell>
          <cell r="C351" t="str">
            <v>DZIENIS</v>
          </cell>
          <cell r="D351" t="str">
            <v>UKS Ząbkowice Dąbrowa Górn.</v>
          </cell>
        </row>
        <row r="352">
          <cell r="A352" t="str">
            <v>D5962</v>
          </cell>
          <cell r="B352" t="str">
            <v>Kinga</v>
          </cell>
          <cell r="C352" t="str">
            <v>DZIĘGIEL</v>
          </cell>
          <cell r="D352" t="str">
            <v>MUKS Junis Szczucin</v>
          </cell>
        </row>
        <row r="353">
          <cell r="A353" t="str">
            <v>D5963</v>
          </cell>
          <cell r="B353" t="str">
            <v>Marcelina</v>
          </cell>
          <cell r="C353" t="str">
            <v>DZIĘGIEL</v>
          </cell>
          <cell r="D353" t="str">
            <v>UMKS Junis Szczucin</v>
          </cell>
        </row>
        <row r="354">
          <cell r="A354" t="str">
            <v>D4415</v>
          </cell>
          <cell r="B354" t="str">
            <v>Adrian</v>
          </cell>
          <cell r="C354" t="str">
            <v>DZIKI</v>
          </cell>
          <cell r="D354" t="str">
            <v>UKS Orliki Ropica Polska</v>
          </cell>
        </row>
        <row r="355">
          <cell r="A355" t="str">
            <v>D4416</v>
          </cell>
          <cell r="B355" t="str">
            <v>Amadeusz</v>
          </cell>
          <cell r="C355" t="str">
            <v>DZIKI</v>
          </cell>
          <cell r="D355" t="str">
            <v>UKS Badmin Gorlice</v>
          </cell>
        </row>
        <row r="356">
          <cell r="A356" t="str">
            <v>D4868</v>
          </cell>
          <cell r="B356" t="str">
            <v>Karol</v>
          </cell>
          <cell r="C356" t="str">
            <v>DZIKI</v>
          </cell>
          <cell r="D356" t="str">
            <v>UKS Badmin Gorlice</v>
          </cell>
        </row>
        <row r="357">
          <cell r="A357" t="str">
            <v>D4724</v>
          </cell>
          <cell r="B357" t="str">
            <v>Wiktoria</v>
          </cell>
          <cell r="C357" t="str">
            <v>DZIKI</v>
          </cell>
          <cell r="D357" t="str">
            <v>LKS Technik Głubczyce</v>
          </cell>
        </row>
        <row r="358">
          <cell r="A358" t="str">
            <v>D1273</v>
          </cell>
          <cell r="B358" t="str">
            <v>Adrian</v>
          </cell>
          <cell r="C358" t="str">
            <v>DZIÓŁKO</v>
          </cell>
          <cell r="D358" t="str">
            <v>UKS Hubal Białystok</v>
          </cell>
        </row>
        <row r="359">
          <cell r="A359" t="str">
            <v>D5471</v>
          </cell>
          <cell r="B359" t="str">
            <v>Dawid</v>
          </cell>
          <cell r="C359" t="str">
            <v>DZIURSKI</v>
          </cell>
          <cell r="D359" t="str">
            <v>SLKS Tramp Orneta</v>
          </cell>
        </row>
        <row r="360">
          <cell r="A360" t="str">
            <v>E4320</v>
          </cell>
          <cell r="B360" t="str">
            <v>Franciszek</v>
          </cell>
          <cell r="C360" t="str">
            <v>EBERT</v>
          </cell>
          <cell r="D360" t="str">
            <v>KS Hubertus Zalesie Górne</v>
          </cell>
        </row>
        <row r="361">
          <cell r="A361" t="str">
            <v>E4898</v>
          </cell>
          <cell r="B361" t="str">
            <v>Dominik</v>
          </cell>
          <cell r="C361" t="str">
            <v>ESKA</v>
          </cell>
          <cell r="D361" t="str">
            <v>MUKBMDK Płock</v>
          </cell>
        </row>
        <row r="362">
          <cell r="A362" t="str">
            <v>F5212</v>
          </cell>
          <cell r="B362" t="str">
            <v>Gabriela</v>
          </cell>
          <cell r="C362" t="str">
            <v>FABER</v>
          </cell>
          <cell r="D362" t="str">
            <v>UKS Arka Umieszcz</v>
          </cell>
        </row>
        <row r="363">
          <cell r="A363" t="str">
            <v>F3716</v>
          </cell>
          <cell r="B363" t="str">
            <v>Wojciech</v>
          </cell>
          <cell r="C363" t="str">
            <v>FABISIAK</v>
          </cell>
          <cell r="D363" t="str">
            <v>ŚKBad Harcownik Warszawa</v>
          </cell>
        </row>
        <row r="364">
          <cell r="A364" t="str">
            <v>F5824</v>
          </cell>
          <cell r="B364" t="str">
            <v>Aleksandra</v>
          </cell>
          <cell r="C364" t="str">
            <v>FABRYCY</v>
          </cell>
          <cell r="D364" t="str">
            <v>UKSB Milenium Warszawa</v>
          </cell>
        </row>
        <row r="365">
          <cell r="A365" t="str">
            <v>F4130</v>
          </cell>
          <cell r="B365" t="str">
            <v>Fryderyka</v>
          </cell>
          <cell r="C365" t="str">
            <v>FALANDYSZ</v>
          </cell>
          <cell r="D365" t="str">
            <v>ŚKBad Harcownik Warszawa</v>
          </cell>
        </row>
        <row r="366">
          <cell r="A366" t="str">
            <v>F5086</v>
          </cell>
          <cell r="B366" t="str">
            <v>Adrian</v>
          </cell>
          <cell r="C366" t="str">
            <v>FALKIEWICZ</v>
          </cell>
          <cell r="D366" t="str">
            <v>UKS 70 Płock</v>
          </cell>
        </row>
        <row r="367">
          <cell r="A367" t="str">
            <v>F2400</v>
          </cell>
          <cell r="B367" t="str">
            <v>Marta</v>
          </cell>
          <cell r="C367" t="str">
            <v>FALKOWSKA</v>
          </cell>
          <cell r="D367" t="str">
            <v>SKB Piast Słupsk</v>
          </cell>
        </row>
        <row r="368">
          <cell r="A368" t="str">
            <v>F3613</v>
          </cell>
          <cell r="B368" t="str">
            <v>Sylwia</v>
          </cell>
          <cell r="C368" t="str">
            <v>FALKOWSKA</v>
          </cell>
          <cell r="D368" t="str">
            <v>UKS Kometa Sianów</v>
          </cell>
        </row>
        <row r="369">
          <cell r="A369" t="str">
            <v>F4879</v>
          </cell>
          <cell r="B369" t="str">
            <v>Filip</v>
          </cell>
          <cell r="C369" t="str">
            <v>FALTYNOWSKI</v>
          </cell>
          <cell r="D369" t="str">
            <v>KKS Warmia Olsztyn</v>
          </cell>
        </row>
        <row r="370">
          <cell r="A370" t="str">
            <v>F5436</v>
          </cell>
          <cell r="B370" t="str">
            <v>Damian</v>
          </cell>
          <cell r="C370" t="str">
            <v>FĄFARA</v>
          </cell>
          <cell r="D370" t="str">
            <v>ULKS Łączna</v>
          </cell>
        </row>
        <row r="371">
          <cell r="A371" t="str">
            <v>F5437</v>
          </cell>
          <cell r="B371" t="str">
            <v>Dawid</v>
          </cell>
          <cell r="C371" t="str">
            <v>FĄFARA</v>
          </cell>
          <cell r="D371" t="str">
            <v>ULKS Łączna</v>
          </cell>
        </row>
        <row r="372">
          <cell r="A372" t="str">
            <v>F5435</v>
          </cell>
          <cell r="B372" t="str">
            <v>Mateusz</v>
          </cell>
          <cell r="C372" t="str">
            <v>FĄFARA</v>
          </cell>
          <cell r="D372" t="str">
            <v>ULKS Łączna</v>
          </cell>
        </row>
        <row r="373">
          <cell r="A373" t="str">
            <v>F5838</v>
          </cell>
          <cell r="B373" t="str">
            <v>Mateusz</v>
          </cell>
          <cell r="C373" t="str">
            <v>FEDOROWICZ</v>
          </cell>
          <cell r="D373" t="str">
            <v>UKS Feniks Kędzierzyn-Koźle</v>
          </cell>
        </row>
        <row r="374">
          <cell r="A374" t="str">
            <v>F3777</v>
          </cell>
          <cell r="B374" t="str">
            <v>Aleksandra</v>
          </cell>
          <cell r="C374" t="str">
            <v>FELSKA</v>
          </cell>
          <cell r="D374" t="str">
            <v>UKS Orkan Przeźmierowo</v>
          </cell>
        </row>
        <row r="375">
          <cell r="A375" t="str">
            <v>F4888</v>
          </cell>
          <cell r="B375" t="str">
            <v>Jarosław</v>
          </cell>
          <cell r="C375" t="str">
            <v>FIJAŁKOWSKI</v>
          </cell>
          <cell r="D375" t="str">
            <v>UKSB Milenium Warszawa</v>
          </cell>
        </row>
        <row r="376">
          <cell r="A376" t="str">
            <v>F5060</v>
          </cell>
          <cell r="B376" t="str">
            <v>Kacper</v>
          </cell>
          <cell r="C376" t="str">
            <v>FILAS</v>
          </cell>
          <cell r="D376" t="str">
            <v>UKS 70 Płock</v>
          </cell>
        </row>
        <row r="377">
          <cell r="A377" t="str">
            <v>F5836</v>
          </cell>
          <cell r="B377" t="str">
            <v>Adam</v>
          </cell>
          <cell r="C377" t="str">
            <v>FILIPCZAK</v>
          </cell>
          <cell r="D377" t="str">
            <v>----</v>
          </cell>
        </row>
        <row r="378">
          <cell r="A378" t="str">
            <v>F4799</v>
          </cell>
          <cell r="B378" t="str">
            <v>Adrianna</v>
          </cell>
          <cell r="C378" t="str">
            <v>FILIPIAK</v>
          </cell>
          <cell r="D378" t="str">
            <v>MLKS Solec Kuj.</v>
          </cell>
        </row>
        <row r="379">
          <cell r="A379" t="str">
            <v>F4339</v>
          </cell>
          <cell r="B379" t="str">
            <v>Martyna</v>
          </cell>
          <cell r="C379" t="str">
            <v>FILIPIAK</v>
          </cell>
          <cell r="D379" t="str">
            <v>MLKS Solec Kuj.</v>
          </cell>
        </row>
        <row r="380">
          <cell r="A380" t="str">
            <v>F4827</v>
          </cell>
          <cell r="B380" t="str">
            <v>Jakub</v>
          </cell>
          <cell r="C380" t="str">
            <v>FIRLUS</v>
          </cell>
          <cell r="D380" t="str">
            <v>----</v>
          </cell>
        </row>
        <row r="381">
          <cell r="A381" t="str">
            <v>F5378</v>
          </cell>
          <cell r="B381" t="str">
            <v>Alicja</v>
          </cell>
          <cell r="C381" t="str">
            <v>FITAS</v>
          </cell>
          <cell r="D381" t="str">
            <v>MKS Orlicz Suchedniów</v>
          </cell>
        </row>
        <row r="382">
          <cell r="A382" t="str">
            <v>F5754</v>
          </cell>
          <cell r="B382" t="str">
            <v>Kacper</v>
          </cell>
          <cell r="C382" t="str">
            <v>FLAK</v>
          </cell>
          <cell r="D382" t="str">
            <v>UKS Kiko Zamość</v>
          </cell>
        </row>
        <row r="383">
          <cell r="A383" t="str">
            <v>F4774</v>
          </cell>
          <cell r="B383" t="str">
            <v>Dariusz</v>
          </cell>
          <cell r="C383" t="str">
            <v>FLASIŃSKI</v>
          </cell>
          <cell r="D383" t="str">
            <v>LUKS Jedynka Częstochowa</v>
          </cell>
        </row>
        <row r="384">
          <cell r="A384" t="str">
            <v>F0973</v>
          </cell>
          <cell r="B384" t="str">
            <v>Marlena</v>
          </cell>
          <cell r="C384" t="str">
            <v>FLIS</v>
          </cell>
          <cell r="D384" t="str">
            <v>SKB Piast Słupsk</v>
          </cell>
        </row>
        <row r="385">
          <cell r="A385" t="str">
            <v>F4107</v>
          </cell>
          <cell r="B385" t="str">
            <v>Karolina</v>
          </cell>
          <cell r="C385" t="str">
            <v>FORELLE</v>
          </cell>
          <cell r="D385" t="str">
            <v>UKS Iskra Babimost</v>
          </cell>
        </row>
        <row r="386">
          <cell r="A386" t="str">
            <v>F4890</v>
          </cell>
          <cell r="B386" t="str">
            <v>Adam</v>
          </cell>
          <cell r="C386" t="str">
            <v>FORNALCZYK</v>
          </cell>
          <cell r="D386" t="str">
            <v>KS Wesoła Warszawa</v>
          </cell>
        </row>
        <row r="387">
          <cell r="A387" t="str">
            <v>F0112</v>
          </cell>
          <cell r="B387" t="str">
            <v>Joanna</v>
          </cell>
          <cell r="C387" t="str">
            <v>FORYŚ</v>
          </cell>
          <cell r="D387" t="str">
            <v>----</v>
          </cell>
        </row>
        <row r="388">
          <cell r="A388" t="str">
            <v>F4371</v>
          </cell>
          <cell r="B388" t="str">
            <v>Agnieszka</v>
          </cell>
          <cell r="C388" t="str">
            <v>FORYTA</v>
          </cell>
          <cell r="D388" t="str">
            <v>STB Energia Lubliniec</v>
          </cell>
        </row>
        <row r="389">
          <cell r="A389" t="str">
            <v>F4959</v>
          </cell>
          <cell r="B389" t="str">
            <v>Danuta</v>
          </cell>
          <cell r="C389" t="str">
            <v>FORYTA</v>
          </cell>
          <cell r="D389" t="str">
            <v>STB Energia Lubliniec</v>
          </cell>
        </row>
        <row r="390">
          <cell r="A390" t="str">
            <v>F4870</v>
          </cell>
          <cell r="B390" t="str">
            <v>Marcelina</v>
          </cell>
          <cell r="C390" t="str">
            <v>FRANCZUK</v>
          </cell>
          <cell r="D390" t="str">
            <v>MMKS Gdańsk</v>
          </cell>
        </row>
        <row r="391">
          <cell r="A391" t="str">
            <v>F4869</v>
          </cell>
          <cell r="B391" t="str">
            <v>Maurycy</v>
          </cell>
          <cell r="C391" t="str">
            <v>FRANCZUK</v>
          </cell>
          <cell r="D391" t="str">
            <v>MMKS Gdańsk</v>
          </cell>
        </row>
        <row r="392">
          <cell r="A392" t="str">
            <v>F5989</v>
          </cell>
          <cell r="B392" t="str">
            <v>Jan</v>
          </cell>
          <cell r="C392" t="str">
            <v>FRAŃCZAK</v>
          </cell>
          <cell r="D392" t="str">
            <v>UKS 25 Kielce</v>
          </cell>
        </row>
        <row r="393">
          <cell r="A393" t="str">
            <v>F5987</v>
          </cell>
          <cell r="B393" t="str">
            <v>Mateusz</v>
          </cell>
          <cell r="C393" t="str">
            <v>FRAŃCZAK</v>
          </cell>
          <cell r="D393" t="str">
            <v>UKS 25 Kielce</v>
          </cell>
        </row>
        <row r="394">
          <cell r="A394" t="str">
            <v>F4551</v>
          </cell>
          <cell r="B394" t="str">
            <v>Grzegorz</v>
          </cell>
          <cell r="C394" t="str">
            <v>FRAŚ</v>
          </cell>
          <cell r="D394" t="str">
            <v>MKS Spartakus Niepołomice</v>
          </cell>
        </row>
        <row r="395">
          <cell r="A395" t="str">
            <v>F3305</v>
          </cell>
          <cell r="B395" t="str">
            <v>Tomasz</v>
          </cell>
          <cell r="C395" t="str">
            <v>FRAŚ</v>
          </cell>
          <cell r="D395" t="str">
            <v>MKS Spartakus Niepołomice</v>
          </cell>
        </row>
        <row r="396">
          <cell r="A396" t="str">
            <v>F4652</v>
          </cell>
          <cell r="B396" t="str">
            <v>Kamil</v>
          </cell>
          <cell r="C396" t="str">
            <v>FRĄTCZAK</v>
          </cell>
          <cell r="D396" t="str">
            <v>UKS Iskra Sarbice</v>
          </cell>
        </row>
        <row r="397">
          <cell r="A397" t="str">
            <v>F4048</v>
          </cell>
          <cell r="B397" t="str">
            <v>Konrad</v>
          </cell>
          <cell r="C397" t="str">
            <v>FRĄTCZAK</v>
          </cell>
          <cell r="D397" t="str">
            <v>UKS Iskra Sarbice</v>
          </cell>
        </row>
        <row r="398">
          <cell r="A398" t="str">
            <v>F5157</v>
          </cell>
          <cell r="B398" t="str">
            <v>Karolina</v>
          </cell>
          <cell r="C398" t="str">
            <v>FREY</v>
          </cell>
          <cell r="D398" t="str">
            <v>KS Wesoła Warszawa</v>
          </cell>
        </row>
        <row r="399">
          <cell r="A399" t="str">
            <v>F3775</v>
          </cell>
          <cell r="B399" t="str">
            <v>Bartosz</v>
          </cell>
          <cell r="C399" t="str">
            <v>FRONTCZAK</v>
          </cell>
          <cell r="D399" t="str">
            <v>UKS Orkan Przeźmierowo</v>
          </cell>
        </row>
        <row r="400">
          <cell r="A400" t="str">
            <v>F4865</v>
          </cell>
          <cell r="B400" t="str">
            <v>Kamila</v>
          </cell>
          <cell r="C400" t="str">
            <v>FRONTCZAK</v>
          </cell>
          <cell r="D400" t="str">
            <v>MKS Orlicz Suchedniów</v>
          </cell>
        </row>
        <row r="401">
          <cell r="A401" t="str">
            <v>F3973</v>
          </cell>
          <cell r="B401" t="str">
            <v>Przemysław</v>
          </cell>
          <cell r="C401" t="str">
            <v>FRONTCZAK</v>
          </cell>
          <cell r="D401" t="str">
            <v>KS Stal Sulęcin</v>
          </cell>
        </row>
        <row r="402">
          <cell r="A402" t="str">
            <v>F4256</v>
          </cell>
          <cell r="B402" t="str">
            <v>Kacper</v>
          </cell>
          <cell r="C402" t="str">
            <v>FRYSZCZYN</v>
          </cell>
          <cell r="D402" t="str">
            <v>KS Hubertus Zalesie Górne</v>
          </cell>
        </row>
        <row r="403">
          <cell r="A403" t="str">
            <v>F5785</v>
          </cell>
          <cell r="B403" t="str">
            <v>Małgorzata</v>
          </cell>
          <cell r="C403" t="str">
            <v>FURGAŁ</v>
          </cell>
          <cell r="D403" t="str">
            <v>UKS Orbitek Straszęcin</v>
          </cell>
        </row>
        <row r="404">
          <cell r="A404" t="str">
            <v>G4791</v>
          </cell>
          <cell r="B404" t="str">
            <v>Nestor</v>
          </cell>
          <cell r="C404" t="str">
            <v>GABRYSIAK</v>
          </cell>
          <cell r="D404" t="str">
            <v>UKSOSIR Badminton Sławno</v>
          </cell>
        </row>
        <row r="405">
          <cell r="A405" t="str">
            <v>G4180</v>
          </cell>
          <cell r="B405" t="str">
            <v>Paweł</v>
          </cell>
          <cell r="C405" t="str">
            <v>GACKOWSKI</v>
          </cell>
          <cell r="D405" t="str">
            <v>KS Chojnik Jelenia Góra</v>
          </cell>
        </row>
        <row r="406">
          <cell r="A406" t="str">
            <v>G5784</v>
          </cell>
          <cell r="B406" t="str">
            <v>Karol</v>
          </cell>
          <cell r="C406" t="str">
            <v>GACOŃ</v>
          </cell>
          <cell r="D406" t="str">
            <v>UKS Orbitek Straszęcin</v>
          </cell>
        </row>
        <row r="407">
          <cell r="A407" t="str">
            <v>G4680</v>
          </cell>
          <cell r="B407" t="str">
            <v>Aneta</v>
          </cell>
          <cell r="C407" t="str">
            <v>GADOMSKA</v>
          </cell>
          <cell r="D407" t="str">
            <v>UTS Akro-Bad Warszawa</v>
          </cell>
        </row>
        <row r="408">
          <cell r="A408" t="str">
            <v>G5945</v>
          </cell>
          <cell r="B408" t="str">
            <v>Dominika</v>
          </cell>
          <cell r="C408" t="str">
            <v>GAJDA</v>
          </cell>
          <cell r="D408" t="str">
            <v>UKS Feniks Kędzierzyn-Koźle</v>
          </cell>
        </row>
        <row r="409">
          <cell r="A409" t="str">
            <v>G4178</v>
          </cell>
          <cell r="B409" t="str">
            <v>Piotr</v>
          </cell>
          <cell r="C409" t="str">
            <v>GAJDA</v>
          </cell>
          <cell r="D409" t="str">
            <v>KS Chojnik Jelenia Góra</v>
          </cell>
        </row>
        <row r="410">
          <cell r="A410" t="str">
            <v>G5944</v>
          </cell>
          <cell r="B410" t="str">
            <v>Przemysław</v>
          </cell>
          <cell r="C410" t="str">
            <v>GAJDA</v>
          </cell>
          <cell r="D410" t="str">
            <v>UKS Feniks Kędzierzyn-Koźle</v>
          </cell>
        </row>
        <row r="411">
          <cell r="A411" t="str">
            <v>G5317</v>
          </cell>
          <cell r="B411" t="str">
            <v>Patrycja</v>
          </cell>
          <cell r="C411" t="str">
            <v>GAJEWSKA</v>
          </cell>
          <cell r="D411" t="str">
            <v>SKB Suwałki</v>
          </cell>
        </row>
        <row r="412">
          <cell r="A412" t="str">
            <v>G0612</v>
          </cell>
          <cell r="B412" t="str">
            <v>Andrzej</v>
          </cell>
          <cell r="C412" t="str">
            <v>GAJEWSKI</v>
          </cell>
          <cell r="D412" t="str">
            <v>----</v>
          </cell>
        </row>
        <row r="413">
          <cell r="A413" t="str">
            <v>G5026</v>
          </cell>
          <cell r="B413" t="str">
            <v>Maciej</v>
          </cell>
          <cell r="C413" t="str">
            <v>GAJEWSKI</v>
          </cell>
          <cell r="D413" t="str">
            <v>MKS Strzelce Opolskie</v>
          </cell>
        </row>
        <row r="414">
          <cell r="A414" t="str">
            <v>G2737</v>
          </cell>
          <cell r="B414" t="str">
            <v>Karolina</v>
          </cell>
          <cell r="C414" t="str">
            <v>GAJOS</v>
          </cell>
          <cell r="D414" t="str">
            <v>MKS Dwójka Blachownia</v>
          </cell>
        </row>
        <row r="415">
          <cell r="A415" t="str">
            <v>G1072</v>
          </cell>
          <cell r="B415" t="str">
            <v>Paulina</v>
          </cell>
          <cell r="C415" t="str">
            <v>GAJOS</v>
          </cell>
          <cell r="D415" t="str">
            <v>MKS Dwójka Blachownia</v>
          </cell>
        </row>
        <row r="416">
          <cell r="A416" t="str">
            <v>G1828</v>
          </cell>
          <cell r="B416" t="str">
            <v>Łukasz</v>
          </cell>
          <cell r="C416" t="str">
            <v>GAJOWNICZEK</v>
          </cell>
          <cell r="D416" t="str">
            <v>AZSOŚ Łódź</v>
          </cell>
        </row>
        <row r="417">
          <cell r="A417" t="str">
            <v>G4395</v>
          </cell>
          <cell r="B417" t="str">
            <v>Karolina</v>
          </cell>
          <cell r="C417" t="str">
            <v>GALAS</v>
          </cell>
          <cell r="D417" t="str">
            <v>UKS Siódemka Świebodzin</v>
          </cell>
        </row>
        <row r="418">
          <cell r="A418" t="str">
            <v>G4818</v>
          </cell>
          <cell r="B418" t="str">
            <v>Karol</v>
          </cell>
          <cell r="C418" t="str">
            <v>GAŁAN</v>
          </cell>
          <cell r="D418" t="str">
            <v>MKS Spartakus Niepołomice</v>
          </cell>
        </row>
        <row r="419">
          <cell r="A419" t="str">
            <v>G4725</v>
          </cell>
          <cell r="B419" t="str">
            <v>Bartosz</v>
          </cell>
          <cell r="C419" t="str">
            <v>GAŁĄZKA</v>
          </cell>
          <cell r="D419" t="str">
            <v>LKS Technik Głubczyce</v>
          </cell>
        </row>
        <row r="420">
          <cell r="A420" t="str">
            <v>G5315</v>
          </cell>
          <cell r="B420" t="str">
            <v>Jakub</v>
          </cell>
          <cell r="C420" t="str">
            <v>GAŁĄZKA</v>
          </cell>
          <cell r="D420" t="str">
            <v>MMKS Gdańsk</v>
          </cell>
        </row>
        <row r="421">
          <cell r="A421" t="str">
            <v>G4459</v>
          </cell>
          <cell r="B421" t="str">
            <v>Karol</v>
          </cell>
          <cell r="C421" t="str">
            <v>GAŁCZYŃSKI</v>
          </cell>
          <cell r="D421" t="str">
            <v>MKS Orlicz Suchedniów</v>
          </cell>
        </row>
        <row r="422">
          <cell r="A422" t="str">
            <v>G0209</v>
          </cell>
          <cell r="B422" t="str">
            <v>Marek</v>
          </cell>
          <cell r="C422" t="str">
            <v>GAŁCZYŃSKI</v>
          </cell>
          <cell r="D422" t="str">
            <v>----</v>
          </cell>
        </row>
        <row r="423">
          <cell r="A423" t="str">
            <v>G2179</v>
          </cell>
          <cell r="B423" t="str">
            <v>Magdalena</v>
          </cell>
          <cell r="C423" t="str">
            <v>GAŁEK</v>
          </cell>
          <cell r="D423" t="str">
            <v>MKS Orlicz Suchedniów</v>
          </cell>
        </row>
        <row r="424">
          <cell r="A424" t="str">
            <v>G1652</v>
          </cell>
          <cell r="B424" t="str">
            <v>Robert</v>
          </cell>
          <cell r="C424" t="str">
            <v>GAŁEK</v>
          </cell>
          <cell r="D424" t="str">
            <v>AZSAGH Kraków</v>
          </cell>
        </row>
        <row r="425">
          <cell r="A425" t="str">
            <v>G5122</v>
          </cell>
          <cell r="B425" t="str">
            <v>Weronika</v>
          </cell>
          <cell r="C425" t="str">
            <v>GAPIŃSKA</v>
          </cell>
          <cell r="D425" t="str">
            <v>MLKS Solec Kuj.</v>
          </cell>
        </row>
        <row r="426">
          <cell r="A426" t="str">
            <v>G4344</v>
          </cell>
          <cell r="B426" t="str">
            <v>Szymon</v>
          </cell>
          <cell r="C426" t="str">
            <v>GAPIŃSKI</v>
          </cell>
          <cell r="D426" t="str">
            <v>UKS 70 Płock</v>
          </cell>
        </row>
        <row r="427">
          <cell r="A427" t="str">
            <v>G5478</v>
          </cell>
          <cell r="B427" t="str">
            <v>Paulina</v>
          </cell>
          <cell r="C427" t="str">
            <v>GAPSA</v>
          </cell>
          <cell r="D427" t="str">
            <v>UKS Iskra Sarbice</v>
          </cell>
        </row>
        <row r="428">
          <cell r="A428" t="str">
            <v>G  06</v>
          </cell>
          <cell r="B428" t="str">
            <v>Katarzyna</v>
          </cell>
          <cell r="C428" t="str">
            <v>GARBACKA</v>
          </cell>
          <cell r="D428" t="str">
            <v>UKSB Milenium Warszawa</v>
          </cell>
        </row>
        <row r="429">
          <cell r="A429" t="str">
            <v>G4584</v>
          </cell>
          <cell r="B429" t="str">
            <v>Adam</v>
          </cell>
          <cell r="C429" t="str">
            <v>GARBALA</v>
          </cell>
          <cell r="D429" t="str">
            <v>MKS Orlicz Suchedniów</v>
          </cell>
        </row>
        <row r="430">
          <cell r="A430" t="str">
            <v>G5668</v>
          </cell>
          <cell r="B430" t="str">
            <v>Agnieszka</v>
          </cell>
          <cell r="C430" t="str">
            <v>GARBOWSKA</v>
          </cell>
          <cell r="D430" t="str">
            <v>LUKS Badminton Choroszcz</v>
          </cell>
        </row>
        <row r="431">
          <cell r="A431" t="str">
            <v>G3485</v>
          </cell>
          <cell r="B431" t="str">
            <v>Damian</v>
          </cell>
          <cell r="C431" t="str">
            <v>GARBOWSKI</v>
          </cell>
          <cell r="D431" t="str">
            <v>LUKS Badminton Choroszcz</v>
          </cell>
        </row>
        <row r="432">
          <cell r="A432" t="str">
            <v>G4859</v>
          </cell>
          <cell r="B432" t="str">
            <v>Daniel</v>
          </cell>
          <cell r="C432" t="str">
            <v>GARBOWSKI</v>
          </cell>
          <cell r="D432" t="str">
            <v>LUKS Badminton Choroszcz</v>
          </cell>
        </row>
        <row r="433">
          <cell r="A433" t="str">
            <v>G0172</v>
          </cell>
          <cell r="B433" t="str">
            <v>Leszek</v>
          </cell>
          <cell r="C433" t="str">
            <v>GASIK</v>
          </cell>
          <cell r="D433" t="str">
            <v>BKS Kolejarz Częstochowa</v>
          </cell>
        </row>
        <row r="434">
          <cell r="A434" t="str">
            <v>G3395</v>
          </cell>
          <cell r="B434" t="str">
            <v>Bolesław</v>
          </cell>
          <cell r="C434" t="str">
            <v>GASIŃSKI</v>
          </cell>
          <cell r="D434" t="str">
            <v>----</v>
          </cell>
        </row>
        <row r="435">
          <cell r="A435" t="str">
            <v>G0524</v>
          </cell>
          <cell r="B435" t="str">
            <v>Paweł</v>
          </cell>
          <cell r="C435" t="str">
            <v>GASZ</v>
          </cell>
          <cell r="D435" t="str">
            <v>----</v>
          </cell>
        </row>
        <row r="436">
          <cell r="A436" t="str">
            <v>G4025</v>
          </cell>
          <cell r="B436" t="str">
            <v>Damian</v>
          </cell>
          <cell r="C436" t="str">
            <v>GASZTYK</v>
          </cell>
          <cell r="D436" t="str">
            <v>UKS Iskra Babimost</v>
          </cell>
        </row>
        <row r="437">
          <cell r="A437" t="str">
            <v>G4987</v>
          </cell>
          <cell r="B437" t="str">
            <v>Damian</v>
          </cell>
          <cell r="C437" t="str">
            <v>GAUZA</v>
          </cell>
          <cell r="D437" t="str">
            <v>UKSMTB Smecz Konin</v>
          </cell>
        </row>
        <row r="438">
          <cell r="A438" t="str">
            <v>G5711</v>
          </cell>
          <cell r="B438" t="str">
            <v>Jan</v>
          </cell>
          <cell r="C438" t="str">
            <v>GAWOR</v>
          </cell>
          <cell r="D438" t="str">
            <v>MKS Dwójka Blachownia</v>
          </cell>
        </row>
        <row r="439">
          <cell r="A439" t="str">
            <v>G5759</v>
          </cell>
          <cell r="B439" t="str">
            <v>Dorota</v>
          </cell>
          <cell r="C439" t="str">
            <v>GAWROŃSKA-POPA</v>
          </cell>
          <cell r="D439" t="str">
            <v>UKS Korona Pabianice</v>
          </cell>
        </row>
        <row r="440">
          <cell r="A440" t="str">
            <v>G5906</v>
          </cell>
          <cell r="B440" t="str">
            <v>Liliana</v>
          </cell>
          <cell r="C440" t="str">
            <v>GAWRYSIAK</v>
          </cell>
          <cell r="D440" t="str">
            <v>BKS Kolejarz Katowice</v>
          </cell>
        </row>
        <row r="441">
          <cell r="A441" t="str">
            <v>G5231</v>
          </cell>
          <cell r="B441" t="str">
            <v>Sebastian</v>
          </cell>
          <cell r="C441" t="str">
            <v>GĄSIOR</v>
          </cell>
          <cell r="D441" t="str">
            <v>UKS Orbitek Straszęcin</v>
          </cell>
        </row>
        <row r="442">
          <cell r="A442" t="str">
            <v>G5183</v>
          </cell>
          <cell r="B442" t="str">
            <v>Szymon</v>
          </cell>
          <cell r="C442" t="str">
            <v>GĄSKA</v>
          </cell>
          <cell r="D442" t="str">
            <v>UKS Kiko Zamość</v>
          </cell>
        </row>
        <row r="443">
          <cell r="A443" t="str">
            <v>G5155</v>
          </cell>
          <cell r="B443" t="str">
            <v>Dawid</v>
          </cell>
          <cell r="C443" t="str">
            <v>GEMZICKI</v>
          </cell>
          <cell r="D443" t="str">
            <v>----</v>
          </cell>
        </row>
        <row r="444">
          <cell r="A444" t="str">
            <v>G4020</v>
          </cell>
          <cell r="B444" t="str">
            <v>Dominik</v>
          </cell>
          <cell r="C444" t="str">
            <v>GERLACH</v>
          </cell>
          <cell r="D444" t="str">
            <v>KS Chojnik Jelenia Góra</v>
          </cell>
        </row>
        <row r="445">
          <cell r="A445" t="str">
            <v>G5360</v>
          </cell>
          <cell r="B445" t="str">
            <v>Cyprian</v>
          </cell>
          <cell r="C445" t="str">
            <v>GERWATOWSKI</v>
          </cell>
          <cell r="D445" t="str">
            <v>----</v>
          </cell>
        </row>
        <row r="446">
          <cell r="A446" t="str">
            <v>G3854</v>
          </cell>
          <cell r="B446" t="str">
            <v>Katarzyna</v>
          </cell>
          <cell r="C446" t="str">
            <v>GĘSICKA</v>
          </cell>
          <cell r="D446" t="str">
            <v>KS Hubertus Zalesie Górne</v>
          </cell>
        </row>
        <row r="447">
          <cell r="A447" t="str">
            <v>G4468</v>
          </cell>
          <cell r="B447" t="str">
            <v>Szymon</v>
          </cell>
          <cell r="C447" t="str">
            <v>GIBAŁA</v>
          </cell>
          <cell r="D447" t="str">
            <v>UKS Plesbad Pszczyna</v>
          </cell>
        </row>
        <row r="448">
          <cell r="A448" t="str">
            <v>G4333</v>
          </cell>
          <cell r="B448" t="str">
            <v>Michał</v>
          </cell>
          <cell r="C448" t="str">
            <v>GIELECKI</v>
          </cell>
          <cell r="D448" t="str">
            <v>UKS Kiko Zamość</v>
          </cell>
        </row>
        <row r="449">
          <cell r="A449" t="str">
            <v>G4054</v>
          </cell>
          <cell r="B449" t="str">
            <v>Mateusz</v>
          </cell>
          <cell r="C449" t="str">
            <v>GIEŁAŻYN</v>
          </cell>
          <cell r="D449" t="str">
            <v>MUKS 5 Chełm</v>
          </cell>
        </row>
        <row r="450">
          <cell r="A450" t="str">
            <v>G4055</v>
          </cell>
          <cell r="B450" t="str">
            <v>Paweł</v>
          </cell>
          <cell r="C450" t="str">
            <v>GIEŁAŻYN</v>
          </cell>
          <cell r="D450" t="str">
            <v>MUKS 5 Chełm</v>
          </cell>
        </row>
        <row r="451">
          <cell r="A451" t="str">
            <v>G5664</v>
          </cell>
          <cell r="B451" t="str">
            <v>Agnieszka</v>
          </cell>
          <cell r="C451" t="str">
            <v>GIERLACH</v>
          </cell>
          <cell r="D451" t="str">
            <v>UKS Jagiellonka Medyka</v>
          </cell>
        </row>
        <row r="452">
          <cell r="A452" t="str">
            <v>G5227</v>
          </cell>
          <cell r="B452" t="str">
            <v>Tomasz</v>
          </cell>
          <cell r="C452" t="str">
            <v>GIERMATA</v>
          </cell>
          <cell r="D452" t="str">
            <v>UKS Orbitek Straszęcin</v>
          </cell>
        </row>
        <row r="453">
          <cell r="A453" t="str">
            <v>G1083</v>
          </cell>
          <cell r="B453" t="str">
            <v>Kazimierz</v>
          </cell>
          <cell r="C453" t="str">
            <v>GIERYSZEWSKI</v>
          </cell>
          <cell r="D453" t="str">
            <v>----</v>
          </cell>
        </row>
        <row r="454">
          <cell r="A454" t="str">
            <v>G4577</v>
          </cell>
          <cell r="B454" t="str">
            <v>Jakub</v>
          </cell>
          <cell r="C454" t="str">
            <v>GIREŃ</v>
          </cell>
          <cell r="D454" t="str">
            <v>MKS Strzelce Opolskie</v>
          </cell>
        </row>
        <row r="455">
          <cell r="A455" t="str">
            <v>G4338</v>
          </cell>
          <cell r="B455" t="str">
            <v>Dawid</v>
          </cell>
          <cell r="C455" t="str">
            <v>GIRTLER</v>
          </cell>
          <cell r="D455" t="str">
            <v>KKS Ruch Piotrków Tryb.</v>
          </cell>
        </row>
        <row r="456">
          <cell r="A456" t="str">
            <v>G5967</v>
          </cell>
          <cell r="B456" t="str">
            <v>Damian</v>
          </cell>
          <cell r="C456" t="str">
            <v>GIZA</v>
          </cell>
          <cell r="D456" t="str">
            <v>UMKS Junis Szczucin</v>
          </cell>
        </row>
        <row r="457">
          <cell r="A457" t="str">
            <v>G2180</v>
          </cell>
          <cell r="B457" t="str">
            <v>Krzysztof</v>
          </cell>
          <cell r="C457" t="str">
            <v>GLIJER</v>
          </cell>
          <cell r="D457" t="str">
            <v>MKS Orlicz Suchedniów</v>
          </cell>
        </row>
        <row r="458">
          <cell r="A458" t="str">
            <v>G3273</v>
          </cell>
          <cell r="B458" t="str">
            <v>Zuzanna</v>
          </cell>
          <cell r="C458" t="str">
            <v>GLIJER</v>
          </cell>
          <cell r="D458" t="str">
            <v>MKS Orlicz Suchedniów</v>
          </cell>
        </row>
        <row r="459">
          <cell r="A459" t="str">
            <v>G1456</v>
          </cell>
          <cell r="B459" t="str">
            <v>Robert</v>
          </cell>
          <cell r="C459" t="str">
            <v>GŁADYCH</v>
          </cell>
          <cell r="D459" t="str">
            <v>----</v>
          </cell>
        </row>
        <row r="460">
          <cell r="A460" t="str">
            <v>G3817</v>
          </cell>
          <cell r="B460" t="str">
            <v>Iwona</v>
          </cell>
          <cell r="C460" t="str">
            <v>GŁADYSZ</v>
          </cell>
          <cell r="D460" t="str">
            <v>UMKS Junis Szczucin</v>
          </cell>
        </row>
        <row r="461">
          <cell r="A461" t="str">
            <v>G4511</v>
          </cell>
          <cell r="B461" t="str">
            <v>Paweł</v>
          </cell>
          <cell r="C461" t="str">
            <v>GŁAŻEWSKI</v>
          </cell>
          <cell r="D461" t="str">
            <v>----</v>
          </cell>
        </row>
        <row r="462">
          <cell r="A462" t="str">
            <v>G3894</v>
          </cell>
          <cell r="B462" t="str">
            <v>Arkadiusz</v>
          </cell>
          <cell r="C462" t="str">
            <v>GŁĄB</v>
          </cell>
          <cell r="D462" t="str">
            <v>UKS Ostrówek</v>
          </cell>
        </row>
        <row r="463">
          <cell r="A463" t="str">
            <v>G2269</v>
          </cell>
          <cell r="B463" t="str">
            <v>Anna</v>
          </cell>
          <cell r="C463" t="str">
            <v>GŁĘBOCKA</v>
          </cell>
          <cell r="D463" t="str">
            <v>UKS Kiko Zamość</v>
          </cell>
        </row>
        <row r="464">
          <cell r="A464" t="str">
            <v>G2270</v>
          </cell>
          <cell r="B464" t="str">
            <v>Maciej</v>
          </cell>
          <cell r="C464" t="str">
            <v>GŁĘBOCKI</v>
          </cell>
          <cell r="D464" t="str">
            <v>UKS Kiko Zamość</v>
          </cell>
        </row>
        <row r="465">
          <cell r="A465" t="str">
            <v>G4436</v>
          </cell>
          <cell r="B465" t="str">
            <v>Zofia</v>
          </cell>
          <cell r="C465" t="str">
            <v>GŁODOWSKA</v>
          </cell>
          <cell r="D465" t="str">
            <v>AZSWAT Warszawa</v>
          </cell>
        </row>
        <row r="466">
          <cell r="A466" t="str">
            <v>G5628</v>
          </cell>
          <cell r="B466" t="str">
            <v>Maciej</v>
          </cell>
          <cell r="C466" t="str">
            <v>GŁOŚNY</v>
          </cell>
          <cell r="D466" t="str">
            <v>KS Match Point Ślęza</v>
          </cell>
        </row>
        <row r="467">
          <cell r="A467" t="str">
            <v>G2661</v>
          </cell>
          <cell r="B467" t="str">
            <v>Diana</v>
          </cell>
          <cell r="C467" t="str">
            <v>GŁOWACKA</v>
          </cell>
          <cell r="D467" t="str">
            <v>LUKS Księżyno</v>
          </cell>
        </row>
        <row r="468">
          <cell r="A468" t="str">
            <v>G3902</v>
          </cell>
          <cell r="B468" t="str">
            <v>Klaudia</v>
          </cell>
          <cell r="C468" t="str">
            <v>GŁOWACKA</v>
          </cell>
          <cell r="D468" t="str">
            <v>LUKS Księżyno</v>
          </cell>
        </row>
        <row r="469">
          <cell r="A469" t="str">
            <v>G5677</v>
          </cell>
          <cell r="B469" t="str">
            <v>Eryk</v>
          </cell>
          <cell r="C469" t="str">
            <v>GŁOWACKI</v>
          </cell>
          <cell r="D469" t="str">
            <v>UKS MixTeam Tarnowiec</v>
          </cell>
        </row>
        <row r="470">
          <cell r="A470" t="str">
            <v>G5613</v>
          </cell>
          <cell r="B470" t="str">
            <v>Michał</v>
          </cell>
          <cell r="C470" t="str">
            <v>GMYZ</v>
          </cell>
          <cell r="D470" t="str">
            <v>UKS Kiko Zamość</v>
          </cell>
        </row>
        <row r="471">
          <cell r="A471" t="str">
            <v>G3205</v>
          </cell>
          <cell r="B471" t="str">
            <v>Anna</v>
          </cell>
          <cell r="C471" t="str">
            <v>GOC</v>
          </cell>
          <cell r="D471" t="str">
            <v>UKS Plesbad Pszczyna</v>
          </cell>
        </row>
        <row r="472">
          <cell r="A472" t="str">
            <v>G3672</v>
          </cell>
          <cell r="B472" t="str">
            <v>Kamil</v>
          </cell>
          <cell r="C472" t="str">
            <v>GOCAN</v>
          </cell>
          <cell r="D472" t="str">
            <v>MKB Lednik Miastko</v>
          </cell>
        </row>
        <row r="473">
          <cell r="A473" t="str">
            <v>G5469</v>
          </cell>
          <cell r="B473" t="str">
            <v>Paulina</v>
          </cell>
          <cell r="C473" t="str">
            <v>GOLA</v>
          </cell>
          <cell r="D473" t="str">
            <v>KS Chojnik Jelenia Góra</v>
          </cell>
        </row>
        <row r="474">
          <cell r="A474" t="str">
            <v>G3068</v>
          </cell>
          <cell r="B474" t="str">
            <v>Ewa</v>
          </cell>
          <cell r="C474" t="str">
            <v>GOLAŃSKA</v>
          </cell>
          <cell r="D474" t="str">
            <v>----</v>
          </cell>
        </row>
        <row r="475">
          <cell r="A475" t="str">
            <v>G1054</v>
          </cell>
          <cell r="B475" t="str">
            <v>Emilia</v>
          </cell>
          <cell r="C475" t="str">
            <v>GOLDWASSER</v>
          </cell>
          <cell r="D475" t="str">
            <v>UKS 2 Sobótka</v>
          </cell>
        </row>
        <row r="476">
          <cell r="A476" t="str">
            <v>G3508</v>
          </cell>
          <cell r="B476" t="str">
            <v>Jagoda</v>
          </cell>
          <cell r="C476" t="str">
            <v>GOLDWASSER</v>
          </cell>
          <cell r="D476" t="str">
            <v>UKS 2 Sobótka</v>
          </cell>
        </row>
        <row r="477">
          <cell r="A477" t="str">
            <v>G5319</v>
          </cell>
          <cell r="B477" t="str">
            <v>Magdalena</v>
          </cell>
          <cell r="C477" t="str">
            <v>GOLDWASSER</v>
          </cell>
          <cell r="D477" t="str">
            <v>UKS Astra Wrocław</v>
          </cell>
        </row>
        <row r="478">
          <cell r="A478" t="str">
            <v>G5320</v>
          </cell>
          <cell r="B478" t="str">
            <v>Maja</v>
          </cell>
          <cell r="C478" t="str">
            <v>GOLEMIEC</v>
          </cell>
          <cell r="D478" t="str">
            <v>UKS Astra Wrocław</v>
          </cell>
        </row>
        <row r="479">
          <cell r="A479" t="str">
            <v>G3113</v>
          </cell>
          <cell r="B479" t="str">
            <v>Karolina</v>
          </cell>
          <cell r="C479" t="str">
            <v>GOLENIA</v>
          </cell>
          <cell r="D479" t="str">
            <v>UKS Sokół Ropczyce</v>
          </cell>
        </row>
        <row r="480">
          <cell r="A480" t="str">
            <v>G3411</v>
          </cell>
          <cell r="B480" t="str">
            <v>Magdalena</v>
          </cell>
          <cell r="C480" t="str">
            <v>GOLENIA</v>
          </cell>
          <cell r="D480" t="str">
            <v>UKS Sokół Ropczyce</v>
          </cell>
        </row>
        <row r="481">
          <cell r="A481" t="str">
            <v>G5610</v>
          </cell>
          <cell r="B481" t="str">
            <v>Szymon</v>
          </cell>
          <cell r="C481" t="str">
            <v>GOLISZEWSKI</v>
          </cell>
          <cell r="D481" t="str">
            <v>UKS Dwójka Wesoła</v>
          </cell>
        </row>
        <row r="482">
          <cell r="A482" t="str">
            <v>G4108</v>
          </cell>
          <cell r="B482" t="str">
            <v>Katarzyna</v>
          </cell>
          <cell r="C482" t="str">
            <v>GOLUSIK</v>
          </cell>
          <cell r="D482" t="str">
            <v>UKS Iskra Babimost</v>
          </cell>
        </row>
        <row r="483">
          <cell r="A483" t="str">
            <v>G5543</v>
          </cell>
          <cell r="B483" t="str">
            <v>Katarzyna</v>
          </cell>
          <cell r="C483" t="str">
            <v>GOŁĄBEK</v>
          </cell>
          <cell r="D483" t="str">
            <v>MMKS Kędzierzyn-Koźle</v>
          </cell>
        </row>
        <row r="484">
          <cell r="A484" t="str">
            <v>G3449</v>
          </cell>
          <cell r="B484" t="str">
            <v>Arkadiusz</v>
          </cell>
          <cell r="C484" t="str">
            <v>GOŁĘBIEWSKI</v>
          </cell>
          <cell r="D484" t="str">
            <v>UKS 70 Płock</v>
          </cell>
        </row>
        <row r="485">
          <cell r="A485" t="str">
            <v>G1142</v>
          </cell>
          <cell r="B485" t="str">
            <v>Damian</v>
          </cell>
          <cell r="C485" t="str">
            <v>GOŁĘBIEWSKI</v>
          </cell>
          <cell r="D485" t="str">
            <v>AZSUWM Olsztyn</v>
          </cell>
        </row>
        <row r="486">
          <cell r="A486" t="str">
            <v>G1413</v>
          </cell>
          <cell r="B486" t="str">
            <v>Małgorzata</v>
          </cell>
          <cell r="C486" t="str">
            <v>GOŁĘBIOWSKA</v>
          </cell>
          <cell r="D486" t="str">
            <v>KS Wesoła Warszawa</v>
          </cell>
        </row>
        <row r="487">
          <cell r="A487" t="str">
            <v>G4559</v>
          </cell>
          <cell r="B487" t="str">
            <v>Maciej</v>
          </cell>
          <cell r="C487" t="str">
            <v>GOMOŁA</v>
          </cell>
          <cell r="D487" t="str">
            <v>KS Masovia Płock</v>
          </cell>
        </row>
        <row r="488">
          <cell r="A488" t="str">
            <v>G4560</v>
          </cell>
          <cell r="B488" t="str">
            <v>Michał</v>
          </cell>
          <cell r="C488" t="str">
            <v>GOMOŁA</v>
          </cell>
          <cell r="D488" t="str">
            <v>KS Masovia Płock</v>
          </cell>
        </row>
        <row r="489">
          <cell r="A489" t="str">
            <v>G1337</v>
          </cell>
          <cell r="B489" t="str">
            <v>Krzysztof</v>
          </cell>
          <cell r="C489" t="str">
            <v>GONTARSKI</v>
          </cell>
          <cell r="D489" t="str">
            <v>KS Wesoła Warszawa</v>
          </cell>
        </row>
        <row r="490">
          <cell r="A490" t="str">
            <v>G4454</v>
          </cell>
          <cell r="B490" t="str">
            <v>Karol</v>
          </cell>
          <cell r="C490" t="str">
            <v>GONTARZ</v>
          </cell>
          <cell r="D490" t="str">
            <v>LUKS Krokus Góralice</v>
          </cell>
        </row>
        <row r="491">
          <cell r="A491" t="str">
            <v>G2375</v>
          </cell>
          <cell r="B491" t="str">
            <v>Paweł</v>
          </cell>
          <cell r="C491" t="str">
            <v>GONTARZ</v>
          </cell>
          <cell r="D491" t="str">
            <v>----</v>
          </cell>
        </row>
        <row r="492">
          <cell r="A492" t="str">
            <v>G4816</v>
          </cell>
          <cell r="B492" t="str">
            <v>Dobromir</v>
          </cell>
          <cell r="C492" t="str">
            <v>GORDIĆ</v>
          </cell>
          <cell r="D492" t="str">
            <v>UKS Hubal Białystok</v>
          </cell>
        </row>
        <row r="493">
          <cell r="A493" t="str">
            <v>G5275</v>
          </cell>
          <cell r="B493" t="str">
            <v>Konrad</v>
          </cell>
          <cell r="C493" t="str">
            <v>GORGOL</v>
          </cell>
          <cell r="D493" t="str">
            <v>PMKS Chrobry Piotrowice</v>
          </cell>
        </row>
        <row r="494">
          <cell r="A494" t="str">
            <v>G4305</v>
          </cell>
          <cell r="B494" t="str">
            <v>Jakub</v>
          </cell>
          <cell r="C494" t="str">
            <v>GORZKOWSKI</v>
          </cell>
          <cell r="D494" t="str">
            <v>UKS 15 Kędzierzyn-Koźle</v>
          </cell>
        </row>
        <row r="495">
          <cell r="A495" t="str">
            <v>G3752</v>
          </cell>
          <cell r="B495" t="str">
            <v>Martyna</v>
          </cell>
          <cell r="C495" t="str">
            <v>GOSTOMCZYK</v>
          </cell>
          <cell r="D495" t="str">
            <v>UKSOSIR Badminton Sławno</v>
          </cell>
        </row>
        <row r="496">
          <cell r="A496" t="str">
            <v>G4208</v>
          </cell>
          <cell r="B496" t="str">
            <v>Aleksandra</v>
          </cell>
          <cell r="C496" t="str">
            <v>GOSZCZYŃSKA</v>
          </cell>
          <cell r="D496" t="str">
            <v>UKSB Milenium Warszawa</v>
          </cell>
        </row>
        <row r="497">
          <cell r="A497" t="str">
            <v>G3976</v>
          </cell>
          <cell r="B497" t="str">
            <v>Agata</v>
          </cell>
          <cell r="C497" t="str">
            <v>GOŚCIŁO</v>
          </cell>
          <cell r="D497" t="str">
            <v>KS Stal Sulęcin</v>
          </cell>
        </row>
        <row r="498">
          <cell r="A498" t="str">
            <v>G3966</v>
          </cell>
          <cell r="B498" t="str">
            <v>Daniel</v>
          </cell>
          <cell r="C498" t="str">
            <v>GOŚCIŁO</v>
          </cell>
          <cell r="D498" t="str">
            <v>KS Stal Sulęcin</v>
          </cell>
        </row>
        <row r="499">
          <cell r="A499" t="str">
            <v>G5363</v>
          </cell>
          <cell r="B499" t="str">
            <v>Łukasz</v>
          </cell>
          <cell r="C499" t="str">
            <v>GÓRA</v>
          </cell>
          <cell r="D499" t="str">
            <v>PMKS Chrobry Piotrowice</v>
          </cell>
        </row>
        <row r="500">
          <cell r="A500" t="str">
            <v>G5848</v>
          </cell>
          <cell r="B500" t="str">
            <v>Hanna</v>
          </cell>
          <cell r="C500" t="str">
            <v>GÓRGÓL</v>
          </cell>
          <cell r="D500" t="str">
            <v>UKS Astra Wrocław</v>
          </cell>
        </row>
        <row r="501">
          <cell r="A501" t="str">
            <v>G5451</v>
          </cell>
          <cell r="B501" t="str">
            <v>Kacper</v>
          </cell>
          <cell r="C501" t="str">
            <v>GÓRNIAK</v>
          </cell>
          <cell r="D501" t="str">
            <v>KS Chojnik Jelenia Góra</v>
          </cell>
        </row>
        <row r="502">
          <cell r="A502" t="str">
            <v>G5614</v>
          </cell>
          <cell r="B502" t="str">
            <v>Weronika</v>
          </cell>
          <cell r="C502" t="str">
            <v>GÓRNIAK</v>
          </cell>
          <cell r="D502" t="str">
            <v>UKSB Milenium Warszawa</v>
          </cell>
        </row>
        <row r="503">
          <cell r="A503" t="str">
            <v>G4812</v>
          </cell>
          <cell r="B503" t="str">
            <v>Klaudia</v>
          </cell>
          <cell r="C503" t="str">
            <v>GÓRSKA</v>
          </cell>
          <cell r="D503" t="str">
            <v>UKS Hubal Białystok</v>
          </cell>
        </row>
        <row r="504">
          <cell r="A504" t="str">
            <v>G5799</v>
          </cell>
          <cell r="B504" t="str">
            <v>Jakub</v>
          </cell>
          <cell r="C504" t="str">
            <v>GÓRSKI</v>
          </cell>
          <cell r="D504" t="str">
            <v>KS Stal Sulęcin</v>
          </cell>
        </row>
        <row r="505">
          <cell r="A505" t="str">
            <v>G5755</v>
          </cell>
          <cell r="B505" t="str">
            <v>Szymon</v>
          </cell>
          <cell r="C505" t="str">
            <v>GÓSKI</v>
          </cell>
          <cell r="D505" t="str">
            <v>UKS Kiko Zamość</v>
          </cell>
        </row>
        <row r="506">
          <cell r="A506" t="str">
            <v>G4310</v>
          </cell>
          <cell r="B506" t="str">
            <v>Klaudia</v>
          </cell>
          <cell r="C506" t="str">
            <v>GRABANIA</v>
          </cell>
          <cell r="D506" t="str">
            <v>UKS Bursztyn Gdańsk</v>
          </cell>
        </row>
        <row r="507">
          <cell r="A507" t="str">
            <v>G3565</v>
          </cell>
          <cell r="B507" t="str">
            <v>Ewa</v>
          </cell>
          <cell r="C507" t="str">
            <v>GRABEK</v>
          </cell>
          <cell r="D507" t="str">
            <v>UKS Hubal Białystok</v>
          </cell>
        </row>
        <row r="508">
          <cell r="A508" t="str">
            <v>G5511</v>
          </cell>
          <cell r="B508" t="str">
            <v>Krzysztof</v>
          </cell>
          <cell r="C508" t="str">
            <v>GRABEK</v>
          </cell>
          <cell r="D508" t="str">
            <v>----</v>
          </cell>
        </row>
        <row r="509">
          <cell r="A509" t="str">
            <v>G4784</v>
          </cell>
          <cell r="B509" t="str">
            <v>Andrzej</v>
          </cell>
          <cell r="C509" t="str">
            <v>GRABIŃSKI</v>
          </cell>
          <cell r="D509" t="str">
            <v>----</v>
          </cell>
        </row>
        <row r="510">
          <cell r="A510" t="str">
            <v>G4455</v>
          </cell>
          <cell r="B510" t="str">
            <v>Katarzyna</v>
          </cell>
          <cell r="C510" t="str">
            <v>GRABOWICZ</v>
          </cell>
          <cell r="D510" t="str">
            <v>LUKS Krokus Góralice</v>
          </cell>
        </row>
        <row r="511">
          <cell r="A511" t="str">
            <v>G5536</v>
          </cell>
          <cell r="B511" t="str">
            <v>Filip</v>
          </cell>
          <cell r="C511" t="str">
            <v>GRABOWSKI</v>
          </cell>
          <cell r="D511" t="str">
            <v>SKB Suwałki</v>
          </cell>
        </row>
        <row r="512">
          <cell r="A512" t="str">
            <v>G3385</v>
          </cell>
          <cell r="B512" t="str">
            <v>Michał</v>
          </cell>
          <cell r="C512" t="str">
            <v>GRABOWSKI</v>
          </cell>
          <cell r="D512" t="str">
            <v>MKB Lednik Miastko</v>
          </cell>
        </row>
        <row r="513">
          <cell r="A513" t="str">
            <v>G4904</v>
          </cell>
          <cell r="B513" t="str">
            <v>Paweł</v>
          </cell>
          <cell r="C513" t="str">
            <v>GRABOWSKI</v>
          </cell>
          <cell r="D513" t="str">
            <v>----</v>
          </cell>
        </row>
        <row r="514">
          <cell r="A514" t="str">
            <v>G5717</v>
          </cell>
          <cell r="B514" t="str">
            <v>Katarzyna</v>
          </cell>
          <cell r="C514" t="str">
            <v>GRADZIŃSKA</v>
          </cell>
          <cell r="D514" t="str">
            <v>----</v>
          </cell>
        </row>
        <row r="515">
          <cell r="A515" t="str">
            <v>G4097</v>
          </cell>
          <cell r="B515" t="str">
            <v>Adam</v>
          </cell>
          <cell r="C515" t="str">
            <v>GRALA</v>
          </cell>
          <cell r="D515" t="str">
            <v>----</v>
          </cell>
        </row>
        <row r="516">
          <cell r="A516" t="str">
            <v>G5649</v>
          </cell>
          <cell r="B516" t="str">
            <v>Wiktoria</v>
          </cell>
          <cell r="C516" t="str">
            <v>GRĄDZKA</v>
          </cell>
          <cell r="D516" t="str">
            <v>UKSB Volant Mielec</v>
          </cell>
        </row>
        <row r="517">
          <cell r="A517" t="str">
            <v>G5727</v>
          </cell>
          <cell r="B517" t="str">
            <v>Marlena</v>
          </cell>
          <cell r="C517" t="str">
            <v>GREGOR</v>
          </cell>
          <cell r="D517" t="str">
            <v>MKS Strzelce Opolskie</v>
          </cell>
        </row>
        <row r="518">
          <cell r="A518" t="str">
            <v>G5130</v>
          </cell>
          <cell r="B518" t="str">
            <v>Julia</v>
          </cell>
          <cell r="C518" t="str">
            <v>GRENDA</v>
          </cell>
          <cell r="D518" t="str">
            <v>UKS Korona Pabianice</v>
          </cell>
        </row>
        <row r="519">
          <cell r="A519" t="str">
            <v>G5809</v>
          </cell>
          <cell r="B519" t="str">
            <v>Rafał</v>
          </cell>
          <cell r="C519" t="str">
            <v>GRENDA</v>
          </cell>
          <cell r="D519" t="str">
            <v>UKS Korona Pabianice</v>
          </cell>
        </row>
        <row r="520">
          <cell r="A520" t="str">
            <v>G4479</v>
          </cell>
          <cell r="B520" t="str">
            <v>Kamila</v>
          </cell>
          <cell r="C520" t="str">
            <v>GRESZTA</v>
          </cell>
          <cell r="D520" t="str">
            <v>UKS Kiko Zamość</v>
          </cell>
        </row>
        <row r="521">
          <cell r="A521" t="str">
            <v>G5125</v>
          </cell>
          <cell r="B521" t="str">
            <v>Natalia</v>
          </cell>
          <cell r="C521" t="str">
            <v>GROBELNA</v>
          </cell>
          <cell r="D521" t="str">
            <v>UKS Korona Pabianice</v>
          </cell>
        </row>
        <row r="522">
          <cell r="A522" t="str">
            <v>G5557</v>
          </cell>
          <cell r="B522" t="str">
            <v>Bartosz</v>
          </cell>
          <cell r="C522" t="str">
            <v>GROCHOCKI</v>
          </cell>
          <cell r="D522" t="str">
            <v>UKSB Volant Mielec</v>
          </cell>
        </row>
        <row r="523">
          <cell r="A523" t="str">
            <v>G4749</v>
          </cell>
          <cell r="B523" t="str">
            <v>Mikołaj</v>
          </cell>
          <cell r="C523" t="str">
            <v>GROCHOWALSKI</v>
          </cell>
          <cell r="D523" t="str">
            <v>UKSOSIR Badminton Sławno</v>
          </cell>
        </row>
        <row r="524">
          <cell r="A524" t="str">
            <v>G5445</v>
          </cell>
          <cell r="B524" t="str">
            <v>Bartosz</v>
          </cell>
          <cell r="C524" t="str">
            <v>GROCHOWSKI</v>
          </cell>
          <cell r="D524" t="str">
            <v>MMKS Gdańsk</v>
          </cell>
        </row>
        <row r="525">
          <cell r="A525" t="str">
            <v>G4348</v>
          </cell>
          <cell r="B525" t="str">
            <v>Jakub</v>
          </cell>
          <cell r="C525" t="str">
            <v>GROCHOWSKI</v>
          </cell>
          <cell r="D525" t="str">
            <v>ŚKBad Harcownik Warszawa</v>
          </cell>
        </row>
        <row r="526">
          <cell r="A526" t="str">
            <v>G5951</v>
          </cell>
          <cell r="B526" t="str">
            <v>Laura</v>
          </cell>
          <cell r="C526" t="str">
            <v>GRONKIEWICZ</v>
          </cell>
          <cell r="D526" t="str">
            <v>KS Masovia Płock</v>
          </cell>
        </row>
        <row r="527">
          <cell r="A527" t="str">
            <v>G5457</v>
          </cell>
          <cell r="B527" t="str">
            <v>Mateusz</v>
          </cell>
          <cell r="C527" t="str">
            <v>GRUBA</v>
          </cell>
          <cell r="D527" t="str">
            <v>MKB Lednik Miastko</v>
          </cell>
        </row>
        <row r="528">
          <cell r="A528" t="str">
            <v>G3906</v>
          </cell>
          <cell r="B528" t="str">
            <v>Szymon</v>
          </cell>
          <cell r="C528" t="str">
            <v>GRUBSKI</v>
          </cell>
          <cell r="D528" t="str">
            <v>----</v>
          </cell>
        </row>
        <row r="529">
          <cell r="A529" t="str">
            <v>G2324</v>
          </cell>
          <cell r="B529" t="str">
            <v>Weronika</v>
          </cell>
          <cell r="C529" t="str">
            <v>GRUDZINA</v>
          </cell>
          <cell r="D529" t="str">
            <v>MLKS Solec Kuj.</v>
          </cell>
        </row>
        <row r="530">
          <cell r="A530" t="str">
            <v>G5028</v>
          </cell>
          <cell r="B530" t="str">
            <v>Magdalena</v>
          </cell>
          <cell r="C530" t="str">
            <v>GRUNTKOWSKA</v>
          </cell>
          <cell r="D530" t="str">
            <v>MKS Strzelce Opolskie</v>
          </cell>
        </row>
        <row r="531">
          <cell r="A531" t="str">
            <v>G5299</v>
          </cell>
          <cell r="B531" t="str">
            <v>Stanisława</v>
          </cell>
          <cell r="C531" t="str">
            <v>GRUSZCZYŃSKA</v>
          </cell>
          <cell r="D531" t="str">
            <v>UKS KSBad Kraków</v>
          </cell>
        </row>
        <row r="532">
          <cell r="A532" t="str">
            <v>G5907</v>
          </cell>
          <cell r="B532" t="str">
            <v>Marcel</v>
          </cell>
          <cell r="C532" t="str">
            <v>GRUSZCZYŃSKI</v>
          </cell>
          <cell r="D532" t="str">
            <v>BKS Kolejarz Katowice</v>
          </cell>
        </row>
        <row r="533">
          <cell r="A533" t="str">
            <v>G5908</v>
          </cell>
          <cell r="B533" t="str">
            <v>Marcin</v>
          </cell>
          <cell r="C533" t="str">
            <v>GRUSZCZYŃSKI</v>
          </cell>
          <cell r="D533" t="str">
            <v>BKS Kolejarz Katowice</v>
          </cell>
        </row>
        <row r="534">
          <cell r="A534" t="str">
            <v>G5298</v>
          </cell>
          <cell r="B534" t="str">
            <v>Piotr</v>
          </cell>
          <cell r="C534" t="str">
            <v>GRUSZCZYŃSKI</v>
          </cell>
          <cell r="D534" t="str">
            <v>UKS KSBad Kraków</v>
          </cell>
        </row>
        <row r="535">
          <cell r="A535" t="str">
            <v>G5589</v>
          </cell>
          <cell r="B535" t="str">
            <v>Adam</v>
          </cell>
          <cell r="C535" t="str">
            <v>GRUSZKA</v>
          </cell>
          <cell r="D535" t="str">
            <v>OTB Lotka Ostrów Wlkp.</v>
          </cell>
        </row>
        <row r="536">
          <cell r="A536" t="str">
            <v>G3134</v>
          </cell>
          <cell r="B536" t="str">
            <v>Katarzyna</v>
          </cell>
          <cell r="C536" t="str">
            <v>GRUSZKA</v>
          </cell>
          <cell r="D536" t="str">
            <v>UKS Orbitek Straszęcin</v>
          </cell>
        </row>
        <row r="537">
          <cell r="A537" t="str">
            <v>G4488</v>
          </cell>
          <cell r="B537" t="str">
            <v>Piotr</v>
          </cell>
          <cell r="C537" t="str">
            <v>GRUSZKA</v>
          </cell>
          <cell r="D537" t="str">
            <v>AZSWAT Warszawa</v>
          </cell>
        </row>
        <row r="538">
          <cell r="A538" t="str">
            <v>G5504</v>
          </cell>
          <cell r="B538" t="str">
            <v>Amelia</v>
          </cell>
          <cell r="C538" t="str">
            <v>GRYGUŁA</v>
          </cell>
          <cell r="D538" t="str">
            <v>ZKB Maced Polanów</v>
          </cell>
        </row>
        <row r="539">
          <cell r="A539" t="str">
            <v>G5503</v>
          </cell>
          <cell r="B539" t="str">
            <v>Filip</v>
          </cell>
          <cell r="C539" t="str">
            <v>GRYGUŁA</v>
          </cell>
          <cell r="D539" t="str">
            <v>ZKB Maced Polanów</v>
          </cell>
        </row>
        <row r="540">
          <cell r="A540" t="str">
            <v>G4932</v>
          </cell>
          <cell r="B540" t="str">
            <v>Łukasz</v>
          </cell>
          <cell r="C540" t="str">
            <v>GRYKO</v>
          </cell>
          <cell r="D540" t="str">
            <v>UKS Hubal Białystok</v>
          </cell>
        </row>
        <row r="541">
          <cell r="A541" t="str">
            <v>G0976</v>
          </cell>
          <cell r="B541" t="str">
            <v>Mariola</v>
          </cell>
          <cell r="C541" t="str">
            <v>GRZĄDZIELSKA</v>
          </cell>
          <cell r="D541" t="str">
            <v>SKB Piast Słupsk</v>
          </cell>
        </row>
        <row r="542">
          <cell r="A542" t="str">
            <v>G4515</v>
          </cell>
          <cell r="B542" t="str">
            <v>Andrzej</v>
          </cell>
          <cell r="C542" t="str">
            <v>GRZECHNIK</v>
          </cell>
          <cell r="D542" t="str">
            <v>----</v>
          </cell>
        </row>
        <row r="543">
          <cell r="A543" t="str">
            <v>G2683</v>
          </cell>
          <cell r="B543" t="str">
            <v>Dawid</v>
          </cell>
          <cell r="C543" t="str">
            <v>GRZEGORZAK</v>
          </cell>
          <cell r="D543" t="str">
            <v>LKS Technik Głubczyce</v>
          </cell>
        </row>
        <row r="544">
          <cell r="A544" t="str">
            <v>G0471</v>
          </cell>
          <cell r="B544" t="str">
            <v>Julita</v>
          </cell>
          <cell r="C544" t="str">
            <v>GRZEGORZEWSKA</v>
          </cell>
          <cell r="D544" t="str">
            <v>UKS Hubal Białystok</v>
          </cell>
        </row>
        <row r="545">
          <cell r="A545" t="str">
            <v>G0113</v>
          </cell>
          <cell r="B545" t="str">
            <v>Dorota</v>
          </cell>
          <cell r="C545" t="str">
            <v>GRZEJDAK</v>
          </cell>
          <cell r="D545" t="str">
            <v>UKS Kometa Sianów</v>
          </cell>
        </row>
        <row r="546">
          <cell r="A546" t="str">
            <v>G5570</v>
          </cell>
          <cell r="B546" t="str">
            <v>Paulina</v>
          </cell>
          <cell r="C546" t="str">
            <v>GRZELAK</v>
          </cell>
          <cell r="D546" t="str">
            <v>MMKS Kędzierzyn-Koźle</v>
          </cell>
        </row>
        <row r="547">
          <cell r="A547" t="str">
            <v>G4142</v>
          </cell>
          <cell r="B547" t="str">
            <v>Agnieszka</v>
          </cell>
          <cell r="C547" t="str">
            <v>GRZEMPA</v>
          </cell>
          <cell r="D547" t="str">
            <v>UKS Lotka Lubiewo</v>
          </cell>
        </row>
        <row r="548">
          <cell r="A548" t="str">
            <v>G0263</v>
          </cell>
          <cell r="B548" t="str">
            <v>Adam</v>
          </cell>
          <cell r="C548" t="str">
            <v>GRZESIAK</v>
          </cell>
          <cell r="D548" t="str">
            <v>OTB Lotka Ostrów Wlkp.</v>
          </cell>
        </row>
        <row r="549">
          <cell r="A549" t="str">
            <v>G4422</v>
          </cell>
          <cell r="B549" t="str">
            <v>Klaudia</v>
          </cell>
          <cell r="C549" t="str">
            <v>GRZESIAK</v>
          </cell>
          <cell r="D549" t="str">
            <v>OTB Lotka Ostrów Wlkp.</v>
          </cell>
        </row>
        <row r="550">
          <cell r="A550" t="str">
            <v>G4423</v>
          </cell>
          <cell r="B550" t="str">
            <v>Maja</v>
          </cell>
          <cell r="C550" t="str">
            <v>GRZESIAK</v>
          </cell>
          <cell r="D550" t="str">
            <v>OTB Lotka Ostrów Wlkp.</v>
          </cell>
        </row>
        <row r="551">
          <cell r="A551" t="str">
            <v>G2278</v>
          </cell>
          <cell r="B551" t="str">
            <v>Przemysław</v>
          </cell>
          <cell r="C551" t="str">
            <v>GRZESZKOWIAK</v>
          </cell>
          <cell r="D551" t="str">
            <v>----</v>
          </cell>
        </row>
        <row r="552">
          <cell r="A552" t="str">
            <v>G5489</v>
          </cell>
          <cell r="B552" t="str">
            <v>Gabriel</v>
          </cell>
          <cell r="C552" t="str">
            <v>GRZYB</v>
          </cell>
          <cell r="D552" t="str">
            <v>UKS Orbitek Straszęcin</v>
          </cell>
        </row>
        <row r="553">
          <cell r="A553" t="str">
            <v>G5058</v>
          </cell>
          <cell r="B553" t="str">
            <v>Wiktor</v>
          </cell>
          <cell r="C553" t="str">
            <v>GRZYB</v>
          </cell>
          <cell r="D553" t="str">
            <v>UKS Orbitek Straszęcin</v>
          </cell>
        </row>
        <row r="554">
          <cell r="A554" t="str">
            <v>G5514</v>
          </cell>
          <cell r="B554" t="str">
            <v>Wiktoria</v>
          </cell>
          <cell r="C554" t="str">
            <v>GRZYBEK</v>
          </cell>
          <cell r="D554" t="str">
            <v>UKS Plesbad Pszczyna</v>
          </cell>
        </row>
        <row r="555">
          <cell r="A555" t="str">
            <v>G1808</v>
          </cell>
          <cell r="B555" t="str">
            <v>Jerzy</v>
          </cell>
          <cell r="C555" t="str">
            <v>GRZYBOWSKI</v>
          </cell>
          <cell r="D555" t="str">
            <v>----</v>
          </cell>
        </row>
        <row r="556">
          <cell r="A556" t="str">
            <v>G5660</v>
          </cell>
          <cell r="B556" t="str">
            <v>Maciej</v>
          </cell>
          <cell r="C556" t="str">
            <v>GRZYBOWSKI</v>
          </cell>
          <cell r="D556" t="str">
            <v>----</v>
          </cell>
        </row>
        <row r="557">
          <cell r="A557" t="str">
            <v>G4692</v>
          </cell>
          <cell r="B557" t="str">
            <v>Katarzyna</v>
          </cell>
          <cell r="C557" t="str">
            <v>GRZYWACZ</v>
          </cell>
          <cell r="D557" t="str">
            <v>UKS Kometa Sianów</v>
          </cell>
        </row>
        <row r="558">
          <cell r="A558" t="str">
            <v>G5920</v>
          </cell>
          <cell r="B558" t="str">
            <v>Marcin</v>
          </cell>
          <cell r="C558" t="str">
            <v>GRZYWACZ</v>
          </cell>
          <cell r="D558" t="str">
            <v>UKS Kometa Sianów</v>
          </cell>
        </row>
        <row r="559">
          <cell r="A559" t="str">
            <v>G5572</v>
          </cell>
          <cell r="B559" t="str">
            <v>Łukasz</v>
          </cell>
          <cell r="C559" t="str">
            <v>GRZYWNA</v>
          </cell>
          <cell r="D559" t="str">
            <v>PMKS Chrobry Piotrowice</v>
          </cell>
        </row>
        <row r="560">
          <cell r="A560" t="str">
            <v>G4414</v>
          </cell>
          <cell r="B560" t="str">
            <v>Kacper</v>
          </cell>
          <cell r="C560" t="str">
            <v>GUBAŁA</v>
          </cell>
          <cell r="D560" t="str">
            <v>UKS Badmin Gorlice</v>
          </cell>
        </row>
        <row r="561">
          <cell r="A561" t="str">
            <v>G4413</v>
          </cell>
          <cell r="B561" t="str">
            <v>Szymon</v>
          </cell>
          <cell r="C561" t="str">
            <v>GUBAŁA</v>
          </cell>
          <cell r="D561" t="str">
            <v>UKS Badmin Gorlice</v>
          </cell>
        </row>
        <row r="562">
          <cell r="A562" t="str">
            <v>G3560</v>
          </cell>
          <cell r="B562" t="str">
            <v>Daria</v>
          </cell>
          <cell r="C562" t="str">
            <v>GUJSKA</v>
          </cell>
          <cell r="D562" t="str">
            <v>UKS Kiko Zamość</v>
          </cell>
        </row>
        <row r="563">
          <cell r="A563" t="str">
            <v>G2476</v>
          </cell>
          <cell r="B563" t="str">
            <v>Daniel</v>
          </cell>
          <cell r="C563" t="str">
            <v>GUJSKI</v>
          </cell>
          <cell r="D563" t="str">
            <v>UKS Kiko Zamość</v>
          </cell>
        </row>
        <row r="564">
          <cell r="A564" t="str">
            <v>G5304</v>
          </cell>
          <cell r="B564" t="str">
            <v>Piotr</v>
          </cell>
          <cell r="C564" t="str">
            <v>GULAK</v>
          </cell>
          <cell r="D564" t="str">
            <v>----</v>
          </cell>
        </row>
        <row r="565">
          <cell r="A565" t="str">
            <v>G5736</v>
          </cell>
          <cell r="B565" t="str">
            <v>Robert</v>
          </cell>
          <cell r="C565" t="str">
            <v>GUŃKA</v>
          </cell>
          <cell r="D565" t="str">
            <v>MKS Spartakus Niepołomice</v>
          </cell>
        </row>
        <row r="566">
          <cell r="A566" t="str">
            <v>G3659</v>
          </cell>
          <cell r="B566" t="str">
            <v>Rafał</v>
          </cell>
          <cell r="C566" t="str">
            <v>GURGA</v>
          </cell>
          <cell r="D566" t="str">
            <v>UKS Orbitek Straszęcin</v>
          </cell>
        </row>
        <row r="567">
          <cell r="A567" t="str">
            <v>G5662</v>
          </cell>
          <cell r="B567" t="str">
            <v>Jakub</v>
          </cell>
          <cell r="C567" t="str">
            <v>GURGUL</v>
          </cell>
          <cell r="D567" t="str">
            <v>KS Match Point Ślęza</v>
          </cell>
        </row>
        <row r="568">
          <cell r="A568" t="str">
            <v>G5797</v>
          </cell>
          <cell r="B568" t="str">
            <v>Wojciech</v>
          </cell>
          <cell r="C568" t="str">
            <v>GURGUL</v>
          </cell>
          <cell r="D568" t="str">
            <v>KS Match Point Ślęza</v>
          </cell>
        </row>
        <row r="569">
          <cell r="A569" t="str">
            <v>G4721</v>
          </cell>
          <cell r="B569" t="str">
            <v>Kinga</v>
          </cell>
          <cell r="C569" t="str">
            <v>GURZ</v>
          </cell>
          <cell r="D569" t="str">
            <v>UKS Sokół Ropczyce</v>
          </cell>
        </row>
        <row r="570">
          <cell r="A570" t="str">
            <v>G1158</v>
          </cell>
          <cell r="B570" t="str">
            <v>Cezary</v>
          </cell>
          <cell r="C570" t="str">
            <v>GUTOWSKI</v>
          </cell>
          <cell r="D570" t="str">
            <v>KS Wesoła Warszawa</v>
          </cell>
        </row>
        <row r="571">
          <cell r="A571" t="str">
            <v>G3457</v>
          </cell>
          <cell r="B571" t="str">
            <v>Patrycja</v>
          </cell>
          <cell r="C571" t="str">
            <v>GUZEWICZ</v>
          </cell>
          <cell r="D571" t="str">
            <v>LUKS Księżyno</v>
          </cell>
        </row>
        <row r="572">
          <cell r="A572" t="str">
            <v>G0114</v>
          </cell>
          <cell r="B572" t="str">
            <v>Dominika</v>
          </cell>
          <cell r="C572" t="str">
            <v>GUZIK-PŁUCHOWSKA</v>
          </cell>
          <cell r="D572" t="str">
            <v>AZSAGH Kraków</v>
          </cell>
        </row>
        <row r="573">
          <cell r="A573" t="str">
            <v>G1774</v>
          </cell>
          <cell r="B573" t="str">
            <v>Czesław</v>
          </cell>
          <cell r="C573" t="str">
            <v>GWIAZDA</v>
          </cell>
          <cell r="D573" t="str">
            <v>----</v>
          </cell>
        </row>
        <row r="574">
          <cell r="A574" t="str">
            <v>G5128</v>
          </cell>
          <cell r="B574" t="str">
            <v>Artur</v>
          </cell>
          <cell r="C574" t="str">
            <v>GWIAZDOWSKI</v>
          </cell>
          <cell r="D574" t="str">
            <v>UKS Korona Pabianice</v>
          </cell>
        </row>
        <row r="575">
          <cell r="A575" t="str">
            <v>H3276</v>
          </cell>
          <cell r="B575" t="str">
            <v>Marek</v>
          </cell>
          <cell r="C575" t="str">
            <v>HAASE</v>
          </cell>
          <cell r="D575" t="str">
            <v>----</v>
          </cell>
        </row>
        <row r="576">
          <cell r="A576" t="str">
            <v>H4610</v>
          </cell>
          <cell r="B576" t="str">
            <v>Agata</v>
          </cell>
          <cell r="C576" t="str">
            <v>HABER</v>
          </cell>
          <cell r="D576" t="str">
            <v>BKS Kolejarz Katowice</v>
          </cell>
        </row>
        <row r="577">
          <cell r="A577" t="str">
            <v>H5728</v>
          </cell>
          <cell r="B577" t="str">
            <v>Maciej</v>
          </cell>
          <cell r="C577" t="str">
            <v>HABER</v>
          </cell>
          <cell r="D577" t="str">
            <v>UKS Orkan Przeźmierowo</v>
          </cell>
        </row>
        <row r="578">
          <cell r="A578" t="str">
            <v>H5856</v>
          </cell>
          <cell r="B578" t="str">
            <v>Adam</v>
          </cell>
          <cell r="C578" t="str">
            <v>HABRYCH</v>
          </cell>
          <cell r="D578" t="str">
            <v>UKS Astra Wrocław</v>
          </cell>
        </row>
        <row r="579">
          <cell r="A579" t="str">
            <v>H3013</v>
          </cell>
          <cell r="B579" t="str">
            <v>Marcin</v>
          </cell>
          <cell r="C579" t="str">
            <v>HAŁASA</v>
          </cell>
          <cell r="D579" t="str">
            <v>UKS Kiko Zamość</v>
          </cell>
        </row>
        <row r="580">
          <cell r="A580" t="str">
            <v>H5344</v>
          </cell>
          <cell r="B580" t="str">
            <v>Mateusz</v>
          </cell>
          <cell r="C580" t="str">
            <v>HAŁASA</v>
          </cell>
          <cell r="D580" t="str">
            <v>UKS Kiko Zamość</v>
          </cell>
        </row>
        <row r="581">
          <cell r="A581" t="str">
            <v>H3554</v>
          </cell>
          <cell r="B581" t="str">
            <v>Szymon</v>
          </cell>
          <cell r="C581" t="str">
            <v>HAŁASA</v>
          </cell>
          <cell r="D581" t="str">
            <v>UKS Kiko Zamość</v>
          </cell>
        </row>
        <row r="582">
          <cell r="A582" t="str">
            <v>H5558</v>
          </cell>
          <cell r="B582" t="str">
            <v>Natalia</v>
          </cell>
          <cell r="C582" t="str">
            <v>HAŁATA</v>
          </cell>
          <cell r="D582" t="str">
            <v>UKSB Volant Mielec</v>
          </cell>
        </row>
        <row r="583">
          <cell r="A583" t="str">
            <v>H2658</v>
          </cell>
          <cell r="B583" t="str">
            <v>Maria</v>
          </cell>
          <cell r="C583" t="str">
            <v>HAŁKA</v>
          </cell>
          <cell r="D583" t="str">
            <v>MKS Stal Nowa Dęba</v>
          </cell>
        </row>
        <row r="584">
          <cell r="A584" t="str">
            <v>H4903</v>
          </cell>
          <cell r="B584" t="str">
            <v>Paweł</v>
          </cell>
          <cell r="C584" t="str">
            <v>HAŁUBEK</v>
          </cell>
          <cell r="D584" t="str">
            <v>----</v>
          </cell>
        </row>
        <row r="585">
          <cell r="A585" t="str">
            <v>H 073</v>
          </cell>
          <cell r="B585" t="str">
            <v>Jacek</v>
          </cell>
          <cell r="C585" t="str">
            <v>HANKIEWICZ</v>
          </cell>
          <cell r="D585" t="str">
            <v>----</v>
          </cell>
        </row>
        <row r="586">
          <cell r="A586" t="str">
            <v>H5946</v>
          </cell>
          <cell r="B586" t="str">
            <v>Paulina</v>
          </cell>
          <cell r="C586" t="str">
            <v>HANKIEWICZ</v>
          </cell>
          <cell r="D586" t="str">
            <v>UKSB Milenium Warszawa</v>
          </cell>
        </row>
        <row r="587">
          <cell r="A587" t="str">
            <v>H2477</v>
          </cell>
          <cell r="B587" t="str">
            <v>Kinga</v>
          </cell>
          <cell r="C587" t="str">
            <v>HARACZ</v>
          </cell>
          <cell r="D587" t="str">
            <v>LKS Technik Głubczyce</v>
          </cell>
        </row>
        <row r="588">
          <cell r="A588" t="str">
            <v>H5742</v>
          </cell>
          <cell r="B588" t="str">
            <v>Julia</v>
          </cell>
          <cell r="C588" t="str">
            <v>HARKOT</v>
          </cell>
          <cell r="D588" t="str">
            <v>UKS Kiko Zamość</v>
          </cell>
        </row>
        <row r="589">
          <cell r="A589" t="str">
            <v>H0147</v>
          </cell>
          <cell r="B589" t="str">
            <v>Rafał</v>
          </cell>
          <cell r="C589" t="str">
            <v>HAWEL</v>
          </cell>
          <cell r="D589" t="str">
            <v>SKB Piast Słupsk</v>
          </cell>
        </row>
        <row r="590">
          <cell r="A590" t="str">
            <v>H4578</v>
          </cell>
          <cell r="B590" t="str">
            <v>Joanna</v>
          </cell>
          <cell r="C590" t="str">
            <v>HEINKE</v>
          </cell>
          <cell r="D590" t="str">
            <v>KS Chojnik Jelenia Góra</v>
          </cell>
        </row>
        <row r="591">
          <cell r="A591" t="str">
            <v>H4176</v>
          </cell>
          <cell r="B591" t="str">
            <v>Bartosz</v>
          </cell>
          <cell r="C591" t="str">
            <v>HEJDUK</v>
          </cell>
          <cell r="D591" t="str">
            <v>UKS Orkan Przeźmierowo</v>
          </cell>
        </row>
        <row r="592">
          <cell r="A592" t="str">
            <v>H5129</v>
          </cell>
          <cell r="B592" t="str">
            <v>Natan</v>
          </cell>
          <cell r="C592" t="str">
            <v>HEMER</v>
          </cell>
          <cell r="D592" t="str">
            <v>UKS Korona Pabianice</v>
          </cell>
        </row>
        <row r="593">
          <cell r="A593" t="str">
            <v>H5882</v>
          </cell>
          <cell r="B593" t="str">
            <v>Cyprian</v>
          </cell>
          <cell r="C593" t="str">
            <v>HERL</v>
          </cell>
          <cell r="D593" t="str">
            <v>UKS Smecz Milicz</v>
          </cell>
        </row>
        <row r="594">
          <cell r="A594" t="str">
            <v>H0699</v>
          </cell>
          <cell r="B594" t="str">
            <v>Krzysztof</v>
          </cell>
          <cell r="C594" t="str">
            <v>HODUR</v>
          </cell>
          <cell r="D594" t="str">
            <v>AZSAGH Kraków</v>
          </cell>
        </row>
        <row r="595">
          <cell r="A595" t="str">
            <v>H5156</v>
          </cell>
          <cell r="B595" t="str">
            <v>Bartosz</v>
          </cell>
          <cell r="C595" t="str">
            <v>HOFFMANN</v>
          </cell>
          <cell r="D595" t="str">
            <v>KS Wesoła Warszawa</v>
          </cell>
        </row>
        <row r="596">
          <cell r="A596" t="str">
            <v>H3873</v>
          </cell>
          <cell r="B596" t="str">
            <v>Filip</v>
          </cell>
          <cell r="C596" t="str">
            <v>HOŁOWICKI</v>
          </cell>
          <cell r="D596" t="str">
            <v>UKSB Volant Mielec</v>
          </cell>
        </row>
        <row r="597">
          <cell r="A597" t="str">
            <v>H5537</v>
          </cell>
          <cell r="B597" t="str">
            <v>Grzegorz</v>
          </cell>
          <cell r="C597" t="str">
            <v>HOŁUB</v>
          </cell>
          <cell r="D597" t="str">
            <v>SKB Suwałki</v>
          </cell>
        </row>
        <row r="598">
          <cell r="A598" t="str">
            <v>H5407</v>
          </cell>
          <cell r="B598" t="str">
            <v>Łukasz</v>
          </cell>
          <cell r="C598" t="str">
            <v>HOMEL</v>
          </cell>
          <cell r="D598" t="str">
            <v>BKS Kolejarz Katowice</v>
          </cell>
        </row>
        <row r="599">
          <cell r="A599" t="str">
            <v>H5408</v>
          </cell>
          <cell r="B599" t="str">
            <v>Rafał</v>
          </cell>
          <cell r="C599" t="str">
            <v>HOMEL</v>
          </cell>
          <cell r="D599" t="str">
            <v>BKS Kolejarz Katowice</v>
          </cell>
        </row>
        <row r="600">
          <cell r="A600" t="str">
            <v>H5921</v>
          </cell>
          <cell r="B600" t="str">
            <v>Marek</v>
          </cell>
          <cell r="C600" t="str">
            <v>HOPPE</v>
          </cell>
          <cell r="D600" t="str">
            <v>UKS Kometa Sianów</v>
          </cell>
        </row>
        <row r="601">
          <cell r="A601" t="str">
            <v>H1435</v>
          </cell>
          <cell r="B601" t="str">
            <v>Piotr</v>
          </cell>
          <cell r="C601" t="str">
            <v>HORODECKI</v>
          </cell>
          <cell r="D601" t="str">
            <v>----</v>
          </cell>
        </row>
        <row r="602">
          <cell r="A602" t="str">
            <v>H5238</v>
          </cell>
          <cell r="B602" t="str">
            <v>Krystian</v>
          </cell>
          <cell r="C602" t="str">
            <v>HRABIK</v>
          </cell>
          <cell r="D602" t="str">
            <v>UKS Ząbkowice Dąbrowa Górn.</v>
          </cell>
        </row>
        <row r="603">
          <cell r="A603" t="str">
            <v>H3339</v>
          </cell>
          <cell r="B603" t="str">
            <v>Sylwester</v>
          </cell>
          <cell r="C603" t="str">
            <v>HRYCAK</v>
          </cell>
          <cell r="D603" t="str">
            <v>UKS Siódemka Świebodzin</v>
          </cell>
        </row>
        <row r="604">
          <cell r="A604" t="str">
            <v>H5925</v>
          </cell>
          <cell r="B604" t="str">
            <v>Cezary</v>
          </cell>
          <cell r="C604" t="str">
            <v>HRYCIUK</v>
          </cell>
          <cell r="D604" t="str">
            <v>----</v>
          </cell>
        </row>
        <row r="605">
          <cell r="A605" t="str">
            <v>H5529</v>
          </cell>
          <cell r="B605" t="str">
            <v>Mateusz</v>
          </cell>
          <cell r="C605" t="str">
            <v>HUŁUB</v>
          </cell>
          <cell r="D605" t="str">
            <v>SKB Suwałki</v>
          </cell>
        </row>
        <row r="606">
          <cell r="A606" t="str">
            <v>I2500</v>
          </cell>
          <cell r="B606" t="str">
            <v>Marek</v>
          </cell>
          <cell r="C606" t="str">
            <v>IDZIKOWSKI</v>
          </cell>
          <cell r="D606" t="str">
            <v>----</v>
          </cell>
        </row>
        <row r="607">
          <cell r="A607" t="str">
            <v>I4365</v>
          </cell>
          <cell r="B607" t="str">
            <v>Patryk</v>
          </cell>
          <cell r="C607" t="str">
            <v>IDZIKOWSKI</v>
          </cell>
          <cell r="D607" t="str">
            <v>STB Energia Lubliniec</v>
          </cell>
        </row>
        <row r="608">
          <cell r="A608" t="str">
            <v>I5982</v>
          </cell>
          <cell r="B608" t="str">
            <v>Filip</v>
          </cell>
          <cell r="C608" t="str">
            <v>IMIELSKI</v>
          </cell>
          <cell r="D608" t="str">
            <v>AZSAGH Kraków</v>
          </cell>
        </row>
        <row r="609">
          <cell r="A609" t="str">
            <v>I5606</v>
          </cell>
          <cell r="B609" t="str">
            <v>Jakub</v>
          </cell>
          <cell r="C609" t="str">
            <v>IMIELSKI</v>
          </cell>
          <cell r="D609" t="str">
            <v>AZSAGH Kraków</v>
          </cell>
        </row>
        <row r="610">
          <cell r="A610" t="str">
            <v>I4204</v>
          </cell>
          <cell r="B610" t="str">
            <v>Agata</v>
          </cell>
          <cell r="C610" t="str">
            <v>ISKRA</v>
          </cell>
          <cell r="D610" t="str">
            <v>UKS Unia Bieruń</v>
          </cell>
        </row>
        <row r="611">
          <cell r="A611" t="str">
            <v>I3301</v>
          </cell>
          <cell r="B611" t="str">
            <v>Igor</v>
          </cell>
          <cell r="C611" t="str">
            <v>IWAŃSKI</v>
          </cell>
          <cell r="D611" t="str">
            <v>UKSB Volant Mielec</v>
          </cell>
        </row>
        <row r="612">
          <cell r="A612" t="str">
            <v>I3877</v>
          </cell>
          <cell r="B612" t="str">
            <v>Karol</v>
          </cell>
          <cell r="C612" t="str">
            <v>IWULSKI</v>
          </cell>
          <cell r="D612" t="str">
            <v>MKS Spartakus Niepołomice</v>
          </cell>
        </row>
        <row r="613">
          <cell r="A613" t="str">
            <v>J0107</v>
          </cell>
          <cell r="B613" t="str">
            <v>Katarzyna</v>
          </cell>
          <cell r="C613" t="str">
            <v>JABCZYŃSKA</v>
          </cell>
          <cell r="D613" t="str">
            <v>KB Vol-Trick Kępno</v>
          </cell>
        </row>
        <row r="614">
          <cell r="A614" t="str">
            <v>J4919</v>
          </cell>
          <cell r="B614" t="str">
            <v>Natalia</v>
          </cell>
          <cell r="C614" t="str">
            <v>JABŁOŃSKA</v>
          </cell>
          <cell r="D614" t="str">
            <v>UKS 25 Kielce</v>
          </cell>
        </row>
        <row r="615">
          <cell r="A615" t="str">
            <v>J3715</v>
          </cell>
          <cell r="B615" t="str">
            <v>Paulina</v>
          </cell>
          <cell r="C615" t="str">
            <v>JABŁOŃSKA</v>
          </cell>
          <cell r="D615" t="str">
            <v>UKS Hubal Białystok</v>
          </cell>
        </row>
        <row r="616">
          <cell r="A616" t="str">
            <v>J2970</v>
          </cell>
          <cell r="B616" t="str">
            <v>Aleksander</v>
          </cell>
          <cell r="C616" t="str">
            <v>JABŁOŃSKI</v>
          </cell>
          <cell r="D616" t="str">
            <v>UKS Hubal Białystok</v>
          </cell>
        </row>
        <row r="617">
          <cell r="A617" t="str">
            <v>J5591</v>
          </cell>
          <cell r="B617" t="str">
            <v>Łukasz</v>
          </cell>
          <cell r="C617" t="str">
            <v>JABŁOŃSKI</v>
          </cell>
          <cell r="D617" t="str">
            <v>KSR Wolant Łódź</v>
          </cell>
        </row>
        <row r="618">
          <cell r="A618" t="str">
            <v>J2345</v>
          </cell>
          <cell r="B618" t="str">
            <v>Przemysław</v>
          </cell>
          <cell r="C618" t="str">
            <v>JABŁOŃSKI</v>
          </cell>
          <cell r="D618" t="str">
            <v>UKS Hubal Białystok</v>
          </cell>
        </row>
        <row r="619">
          <cell r="A619" t="str">
            <v>J5268</v>
          </cell>
          <cell r="B619" t="str">
            <v>Maksymilian</v>
          </cell>
          <cell r="C619" t="str">
            <v>JACHIMOWICZ</v>
          </cell>
          <cell r="D619" t="str">
            <v>UKS Badminton Stare Babice</v>
          </cell>
        </row>
        <row r="620">
          <cell r="A620" t="str">
            <v>J4980</v>
          </cell>
          <cell r="B620" t="str">
            <v>Julia</v>
          </cell>
          <cell r="C620" t="str">
            <v>JACKOWSKA</v>
          </cell>
          <cell r="D620" t="str">
            <v>UKS Junior Wrzosowa</v>
          </cell>
        </row>
        <row r="621">
          <cell r="A621" t="str">
            <v>J4935</v>
          </cell>
          <cell r="B621" t="str">
            <v>Tomasz</v>
          </cell>
          <cell r="C621" t="str">
            <v>JACKOWSKI</v>
          </cell>
          <cell r="D621" t="str">
            <v>----</v>
          </cell>
        </row>
        <row r="622">
          <cell r="A622" t="str">
            <v>J2144</v>
          </cell>
          <cell r="B622" t="str">
            <v>Aleksandra</v>
          </cell>
          <cell r="C622" t="str">
            <v>JACZEWSKA</v>
          </cell>
          <cell r="D622" t="str">
            <v>AZSUWM Olsztyn</v>
          </cell>
        </row>
        <row r="623">
          <cell r="A623" t="str">
            <v>J4677</v>
          </cell>
          <cell r="B623" t="str">
            <v>Adam</v>
          </cell>
          <cell r="C623" t="str">
            <v>JAGODA</v>
          </cell>
          <cell r="D623" t="str">
            <v>UKS Kiko Zamość</v>
          </cell>
        </row>
        <row r="624">
          <cell r="A624" t="str">
            <v>J5015</v>
          </cell>
          <cell r="B624" t="str">
            <v>Jakub</v>
          </cell>
          <cell r="C624" t="str">
            <v>JAGODZIŃSKI</v>
          </cell>
          <cell r="D624" t="str">
            <v>UKSB Milenium Warszawa</v>
          </cell>
        </row>
        <row r="625">
          <cell r="A625" t="str">
            <v>J4555</v>
          </cell>
          <cell r="B625" t="str">
            <v>Izabela</v>
          </cell>
          <cell r="C625" t="str">
            <v>JAJKO</v>
          </cell>
          <cell r="D625" t="str">
            <v>UKS Orliki Ropica Polska</v>
          </cell>
        </row>
        <row r="626">
          <cell r="A626" t="str">
            <v>J5191</v>
          </cell>
          <cell r="B626" t="str">
            <v>Rafał</v>
          </cell>
          <cell r="C626" t="str">
            <v>JAKIEL</v>
          </cell>
          <cell r="D626" t="str">
            <v>UKS Smecz Bogatynia</v>
          </cell>
        </row>
        <row r="627">
          <cell r="A627" t="str">
            <v>J5938</v>
          </cell>
          <cell r="B627" t="str">
            <v>Natalia</v>
          </cell>
          <cell r="C627" t="str">
            <v>JAKIEŁA</v>
          </cell>
          <cell r="D627" t="str">
            <v>UKS MixTeam Tarnowiec</v>
          </cell>
        </row>
        <row r="628">
          <cell r="A628" t="str">
            <v>J3112</v>
          </cell>
          <cell r="B628" t="str">
            <v>Krzysztof</v>
          </cell>
          <cell r="C628" t="str">
            <v>JAKOWCZUK</v>
          </cell>
          <cell r="D628" t="str">
            <v>UKS Hubal Białystok</v>
          </cell>
        </row>
        <row r="629">
          <cell r="A629" t="str">
            <v>J5893</v>
          </cell>
          <cell r="B629" t="str">
            <v>Katarzyna</v>
          </cell>
          <cell r="C629" t="str">
            <v>JAKUBOWSKA</v>
          </cell>
          <cell r="D629" t="str">
            <v>Górnik Łęczna SA</v>
          </cell>
        </row>
        <row r="630">
          <cell r="A630" t="str">
            <v>J2017</v>
          </cell>
          <cell r="B630" t="str">
            <v>Artur</v>
          </cell>
          <cell r="C630" t="str">
            <v>JAKUBOWSKI</v>
          </cell>
          <cell r="D630" t="str">
            <v>AZSUWM Olsztyn</v>
          </cell>
        </row>
        <row r="631">
          <cell r="A631" t="str">
            <v>J1617</v>
          </cell>
          <cell r="B631" t="str">
            <v>Jacek</v>
          </cell>
          <cell r="C631" t="str">
            <v>JAKUBOWSKI</v>
          </cell>
          <cell r="D631" t="str">
            <v>AZSWAT Warszawa</v>
          </cell>
        </row>
        <row r="632">
          <cell r="A632" t="str">
            <v>J5883</v>
          </cell>
          <cell r="B632" t="str">
            <v>Krystian</v>
          </cell>
          <cell r="C632" t="str">
            <v>JAKUBOWSKI</v>
          </cell>
          <cell r="D632" t="str">
            <v>UKS Smecz Milicz</v>
          </cell>
        </row>
        <row r="633">
          <cell r="A633" t="str">
            <v>J0134</v>
          </cell>
          <cell r="B633" t="str">
            <v>Jakub</v>
          </cell>
          <cell r="C633" t="str">
            <v>JANASZEK</v>
          </cell>
          <cell r="D633" t="str">
            <v>PTS Puszczykowo</v>
          </cell>
        </row>
        <row r="634">
          <cell r="A634" t="str">
            <v>J 067</v>
          </cell>
          <cell r="B634" t="str">
            <v>Monika</v>
          </cell>
          <cell r="C634" t="str">
            <v>JANDUŁA</v>
          </cell>
          <cell r="D634" t="str">
            <v>----</v>
          </cell>
        </row>
        <row r="635">
          <cell r="A635" t="str">
            <v>J1466</v>
          </cell>
          <cell r="B635" t="str">
            <v>Andrzej</v>
          </cell>
          <cell r="C635" t="str">
            <v>JANECKI</v>
          </cell>
          <cell r="D635" t="str">
            <v>UKS Dwójka Wesoła</v>
          </cell>
        </row>
        <row r="636">
          <cell r="A636" t="str">
            <v>J 014</v>
          </cell>
          <cell r="B636" t="str">
            <v>Małgorzata</v>
          </cell>
          <cell r="C636" t="str">
            <v>JANIACZYK</v>
          </cell>
          <cell r="D636" t="str">
            <v>AZSUW Warszawa</v>
          </cell>
        </row>
        <row r="637">
          <cell r="A637" t="str">
            <v>J4899</v>
          </cell>
          <cell r="B637" t="str">
            <v>Dawid</v>
          </cell>
          <cell r="C637" t="str">
            <v>JANIAK</v>
          </cell>
          <cell r="D637" t="str">
            <v>MUKBMDK Płock</v>
          </cell>
        </row>
        <row r="638">
          <cell r="A638" t="str">
            <v>J4900</v>
          </cell>
          <cell r="B638" t="str">
            <v>Rafał</v>
          </cell>
          <cell r="C638" t="str">
            <v>JANIAK</v>
          </cell>
          <cell r="D638" t="str">
            <v>MUKBMDK Płock</v>
          </cell>
        </row>
        <row r="639">
          <cell r="A639" t="str">
            <v>J3841</v>
          </cell>
          <cell r="B639" t="str">
            <v>Dominika</v>
          </cell>
          <cell r="C639" t="str">
            <v>JANICKA</v>
          </cell>
          <cell r="D639" t="str">
            <v>UKS 70 Płock</v>
          </cell>
        </row>
        <row r="640">
          <cell r="A640" t="str">
            <v>J5955</v>
          </cell>
          <cell r="B640" t="str">
            <v>Zuzanna</v>
          </cell>
          <cell r="C640" t="str">
            <v>JANICKA</v>
          </cell>
          <cell r="D640" t="str">
            <v>OTB Lotka Ostrów Wlkp.</v>
          </cell>
        </row>
        <row r="641">
          <cell r="A641" t="str">
            <v>J5455</v>
          </cell>
          <cell r="B641" t="str">
            <v>Patryk</v>
          </cell>
          <cell r="C641" t="str">
            <v>JANICZEK</v>
          </cell>
          <cell r="D641" t="str">
            <v>UKS Korona Pabianice</v>
          </cell>
        </row>
        <row r="642">
          <cell r="A642" t="str">
            <v>J1567</v>
          </cell>
          <cell r="B642" t="str">
            <v>Dariusz</v>
          </cell>
          <cell r="C642" t="str">
            <v>JANIK</v>
          </cell>
          <cell r="D642" t="str">
            <v>AZSAGH Kraków</v>
          </cell>
        </row>
        <row r="643">
          <cell r="A643" t="str">
            <v>J5253</v>
          </cell>
          <cell r="B643" t="str">
            <v>Remigiusz</v>
          </cell>
          <cell r="C643" t="str">
            <v>JANISZEWSKI</v>
          </cell>
          <cell r="D643" t="str">
            <v>----</v>
          </cell>
        </row>
        <row r="644">
          <cell r="A644" t="str">
            <v>J5922</v>
          </cell>
          <cell r="B644" t="str">
            <v>Karolina</v>
          </cell>
          <cell r="C644" t="str">
            <v>JANKOWSKA</v>
          </cell>
          <cell r="D644" t="str">
            <v>UKS Kometa Sianów</v>
          </cell>
        </row>
        <row r="645">
          <cell r="A645" t="str">
            <v>J5024</v>
          </cell>
          <cell r="B645" t="str">
            <v>Zuzanna</v>
          </cell>
          <cell r="C645" t="str">
            <v>JANKOWSKA</v>
          </cell>
          <cell r="D645" t="str">
            <v>MKS Strzelce Opolskie</v>
          </cell>
        </row>
        <row r="646">
          <cell r="A646" t="str">
            <v>J5849</v>
          </cell>
          <cell r="B646" t="str">
            <v>Tymon</v>
          </cell>
          <cell r="C646" t="str">
            <v>JANOWICZ</v>
          </cell>
          <cell r="D646" t="str">
            <v>UKS Astra Wrocław</v>
          </cell>
        </row>
        <row r="647">
          <cell r="A647" t="str">
            <v>J2971</v>
          </cell>
          <cell r="B647" t="str">
            <v>Karolina</v>
          </cell>
          <cell r="C647" t="str">
            <v>JANOWSKA</v>
          </cell>
          <cell r="D647" t="str">
            <v>UKS Hubal Białystok</v>
          </cell>
        </row>
        <row r="648">
          <cell r="A648" t="str">
            <v>J5174</v>
          </cell>
          <cell r="B648" t="str">
            <v>Paweł</v>
          </cell>
          <cell r="C648" t="str">
            <v>JANUCHOWSKI</v>
          </cell>
          <cell r="D648" t="str">
            <v>----</v>
          </cell>
        </row>
        <row r="649">
          <cell r="A649" t="str">
            <v>J4728</v>
          </cell>
          <cell r="B649" t="str">
            <v>Paulina</v>
          </cell>
          <cell r="C649" t="str">
            <v>JANUS</v>
          </cell>
          <cell r="D649" t="str">
            <v>UKSB Volant Mielec</v>
          </cell>
        </row>
        <row r="650">
          <cell r="A650" t="str">
            <v>J4123</v>
          </cell>
          <cell r="B650" t="str">
            <v>Michał</v>
          </cell>
          <cell r="C650" t="str">
            <v>JANUSZEWSKI</v>
          </cell>
          <cell r="D650" t="str">
            <v>ŚKBad Harcownik Warszawa</v>
          </cell>
        </row>
        <row r="651">
          <cell r="A651" t="str">
            <v>J5880</v>
          </cell>
          <cell r="B651" t="str">
            <v>Agnieszka</v>
          </cell>
          <cell r="C651" t="str">
            <v>JARECKA</v>
          </cell>
          <cell r="D651" t="str">
            <v>UKS Smecz Milicz</v>
          </cell>
        </row>
        <row r="652">
          <cell r="A652" t="str">
            <v>J4356</v>
          </cell>
          <cell r="B652" t="str">
            <v>Jakub</v>
          </cell>
          <cell r="C652" t="str">
            <v>JARECKI</v>
          </cell>
          <cell r="D652" t="str">
            <v>----</v>
          </cell>
        </row>
        <row r="653">
          <cell r="A653" t="str">
            <v>J4664</v>
          </cell>
          <cell r="B653" t="str">
            <v>Krzysztof</v>
          </cell>
          <cell r="C653" t="str">
            <v>JARMOŁOWICZ</v>
          </cell>
          <cell r="D653" t="str">
            <v>----</v>
          </cell>
        </row>
        <row r="654">
          <cell r="A654" t="str">
            <v>J0876</v>
          </cell>
          <cell r="B654" t="str">
            <v>Ewa</v>
          </cell>
          <cell r="C654" t="str">
            <v>JAROCKA-BURNIEWICZ</v>
          </cell>
          <cell r="D654" t="str">
            <v>UKS Hubal Białystok</v>
          </cell>
        </row>
        <row r="655">
          <cell r="A655" t="str">
            <v>J5964</v>
          </cell>
          <cell r="B655" t="str">
            <v>Kacper</v>
          </cell>
          <cell r="C655" t="str">
            <v>JAROSZ</v>
          </cell>
          <cell r="D655" t="str">
            <v>UMKS Junis Szczucin</v>
          </cell>
        </row>
        <row r="656">
          <cell r="A656" t="str">
            <v>J5219</v>
          </cell>
          <cell r="B656" t="str">
            <v>Sebastian</v>
          </cell>
          <cell r="C656" t="str">
            <v>JAROSZCZUK</v>
          </cell>
          <cell r="D656" t="str">
            <v>SKB Suwałki</v>
          </cell>
        </row>
        <row r="657">
          <cell r="A657" t="str">
            <v>J3436</v>
          </cell>
          <cell r="B657" t="str">
            <v>Patryk</v>
          </cell>
          <cell r="C657" t="str">
            <v>JAS</v>
          </cell>
          <cell r="D657" t="str">
            <v>UKS Kometa Sianów</v>
          </cell>
        </row>
        <row r="658">
          <cell r="A658" t="str">
            <v>J5291</v>
          </cell>
          <cell r="B658" t="str">
            <v>Karolina</v>
          </cell>
          <cell r="C658" t="str">
            <v>JASIELSKA</v>
          </cell>
          <cell r="D658" t="str">
            <v>UKS Ostrówek</v>
          </cell>
        </row>
        <row r="659">
          <cell r="A659" t="str">
            <v>J5977</v>
          </cell>
          <cell r="B659" t="str">
            <v>Mikołaj</v>
          </cell>
          <cell r="C659" t="str">
            <v>JASINIAK</v>
          </cell>
          <cell r="D659" t="str">
            <v>UKS Badminton Stare Babice</v>
          </cell>
        </row>
        <row r="660">
          <cell r="A660" t="str">
            <v>J4200</v>
          </cell>
          <cell r="B660" t="str">
            <v>Mateusz</v>
          </cell>
          <cell r="C660" t="str">
            <v>JASIŃSKI</v>
          </cell>
          <cell r="D660" t="str">
            <v>UKS Unia Bieruń</v>
          </cell>
        </row>
        <row r="661">
          <cell r="A661" t="str">
            <v>J5142</v>
          </cell>
          <cell r="B661" t="str">
            <v>Szymon</v>
          </cell>
          <cell r="C661" t="str">
            <v>JASIŃSKI</v>
          </cell>
          <cell r="D661" t="str">
            <v>MLKS Solec Kuj.</v>
          </cell>
        </row>
        <row r="662">
          <cell r="A662" t="str">
            <v>J 096</v>
          </cell>
          <cell r="B662" t="str">
            <v>Zbigniew</v>
          </cell>
          <cell r="C662" t="str">
            <v>JASIULEWICZ</v>
          </cell>
          <cell r="D662" t="str">
            <v>AZSAGH Kraków</v>
          </cell>
        </row>
        <row r="663">
          <cell r="A663" t="str">
            <v>J4950</v>
          </cell>
          <cell r="B663" t="str">
            <v>Barbara</v>
          </cell>
          <cell r="C663" t="str">
            <v>JASKÓLSKA</v>
          </cell>
          <cell r="D663" t="str">
            <v>STB Energia Lubliniec</v>
          </cell>
        </row>
        <row r="664">
          <cell r="A664" t="str">
            <v>J4666</v>
          </cell>
          <cell r="B664" t="str">
            <v>Oskar</v>
          </cell>
          <cell r="C664" t="str">
            <v>JASS</v>
          </cell>
          <cell r="D664" t="str">
            <v>----</v>
          </cell>
        </row>
        <row r="665">
          <cell r="A665" t="str">
            <v>J4624</v>
          </cell>
          <cell r="B665" t="str">
            <v>Mikołaj</v>
          </cell>
          <cell r="C665" t="str">
            <v>JASTRZĘBSKI</v>
          </cell>
          <cell r="D665" t="str">
            <v>UKS 70 Płock</v>
          </cell>
        </row>
        <row r="666">
          <cell r="A666" t="str">
            <v>J5839</v>
          </cell>
          <cell r="B666" t="str">
            <v>Dawid</v>
          </cell>
          <cell r="C666" t="str">
            <v>JASZKIEWICZ</v>
          </cell>
          <cell r="D666" t="str">
            <v>UKS Feniks Kędzierzyn-Koźle</v>
          </cell>
        </row>
        <row r="667">
          <cell r="A667" t="str">
            <v>J5837</v>
          </cell>
          <cell r="B667" t="str">
            <v>Sebastian</v>
          </cell>
          <cell r="C667" t="str">
            <v>JASZKIEWICZ</v>
          </cell>
          <cell r="D667" t="str">
            <v>UKS Feniks Kędzierzyn-Koźle</v>
          </cell>
        </row>
        <row r="668">
          <cell r="A668" t="str">
            <v>J5013</v>
          </cell>
          <cell r="B668" t="str">
            <v>Anna</v>
          </cell>
          <cell r="C668" t="str">
            <v>JASZUK</v>
          </cell>
          <cell r="D668" t="str">
            <v>UKS Ostrówek</v>
          </cell>
        </row>
        <row r="669">
          <cell r="A669" t="str">
            <v>J3781</v>
          </cell>
          <cell r="B669" t="str">
            <v>Adrian</v>
          </cell>
          <cell r="C669" t="str">
            <v>JAŚKOWIAK</v>
          </cell>
          <cell r="D669" t="str">
            <v>UKS Orkan Przeźmierowo</v>
          </cell>
        </row>
        <row r="670">
          <cell r="A670" t="str">
            <v>J3774</v>
          </cell>
          <cell r="B670" t="str">
            <v>Damian</v>
          </cell>
          <cell r="C670" t="str">
            <v>JAŚKOWIAK</v>
          </cell>
          <cell r="D670" t="str">
            <v>UKS Orkan Przeźmierowo</v>
          </cell>
        </row>
        <row r="671">
          <cell r="A671" t="str">
            <v>J5518</v>
          </cell>
          <cell r="B671" t="str">
            <v>Nikodem</v>
          </cell>
          <cell r="C671" t="str">
            <v>JAŚKOWIAK</v>
          </cell>
          <cell r="D671" t="str">
            <v>UKS Orkan Przeźmierowo</v>
          </cell>
        </row>
        <row r="672">
          <cell r="A672" t="str">
            <v>J0969</v>
          </cell>
          <cell r="B672" t="str">
            <v>Magdalena</v>
          </cell>
          <cell r="C672" t="str">
            <v>JAWOREK</v>
          </cell>
          <cell r="D672" t="str">
            <v>AZSUWM Olsztyn</v>
          </cell>
        </row>
        <row r="673">
          <cell r="A673" t="str">
            <v>J3652</v>
          </cell>
          <cell r="B673" t="str">
            <v>Beata</v>
          </cell>
          <cell r="C673" t="str">
            <v>JAWORSKA</v>
          </cell>
          <cell r="D673" t="str">
            <v>----</v>
          </cell>
        </row>
        <row r="674">
          <cell r="A674" t="str">
            <v>J3786</v>
          </cell>
          <cell r="B674" t="str">
            <v>Emilia</v>
          </cell>
          <cell r="C674" t="str">
            <v>JAWORSKA</v>
          </cell>
          <cell r="D674" t="str">
            <v>MKS Spartakus Niepołomice</v>
          </cell>
        </row>
        <row r="675">
          <cell r="A675" t="str">
            <v>J4343</v>
          </cell>
          <cell r="B675" t="str">
            <v>Marta</v>
          </cell>
          <cell r="C675" t="str">
            <v>JAWORSKA</v>
          </cell>
          <cell r="D675" t="str">
            <v>BKS Kolejarz Częstochowa</v>
          </cell>
        </row>
        <row r="676">
          <cell r="A676" t="str">
            <v>J1120</v>
          </cell>
          <cell r="B676" t="str">
            <v>Hubert</v>
          </cell>
          <cell r="C676" t="str">
            <v>JAWORSKI</v>
          </cell>
          <cell r="D676" t="str">
            <v>AZSUWM Olsztyn</v>
          </cell>
        </row>
        <row r="677">
          <cell r="A677" t="str">
            <v>J4557</v>
          </cell>
          <cell r="B677" t="str">
            <v>Michał</v>
          </cell>
          <cell r="C677" t="str">
            <v>JEDLECKI</v>
          </cell>
          <cell r="D677" t="str">
            <v>UKS Orliki Ropica Polska</v>
          </cell>
        </row>
        <row r="678">
          <cell r="A678" t="str">
            <v>J5632</v>
          </cell>
          <cell r="B678" t="str">
            <v>Oskar</v>
          </cell>
          <cell r="C678" t="str">
            <v>JEMIOŁO</v>
          </cell>
          <cell r="D678" t="str">
            <v>UKSB Volant Mielec</v>
          </cell>
        </row>
        <row r="679">
          <cell r="A679" t="str">
            <v>J4233</v>
          </cell>
          <cell r="B679" t="str">
            <v>Mateusz</v>
          </cell>
          <cell r="C679" t="str">
            <v>JENDERNAL</v>
          </cell>
          <cell r="D679" t="str">
            <v>ULKS U-2 Lotka Bytów</v>
          </cell>
        </row>
        <row r="680">
          <cell r="A680" t="str">
            <v>J5758</v>
          </cell>
          <cell r="B680" t="str">
            <v>Alicja</v>
          </cell>
          <cell r="C680" t="str">
            <v>JENERALCZYK</v>
          </cell>
          <cell r="D680" t="str">
            <v>KSR Wolant Łódź</v>
          </cell>
        </row>
        <row r="681">
          <cell r="A681" t="str">
            <v>J5465</v>
          </cell>
          <cell r="B681" t="str">
            <v>Kasper</v>
          </cell>
          <cell r="C681" t="str">
            <v>JERECZEK</v>
          </cell>
          <cell r="D681" t="str">
            <v>MKB Lednik Miastko</v>
          </cell>
        </row>
        <row r="682">
          <cell r="A682" t="str">
            <v>J2457</v>
          </cell>
          <cell r="B682" t="str">
            <v>Marta</v>
          </cell>
          <cell r="C682" t="str">
            <v>JEWTUCH</v>
          </cell>
          <cell r="D682" t="str">
            <v>----</v>
          </cell>
        </row>
        <row r="683">
          <cell r="A683" t="str">
            <v>J3807</v>
          </cell>
          <cell r="B683" t="str">
            <v>Adam</v>
          </cell>
          <cell r="C683" t="str">
            <v>JEŻ</v>
          </cell>
          <cell r="D683" t="str">
            <v>UKS Iskra Babimost</v>
          </cell>
        </row>
        <row r="684">
          <cell r="A684" t="str">
            <v>J2321</v>
          </cell>
          <cell r="B684" t="str">
            <v>Kamil</v>
          </cell>
          <cell r="C684" t="str">
            <v>JĘDRYS</v>
          </cell>
          <cell r="D684" t="str">
            <v>AZSWAT Warszawa</v>
          </cell>
        </row>
        <row r="685">
          <cell r="A685" t="str">
            <v>J2102</v>
          </cell>
          <cell r="B685" t="str">
            <v>Łukasz</v>
          </cell>
          <cell r="C685" t="str">
            <v>JĘDRZEJAK</v>
          </cell>
          <cell r="D685" t="str">
            <v>UKS 70 Płock</v>
          </cell>
        </row>
        <row r="686">
          <cell r="A686" t="str">
            <v>J5645</v>
          </cell>
          <cell r="B686" t="str">
            <v>Aleksandra</v>
          </cell>
          <cell r="C686" t="str">
            <v>JODŁOWSKA</v>
          </cell>
          <cell r="D686" t="str">
            <v>UKS Sokół Ropczyce</v>
          </cell>
        </row>
        <row r="687">
          <cell r="A687" t="str">
            <v>J4598</v>
          </cell>
          <cell r="B687" t="str">
            <v>Karolina</v>
          </cell>
          <cell r="C687" t="str">
            <v>JODZIO</v>
          </cell>
          <cell r="D687" t="str">
            <v>SKB Suwałki</v>
          </cell>
        </row>
        <row r="688">
          <cell r="A688" t="str">
            <v>J3081</v>
          </cell>
          <cell r="B688" t="str">
            <v>Agata</v>
          </cell>
          <cell r="C688" t="str">
            <v>JOHN</v>
          </cell>
          <cell r="D688" t="str">
            <v>LKS Technik Głubczyce</v>
          </cell>
        </row>
        <row r="689">
          <cell r="A689" t="str">
            <v>J3109</v>
          </cell>
          <cell r="B689" t="str">
            <v>Monika</v>
          </cell>
          <cell r="C689" t="str">
            <v>JONAK</v>
          </cell>
          <cell r="D689" t="str">
            <v>MLKS Solec Kuj.</v>
          </cell>
        </row>
        <row r="690">
          <cell r="A690" t="str">
            <v>J5515</v>
          </cell>
          <cell r="B690" t="str">
            <v>Daniel</v>
          </cell>
          <cell r="C690" t="str">
            <v>JONDERKO</v>
          </cell>
          <cell r="D690" t="str">
            <v>UKS Plesbad Pszczyna</v>
          </cell>
        </row>
        <row r="691">
          <cell r="A691" t="str">
            <v>J5365</v>
          </cell>
          <cell r="B691" t="str">
            <v>Patrycja</v>
          </cell>
          <cell r="C691" t="str">
            <v>JONDERKO</v>
          </cell>
          <cell r="D691" t="str">
            <v>UKS Plesbad Pszczyna</v>
          </cell>
        </row>
        <row r="692">
          <cell r="A692" t="str">
            <v>J4467</v>
          </cell>
          <cell r="B692" t="str">
            <v>Wojciech</v>
          </cell>
          <cell r="C692" t="str">
            <v>JONDERKO</v>
          </cell>
          <cell r="D692" t="str">
            <v>UKS Plesbad Pszczyna</v>
          </cell>
        </row>
        <row r="693">
          <cell r="A693" t="str">
            <v>J0230</v>
          </cell>
          <cell r="B693" t="str">
            <v>Łukasz</v>
          </cell>
          <cell r="C693" t="str">
            <v>JOŃCZYK</v>
          </cell>
          <cell r="D693" t="str">
            <v>SKB Piast Słupsk</v>
          </cell>
        </row>
        <row r="694">
          <cell r="A694" t="str">
            <v>J4754</v>
          </cell>
          <cell r="B694" t="str">
            <v>Kamil</v>
          </cell>
          <cell r="C694" t="str">
            <v>JORGEL</v>
          </cell>
          <cell r="D694" t="str">
            <v>MMKS Kędzierzyn-Koźle</v>
          </cell>
        </row>
        <row r="695">
          <cell r="A695" t="str">
            <v>J1445</v>
          </cell>
          <cell r="B695" t="str">
            <v>Stanisław</v>
          </cell>
          <cell r="C695" t="str">
            <v>JÓZWIK</v>
          </cell>
          <cell r="D695" t="str">
            <v>----</v>
          </cell>
        </row>
        <row r="696">
          <cell r="A696" t="str">
            <v>J5338</v>
          </cell>
          <cell r="B696" t="str">
            <v>Anna</v>
          </cell>
          <cell r="C696" t="str">
            <v>JÓŹWIAK</v>
          </cell>
          <cell r="D696" t="str">
            <v>UKS 2 Sobótka</v>
          </cell>
        </row>
        <row r="697">
          <cell r="A697" t="str">
            <v>J4722</v>
          </cell>
          <cell r="B697" t="str">
            <v>Mikołaj</v>
          </cell>
          <cell r="C697" t="str">
            <v>JÓŹWIAK</v>
          </cell>
          <cell r="D697" t="str">
            <v>KS Hubertus Zalesie Górne</v>
          </cell>
        </row>
        <row r="698">
          <cell r="A698" t="str">
            <v>J5433</v>
          </cell>
          <cell r="B698" t="str">
            <v>Rafał</v>
          </cell>
          <cell r="C698" t="str">
            <v>JÓŹWIAK</v>
          </cell>
          <cell r="D698" t="str">
            <v>UKS 2 Sobótka</v>
          </cell>
        </row>
        <row r="699">
          <cell r="A699" t="str">
            <v>J4764</v>
          </cell>
          <cell r="B699" t="str">
            <v>Mateusz</v>
          </cell>
          <cell r="C699" t="str">
            <v>JUDA</v>
          </cell>
          <cell r="D699" t="str">
            <v>MMKS Kędzierzyn-Koźle</v>
          </cell>
        </row>
        <row r="700">
          <cell r="A700" t="str">
            <v>J5821</v>
          </cell>
          <cell r="B700" t="str">
            <v>Maria</v>
          </cell>
          <cell r="C700" t="str">
            <v>JUNCZEWSKA</v>
          </cell>
          <cell r="D700" t="str">
            <v>UKSB Milenium Warszawa</v>
          </cell>
        </row>
        <row r="701">
          <cell r="A701" t="str">
            <v>J5822</v>
          </cell>
          <cell r="B701" t="str">
            <v>Zofia</v>
          </cell>
          <cell r="C701" t="str">
            <v>JUNCZEWSKA</v>
          </cell>
          <cell r="D701" t="str">
            <v>UKSB Milenium Warszawa</v>
          </cell>
        </row>
        <row r="702">
          <cell r="A702" t="str">
            <v>J5011</v>
          </cell>
          <cell r="B702" t="str">
            <v>Aleksander</v>
          </cell>
          <cell r="C702" t="str">
            <v>JURCZAK</v>
          </cell>
          <cell r="D702" t="str">
            <v>BKS Kolejarz Katowice</v>
          </cell>
        </row>
        <row r="703">
          <cell r="A703" t="str">
            <v>J4075</v>
          </cell>
          <cell r="B703" t="str">
            <v>Konrad</v>
          </cell>
          <cell r="C703" t="str">
            <v>JURCZAK</v>
          </cell>
          <cell r="D703" t="str">
            <v>----</v>
          </cell>
        </row>
        <row r="704">
          <cell r="A704" t="str">
            <v>J5691</v>
          </cell>
          <cell r="B704" t="str">
            <v>Wiktoria</v>
          </cell>
          <cell r="C704" t="str">
            <v>JURKOWSKA</v>
          </cell>
          <cell r="D704" t="str">
            <v>UKS Kiko Zamość</v>
          </cell>
        </row>
        <row r="705">
          <cell r="A705" t="str">
            <v>J5624</v>
          </cell>
          <cell r="B705" t="str">
            <v>Mariola</v>
          </cell>
          <cell r="C705" t="str">
            <v>JURUSIK</v>
          </cell>
          <cell r="D705" t="str">
            <v>UKS Arka Umieszcz</v>
          </cell>
        </row>
        <row r="706">
          <cell r="A706" t="str">
            <v>J4505</v>
          </cell>
          <cell r="B706" t="str">
            <v>Wiktoria</v>
          </cell>
          <cell r="C706" t="str">
            <v>JUSZCZAK</v>
          </cell>
          <cell r="D706" t="str">
            <v>MMKS Gdańsk</v>
          </cell>
        </row>
        <row r="707">
          <cell r="A707" t="str">
            <v>J5123</v>
          </cell>
          <cell r="B707" t="str">
            <v>Livia</v>
          </cell>
          <cell r="C707" t="str">
            <v>JUSZTIN-MAJERCSIK</v>
          </cell>
          <cell r="D707" t="str">
            <v>MLKS Solec Kuj.</v>
          </cell>
        </row>
        <row r="708">
          <cell r="A708" t="str">
            <v>J5175</v>
          </cell>
          <cell r="B708" t="str">
            <v>Peter</v>
          </cell>
          <cell r="C708" t="str">
            <v>JUSZTIN-MAJERCSIK</v>
          </cell>
          <cell r="D708" t="str">
            <v>MLKS Solec Kuj.</v>
          </cell>
        </row>
        <row r="709">
          <cell r="A709" t="str">
            <v>J5640</v>
          </cell>
          <cell r="B709" t="str">
            <v>Franciszek</v>
          </cell>
          <cell r="C709" t="str">
            <v>JUŹKÓW</v>
          </cell>
          <cell r="D709" t="str">
            <v>UKS Dwójka Wesoła</v>
          </cell>
        </row>
        <row r="710">
          <cell r="A710" t="str">
            <v>K3058</v>
          </cell>
          <cell r="B710" t="str">
            <v>Mariusz</v>
          </cell>
          <cell r="C710" t="str">
            <v>KABAT</v>
          </cell>
          <cell r="D710" t="str">
            <v>AZSAGH Kraków</v>
          </cell>
        </row>
        <row r="711">
          <cell r="A711" t="str">
            <v>K2123</v>
          </cell>
          <cell r="B711" t="str">
            <v>Piotr</v>
          </cell>
          <cell r="C711" t="str">
            <v>KABATA</v>
          </cell>
          <cell r="D711" t="str">
            <v>UKS Kometa Sianów</v>
          </cell>
        </row>
        <row r="712">
          <cell r="A712" t="str">
            <v>K3241</v>
          </cell>
          <cell r="B712" t="str">
            <v>Jakub</v>
          </cell>
          <cell r="C712" t="str">
            <v>KACHNIARZ</v>
          </cell>
          <cell r="D712" t="str">
            <v>UKS Ząbkowice Dąbrowa Górn.</v>
          </cell>
        </row>
        <row r="713">
          <cell r="A713" t="str">
            <v>K5345</v>
          </cell>
          <cell r="B713" t="str">
            <v>Daniel</v>
          </cell>
          <cell r="C713" t="str">
            <v>KACZMARA</v>
          </cell>
          <cell r="D713" t="str">
            <v>UKS Kiko Zamość</v>
          </cell>
        </row>
        <row r="714">
          <cell r="A714" t="str">
            <v>K4949</v>
          </cell>
          <cell r="B714" t="str">
            <v>Jan</v>
          </cell>
          <cell r="C714" t="str">
            <v>KACZMARCZYK</v>
          </cell>
          <cell r="D714" t="str">
            <v>STB Energia Lubliniec</v>
          </cell>
        </row>
        <row r="715">
          <cell r="A715" t="str">
            <v>K5843</v>
          </cell>
          <cell r="B715" t="str">
            <v>Aleksandra</v>
          </cell>
          <cell r="C715" t="str">
            <v>KACZMAREK</v>
          </cell>
          <cell r="D715" t="str">
            <v>SLKS Tramp Orneta</v>
          </cell>
        </row>
        <row r="716">
          <cell r="A716" t="str">
            <v>K4839</v>
          </cell>
          <cell r="B716" t="str">
            <v>Wojciech</v>
          </cell>
          <cell r="C716" t="str">
            <v>KACZMAREK</v>
          </cell>
          <cell r="D716" t="str">
            <v>MMKS Gdańsk</v>
          </cell>
        </row>
        <row r="717">
          <cell r="A717" t="str">
            <v>K5631</v>
          </cell>
          <cell r="B717" t="str">
            <v>Sara</v>
          </cell>
          <cell r="C717" t="str">
            <v>KACZMARZYK</v>
          </cell>
          <cell r="D717" t="str">
            <v>UKS Jagiellonka Medyka</v>
          </cell>
        </row>
        <row r="718">
          <cell r="A718" t="str">
            <v>K0727</v>
          </cell>
          <cell r="B718" t="str">
            <v>Krzysztof</v>
          </cell>
          <cell r="C718" t="str">
            <v>KACZOR</v>
          </cell>
          <cell r="D718" t="str">
            <v>MKS Stal Nowa Dęba</v>
          </cell>
        </row>
        <row r="719">
          <cell r="A719" t="str">
            <v>K3351</v>
          </cell>
          <cell r="B719" t="str">
            <v>Paulina</v>
          </cell>
          <cell r="C719" t="str">
            <v>KACZOROWSKA</v>
          </cell>
          <cell r="D719" t="str">
            <v>KS Chojnik Jelenia Góra</v>
          </cell>
        </row>
        <row r="720">
          <cell r="A720" t="str">
            <v>K5926</v>
          </cell>
          <cell r="B720" t="str">
            <v>Paweł</v>
          </cell>
          <cell r="C720" t="str">
            <v>KAFARSKI</v>
          </cell>
          <cell r="D720" t="str">
            <v>----</v>
          </cell>
        </row>
        <row r="721">
          <cell r="A721" t="str">
            <v>K1442</v>
          </cell>
          <cell r="B721" t="str">
            <v>Andrzej</v>
          </cell>
          <cell r="C721" t="str">
            <v>KAFTAŃSKI</v>
          </cell>
          <cell r="D721" t="str">
            <v>UKS Hubal Białystok</v>
          </cell>
        </row>
        <row r="722">
          <cell r="A722" t="str">
            <v>K4579</v>
          </cell>
          <cell r="B722" t="str">
            <v>Miłosz</v>
          </cell>
          <cell r="C722" t="str">
            <v>KAIM</v>
          </cell>
          <cell r="D722" t="str">
            <v>KS Masovia Płock</v>
          </cell>
        </row>
        <row r="723">
          <cell r="A723" t="str">
            <v>K1499</v>
          </cell>
          <cell r="B723" t="str">
            <v>Piotr</v>
          </cell>
          <cell r="C723" t="str">
            <v>KALINKOWSKI</v>
          </cell>
          <cell r="D723" t="str">
            <v>----</v>
          </cell>
        </row>
        <row r="724">
          <cell r="A724" t="str">
            <v>K3059</v>
          </cell>
          <cell r="B724" t="str">
            <v>Marcin</v>
          </cell>
          <cell r="C724" t="str">
            <v>KALITKA</v>
          </cell>
          <cell r="D724" t="str">
            <v>AZSAGH Kraków</v>
          </cell>
        </row>
        <row r="725">
          <cell r="A725" t="str">
            <v>K4997</v>
          </cell>
          <cell r="B725" t="str">
            <v>Marek</v>
          </cell>
          <cell r="C725" t="str">
            <v>KALLAS</v>
          </cell>
          <cell r="D725" t="str">
            <v>----</v>
          </cell>
        </row>
        <row r="726">
          <cell r="A726" t="str">
            <v>K4840</v>
          </cell>
          <cell r="B726" t="str">
            <v>Mateusz</v>
          </cell>
          <cell r="C726" t="str">
            <v>KALLAS</v>
          </cell>
          <cell r="D726" t="str">
            <v>MMKS Gdańsk</v>
          </cell>
        </row>
        <row r="727">
          <cell r="A727" t="str">
            <v>K5869</v>
          </cell>
          <cell r="B727" t="str">
            <v>Szymon</v>
          </cell>
          <cell r="C727" t="str">
            <v>KALLAS</v>
          </cell>
          <cell r="D727" t="str">
            <v>MMKS Gdańsk</v>
          </cell>
        </row>
        <row r="728">
          <cell r="A728" t="str">
            <v>K3605</v>
          </cell>
          <cell r="B728" t="str">
            <v>Marcin</v>
          </cell>
          <cell r="C728" t="str">
            <v>KALTENBERG</v>
          </cell>
          <cell r="D728" t="str">
            <v>UKS Trójka Tarnobrzeg</v>
          </cell>
        </row>
        <row r="729">
          <cell r="A729" t="str">
            <v>K3343</v>
          </cell>
          <cell r="B729" t="str">
            <v>Arkadiusz</v>
          </cell>
          <cell r="C729" t="str">
            <v>KAŁUŻNY</v>
          </cell>
          <cell r="D729" t="str">
            <v>UKS Siódemka Świebodzin</v>
          </cell>
        </row>
        <row r="730">
          <cell r="A730" t="str">
            <v>K3344</v>
          </cell>
          <cell r="B730" t="str">
            <v>Paweł</v>
          </cell>
          <cell r="C730" t="str">
            <v>KAŁUŻNY</v>
          </cell>
          <cell r="D730" t="str">
            <v>UKS Siódemka Świebodzin</v>
          </cell>
        </row>
        <row r="731">
          <cell r="A731" t="str">
            <v>K5636</v>
          </cell>
          <cell r="B731" t="str">
            <v>Norbert</v>
          </cell>
          <cell r="C731" t="str">
            <v>KAŁWIŃSKI</v>
          </cell>
          <cell r="D731" t="str">
            <v>----</v>
          </cell>
        </row>
        <row r="732">
          <cell r="A732" t="str">
            <v>K5278</v>
          </cell>
          <cell r="B732" t="str">
            <v>Anna</v>
          </cell>
          <cell r="C732" t="str">
            <v>KAMIŃSKA</v>
          </cell>
          <cell r="D732" t="str">
            <v>----</v>
          </cell>
        </row>
        <row r="733">
          <cell r="A733" t="str">
            <v>K1746</v>
          </cell>
          <cell r="B733" t="str">
            <v>Łukasz</v>
          </cell>
          <cell r="C733" t="str">
            <v>KAMIŃSKI</v>
          </cell>
          <cell r="D733" t="str">
            <v>UKS Ostrówek</v>
          </cell>
        </row>
        <row r="734">
          <cell r="A734" t="str">
            <v>K 087</v>
          </cell>
          <cell r="B734" t="str">
            <v>Marek</v>
          </cell>
          <cell r="C734" t="str">
            <v>KAMIŃSKI</v>
          </cell>
          <cell r="D734" t="str">
            <v>MKS Stal Nowa Dęba</v>
          </cell>
        </row>
        <row r="735">
          <cell r="A735" t="str">
            <v>K2787</v>
          </cell>
          <cell r="B735" t="str">
            <v>Mateusz</v>
          </cell>
          <cell r="C735" t="str">
            <v>KAMIŃSKI</v>
          </cell>
          <cell r="D735" t="str">
            <v>SLKS Tramp Orneta</v>
          </cell>
        </row>
        <row r="736">
          <cell r="A736" t="str">
            <v>K5815</v>
          </cell>
          <cell r="B736" t="str">
            <v>Wojciech</v>
          </cell>
          <cell r="C736" t="str">
            <v>KAMIŃSKI</v>
          </cell>
          <cell r="D736" t="str">
            <v>MMKS Gdańsk</v>
          </cell>
        </row>
        <row r="737">
          <cell r="A737" t="str">
            <v>K5975</v>
          </cell>
          <cell r="B737" t="str">
            <v>Izabella</v>
          </cell>
          <cell r="C737" t="str">
            <v>KAMOLA</v>
          </cell>
          <cell r="D737" t="str">
            <v>UKS Badminton Stare Babice</v>
          </cell>
        </row>
        <row r="738">
          <cell r="A738" t="str">
            <v>K5410</v>
          </cell>
          <cell r="B738" t="str">
            <v>Harald</v>
          </cell>
          <cell r="C738" t="str">
            <v>KANIA</v>
          </cell>
          <cell r="D738" t="str">
            <v>BKS Kolejarz Katowice</v>
          </cell>
        </row>
        <row r="739">
          <cell r="A739" t="str">
            <v>K5409</v>
          </cell>
          <cell r="B739" t="str">
            <v>Michał</v>
          </cell>
          <cell r="C739" t="str">
            <v>KANIA</v>
          </cell>
          <cell r="D739" t="str">
            <v>BKS Kolejarz Katowice</v>
          </cell>
        </row>
        <row r="740">
          <cell r="A740" t="str">
            <v>K5213</v>
          </cell>
          <cell r="B740" t="str">
            <v>Monika</v>
          </cell>
          <cell r="C740" t="str">
            <v>KANIA</v>
          </cell>
          <cell r="D740" t="str">
            <v>UKS Arka Umieszcz</v>
          </cell>
        </row>
        <row r="741">
          <cell r="A741" t="str">
            <v>K5756</v>
          </cell>
          <cell r="B741" t="str">
            <v>Piotr</v>
          </cell>
          <cell r="C741" t="str">
            <v>KANIUK</v>
          </cell>
          <cell r="D741" t="str">
            <v>UKS Kiko Zamość</v>
          </cell>
        </row>
        <row r="742">
          <cell r="A742" t="str">
            <v>K4601</v>
          </cell>
          <cell r="B742" t="str">
            <v>Wiktoria</v>
          </cell>
          <cell r="C742" t="str">
            <v>KAPINOS</v>
          </cell>
          <cell r="D742" t="str">
            <v>UKSB Volant Mielec</v>
          </cell>
        </row>
        <row r="743">
          <cell r="A743" t="str">
            <v>K5743</v>
          </cell>
          <cell r="B743" t="str">
            <v>Weronika</v>
          </cell>
          <cell r="C743" t="str">
            <v>KAPUŚNIAK</v>
          </cell>
          <cell r="D743" t="str">
            <v>UKS Kiko Zamość</v>
          </cell>
        </row>
        <row r="744">
          <cell r="A744" t="str">
            <v>K5476</v>
          </cell>
          <cell r="B744" t="str">
            <v>Marcin</v>
          </cell>
          <cell r="C744" t="str">
            <v>KARBOWY</v>
          </cell>
          <cell r="D744" t="str">
            <v>UKS Iskra Sarbice</v>
          </cell>
        </row>
        <row r="745">
          <cell r="A745" t="str">
            <v>K5176</v>
          </cell>
          <cell r="B745" t="str">
            <v>Andrzej</v>
          </cell>
          <cell r="C745" t="str">
            <v>KARCZEWSKI</v>
          </cell>
          <cell r="D745" t="str">
            <v>----</v>
          </cell>
        </row>
        <row r="746">
          <cell r="A746" t="str">
            <v>K5377</v>
          </cell>
          <cell r="B746" t="str">
            <v>Filip</v>
          </cell>
          <cell r="C746" t="str">
            <v>KARLIKOWSKI</v>
          </cell>
          <cell r="D746" t="str">
            <v>MKS Orlicz Suchedniów</v>
          </cell>
        </row>
        <row r="747">
          <cell r="A747" t="str">
            <v>K4646</v>
          </cell>
          <cell r="B747" t="str">
            <v>Agata</v>
          </cell>
          <cell r="C747" t="str">
            <v>KAROLAK</v>
          </cell>
          <cell r="D747" t="str">
            <v>ZKB Maced Polanów</v>
          </cell>
        </row>
        <row r="748">
          <cell r="A748" t="str">
            <v>K5019</v>
          </cell>
          <cell r="B748" t="str">
            <v>Joanna</v>
          </cell>
          <cell r="C748" t="str">
            <v>KARP</v>
          </cell>
          <cell r="D748" t="str">
            <v>KKS Ruch Piotrków Tryb.</v>
          </cell>
        </row>
        <row r="749">
          <cell r="A749" t="str">
            <v>K5733</v>
          </cell>
          <cell r="B749" t="str">
            <v>Paulina</v>
          </cell>
          <cell r="C749" t="str">
            <v>KARSKA</v>
          </cell>
          <cell r="D749" t="str">
            <v>UKS Lotka Łódź</v>
          </cell>
        </row>
        <row r="750">
          <cell r="A750" t="str">
            <v>K4153</v>
          </cell>
          <cell r="B750" t="str">
            <v>Paulina</v>
          </cell>
          <cell r="C750" t="str">
            <v>KARWASZ</v>
          </cell>
          <cell r="D750" t="str">
            <v>UKS Lotka Lubiewo</v>
          </cell>
        </row>
        <row r="751">
          <cell r="A751" t="str">
            <v>K4207</v>
          </cell>
          <cell r="B751" t="str">
            <v>Urszula</v>
          </cell>
          <cell r="C751" t="str">
            <v>KARWOWSKA</v>
          </cell>
          <cell r="D751" t="str">
            <v>UKSB Milenium Warszawa</v>
          </cell>
        </row>
        <row r="752">
          <cell r="A752" t="str">
            <v>K3480</v>
          </cell>
          <cell r="B752" t="str">
            <v>Bartosz</v>
          </cell>
          <cell r="C752" t="str">
            <v>KASICA</v>
          </cell>
          <cell r="D752" t="str">
            <v>UKSB Milenium Warszawa</v>
          </cell>
        </row>
        <row r="753">
          <cell r="A753" t="str">
            <v>K3153</v>
          </cell>
          <cell r="B753" t="str">
            <v>Mateusz</v>
          </cell>
          <cell r="C753" t="str">
            <v>KASICA</v>
          </cell>
          <cell r="D753" t="str">
            <v>UKSB Milenium Warszawa</v>
          </cell>
        </row>
        <row r="754">
          <cell r="A754" t="str">
            <v>K5744</v>
          </cell>
          <cell r="B754" t="str">
            <v>Magdalena</v>
          </cell>
          <cell r="C754" t="str">
            <v>KASPERSKA</v>
          </cell>
          <cell r="D754" t="str">
            <v>UKS Kiko Zamość</v>
          </cell>
        </row>
        <row r="755">
          <cell r="A755" t="str">
            <v>K4676</v>
          </cell>
          <cell r="B755" t="str">
            <v>Damian</v>
          </cell>
          <cell r="C755" t="str">
            <v>KASPERSKI</v>
          </cell>
          <cell r="D755" t="str">
            <v>UKS Kiko Zamość</v>
          </cell>
        </row>
        <row r="756">
          <cell r="A756" t="str">
            <v>K0184</v>
          </cell>
          <cell r="B756" t="str">
            <v>Rafał</v>
          </cell>
          <cell r="C756" t="str">
            <v>KASPRÓW</v>
          </cell>
          <cell r="D756" t="str">
            <v>KS Chojnik Jelenia Góra</v>
          </cell>
        </row>
        <row r="757">
          <cell r="A757" t="str">
            <v>K5757</v>
          </cell>
          <cell r="B757" t="str">
            <v>Adam</v>
          </cell>
          <cell r="C757" t="str">
            <v>KASPRZAK</v>
          </cell>
          <cell r="D757" t="str">
            <v>UKS Kiko Zamość</v>
          </cell>
        </row>
        <row r="758">
          <cell r="A758" t="str">
            <v>K5262</v>
          </cell>
          <cell r="B758" t="str">
            <v>Wiktoria</v>
          </cell>
          <cell r="C758" t="str">
            <v>KASPRZAK</v>
          </cell>
          <cell r="D758" t="str">
            <v>UKS Kiko Zamość</v>
          </cell>
        </row>
        <row r="759">
          <cell r="A759" t="str">
            <v>K5870</v>
          </cell>
          <cell r="B759" t="str">
            <v>Natalia</v>
          </cell>
          <cell r="C759" t="str">
            <v>KASZEWSKA</v>
          </cell>
          <cell r="D759" t="str">
            <v>ULKS U-2 Lotka Bytów</v>
          </cell>
        </row>
        <row r="760">
          <cell r="A760" t="str">
            <v>K4586</v>
          </cell>
          <cell r="B760" t="str">
            <v>Joanna</v>
          </cell>
          <cell r="C760" t="str">
            <v>KASZUBA</v>
          </cell>
          <cell r="D760" t="str">
            <v>AZSOŚ Łódź</v>
          </cell>
        </row>
        <row r="761">
          <cell r="A761" t="str">
            <v>K4645</v>
          </cell>
          <cell r="B761" t="str">
            <v>Adrian</v>
          </cell>
          <cell r="C761" t="str">
            <v>KASZUBOWSKI</v>
          </cell>
          <cell r="D761" t="str">
            <v>ZKB Maced Polanów</v>
          </cell>
        </row>
        <row r="762">
          <cell r="A762" t="str">
            <v>K5166</v>
          </cell>
          <cell r="B762" t="str">
            <v>Zofia</v>
          </cell>
          <cell r="C762" t="str">
            <v>KAŚKIEWICZ</v>
          </cell>
          <cell r="D762" t="str">
            <v>KS Wesoła Warszawa</v>
          </cell>
        </row>
        <row r="763">
          <cell r="A763" t="str">
            <v>K0122</v>
          </cell>
          <cell r="B763" t="str">
            <v>Tomasz</v>
          </cell>
          <cell r="C763" t="str">
            <v>KAWAŁKOWSKI</v>
          </cell>
          <cell r="D763" t="str">
            <v>SKB Piast Słupsk</v>
          </cell>
        </row>
        <row r="764">
          <cell r="A764" t="str">
            <v>K4536</v>
          </cell>
          <cell r="B764" t="str">
            <v>Anna</v>
          </cell>
          <cell r="C764" t="str">
            <v>KAWCZYŃSKA</v>
          </cell>
          <cell r="D764" t="str">
            <v>UKS Iskra Sarbice</v>
          </cell>
        </row>
        <row r="765">
          <cell r="A765" t="str">
            <v>K4570</v>
          </cell>
          <cell r="B765" t="str">
            <v>Rafał</v>
          </cell>
          <cell r="C765" t="str">
            <v>KAZIMIERSKI</v>
          </cell>
          <cell r="D765" t="str">
            <v>UKS Smecz Bogatynia</v>
          </cell>
        </row>
        <row r="766">
          <cell r="A766" t="str">
            <v>K4719</v>
          </cell>
          <cell r="B766" t="str">
            <v>Michał</v>
          </cell>
          <cell r="C766" t="str">
            <v>KAZUSEK</v>
          </cell>
          <cell r="D766" t="str">
            <v>UKSOSIR Badminton Sławno</v>
          </cell>
        </row>
        <row r="767">
          <cell r="A767" t="str">
            <v>K3935</v>
          </cell>
          <cell r="B767" t="str">
            <v>Michał</v>
          </cell>
          <cell r="C767" t="str">
            <v>KAŹMIERCZAK</v>
          </cell>
          <cell r="D767" t="str">
            <v>UKS Feniks Kędzierzyn-Koźle</v>
          </cell>
        </row>
        <row r="768">
          <cell r="A768" t="str">
            <v>K4239</v>
          </cell>
          <cell r="B768" t="str">
            <v>Paweł</v>
          </cell>
          <cell r="C768" t="str">
            <v>KAŹMIERCZYK</v>
          </cell>
          <cell r="D768" t="str">
            <v>UKSB Milenium Warszawa</v>
          </cell>
        </row>
        <row r="769">
          <cell r="A769" t="str">
            <v>K5303</v>
          </cell>
          <cell r="B769" t="str">
            <v>Anna</v>
          </cell>
          <cell r="C769" t="str">
            <v>KAŹMIERKOWSKA</v>
          </cell>
          <cell r="D769" t="str">
            <v>----</v>
          </cell>
        </row>
        <row r="770">
          <cell r="A770" t="str">
            <v>K5825</v>
          </cell>
          <cell r="B770" t="str">
            <v>Adam</v>
          </cell>
          <cell r="C770" t="str">
            <v>KEKLAK</v>
          </cell>
          <cell r="D770" t="str">
            <v>KS Stal Sulęcin</v>
          </cell>
        </row>
        <row r="771">
          <cell r="A771" t="str">
            <v>K5168</v>
          </cell>
          <cell r="B771" t="str">
            <v>Erik</v>
          </cell>
          <cell r="C771" t="str">
            <v>KELLER</v>
          </cell>
          <cell r="D771" t="str">
            <v>KS Match Point Ślęza</v>
          </cell>
        </row>
        <row r="772">
          <cell r="A772" t="str">
            <v>K5953</v>
          </cell>
          <cell r="B772" t="str">
            <v>Zofia</v>
          </cell>
          <cell r="C772" t="str">
            <v>KEMPIŃSKA</v>
          </cell>
          <cell r="D772" t="str">
            <v>OTB Lotka Ostrów Wlkp.</v>
          </cell>
        </row>
        <row r="773">
          <cell r="A773" t="str">
            <v>K4526</v>
          </cell>
          <cell r="B773" t="str">
            <v>Łukasz</v>
          </cell>
          <cell r="C773" t="str">
            <v>KENDZIOR</v>
          </cell>
          <cell r="D773" t="str">
            <v>ŚKBad Harcownik Warszawa</v>
          </cell>
        </row>
        <row r="774">
          <cell r="A774" t="str">
            <v>K4841</v>
          </cell>
          <cell r="B774" t="str">
            <v>Mateusz</v>
          </cell>
          <cell r="C774" t="str">
            <v>KĘDZIORA</v>
          </cell>
          <cell r="D774" t="str">
            <v>PTS Puszczykowo</v>
          </cell>
        </row>
        <row r="775">
          <cell r="A775" t="str">
            <v>K5043</v>
          </cell>
          <cell r="B775" t="str">
            <v>Olga</v>
          </cell>
          <cell r="C775" t="str">
            <v>KĘDZIORA</v>
          </cell>
          <cell r="D775" t="str">
            <v>OTB Lotka Ostrów Wlkp.</v>
          </cell>
        </row>
        <row r="776">
          <cell r="A776" t="str">
            <v>K4620</v>
          </cell>
          <cell r="B776" t="str">
            <v>Aleksandra</v>
          </cell>
          <cell r="C776" t="str">
            <v>KICH</v>
          </cell>
          <cell r="D776" t="str">
            <v>SLKS Tramp Orneta</v>
          </cell>
        </row>
        <row r="777">
          <cell r="A777" t="str">
            <v>K5232</v>
          </cell>
          <cell r="B777" t="str">
            <v>Paweł</v>
          </cell>
          <cell r="C777" t="str">
            <v>KIELAR</v>
          </cell>
          <cell r="D777" t="str">
            <v>UKS Orbitek Straszęcin</v>
          </cell>
        </row>
        <row r="778">
          <cell r="A778" t="str">
            <v>K1231</v>
          </cell>
          <cell r="B778" t="str">
            <v>Dawid</v>
          </cell>
          <cell r="C778" t="str">
            <v>KIELOCH</v>
          </cell>
          <cell r="D778" t="str">
            <v>UKS Plesbad Pszczyna</v>
          </cell>
        </row>
        <row r="779">
          <cell r="A779" t="str">
            <v>K4463</v>
          </cell>
          <cell r="B779" t="str">
            <v>Justyna</v>
          </cell>
          <cell r="C779" t="str">
            <v>KIEŁBASA</v>
          </cell>
          <cell r="D779" t="str">
            <v>UKSB Volant Mielec</v>
          </cell>
        </row>
        <row r="780">
          <cell r="A780" t="str">
            <v>K5394</v>
          </cell>
          <cell r="B780" t="str">
            <v>Jakub</v>
          </cell>
          <cell r="C780" t="str">
            <v>KIERZKOWSKI</v>
          </cell>
          <cell r="D780" t="str">
            <v>UKS 70 Płock</v>
          </cell>
        </row>
        <row r="781">
          <cell r="A781" t="str">
            <v>K4428</v>
          </cell>
          <cell r="B781" t="str">
            <v>Marcin</v>
          </cell>
          <cell r="C781" t="str">
            <v>KIETLA</v>
          </cell>
          <cell r="D781" t="str">
            <v>UKS Dwójka Wesoła</v>
          </cell>
        </row>
        <row r="782">
          <cell r="A782" t="str">
            <v>K3161</v>
          </cell>
          <cell r="B782" t="str">
            <v>Izabela</v>
          </cell>
          <cell r="C782" t="str">
            <v>KIEŻEL</v>
          </cell>
          <cell r="D782" t="str">
            <v>UKS Hubal Białystok</v>
          </cell>
        </row>
        <row r="783">
          <cell r="A783" t="str">
            <v>K4248</v>
          </cell>
          <cell r="B783" t="str">
            <v>Michał</v>
          </cell>
          <cell r="C783" t="str">
            <v>KIKOSICKI</v>
          </cell>
          <cell r="D783" t="str">
            <v>KSR Wolant Łódź</v>
          </cell>
        </row>
        <row r="784">
          <cell r="A784" t="str">
            <v>K4905</v>
          </cell>
          <cell r="B784" t="str">
            <v>Alicja</v>
          </cell>
          <cell r="C784" t="str">
            <v>KIMSO</v>
          </cell>
          <cell r="D784" t="str">
            <v>SLKS Tramp Orneta</v>
          </cell>
        </row>
        <row r="785">
          <cell r="A785" t="str">
            <v>K3888</v>
          </cell>
          <cell r="B785" t="str">
            <v>Sebastian</v>
          </cell>
          <cell r="C785" t="str">
            <v>KIMSO</v>
          </cell>
          <cell r="D785" t="str">
            <v>SLKS Tramp Orneta</v>
          </cell>
        </row>
        <row r="786">
          <cell r="A786" t="str">
            <v>K1530</v>
          </cell>
          <cell r="B786" t="str">
            <v>Katarzyna</v>
          </cell>
          <cell r="C786" t="str">
            <v>KISTOWSKA</v>
          </cell>
          <cell r="D786" t="str">
            <v>PTS Puszczykowo</v>
          </cell>
        </row>
        <row r="787">
          <cell r="A787" t="str">
            <v>K4966</v>
          </cell>
          <cell r="B787" t="str">
            <v>Marta</v>
          </cell>
          <cell r="C787" t="str">
            <v>KLASA</v>
          </cell>
          <cell r="D787" t="str">
            <v>ULKS U-2 Lotka Bytów</v>
          </cell>
        </row>
        <row r="788">
          <cell r="A788" t="str">
            <v>K2363</v>
          </cell>
          <cell r="B788" t="str">
            <v>Ewa</v>
          </cell>
          <cell r="C788" t="str">
            <v>KLEPACKA</v>
          </cell>
          <cell r="D788" t="str">
            <v>UKS Hubal Białystok</v>
          </cell>
        </row>
        <row r="789">
          <cell r="A789" t="str">
            <v>K3750</v>
          </cell>
          <cell r="B789" t="str">
            <v>Marta</v>
          </cell>
          <cell r="C789" t="str">
            <v>KLEPEK</v>
          </cell>
          <cell r="D789" t="str">
            <v>UKS Plesbad Pszczyna</v>
          </cell>
        </row>
        <row r="790">
          <cell r="A790" t="str">
            <v>K3808</v>
          </cell>
          <cell r="B790" t="str">
            <v>Tomasz</v>
          </cell>
          <cell r="C790" t="str">
            <v>KLEPEK</v>
          </cell>
          <cell r="D790" t="str">
            <v>UKS Plesbad Pszczyna</v>
          </cell>
        </row>
        <row r="791">
          <cell r="A791" t="str">
            <v>K5949</v>
          </cell>
          <cell r="B791" t="str">
            <v>Joanna</v>
          </cell>
          <cell r="C791" t="str">
            <v>KLIMCZAK</v>
          </cell>
          <cell r="D791" t="str">
            <v>UKS Korona Pabianice</v>
          </cell>
        </row>
        <row r="792">
          <cell r="A792" t="str">
            <v>K5868</v>
          </cell>
          <cell r="B792" t="str">
            <v>Piotr</v>
          </cell>
          <cell r="C792" t="str">
            <v>KLIMCZAK</v>
          </cell>
          <cell r="D792" t="str">
            <v>UKS 25 Kielce</v>
          </cell>
        </row>
        <row r="793">
          <cell r="A793" t="str">
            <v>K4576</v>
          </cell>
          <cell r="B793" t="str">
            <v>Paulina</v>
          </cell>
          <cell r="C793" t="str">
            <v>KLIMEK</v>
          </cell>
          <cell r="D793" t="str">
            <v>MKS Strzelce Opolskie</v>
          </cell>
        </row>
        <row r="794">
          <cell r="A794" t="str">
            <v>K5652</v>
          </cell>
          <cell r="B794" t="str">
            <v>Wiktoria</v>
          </cell>
          <cell r="C794" t="str">
            <v>KLIMEK</v>
          </cell>
          <cell r="D794" t="str">
            <v>PMKS Chrobry Piotrowice</v>
          </cell>
        </row>
        <row r="795">
          <cell r="A795" t="str">
            <v>K5069</v>
          </cell>
          <cell r="B795" t="str">
            <v>Jędrzej</v>
          </cell>
          <cell r="C795" t="str">
            <v>KLIMKO</v>
          </cell>
          <cell r="D795" t="str">
            <v>----</v>
          </cell>
        </row>
        <row r="796">
          <cell r="A796" t="str">
            <v>K2358</v>
          </cell>
          <cell r="B796" t="str">
            <v>Bartosz</v>
          </cell>
          <cell r="C796" t="str">
            <v>KLIMOWICZ</v>
          </cell>
          <cell r="D796" t="str">
            <v>UKS Hubal Białystok</v>
          </cell>
        </row>
        <row r="797">
          <cell r="A797" t="str">
            <v>K5246</v>
          </cell>
          <cell r="B797" t="str">
            <v>Daniel</v>
          </cell>
          <cell r="C797" t="str">
            <v>KLIMOWSKI</v>
          </cell>
          <cell r="D797" t="str">
            <v>----</v>
          </cell>
        </row>
        <row r="798">
          <cell r="A798" t="str">
            <v>K5719</v>
          </cell>
          <cell r="B798" t="str">
            <v>Izabela</v>
          </cell>
          <cell r="C798" t="str">
            <v>KLIS</v>
          </cell>
          <cell r="D798" t="str">
            <v>LUKS Badminton Choroszcz</v>
          </cell>
        </row>
        <row r="799">
          <cell r="A799" t="str">
            <v>K5134</v>
          </cell>
          <cell r="B799" t="str">
            <v>Maciej</v>
          </cell>
          <cell r="C799" t="str">
            <v>KLUCZYK</v>
          </cell>
          <cell r="D799" t="str">
            <v>UKS Hubal Białystok</v>
          </cell>
        </row>
        <row r="800">
          <cell r="A800" t="str">
            <v>K4554</v>
          </cell>
          <cell r="B800" t="str">
            <v>Albert</v>
          </cell>
          <cell r="C800" t="str">
            <v>KLUK</v>
          </cell>
          <cell r="D800" t="str">
            <v>UKS Orliki Ropica Polska</v>
          </cell>
        </row>
        <row r="801">
          <cell r="A801" t="str">
            <v>K5563</v>
          </cell>
          <cell r="B801" t="str">
            <v>Dawid</v>
          </cell>
          <cell r="C801" t="str">
            <v>KLUK</v>
          </cell>
          <cell r="D801" t="str">
            <v>UKS Orliki Ropica Polska</v>
          </cell>
        </row>
        <row r="802">
          <cell r="A802" t="str">
            <v>K2788</v>
          </cell>
          <cell r="B802" t="str">
            <v>Bartłomiej</v>
          </cell>
          <cell r="C802" t="str">
            <v>KLUTH</v>
          </cell>
          <cell r="D802" t="str">
            <v>SLKS Tramp Orneta</v>
          </cell>
        </row>
        <row r="803">
          <cell r="A803" t="str">
            <v>K5221</v>
          </cell>
          <cell r="B803" t="str">
            <v>Dominik</v>
          </cell>
          <cell r="C803" t="str">
            <v>KŁAPUT</v>
          </cell>
          <cell r="D803" t="str">
            <v>UKS Unia Bieruń</v>
          </cell>
        </row>
        <row r="804">
          <cell r="A804" t="str">
            <v>K5084</v>
          </cell>
          <cell r="B804" t="str">
            <v>Agnieszka</v>
          </cell>
          <cell r="C804" t="str">
            <v>KMIECIK</v>
          </cell>
          <cell r="D804" t="str">
            <v>UMKS Junis Szczucin</v>
          </cell>
        </row>
        <row r="805">
          <cell r="A805" t="str">
            <v>K5164</v>
          </cell>
          <cell r="B805" t="str">
            <v>Konrad</v>
          </cell>
          <cell r="C805" t="str">
            <v>KMIECIŃSKI</v>
          </cell>
          <cell r="D805" t="str">
            <v>KS Wesoła Warszawa</v>
          </cell>
        </row>
        <row r="806">
          <cell r="A806" t="str">
            <v>K5163</v>
          </cell>
          <cell r="B806" t="str">
            <v>Piotr</v>
          </cell>
          <cell r="C806" t="str">
            <v>KMIECIŃSKI</v>
          </cell>
          <cell r="D806" t="str">
            <v>KS Wesoła Warszawa</v>
          </cell>
        </row>
        <row r="807">
          <cell r="A807" t="str">
            <v>K4217</v>
          </cell>
          <cell r="B807" t="str">
            <v>Zuzanna</v>
          </cell>
          <cell r="C807" t="str">
            <v>KMIEĆ</v>
          </cell>
          <cell r="D807" t="str">
            <v>MUKS 5 Chełm</v>
          </cell>
        </row>
        <row r="808">
          <cell r="A808" t="str">
            <v>K4432</v>
          </cell>
          <cell r="B808" t="str">
            <v>Daniel</v>
          </cell>
          <cell r="C808" t="str">
            <v>KNAP</v>
          </cell>
          <cell r="D808" t="str">
            <v>UKS Aktywna Piątka Przemyśl</v>
          </cell>
        </row>
        <row r="809">
          <cell r="A809" t="str">
            <v>K2606</v>
          </cell>
          <cell r="B809" t="str">
            <v>Sławomir</v>
          </cell>
          <cell r="C809" t="str">
            <v>KNAP</v>
          </cell>
          <cell r="D809" t="str">
            <v>----</v>
          </cell>
        </row>
        <row r="810">
          <cell r="A810" t="str">
            <v>K5037</v>
          </cell>
          <cell r="B810" t="str">
            <v>Barbara</v>
          </cell>
          <cell r="C810" t="str">
            <v>KNOPEK</v>
          </cell>
          <cell r="D810" t="str">
            <v>UKS Unia Bieruń</v>
          </cell>
        </row>
        <row r="811">
          <cell r="A811" t="str">
            <v>K2360</v>
          </cell>
          <cell r="B811" t="str">
            <v>Tomasz</v>
          </cell>
          <cell r="C811" t="str">
            <v>KNOPEK</v>
          </cell>
          <cell r="D811" t="str">
            <v>UKS KSBad Kraków</v>
          </cell>
        </row>
        <row r="812">
          <cell r="A812" t="str">
            <v>K1849</v>
          </cell>
          <cell r="B812" t="str">
            <v>Magdalena</v>
          </cell>
          <cell r="C812" t="str">
            <v>KOBA</v>
          </cell>
          <cell r="D812" t="str">
            <v>KS Masovia Płock</v>
          </cell>
        </row>
        <row r="813">
          <cell r="A813" t="str">
            <v>K1326</v>
          </cell>
          <cell r="B813" t="str">
            <v>Sebastian</v>
          </cell>
          <cell r="C813" t="str">
            <v>KOBA</v>
          </cell>
          <cell r="D813" t="str">
            <v>KS Masovia Płock</v>
          </cell>
        </row>
        <row r="814">
          <cell r="A814" t="str">
            <v>K2189</v>
          </cell>
          <cell r="B814" t="str">
            <v>Daniela</v>
          </cell>
          <cell r="C814" t="str">
            <v>KOBELUCH</v>
          </cell>
          <cell r="D814" t="str">
            <v>LKS Technik Głubczyce</v>
          </cell>
        </row>
        <row r="815">
          <cell r="A815" t="str">
            <v>K4603</v>
          </cell>
          <cell r="B815" t="str">
            <v>Patryk</v>
          </cell>
          <cell r="C815" t="str">
            <v>KOBELUCH</v>
          </cell>
          <cell r="D815" t="str">
            <v>LKS Technik Głubczyce</v>
          </cell>
        </row>
        <row r="816">
          <cell r="A816" t="str">
            <v>K5089</v>
          </cell>
          <cell r="B816" t="str">
            <v>Ganna</v>
          </cell>
          <cell r="C816" t="str">
            <v>KOBTSEVA</v>
          </cell>
          <cell r="D816" t="str">
            <v>SKB Suwałki</v>
          </cell>
        </row>
        <row r="817">
          <cell r="A817" t="str">
            <v>K4563</v>
          </cell>
          <cell r="B817" t="str">
            <v>Kordian</v>
          </cell>
          <cell r="C817" t="str">
            <v>KOBYLNIK</v>
          </cell>
          <cell r="D817" t="str">
            <v>LKS Technik Głubczyce</v>
          </cell>
        </row>
        <row r="818">
          <cell r="A818" t="str">
            <v>K3194</v>
          </cell>
          <cell r="B818" t="str">
            <v>Michał</v>
          </cell>
          <cell r="C818" t="str">
            <v>KOBYŁECKI</v>
          </cell>
          <cell r="D818" t="str">
            <v>SKB Piast Słupsk</v>
          </cell>
        </row>
        <row r="819">
          <cell r="A819" t="str">
            <v>K5968</v>
          </cell>
          <cell r="B819" t="str">
            <v>Adrian</v>
          </cell>
          <cell r="C819" t="str">
            <v>KOC</v>
          </cell>
          <cell r="D819" t="str">
            <v>WWL Badminton Club Marki</v>
          </cell>
        </row>
        <row r="820">
          <cell r="A820" t="str">
            <v>K5417</v>
          </cell>
          <cell r="B820" t="str">
            <v>Anna</v>
          </cell>
          <cell r="C820" t="str">
            <v>KOCZUR</v>
          </cell>
          <cell r="D820" t="str">
            <v>----</v>
          </cell>
        </row>
        <row r="821">
          <cell r="A821" t="str">
            <v>K4735</v>
          </cell>
          <cell r="B821" t="str">
            <v>Oktawia</v>
          </cell>
          <cell r="C821" t="str">
            <v>KOISZ</v>
          </cell>
          <cell r="D821" t="str">
            <v>UKS Kiko Zamość</v>
          </cell>
        </row>
        <row r="822">
          <cell r="A822" t="str">
            <v>K4838</v>
          </cell>
          <cell r="B822" t="str">
            <v>Magdalena</v>
          </cell>
          <cell r="C822" t="str">
            <v>KOJDER</v>
          </cell>
          <cell r="D822" t="str">
            <v>----</v>
          </cell>
        </row>
        <row r="823">
          <cell r="A823" t="str">
            <v>K3218</v>
          </cell>
          <cell r="B823" t="str">
            <v>Joanna</v>
          </cell>
          <cell r="C823" t="str">
            <v>KOKOSZKA</v>
          </cell>
          <cell r="D823" t="str">
            <v>UMKS Junis Szczucin</v>
          </cell>
        </row>
        <row r="824">
          <cell r="A824" t="str">
            <v>K4084</v>
          </cell>
          <cell r="B824" t="str">
            <v>Magdalena</v>
          </cell>
          <cell r="C824" t="str">
            <v>KOKOSZKA</v>
          </cell>
          <cell r="D824" t="str">
            <v>AZSWAT Warszawa</v>
          </cell>
        </row>
        <row r="825">
          <cell r="A825" t="str">
            <v>K5973</v>
          </cell>
          <cell r="B825" t="str">
            <v>Olaf</v>
          </cell>
          <cell r="C825" t="str">
            <v>KOLEŚNIKOW</v>
          </cell>
          <cell r="D825" t="str">
            <v>UKSOSIR Badminton Sławno</v>
          </cell>
        </row>
        <row r="826">
          <cell r="A826" t="str">
            <v>K5041</v>
          </cell>
          <cell r="B826" t="str">
            <v>Aleksandra</v>
          </cell>
          <cell r="C826" t="str">
            <v>KOŁODZIEJ</v>
          </cell>
          <cell r="D826" t="str">
            <v>KSR Wolant Łódź</v>
          </cell>
        </row>
        <row r="827">
          <cell r="A827" t="str">
            <v>K1194</v>
          </cell>
          <cell r="B827" t="str">
            <v>Andrzej</v>
          </cell>
          <cell r="C827" t="str">
            <v>KOŁODZIEJ</v>
          </cell>
          <cell r="D827" t="str">
            <v>----</v>
          </cell>
        </row>
        <row r="828">
          <cell r="A828" t="str">
            <v>K5321</v>
          </cell>
          <cell r="B828" t="str">
            <v>Karolina</v>
          </cell>
          <cell r="C828" t="str">
            <v>KOŁODZIEJ</v>
          </cell>
          <cell r="D828" t="str">
            <v>UKS Astra Wrocław</v>
          </cell>
        </row>
        <row r="829">
          <cell r="A829" t="str">
            <v>K0264</v>
          </cell>
          <cell r="B829" t="str">
            <v>Witold</v>
          </cell>
          <cell r="C829" t="str">
            <v>KOŁODZIEJ</v>
          </cell>
          <cell r="D829" t="str">
            <v>KB Vol-Trick Kępno</v>
          </cell>
        </row>
        <row r="830">
          <cell r="A830" t="str">
            <v>K4510</v>
          </cell>
          <cell r="B830" t="str">
            <v>Jadwiga</v>
          </cell>
          <cell r="C830" t="str">
            <v>KOŁODZIEJCZYK</v>
          </cell>
          <cell r="D830" t="str">
            <v>----</v>
          </cell>
        </row>
        <row r="831">
          <cell r="A831" t="str">
            <v>K4712</v>
          </cell>
          <cell r="B831" t="str">
            <v>Zbigniew</v>
          </cell>
          <cell r="C831" t="str">
            <v>KOŁODZIEJCZYK</v>
          </cell>
          <cell r="D831" t="str">
            <v>----</v>
          </cell>
        </row>
        <row r="832">
          <cell r="A832" t="str">
            <v>K2392</v>
          </cell>
          <cell r="B832" t="str">
            <v>Marcin</v>
          </cell>
          <cell r="C832" t="str">
            <v>KOŁODZIEJEK</v>
          </cell>
          <cell r="D832" t="str">
            <v>AZSUW Warszawa</v>
          </cell>
        </row>
        <row r="833">
          <cell r="A833" t="str">
            <v>K1963</v>
          </cell>
          <cell r="B833" t="str">
            <v>Jacek</v>
          </cell>
          <cell r="C833" t="str">
            <v>KOŁUMBAJEW</v>
          </cell>
          <cell r="D833" t="str">
            <v>AZSUW Warszawa</v>
          </cell>
        </row>
        <row r="834">
          <cell r="A834" t="str">
            <v>K0497</v>
          </cell>
          <cell r="B834" t="str">
            <v>Łukasz</v>
          </cell>
          <cell r="C834" t="str">
            <v>KOMAR</v>
          </cell>
          <cell r="D834" t="str">
            <v>----</v>
          </cell>
        </row>
        <row r="835">
          <cell r="A835" t="str">
            <v>K5841</v>
          </cell>
          <cell r="B835" t="str">
            <v>Martyna</v>
          </cell>
          <cell r="C835" t="str">
            <v>KONICKA</v>
          </cell>
          <cell r="D835" t="str">
            <v>SLKS Tramp Orneta</v>
          </cell>
        </row>
        <row r="836">
          <cell r="A836" t="str">
            <v>K5429</v>
          </cell>
          <cell r="B836" t="str">
            <v>Aleksandra</v>
          </cell>
          <cell r="C836" t="str">
            <v>KONIECZNA</v>
          </cell>
          <cell r="D836" t="str">
            <v>UKS Ząbkowice Dąbrowa Górn.</v>
          </cell>
        </row>
        <row r="837">
          <cell r="A837" t="str">
            <v>K3115</v>
          </cell>
          <cell r="B837" t="str">
            <v>Magda</v>
          </cell>
          <cell r="C837" t="str">
            <v>KONIECZNA</v>
          </cell>
          <cell r="D837" t="str">
            <v>UKS Hubal Białystok</v>
          </cell>
        </row>
        <row r="838">
          <cell r="A838" t="str">
            <v>K5548</v>
          </cell>
          <cell r="B838" t="str">
            <v>Zuzanna</v>
          </cell>
          <cell r="C838" t="str">
            <v>KONIECZNA</v>
          </cell>
          <cell r="D838" t="str">
            <v>AZSAGH Kraków</v>
          </cell>
        </row>
        <row r="839">
          <cell r="A839" t="str">
            <v>K4755</v>
          </cell>
          <cell r="B839" t="str">
            <v>Kacper</v>
          </cell>
          <cell r="C839" t="str">
            <v>KONIECZNY</v>
          </cell>
          <cell r="D839" t="str">
            <v>MMKS Kędzierzyn-Koźle</v>
          </cell>
        </row>
        <row r="840">
          <cell r="A840" t="str">
            <v>K0734</v>
          </cell>
          <cell r="B840" t="str">
            <v>Olga</v>
          </cell>
          <cell r="C840" t="str">
            <v>KONIUCH</v>
          </cell>
          <cell r="D840" t="str">
            <v>KSR Wolant Łódź</v>
          </cell>
        </row>
        <row r="841">
          <cell r="A841" t="str">
            <v>K3568</v>
          </cell>
          <cell r="B841" t="str">
            <v>Michał</v>
          </cell>
          <cell r="C841" t="str">
            <v>KONOPCZYŃSKI</v>
          </cell>
          <cell r="D841" t="str">
            <v>UKS Dwójka Wesoła</v>
          </cell>
        </row>
        <row r="842">
          <cell r="A842" t="str">
            <v>K5186</v>
          </cell>
          <cell r="B842" t="str">
            <v>Konrad</v>
          </cell>
          <cell r="C842" t="str">
            <v>KONWALIK</v>
          </cell>
          <cell r="D842" t="str">
            <v>UKS Kiko Zamość</v>
          </cell>
        </row>
        <row r="843">
          <cell r="A843" t="str">
            <v>K4702</v>
          </cell>
          <cell r="B843" t="str">
            <v>Kacper</v>
          </cell>
          <cell r="C843" t="str">
            <v>KOPACZ</v>
          </cell>
          <cell r="D843" t="str">
            <v>UTS Akro-Bad Warszawa</v>
          </cell>
        </row>
        <row r="844">
          <cell r="A844" t="str">
            <v>K2551</v>
          </cell>
          <cell r="B844" t="str">
            <v>Piotr</v>
          </cell>
          <cell r="C844" t="str">
            <v>KOPACZ</v>
          </cell>
          <cell r="D844" t="str">
            <v>----</v>
          </cell>
        </row>
        <row r="845">
          <cell r="A845" t="str">
            <v>K4882</v>
          </cell>
          <cell r="B845" t="str">
            <v>Adrianna</v>
          </cell>
          <cell r="C845" t="str">
            <v>KOPACZYŃSKA</v>
          </cell>
          <cell r="D845" t="str">
            <v>UKS Smecz Bogatynia</v>
          </cell>
        </row>
        <row r="846">
          <cell r="A846" t="str">
            <v>K4133</v>
          </cell>
          <cell r="B846" t="str">
            <v>Paweł</v>
          </cell>
          <cell r="C846" t="str">
            <v>KOPAŃSKI</v>
          </cell>
          <cell r="D846" t="str">
            <v>UKS Start Widełka</v>
          </cell>
        </row>
        <row r="847">
          <cell r="A847" t="str">
            <v>K5248</v>
          </cell>
          <cell r="B847" t="str">
            <v>Magdalena</v>
          </cell>
          <cell r="C847" t="str">
            <v>KOPCZYŃSKA</v>
          </cell>
          <cell r="D847" t="str">
            <v>UKS Kiko Zamość</v>
          </cell>
        </row>
        <row r="848">
          <cell r="A848" t="str">
            <v>K4299</v>
          </cell>
          <cell r="B848" t="str">
            <v>Weronika</v>
          </cell>
          <cell r="C848" t="str">
            <v>KOPCZYŃSKA</v>
          </cell>
          <cell r="D848" t="str">
            <v>UKS Kiko Zamość</v>
          </cell>
        </row>
        <row r="849">
          <cell r="A849" t="str">
            <v>K3899</v>
          </cell>
          <cell r="B849" t="str">
            <v>Piotr</v>
          </cell>
          <cell r="C849" t="str">
            <v>KOPCZYŃSKI</v>
          </cell>
          <cell r="D849" t="str">
            <v>ŚKBad Harcownik Warszawa</v>
          </cell>
        </row>
        <row r="850">
          <cell r="A850" t="str">
            <v>K4763</v>
          </cell>
          <cell r="B850" t="str">
            <v>Dominika</v>
          </cell>
          <cell r="C850" t="str">
            <v>KOPEĆ</v>
          </cell>
          <cell r="D850" t="str">
            <v>MMKS Kędzierzyn-Koźle</v>
          </cell>
        </row>
        <row r="851">
          <cell r="A851" t="str">
            <v>K3867</v>
          </cell>
          <cell r="B851" t="str">
            <v>Patryk</v>
          </cell>
          <cell r="C851" t="str">
            <v>KOPEĆ</v>
          </cell>
          <cell r="D851" t="str">
            <v>MKS Stal Nowa Dęba</v>
          </cell>
        </row>
        <row r="852">
          <cell r="A852" t="str">
            <v>K4023</v>
          </cell>
          <cell r="B852" t="str">
            <v>Agnieszka</v>
          </cell>
          <cell r="C852" t="str">
            <v>KOPER</v>
          </cell>
          <cell r="D852" t="str">
            <v>KKS Warmia Olsztyn</v>
          </cell>
        </row>
        <row r="853">
          <cell r="A853" t="str">
            <v>K5933</v>
          </cell>
          <cell r="B853" t="str">
            <v>Monika</v>
          </cell>
          <cell r="C853" t="str">
            <v>KOPKA</v>
          </cell>
          <cell r="D853" t="str">
            <v>----</v>
          </cell>
        </row>
        <row r="854">
          <cell r="A854" t="str">
            <v>K3646</v>
          </cell>
          <cell r="B854" t="str">
            <v>Kornelia</v>
          </cell>
          <cell r="C854" t="str">
            <v>KOPTOŃ</v>
          </cell>
          <cell r="D854" t="str">
            <v>UKS Unia Bieruń</v>
          </cell>
        </row>
        <row r="855">
          <cell r="A855" t="str">
            <v>K4776</v>
          </cell>
          <cell r="B855" t="str">
            <v>Korneliusz</v>
          </cell>
          <cell r="C855" t="str">
            <v>KOPTOŃ</v>
          </cell>
          <cell r="D855" t="str">
            <v>BKS Kolejarz Katowice</v>
          </cell>
        </row>
        <row r="856">
          <cell r="A856" t="str">
            <v>K3647</v>
          </cell>
          <cell r="B856" t="str">
            <v>Paulina</v>
          </cell>
          <cell r="C856" t="str">
            <v>KOPTOŃ</v>
          </cell>
          <cell r="D856" t="str">
            <v>UKS Unia Bieruń</v>
          </cell>
        </row>
        <row r="857">
          <cell r="A857" t="str">
            <v>K5653</v>
          </cell>
          <cell r="B857" t="str">
            <v>Łukasz</v>
          </cell>
          <cell r="C857" t="str">
            <v>KOPUT</v>
          </cell>
          <cell r="D857" t="str">
            <v>PMKS Chrobry Piotrowice</v>
          </cell>
        </row>
        <row r="858">
          <cell r="A858" t="str">
            <v>K3151</v>
          </cell>
          <cell r="B858" t="str">
            <v>Maria</v>
          </cell>
          <cell r="C858" t="str">
            <v>KOPYT</v>
          </cell>
          <cell r="D858" t="str">
            <v>UKSB Milenium Warszawa</v>
          </cell>
        </row>
        <row r="859">
          <cell r="A859" t="str">
            <v>K3783</v>
          </cell>
          <cell r="B859" t="str">
            <v>Anna</v>
          </cell>
          <cell r="C859" t="str">
            <v>KORBAŚ</v>
          </cell>
          <cell r="D859" t="str">
            <v>UMKS Junis Szczucin</v>
          </cell>
        </row>
        <row r="860">
          <cell r="A860" t="str">
            <v>K2772</v>
          </cell>
          <cell r="B860" t="str">
            <v>Kamil</v>
          </cell>
          <cell r="C860" t="str">
            <v>KORBEL</v>
          </cell>
          <cell r="D860" t="str">
            <v>MKS Dwójka Blachownia</v>
          </cell>
        </row>
        <row r="861">
          <cell r="A861" t="str">
            <v>K2014</v>
          </cell>
          <cell r="B861" t="str">
            <v>Magdalena</v>
          </cell>
          <cell r="C861" t="str">
            <v>KORDALEWSKA</v>
          </cell>
          <cell r="D861" t="str">
            <v>ŚKBad Harcownik Warszawa</v>
          </cell>
        </row>
        <row r="862">
          <cell r="A862" t="str">
            <v>K5205</v>
          </cell>
          <cell r="B862" t="str">
            <v>Jakub</v>
          </cell>
          <cell r="C862" t="str">
            <v>KORDEK</v>
          </cell>
          <cell r="D862" t="str">
            <v>UKS Jagiellonka Medyka</v>
          </cell>
        </row>
        <row r="863">
          <cell r="A863" t="str">
            <v>K5206</v>
          </cell>
          <cell r="B863" t="str">
            <v>Klaudia</v>
          </cell>
          <cell r="C863" t="str">
            <v>KORDEK</v>
          </cell>
          <cell r="D863" t="str">
            <v>UKS Jagiellonka Medyka</v>
          </cell>
        </row>
        <row r="864">
          <cell r="A864" t="str">
            <v>K5180</v>
          </cell>
          <cell r="B864" t="str">
            <v>Patryk</v>
          </cell>
          <cell r="C864" t="str">
            <v>KORDEK</v>
          </cell>
          <cell r="D864" t="str">
            <v>UKS Aktywna Piątka Przemyśl</v>
          </cell>
        </row>
        <row r="865">
          <cell r="A865" t="str">
            <v>K3431</v>
          </cell>
          <cell r="B865" t="str">
            <v>Magdalena</v>
          </cell>
          <cell r="C865" t="str">
            <v>KOREJBA</v>
          </cell>
          <cell r="D865" t="str">
            <v>MMKS Kędzierzyn-Koźle</v>
          </cell>
        </row>
        <row r="866">
          <cell r="A866" t="str">
            <v>K5768</v>
          </cell>
          <cell r="B866" t="str">
            <v>Jakub</v>
          </cell>
          <cell r="C866" t="str">
            <v>KORGA</v>
          </cell>
          <cell r="D866" t="str">
            <v>UKS Kiko Zamość</v>
          </cell>
        </row>
        <row r="867">
          <cell r="A867" t="str">
            <v>K5171</v>
          </cell>
          <cell r="B867" t="str">
            <v>Nikola</v>
          </cell>
          <cell r="C867" t="str">
            <v>KORNACKA</v>
          </cell>
          <cell r="D867" t="str">
            <v>UKS Kometa Sianów</v>
          </cell>
        </row>
        <row r="868">
          <cell r="A868" t="str">
            <v>K3223</v>
          </cell>
          <cell r="B868" t="str">
            <v>Oskar</v>
          </cell>
          <cell r="C868" t="str">
            <v>KORNAFEL</v>
          </cell>
          <cell r="D868" t="str">
            <v>KKS Warmia Olsztyn</v>
          </cell>
        </row>
        <row r="869">
          <cell r="A869" t="str">
            <v>K4913</v>
          </cell>
          <cell r="B869" t="str">
            <v>Kamila</v>
          </cell>
          <cell r="C869" t="str">
            <v>KORPAS</v>
          </cell>
          <cell r="D869" t="str">
            <v>KKS Ruch Piotrków Tryb.</v>
          </cell>
        </row>
        <row r="870">
          <cell r="A870" t="str">
            <v>K2325</v>
          </cell>
          <cell r="B870" t="str">
            <v>Emilia</v>
          </cell>
          <cell r="C870" t="str">
            <v>KORPUS</v>
          </cell>
          <cell r="D870" t="str">
            <v>MLKS Solec Kuj.</v>
          </cell>
        </row>
        <row r="871">
          <cell r="A871" t="str">
            <v>K5658</v>
          </cell>
          <cell r="B871" t="str">
            <v>Bartosz</v>
          </cell>
          <cell r="C871" t="str">
            <v>KORYCKI</v>
          </cell>
          <cell r="D871" t="str">
            <v>LUKS Krokus Góralice</v>
          </cell>
        </row>
        <row r="872">
          <cell r="A872" t="str">
            <v>K5777</v>
          </cell>
          <cell r="B872" t="str">
            <v>Tomasz</v>
          </cell>
          <cell r="C872" t="str">
            <v>KORYL</v>
          </cell>
          <cell r="D872" t="str">
            <v>----</v>
          </cell>
        </row>
        <row r="873">
          <cell r="A873" t="str">
            <v>K5282</v>
          </cell>
          <cell r="B873" t="str">
            <v>Jakub</v>
          </cell>
          <cell r="C873" t="str">
            <v>KOS</v>
          </cell>
          <cell r="D873" t="str">
            <v>UKS 25 Kielce</v>
          </cell>
        </row>
        <row r="874">
          <cell r="A874" t="str">
            <v>K4920</v>
          </cell>
          <cell r="B874" t="str">
            <v>Jakub</v>
          </cell>
          <cell r="C874" t="str">
            <v>KOSAŁKA</v>
          </cell>
          <cell r="D874" t="str">
            <v>UKS 25 Kielce</v>
          </cell>
        </row>
        <row r="875">
          <cell r="A875" t="str">
            <v>K5323</v>
          </cell>
          <cell r="B875" t="str">
            <v>Wiktor</v>
          </cell>
          <cell r="C875" t="str">
            <v>KOSAŁKA</v>
          </cell>
          <cell r="D875" t="str">
            <v>UKS 25 Kielce</v>
          </cell>
        </row>
        <row r="876">
          <cell r="A876" t="str">
            <v>K5461</v>
          </cell>
          <cell r="B876" t="str">
            <v>Joanna</v>
          </cell>
          <cell r="C876" t="str">
            <v>KOSARZYCKA</v>
          </cell>
          <cell r="D876" t="str">
            <v>MKB Lednik Miastko</v>
          </cell>
        </row>
        <row r="877">
          <cell r="A877" t="str">
            <v>K4522</v>
          </cell>
          <cell r="B877" t="str">
            <v>Marcin</v>
          </cell>
          <cell r="C877" t="str">
            <v>KOSIŃSKI</v>
          </cell>
          <cell r="D877" t="str">
            <v>KKS Ruch Piotrków Tryb.</v>
          </cell>
        </row>
        <row r="878">
          <cell r="A878" t="str">
            <v>K3620</v>
          </cell>
          <cell r="B878" t="str">
            <v>Piotr</v>
          </cell>
          <cell r="C878" t="str">
            <v>KOSIŃSKI</v>
          </cell>
          <cell r="D878" t="str">
            <v>ŚKBad Harcownik Warszawa</v>
          </cell>
        </row>
        <row r="879">
          <cell r="A879" t="str">
            <v>K5399</v>
          </cell>
          <cell r="B879" t="str">
            <v>Klaudia</v>
          </cell>
          <cell r="C879" t="str">
            <v>KOSOBUCKA</v>
          </cell>
          <cell r="D879" t="str">
            <v>PMKS Chrobry Piotrowice</v>
          </cell>
        </row>
        <row r="880">
          <cell r="A880" t="str">
            <v>K4685</v>
          </cell>
          <cell r="B880" t="str">
            <v>Patryk</v>
          </cell>
          <cell r="C880" t="str">
            <v>KOSTRZEWSKI</v>
          </cell>
          <cell r="D880" t="str">
            <v>KSR Wolant Łódź</v>
          </cell>
        </row>
        <row r="881">
          <cell r="A881" t="str">
            <v>K5780</v>
          </cell>
          <cell r="B881" t="str">
            <v>Klaudia</v>
          </cell>
          <cell r="C881" t="str">
            <v>KOSTRZYCKA</v>
          </cell>
          <cell r="D881" t="str">
            <v>MKS Stal Nowa Dęba</v>
          </cell>
        </row>
        <row r="882">
          <cell r="A882" t="str">
            <v>K0806</v>
          </cell>
          <cell r="B882" t="str">
            <v>Adam</v>
          </cell>
          <cell r="C882" t="str">
            <v>KOSZ</v>
          </cell>
          <cell r="D882" t="str">
            <v>KS Masovia Płock</v>
          </cell>
        </row>
        <row r="883">
          <cell r="A883" t="str">
            <v>K5403</v>
          </cell>
          <cell r="B883" t="str">
            <v>Joanna</v>
          </cell>
          <cell r="C883" t="str">
            <v>KOSZEWSKA</v>
          </cell>
          <cell r="D883" t="str">
            <v>KKS Warmia Olsztyn</v>
          </cell>
        </row>
        <row r="884">
          <cell r="A884" t="str">
            <v>K3257</v>
          </cell>
          <cell r="B884" t="str">
            <v>Nikola</v>
          </cell>
          <cell r="C884" t="str">
            <v>KOSZMIDER</v>
          </cell>
          <cell r="D884" t="str">
            <v>UKS Feniks Kędzierzyn-Koźle</v>
          </cell>
        </row>
        <row r="885">
          <cell r="A885" t="str">
            <v>K4981</v>
          </cell>
          <cell r="B885" t="str">
            <v>Michał</v>
          </cell>
          <cell r="C885" t="str">
            <v>KOSZTYŁO</v>
          </cell>
          <cell r="D885" t="str">
            <v>UKS Orbitek Straszęcin</v>
          </cell>
        </row>
        <row r="886">
          <cell r="A886" t="str">
            <v>K4136</v>
          </cell>
          <cell r="B886" t="str">
            <v>Weronika</v>
          </cell>
          <cell r="C886" t="str">
            <v>KOŚCIÓŁEK</v>
          </cell>
          <cell r="D886" t="str">
            <v>LKS Technik Głubczyce</v>
          </cell>
        </row>
        <row r="887">
          <cell r="A887" t="str">
            <v>K5368</v>
          </cell>
          <cell r="B887" t="str">
            <v>Alicja</v>
          </cell>
          <cell r="C887" t="str">
            <v>KOT</v>
          </cell>
          <cell r="D887" t="str">
            <v>UKS Ostrówek</v>
          </cell>
        </row>
        <row r="888">
          <cell r="A888" t="str">
            <v>K5367</v>
          </cell>
          <cell r="B888" t="str">
            <v>Jakub</v>
          </cell>
          <cell r="C888" t="str">
            <v>KOT</v>
          </cell>
          <cell r="D888" t="str">
            <v>UKS Ostrówek</v>
          </cell>
        </row>
        <row r="889">
          <cell r="A889" t="str">
            <v>K3618</v>
          </cell>
          <cell r="B889" t="str">
            <v>Kamil</v>
          </cell>
          <cell r="C889" t="str">
            <v>KOT</v>
          </cell>
          <cell r="D889" t="str">
            <v>UKS Ostrówek</v>
          </cell>
        </row>
        <row r="890">
          <cell r="A890" t="str">
            <v>K5703</v>
          </cell>
          <cell r="B890" t="str">
            <v>Rafał</v>
          </cell>
          <cell r="C890" t="str">
            <v>KOT</v>
          </cell>
          <cell r="D890" t="str">
            <v>UKS Ostrówek</v>
          </cell>
        </row>
        <row r="891">
          <cell r="A891" t="str">
            <v>K3684</v>
          </cell>
          <cell r="B891" t="str">
            <v>Tomasz</v>
          </cell>
          <cell r="C891" t="str">
            <v>KOTNIEWICZ</v>
          </cell>
          <cell r="D891" t="str">
            <v>KS Wesoła Warszawa</v>
          </cell>
        </row>
        <row r="892">
          <cell r="A892" t="str">
            <v>K4862</v>
          </cell>
          <cell r="B892" t="str">
            <v>Agnieszka</v>
          </cell>
          <cell r="C892" t="str">
            <v>KOWALCZYK</v>
          </cell>
          <cell r="D892" t="str">
            <v>KS Wesoła Warszawa</v>
          </cell>
        </row>
        <row r="893">
          <cell r="A893" t="str">
            <v>K4486</v>
          </cell>
          <cell r="B893" t="str">
            <v>Amanda</v>
          </cell>
          <cell r="C893" t="str">
            <v>KOWALCZYK</v>
          </cell>
          <cell r="D893" t="str">
            <v>UKS Bursztyn Gdańsk</v>
          </cell>
        </row>
        <row r="894">
          <cell r="A894" t="str">
            <v>K3150</v>
          </cell>
          <cell r="B894" t="str">
            <v>Damian</v>
          </cell>
          <cell r="C894" t="str">
            <v>KOWALCZYK</v>
          </cell>
          <cell r="D894" t="str">
            <v>UKSB Milenium Warszawa</v>
          </cell>
        </row>
        <row r="895">
          <cell r="A895" t="str">
            <v>K3437</v>
          </cell>
          <cell r="B895" t="str">
            <v>Kornelia</v>
          </cell>
          <cell r="C895" t="str">
            <v>KOWALCZYK</v>
          </cell>
          <cell r="D895" t="str">
            <v>UKS Kometa Sianów</v>
          </cell>
        </row>
        <row r="896">
          <cell r="A896" t="str">
            <v>K4485</v>
          </cell>
          <cell r="B896" t="str">
            <v>Marlena</v>
          </cell>
          <cell r="C896" t="str">
            <v>KOWALCZYK</v>
          </cell>
          <cell r="D896" t="str">
            <v>UKS Bursztyn Gdańsk</v>
          </cell>
        </row>
        <row r="897">
          <cell r="A897" t="str">
            <v>K5172</v>
          </cell>
          <cell r="B897" t="str">
            <v>Martyna</v>
          </cell>
          <cell r="C897" t="str">
            <v>KOWALCZYK</v>
          </cell>
          <cell r="D897" t="str">
            <v>UKS Kometa Sianów</v>
          </cell>
        </row>
        <row r="898">
          <cell r="A898" t="str">
            <v>K 032</v>
          </cell>
          <cell r="B898" t="str">
            <v>Robert</v>
          </cell>
          <cell r="C898" t="str">
            <v>KOWALCZYK</v>
          </cell>
          <cell r="D898" t="str">
            <v>UKS Hubal Białystok</v>
          </cell>
        </row>
        <row r="899">
          <cell r="A899" t="str">
            <v>K4811</v>
          </cell>
          <cell r="B899" t="str">
            <v>Dominik</v>
          </cell>
          <cell r="C899" t="str">
            <v>KOWALEWSKI</v>
          </cell>
          <cell r="D899" t="str">
            <v>UKS Hubal Białystok</v>
          </cell>
        </row>
        <row r="900">
          <cell r="A900" t="str">
            <v>K0979</v>
          </cell>
          <cell r="B900" t="str">
            <v>Maciej</v>
          </cell>
          <cell r="C900" t="str">
            <v>KOWALIK</v>
          </cell>
          <cell r="D900" t="str">
            <v>SKB Piast Słupsk</v>
          </cell>
        </row>
        <row r="901">
          <cell r="A901" t="str">
            <v>K2501</v>
          </cell>
          <cell r="B901" t="str">
            <v>Agnieszka</v>
          </cell>
          <cell r="C901" t="str">
            <v>KOWALSKA</v>
          </cell>
          <cell r="D901" t="str">
            <v>UKS Kiko Zamość</v>
          </cell>
        </row>
        <row r="902">
          <cell r="A902" t="str">
            <v>K3226</v>
          </cell>
          <cell r="B902" t="str">
            <v>Karolina</v>
          </cell>
          <cell r="C902" t="str">
            <v>KOWALSKA</v>
          </cell>
          <cell r="D902" t="str">
            <v>AZSWAT Warszawa</v>
          </cell>
        </row>
        <row r="903">
          <cell r="A903" t="str">
            <v>K1450</v>
          </cell>
          <cell r="B903" t="str">
            <v>Andrzej</v>
          </cell>
          <cell r="C903" t="str">
            <v>KOWALSKI</v>
          </cell>
          <cell r="D903" t="str">
            <v>----</v>
          </cell>
        </row>
        <row r="904">
          <cell r="A904" t="str">
            <v>K2859</v>
          </cell>
          <cell r="B904" t="str">
            <v>Piotr</v>
          </cell>
          <cell r="C904" t="str">
            <v>KOWALSKI</v>
          </cell>
          <cell r="D904" t="str">
            <v>----</v>
          </cell>
        </row>
        <row r="905">
          <cell r="A905" t="str">
            <v>K5510</v>
          </cell>
          <cell r="B905" t="str">
            <v>Sławomir</v>
          </cell>
          <cell r="C905" t="str">
            <v>KOWALSKI</v>
          </cell>
          <cell r="D905" t="str">
            <v>KS Chojnik Jelenia Góra</v>
          </cell>
        </row>
        <row r="906">
          <cell r="A906" t="str">
            <v>K4785</v>
          </cell>
          <cell r="B906" t="str">
            <v>Szymon</v>
          </cell>
          <cell r="C906" t="str">
            <v>KOWALSKI</v>
          </cell>
          <cell r="D906" t="str">
            <v>KS Chojnik Jelenia Góra</v>
          </cell>
        </row>
        <row r="907">
          <cell r="A907" t="str">
            <v>K0613</v>
          </cell>
          <cell r="B907" t="str">
            <v>Piotr</v>
          </cell>
          <cell r="C907" t="str">
            <v>KOWENICKI</v>
          </cell>
          <cell r="D907" t="str">
            <v>AZSUWM Olsztyn</v>
          </cell>
        </row>
        <row r="908">
          <cell r="A908" t="str">
            <v>K5670</v>
          </cell>
          <cell r="B908" t="str">
            <v>Michał</v>
          </cell>
          <cell r="C908" t="str">
            <v>KOWYNIA</v>
          </cell>
          <cell r="D908" t="str">
            <v>UKS Ząbkowice Dąbrowa Górn.</v>
          </cell>
        </row>
        <row r="909">
          <cell r="A909" t="str">
            <v>K4532</v>
          </cell>
          <cell r="B909" t="str">
            <v>Daniel</v>
          </cell>
          <cell r="C909" t="str">
            <v>KOZAKIEWICZ</v>
          </cell>
          <cell r="D909" t="str">
            <v>LUKS Krokus Góralice</v>
          </cell>
        </row>
        <row r="910">
          <cell r="A910" t="str">
            <v>K3979</v>
          </cell>
          <cell r="B910" t="str">
            <v>Jagoda</v>
          </cell>
          <cell r="C910" t="str">
            <v>KOZDEMBA</v>
          </cell>
          <cell r="D910" t="str">
            <v>UKS Bursztyn Gdańsk</v>
          </cell>
        </row>
        <row r="911">
          <cell r="A911" t="str">
            <v>K3244</v>
          </cell>
          <cell r="B911" t="str">
            <v>Melania</v>
          </cell>
          <cell r="C911" t="str">
            <v>KOZDRA</v>
          </cell>
          <cell r="D911" t="str">
            <v>KS Chojnik Jelenia Góra</v>
          </cell>
        </row>
        <row r="912">
          <cell r="A912" t="str">
            <v>K4670</v>
          </cell>
          <cell r="B912" t="str">
            <v>Kamil</v>
          </cell>
          <cell r="C912" t="str">
            <v>KOZERA</v>
          </cell>
          <cell r="D912" t="str">
            <v>UKSMTB Smecz Konin</v>
          </cell>
        </row>
        <row r="913">
          <cell r="A913" t="str">
            <v>K1491</v>
          </cell>
          <cell r="B913" t="str">
            <v>Maciej</v>
          </cell>
          <cell r="C913" t="str">
            <v>KOZIEŁ</v>
          </cell>
          <cell r="D913" t="str">
            <v>----</v>
          </cell>
        </row>
        <row r="914">
          <cell r="A914" t="str">
            <v>K5440</v>
          </cell>
          <cell r="B914" t="str">
            <v>Wiktor</v>
          </cell>
          <cell r="C914" t="str">
            <v>KOZIEŁ</v>
          </cell>
          <cell r="D914" t="str">
            <v>ULKS Łączna</v>
          </cell>
        </row>
        <row r="915">
          <cell r="A915" t="str">
            <v>K5245</v>
          </cell>
          <cell r="B915" t="str">
            <v>Agnieszka</v>
          </cell>
          <cell r="C915" t="str">
            <v>KOZIK</v>
          </cell>
          <cell r="D915" t="str">
            <v>UKS Ostrówek</v>
          </cell>
        </row>
        <row r="916">
          <cell r="A916" t="str">
            <v>K5931</v>
          </cell>
          <cell r="B916" t="str">
            <v>Łukasz</v>
          </cell>
          <cell r="C916" t="str">
            <v>KOZIK</v>
          </cell>
          <cell r="D916" t="str">
            <v>Górnik Łęczna SA</v>
          </cell>
        </row>
        <row r="917">
          <cell r="A917" t="str">
            <v>K5244</v>
          </cell>
          <cell r="B917" t="str">
            <v>Wojciech</v>
          </cell>
          <cell r="C917" t="str">
            <v>KOZIK</v>
          </cell>
          <cell r="D917" t="str">
            <v>UKS Ostrówek</v>
          </cell>
        </row>
        <row r="918">
          <cell r="A918" t="str">
            <v>K5098</v>
          </cell>
          <cell r="B918" t="str">
            <v>Barbara</v>
          </cell>
          <cell r="C918" t="str">
            <v>KOZŁOWSKA</v>
          </cell>
          <cell r="D918" t="str">
            <v>----</v>
          </cell>
        </row>
        <row r="919">
          <cell r="A919" t="str">
            <v>K5745</v>
          </cell>
          <cell r="B919" t="str">
            <v>Dominika</v>
          </cell>
          <cell r="C919" t="str">
            <v>KOZŁOWSKA</v>
          </cell>
          <cell r="D919" t="str">
            <v>UKS Kiko Zamość</v>
          </cell>
        </row>
        <row r="920">
          <cell r="A920" t="str">
            <v>K4813</v>
          </cell>
          <cell r="B920" t="str">
            <v>Kamila</v>
          </cell>
          <cell r="C920" t="str">
            <v>KOZŁOWSKA</v>
          </cell>
          <cell r="D920" t="str">
            <v>UKS Hubal Białystok</v>
          </cell>
        </row>
        <row r="921">
          <cell r="A921" t="str">
            <v>K3169</v>
          </cell>
          <cell r="B921" t="str">
            <v>Katarzyna</v>
          </cell>
          <cell r="C921" t="str">
            <v>KOZŁOWSKA</v>
          </cell>
          <cell r="D921" t="str">
            <v>UKS 70 Płock</v>
          </cell>
        </row>
        <row r="922">
          <cell r="A922" t="str">
            <v>K3168</v>
          </cell>
          <cell r="B922" t="str">
            <v>Paulina</v>
          </cell>
          <cell r="C922" t="str">
            <v>KOZŁOWSKA</v>
          </cell>
          <cell r="D922" t="str">
            <v>UKS 70 Płock</v>
          </cell>
        </row>
        <row r="923">
          <cell r="A923" t="str">
            <v>K5516</v>
          </cell>
          <cell r="B923" t="str">
            <v>Aleksander</v>
          </cell>
          <cell r="C923" t="str">
            <v>KOZŁOWSKI</v>
          </cell>
          <cell r="D923" t="str">
            <v>ŚKBad Harcownik Warszawa</v>
          </cell>
        </row>
        <row r="924">
          <cell r="A924" t="str">
            <v>K5889</v>
          </cell>
          <cell r="B924" t="str">
            <v>Grzegorz</v>
          </cell>
          <cell r="C924" t="str">
            <v>KOZŁOWSKI</v>
          </cell>
          <cell r="D924" t="str">
            <v>MMKS Gdańsk</v>
          </cell>
        </row>
        <row r="925">
          <cell r="A925" t="str">
            <v>K2413</v>
          </cell>
          <cell r="B925" t="str">
            <v>Michał</v>
          </cell>
          <cell r="C925" t="str">
            <v>KOZŁOWSKI</v>
          </cell>
          <cell r="D925" t="str">
            <v>LUKS Księżyno</v>
          </cell>
        </row>
        <row r="926">
          <cell r="A926" t="str">
            <v>K0596</v>
          </cell>
          <cell r="B926" t="str">
            <v>Tomasz</v>
          </cell>
          <cell r="C926" t="str">
            <v>KOZŁOWSKI</v>
          </cell>
          <cell r="D926" t="str">
            <v>AZSUWM Olsztyn</v>
          </cell>
        </row>
        <row r="927">
          <cell r="A927" t="str">
            <v>K4658</v>
          </cell>
          <cell r="B927" t="str">
            <v>Zdzisław</v>
          </cell>
          <cell r="C927" t="str">
            <v>KOZŁOWSKI</v>
          </cell>
          <cell r="D927" t="str">
            <v>LUKS Księżyno</v>
          </cell>
        </row>
        <row r="928">
          <cell r="A928" t="str">
            <v>K2302</v>
          </cell>
          <cell r="B928" t="str">
            <v>Bartosz</v>
          </cell>
          <cell r="C928" t="str">
            <v>KOŹMIŃSKI</v>
          </cell>
          <cell r="D928" t="str">
            <v>UKSMTB Smecz Konin</v>
          </cell>
        </row>
        <row r="929">
          <cell r="A929" t="str">
            <v>K1807</v>
          </cell>
          <cell r="B929" t="str">
            <v>Marek</v>
          </cell>
          <cell r="C929" t="str">
            <v>KRAJEWSKI</v>
          </cell>
          <cell r="D929" t="str">
            <v>----</v>
          </cell>
        </row>
        <row r="930">
          <cell r="A930" t="str">
            <v>K5132</v>
          </cell>
          <cell r="B930" t="str">
            <v>Piotr</v>
          </cell>
          <cell r="C930" t="str">
            <v>KRAJEWSKI</v>
          </cell>
          <cell r="D930" t="str">
            <v>UKSB Milenium Warszawa</v>
          </cell>
        </row>
        <row r="931">
          <cell r="A931" t="str">
            <v>K5858</v>
          </cell>
          <cell r="B931" t="str">
            <v>Alan</v>
          </cell>
          <cell r="C931" t="str">
            <v>KRAJNA</v>
          </cell>
          <cell r="D931" t="str">
            <v>----</v>
          </cell>
        </row>
        <row r="932">
          <cell r="A932" t="str">
            <v>K1915</v>
          </cell>
          <cell r="B932" t="str">
            <v>Karol</v>
          </cell>
          <cell r="C932" t="str">
            <v>KRAKOWSKI</v>
          </cell>
          <cell r="D932" t="str">
            <v>UKS Kometa Sianów</v>
          </cell>
        </row>
        <row r="933">
          <cell r="A933" t="str">
            <v>K5101</v>
          </cell>
          <cell r="B933" t="str">
            <v>Maciej</v>
          </cell>
          <cell r="C933" t="str">
            <v>KRAKOWSKI</v>
          </cell>
          <cell r="D933" t="str">
            <v>UKS 70 Płock</v>
          </cell>
        </row>
        <row r="934">
          <cell r="A934" t="str">
            <v>K5895</v>
          </cell>
          <cell r="B934" t="str">
            <v>Magdalena</v>
          </cell>
          <cell r="C934" t="str">
            <v>KRASOWSKA</v>
          </cell>
          <cell r="D934" t="str">
            <v>Górnik Łęczna SA</v>
          </cell>
        </row>
        <row r="935">
          <cell r="A935" t="str">
            <v>K1271</v>
          </cell>
          <cell r="B935" t="str">
            <v>Dariusz</v>
          </cell>
          <cell r="C935" t="str">
            <v>KRASZEWSKI</v>
          </cell>
          <cell r="D935" t="str">
            <v>----</v>
          </cell>
        </row>
        <row r="936">
          <cell r="A936" t="str">
            <v>K4206</v>
          </cell>
          <cell r="B936" t="str">
            <v>Andrzej</v>
          </cell>
          <cell r="C936" t="str">
            <v>KRAWCZYK</v>
          </cell>
          <cell r="D936" t="str">
            <v>UKS Unia Bieruń</v>
          </cell>
        </row>
        <row r="937">
          <cell r="A937" t="str">
            <v>K5618</v>
          </cell>
          <cell r="B937" t="str">
            <v>Marcin</v>
          </cell>
          <cell r="C937" t="str">
            <v>KRAWCZYK</v>
          </cell>
          <cell r="D937" t="str">
            <v>ŚKBad Harcownik Warszawa</v>
          </cell>
        </row>
        <row r="938">
          <cell r="A938" t="str">
            <v>K4230</v>
          </cell>
          <cell r="B938" t="str">
            <v>Wiktor</v>
          </cell>
          <cell r="C938" t="str">
            <v>KRAWCZYK</v>
          </cell>
          <cell r="D938" t="str">
            <v>UKSB Milenium Warszawa</v>
          </cell>
        </row>
        <row r="939">
          <cell r="A939" t="str">
            <v>K0151</v>
          </cell>
          <cell r="B939" t="str">
            <v>Przemysław</v>
          </cell>
          <cell r="C939" t="str">
            <v>KRAWIEC</v>
          </cell>
          <cell r="D939" t="str">
            <v>LKS Technik Głubczyce</v>
          </cell>
        </row>
        <row r="940">
          <cell r="A940" t="str">
            <v>K4690</v>
          </cell>
          <cell r="B940" t="str">
            <v>Jakub</v>
          </cell>
          <cell r="C940" t="str">
            <v>KROK</v>
          </cell>
          <cell r="D940" t="str">
            <v>UKS Kometa Sianów</v>
          </cell>
        </row>
        <row r="941">
          <cell r="A941" t="str">
            <v>K4691</v>
          </cell>
          <cell r="B941" t="str">
            <v>Michał</v>
          </cell>
          <cell r="C941" t="str">
            <v>KROK</v>
          </cell>
          <cell r="D941" t="str">
            <v>UKS Kometa Sianów</v>
          </cell>
        </row>
        <row r="942">
          <cell r="A942" t="str">
            <v>K4211</v>
          </cell>
          <cell r="B942" t="str">
            <v>Magdalena</v>
          </cell>
          <cell r="C942" t="str">
            <v>KROP</v>
          </cell>
          <cell r="D942" t="str">
            <v>MUKS 5 Chełm</v>
          </cell>
        </row>
        <row r="943">
          <cell r="A943" t="str">
            <v>K4964</v>
          </cell>
          <cell r="B943" t="str">
            <v>Alicja</v>
          </cell>
          <cell r="C943" t="str">
            <v>KRÓL</v>
          </cell>
          <cell r="D943" t="str">
            <v>UKS Iskra Babimost</v>
          </cell>
        </row>
        <row r="944">
          <cell r="A944" t="str">
            <v>K2378</v>
          </cell>
          <cell r="B944" t="str">
            <v>Ewelina</v>
          </cell>
          <cell r="C944" t="str">
            <v>KRÓL</v>
          </cell>
          <cell r="D944" t="str">
            <v>MKSKSOS Kraków</v>
          </cell>
        </row>
        <row r="945">
          <cell r="A945" t="str">
            <v>K5622</v>
          </cell>
          <cell r="B945" t="str">
            <v>Kamila</v>
          </cell>
          <cell r="C945" t="str">
            <v>KRÓL</v>
          </cell>
          <cell r="D945" t="str">
            <v>UKS Feniks Kędzierzyn-Koźle</v>
          </cell>
        </row>
        <row r="946">
          <cell r="A946" t="str">
            <v>K2336</v>
          </cell>
          <cell r="B946" t="str">
            <v>Jakub</v>
          </cell>
          <cell r="C946" t="str">
            <v>KRÓLAK</v>
          </cell>
          <cell r="D946" t="str">
            <v>AZSWAT Warszawa</v>
          </cell>
        </row>
        <row r="947">
          <cell r="A947" t="str">
            <v>K1618</v>
          </cell>
          <cell r="B947" t="str">
            <v>Maciej</v>
          </cell>
          <cell r="C947" t="str">
            <v>KRÓLAK</v>
          </cell>
          <cell r="D947" t="str">
            <v>AZSWAT Warszawa</v>
          </cell>
        </row>
        <row r="948">
          <cell r="A948" t="str">
            <v>K1468</v>
          </cell>
          <cell r="B948" t="str">
            <v>Iwona</v>
          </cell>
          <cell r="C948" t="str">
            <v>KRUK</v>
          </cell>
          <cell r="D948" t="str">
            <v>UKS Sokół Ropczyce</v>
          </cell>
        </row>
        <row r="949">
          <cell r="A949" t="str">
            <v>K2635</v>
          </cell>
          <cell r="B949" t="str">
            <v>Karolina</v>
          </cell>
          <cell r="C949" t="str">
            <v>KRUK</v>
          </cell>
          <cell r="D949" t="str">
            <v>UKS Sokół Ropczyce</v>
          </cell>
        </row>
        <row r="950">
          <cell r="A950" t="str">
            <v>K4854</v>
          </cell>
          <cell r="B950" t="str">
            <v>Mateusz</v>
          </cell>
          <cell r="C950" t="str">
            <v>KRUK</v>
          </cell>
          <cell r="D950" t="str">
            <v>UKS Astra Wrocław</v>
          </cell>
        </row>
        <row r="951">
          <cell r="A951" t="str">
            <v>K2636</v>
          </cell>
          <cell r="B951" t="str">
            <v>Paulina</v>
          </cell>
          <cell r="C951" t="str">
            <v>KRUK</v>
          </cell>
          <cell r="D951" t="str">
            <v>UKS Sokół Ropczyce</v>
          </cell>
        </row>
        <row r="952">
          <cell r="A952" t="str">
            <v>K5579</v>
          </cell>
          <cell r="B952" t="str">
            <v>Maja</v>
          </cell>
          <cell r="C952" t="str">
            <v>KRUKOWSKA</v>
          </cell>
          <cell r="D952" t="str">
            <v>UKS Kiko Zamość</v>
          </cell>
        </row>
        <row r="953">
          <cell r="A953" t="str">
            <v>K4283</v>
          </cell>
          <cell r="B953" t="str">
            <v>Filip</v>
          </cell>
          <cell r="C953" t="str">
            <v>KRUKOWSKI</v>
          </cell>
          <cell r="D953" t="str">
            <v>SKB Suwałki</v>
          </cell>
        </row>
        <row r="954">
          <cell r="A954" t="str">
            <v>K5075</v>
          </cell>
          <cell r="B954" t="str">
            <v>Mateusz</v>
          </cell>
          <cell r="C954" t="str">
            <v>KRUPA</v>
          </cell>
          <cell r="D954" t="str">
            <v>UKSB Volant Mielec</v>
          </cell>
        </row>
        <row r="955">
          <cell r="A955" t="str">
            <v>K5204</v>
          </cell>
          <cell r="B955" t="str">
            <v>Patryk</v>
          </cell>
          <cell r="C955" t="str">
            <v>KRUPCZAK</v>
          </cell>
          <cell r="D955" t="str">
            <v>UKS Jagiellonka Medyka</v>
          </cell>
        </row>
        <row r="956">
          <cell r="A956" t="str">
            <v>K4734</v>
          </cell>
          <cell r="B956" t="str">
            <v>Martyna</v>
          </cell>
          <cell r="C956" t="str">
            <v>KRUPIŃSKA</v>
          </cell>
          <cell r="D956" t="str">
            <v>UKS 70 Płock</v>
          </cell>
        </row>
        <row r="957">
          <cell r="A957" t="str">
            <v>K5900</v>
          </cell>
          <cell r="B957" t="str">
            <v>Krystian</v>
          </cell>
          <cell r="C957" t="str">
            <v>KRUPIŃSKI</v>
          </cell>
          <cell r="D957" t="str">
            <v>KKS Ruch Piotrków Tryb.</v>
          </cell>
        </row>
        <row r="958">
          <cell r="A958" t="str">
            <v>K5561</v>
          </cell>
          <cell r="B958" t="str">
            <v>Konrad</v>
          </cell>
          <cell r="C958" t="str">
            <v>KRUSZAKIN</v>
          </cell>
          <cell r="D958" t="str">
            <v>KS Stal Sulęcin</v>
          </cell>
        </row>
        <row r="959">
          <cell r="A959" t="str">
            <v>K5505</v>
          </cell>
          <cell r="B959" t="str">
            <v>Maciej</v>
          </cell>
          <cell r="C959" t="str">
            <v>KRUSZYŃSKI</v>
          </cell>
          <cell r="D959" t="str">
            <v>ZKB Maced Polanów</v>
          </cell>
        </row>
        <row r="960">
          <cell r="A960" t="str">
            <v>K5621</v>
          </cell>
          <cell r="B960" t="str">
            <v>Karol</v>
          </cell>
          <cell r="C960" t="str">
            <v>KRUŻYŃSKI</v>
          </cell>
          <cell r="D960" t="str">
            <v>UKS 70 Płock</v>
          </cell>
        </row>
        <row r="961">
          <cell r="A961" t="str">
            <v>K4766</v>
          </cell>
          <cell r="B961" t="str">
            <v>Mateusz</v>
          </cell>
          <cell r="C961" t="str">
            <v>KRYSA</v>
          </cell>
          <cell r="D961" t="str">
            <v>MLKS Solec Kuj.</v>
          </cell>
        </row>
        <row r="962">
          <cell r="A962" t="str">
            <v>K3474</v>
          </cell>
          <cell r="B962" t="str">
            <v>Joanna</v>
          </cell>
          <cell r="C962" t="str">
            <v>KRYSIAK</v>
          </cell>
          <cell r="D962" t="str">
            <v>SKB Suwałki</v>
          </cell>
        </row>
        <row r="963">
          <cell r="A963" t="str">
            <v>K3475</v>
          </cell>
          <cell r="B963" t="str">
            <v>Sebastian</v>
          </cell>
          <cell r="C963" t="str">
            <v>KRYSIAK</v>
          </cell>
          <cell r="D963" t="str">
            <v>SKB Suwałki</v>
          </cell>
        </row>
        <row r="964">
          <cell r="A964" t="str">
            <v>K3484</v>
          </cell>
          <cell r="B964" t="str">
            <v>Kamil</v>
          </cell>
          <cell r="C964" t="str">
            <v>KRYSIUK</v>
          </cell>
          <cell r="D964" t="str">
            <v>LUKS Badminton Choroszcz</v>
          </cell>
        </row>
        <row r="965">
          <cell r="A965" t="str">
            <v>K5228</v>
          </cell>
          <cell r="B965" t="str">
            <v>Konrad</v>
          </cell>
          <cell r="C965" t="str">
            <v>KRYSTEK</v>
          </cell>
          <cell r="D965" t="str">
            <v>UKS Orbitek Straszęcin</v>
          </cell>
        </row>
        <row r="966">
          <cell r="A966" t="str">
            <v>K4679</v>
          </cell>
          <cell r="B966" t="str">
            <v>Anna</v>
          </cell>
          <cell r="C966" t="str">
            <v>KRYSZTOFORSKA</v>
          </cell>
          <cell r="D966" t="str">
            <v>MUKBMDK Płock</v>
          </cell>
        </row>
        <row r="967">
          <cell r="A967" t="str">
            <v>K5950</v>
          </cell>
          <cell r="B967" t="str">
            <v>Olga</v>
          </cell>
          <cell r="C967" t="str">
            <v>KRZEMIŃSKA</v>
          </cell>
          <cell r="D967" t="str">
            <v>KS Masovia Płock</v>
          </cell>
        </row>
        <row r="968">
          <cell r="A968" t="str">
            <v>K5322</v>
          </cell>
          <cell r="B968" t="str">
            <v>Piotr</v>
          </cell>
          <cell r="C968" t="str">
            <v>KRZEMIŃSKI</v>
          </cell>
          <cell r="D968" t="str">
            <v>UKS Astra Wrocław</v>
          </cell>
        </row>
        <row r="969">
          <cell r="A969" t="str">
            <v>K3149</v>
          </cell>
          <cell r="B969" t="str">
            <v>Dominik</v>
          </cell>
          <cell r="C969" t="str">
            <v>KRZĘCIO</v>
          </cell>
          <cell r="D969" t="str">
            <v>AZSWAT Warszawa</v>
          </cell>
        </row>
        <row r="970">
          <cell r="A970" t="str">
            <v>K4124</v>
          </cell>
          <cell r="B970" t="str">
            <v>Adam</v>
          </cell>
          <cell r="C970" t="str">
            <v>KRZYMOWSKI</v>
          </cell>
          <cell r="D970" t="str">
            <v>ŚKBad Harcownik Warszawa</v>
          </cell>
        </row>
        <row r="971">
          <cell r="A971" t="str">
            <v>K5867</v>
          </cell>
          <cell r="B971" t="str">
            <v>Ida</v>
          </cell>
          <cell r="C971" t="str">
            <v>KRZYWICKA</v>
          </cell>
          <cell r="D971" t="str">
            <v>MMKS Gdańsk</v>
          </cell>
        </row>
        <row r="972">
          <cell r="A972" t="str">
            <v>K4316</v>
          </cell>
          <cell r="B972" t="str">
            <v>Emilia</v>
          </cell>
          <cell r="C972" t="str">
            <v>KRZYŻANOWSKA</v>
          </cell>
          <cell r="D972" t="str">
            <v>UKS Kiko Zamość</v>
          </cell>
        </row>
        <row r="973">
          <cell r="A973" t="str">
            <v>K5826</v>
          </cell>
          <cell r="B973" t="str">
            <v>Ines</v>
          </cell>
          <cell r="C973" t="str">
            <v>KSIĄŻYK</v>
          </cell>
          <cell r="D973" t="str">
            <v>KS Stal Sulęcin</v>
          </cell>
        </row>
        <row r="974">
          <cell r="A974" t="str">
            <v>K1483</v>
          </cell>
          <cell r="B974" t="str">
            <v>Władysław</v>
          </cell>
          <cell r="C974" t="str">
            <v>KSIĘŻYK</v>
          </cell>
          <cell r="D974" t="str">
            <v>----</v>
          </cell>
        </row>
        <row r="975">
          <cell r="A975" t="str">
            <v>K5833</v>
          </cell>
          <cell r="B975" t="str">
            <v>Natan</v>
          </cell>
          <cell r="C975" t="str">
            <v>KUBAS</v>
          </cell>
          <cell r="D975" t="str">
            <v>UKS Hubal Białystok</v>
          </cell>
        </row>
        <row r="976">
          <cell r="A976" t="str">
            <v>K0950</v>
          </cell>
          <cell r="B976" t="str">
            <v>Anna</v>
          </cell>
          <cell r="C976" t="str">
            <v>KUBEC</v>
          </cell>
          <cell r="D976" t="str">
            <v>----</v>
          </cell>
        </row>
        <row r="977">
          <cell r="A977" t="str">
            <v>K5891</v>
          </cell>
          <cell r="B977" t="str">
            <v>Natalia</v>
          </cell>
          <cell r="C977" t="str">
            <v>KUBERA</v>
          </cell>
          <cell r="D977" t="str">
            <v>Górnik Łęczna SA</v>
          </cell>
        </row>
        <row r="978">
          <cell r="A978" t="str">
            <v>K5706</v>
          </cell>
          <cell r="B978" t="str">
            <v>Anna</v>
          </cell>
          <cell r="C978" t="str">
            <v>KUBIAK</v>
          </cell>
          <cell r="D978" t="str">
            <v>----</v>
          </cell>
        </row>
        <row r="979">
          <cell r="A979" t="str">
            <v>K5866</v>
          </cell>
          <cell r="B979" t="str">
            <v>Marta</v>
          </cell>
          <cell r="C979" t="str">
            <v>KUBIAK</v>
          </cell>
          <cell r="D979" t="str">
            <v>AZSOŚ Łódź</v>
          </cell>
        </row>
        <row r="980">
          <cell r="A980" t="str">
            <v>K5712</v>
          </cell>
          <cell r="B980" t="str">
            <v>Ryszard</v>
          </cell>
          <cell r="C980" t="str">
            <v>KUBIAK</v>
          </cell>
          <cell r="D980" t="str">
            <v>----</v>
          </cell>
        </row>
        <row r="981">
          <cell r="A981" t="str">
            <v>K5820</v>
          </cell>
          <cell r="B981" t="str">
            <v>Małgorzata</v>
          </cell>
          <cell r="C981" t="str">
            <v>KUBLIN</v>
          </cell>
          <cell r="D981" t="str">
            <v>UKSB Milenium Warszawa</v>
          </cell>
        </row>
        <row r="982">
          <cell r="A982" t="str">
            <v>K5333</v>
          </cell>
          <cell r="B982" t="str">
            <v>Małgorzata</v>
          </cell>
          <cell r="C982" t="str">
            <v>KUCAJ</v>
          </cell>
          <cell r="D982" t="str">
            <v>UMKS Dubiecko</v>
          </cell>
        </row>
        <row r="983">
          <cell r="A983" t="str">
            <v>K5446</v>
          </cell>
          <cell r="B983" t="str">
            <v>Bartłomiej</v>
          </cell>
          <cell r="C983" t="str">
            <v>KUCHARCZYK</v>
          </cell>
          <cell r="D983" t="str">
            <v>UKSOSIR Badminton Sławno</v>
          </cell>
        </row>
        <row r="984">
          <cell r="A984" t="str">
            <v>K4815</v>
          </cell>
          <cell r="B984" t="str">
            <v>Joanna</v>
          </cell>
          <cell r="C984" t="str">
            <v>KUCHAREWICZ</v>
          </cell>
          <cell r="D984" t="str">
            <v>UKS Hubal Białystok</v>
          </cell>
        </row>
        <row r="985">
          <cell r="A985" t="str">
            <v>K5189</v>
          </cell>
          <cell r="B985" t="str">
            <v>Bartosz</v>
          </cell>
          <cell r="C985" t="str">
            <v>KUCHARSKI</v>
          </cell>
          <cell r="D985" t="str">
            <v>UKS Kiko Zamość</v>
          </cell>
        </row>
        <row r="986">
          <cell r="A986" t="str">
            <v>K5934</v>
          </cell>
          <cell r="B986" t="str">
            <v>Tomasz</v>
          </cell>
          <cell r="C986" t="str">
            <v>KUCIEJCZYK</v>
          </cell>
          <cell r="D986" t="str">
            <v>----</v>
          </cell>
        </row>
        <row r="987">
          <cell r="A987" t="str">
            <v>K5346</v>
          </cell>
          <cell r="B987" t="str">
            <v>Daniel</v>
          </cell>
          <cell r="C987" t="str">
            <v>KUCYK</v>
          </cell>
          <cell r="D987" t="str">
            <v>UKS Kiko Zamość</v>
          </cell>
        </row>
        <row r="988">
          <cell r="A988" t="str">
            <v>K4317</v>
          </cell>
          <cell r="B988" t="str">
            <v>Filip</v>
          </cell>
          <cell r="C988" t="str">
            <v>KUCZKOWSKI</v>
          </cell>
          <cell r="D988" t="str">
            <v>ULKS U-2 Lotka Bytów</v>
          </cell>
        </row>
        <row r="989">
          <cell r="A989" t="str">
            <v>K5788</v>
          </cell>
          <cell r="B989" t="str">
            <v>Oskar</v>
          </cell>
          <cell r="C989" t="str">
            <v>KUDROŃ</v>
          </cell>
          <cell r="D989" t="str">
            <v>UKS Orbitek Straszęcin</v>
          </cell>
        </row>
        <row r="990">
          <cell r="A990" t="str">
            <v>K3864</v>
          </cell>
          <cell r="B990" t="str">
            <v>Patryk</v>
          </cell>
          <cell r="C990" t="str">
            <v>KUDYK</v>
          </cell>
          <cell r="D990" t="str">
            <v>UKS Kiko Zamość</v>
          </cell>
        </row>
        <row r="991">
          <cell r="A991" t="str">
            <v>K3764</v>
          </cell>
          <cell r="B991" t="str">
            <v>Sandra</v>
          </cell>
          <cell r="C991" t="str">
            <v>KUDYK</v>
          </cell>
          <cell r="D991" t="str">
            <v>UKS Kiko Zamość</v>
          </cell>
        </row>
        <row r="992">
          <cell r="A992" t="str">
            <v>K4613</v>
          </cell>
          <cell r="B992" t="str">
            <v>Jakub</v>
          </cell>
          <cell r="C992" t="str">
            <v>KUFEL</v>
          </cell>
          <cell r="D992" t="str">
            <v>UKS Orbitek Straszęcin</v>
          </cell>
        </row>
        <row r="993">
          <cell r="A993" t="str">
            <v>K4877</v>
          </cell>
          <cell r="B993" t="str">
            <v>Bartosz</v>
          </cell>
          <cell r="C993" t="str">
            <v>KUK</v>
          </cell>
          <cell r="D993" t="str">
            <v>KKS Warmia Olsztyn</v>
          </cell>
        </row>
        <row r="994">
          <cell r="A994" t="str">
            <v>K5656</v>
          </cell>
          <cell r="B994" t="str">
            <v>Joanna</v>
          </cell>
          <cell r="C994" t="str">
            <v>KUKLIŃSKA</v>
          </cell>
          <cell r="D994" t="str">
            <v>UKSB Volant Mielec</v>
          </cell>
        </row>
        <row r="995">
          <cell r="A995" t="str">
            <v>K4556</v>
          </cell>
          <cell r="B995" t="str">
            <v>Piotr</v>
          </cell>
          <cell r="C995" t="str">
            <v>KUKUŁA</v>
          </cell>
          <cell r="D995" t="str">
            <v>UKS Orliki Ropica Polska</v>
          </cell>
        </row>
        <row r="996">
          <cell r="A996" t="str">
            <v>K5667</v>
          </cell>
          <cell r="B996" t="str">
            <v>Nikolas</v>
          </cell>
          <cell r="C996" t="str">
            <v>KULA</v>
          </cell>
          <cell r="D996" t="str">
            <v>UKS Feniks Kędzierzyn-Koźle</v>
          </cell>
        </row>
        <row r="997">
          <cell r="A997" t="str">
            <v>K0635</v>
          </cell>
          <cell r="B997" t="str">
            <v>Barbara</v>
          </cell>
          <cell r="C997" t="str">
            <v>KULANTY</v>
          </cell>
          <cell r="D997" t="str">
            <v>AZSAGH Kraków</v>
          </cell>
        </row>
        <row r="998">
          <cell r="A998" t="str">
            <v>K5032</v>
          </cell>
          <cell r="B998" t="str">
            <v>Konrad</v>
          </cell>
          <cell r="C998" t="str">
            <v>KULAWIK</v>
          </cell>
          <cell r="D998" t="str">
            <v>UKS Unia Bieruń</v>
          </cell>
        </row>
        <row r="999">
          <cell r="A999" t="str">
            <v>K4034</v>
          </cell>
          <cell r="B999" t="str">
            <v>Mikołaj</v>
          </cell>
          <cell r="C999" t="str">
            <v>KULBAT</v>
          </cell>
          <cell r="D999" t="str">
            <v>KKS Ruch Piotrków Tryb.</v>
          </cell>
        </row>
        <row r="1000">
          <cell r="A1000" t="str">
            <v>K4314</v>
          </cell>
          <cell r="B1000" t="str">
            <v>Natalia</v>
          </cell>
          <cell r="C1000" t="str">
            <v>KULCZYŃSKA</v>
          </cell>
          <cell r="D1000" t="str">
            <v>MLKS Solec Kuj.</v>
          </cell>
        </row>
        <row r="1001">
          <cell r="A1001" t="str">
            <v>K0467</v>
          </cell>
          <cell r="B1001" t="str">
            <v>Grzegorz</v>
          </cell>
          <cell r="C1001" t="str">
            <v>KULESZA</v>
          </cell>
          <cell r="D1001" t="str">
            <v>----</v>
          </cell>
        </row>
        <row r="1002">
          <cell r="A1002" t="str">
            <v>K4453</v>
          </cell>
          <cell r="B1002" t="str">
            <v>Maksymilian</v>
          </cell>
          <cell r="C1002" t="str">
            <v>KULIGOWSKI</v>
          </cell>
          <cell r="D1002" t="str">
            <v>MLKS Solec Kuj.</v>
          </cell>
        </row>
        <row r="1003">
          <cell r="A1003" t="str">
            <v>K5549</v>
          </cell>
          <cell r="B1003" t="str">
            <v>Julia</v>
          </cell>
          <cell r="C1003" t="str">
            <v>KULIK</v>
          </cell>
          <cell r="D1003" t="str">
            <v>AZSAGH Kraków</v>
          </cell>
        </row>
        <row r="1004">
          <cell r="A1004" t="str">
            <v>K5184</v>
          </cell>
          <cell r="B1004" t="str">
            <v>Jakub</v>
          </cell>
          <cell r="C1004" t="str">
            <v>KULIŃSKI</v>
          </cell>
          <cell r="D1004" t="str">
            <v>UKS Kiko Zamość</v>
          </cell>
        </row>
        <row r="1005">
          <cell r="A1005" t="str">
            <v>K5033</v>
          </cell>
          <cell r="B1005" t="str">
            <v>Magdalena</v>
          </cell>
          <cell r="C1005" t="str">
            <v>KULSKA</v>
          </cell>
          <cell r="D1005" t="str">
            <v>UKS Unia Bieruń</v>
          </cell>
        </row>
        <row r="1006">
          <cell r="A1006" t="str">
            <v>K5038</v>
          </cell>
          <cell r="B1006" t="str">
            <v>Kamil</v>
          </cell>
          <cell r="C1006" t="str">
            <v>KULSKI</v>
          </cell>
          <cell r="D1006" t="str">
            <v>UKS Unia Bieruń</v>
          </cell>
        </row>
        <row r="1007">
          <cell r="A1007" t="str">
            <v>K5600</v>
          </cell>
          <cell r="B1007" t="str">
            <v>Gabriela</v>
          </cell>
          <cell r="C1007" t="str">
            <v>KUŁAKOWSKA</v>
          </cell>
          <cell r="D1007" t="str">
            <v>UKS Hubal Białystok</v>
          </cell>
        </row>
        <row r="1008">
          <cell r="A1008" t="str">
            <v>K4332</v>
          </cell>
          <cell r="B1008" t="str">
            <v>Klaudia</v>
          </cell>
          <cell r="C1008" t="str">
            <v>KUPIEC</v>
          </cell>
          <cell r="D1008" t="str">
            <v>UKS Kiko Zamość</v>
          </cell>
        </row>
        <row r="1009">
          <cell r="A1009" t="str">
            <v>K5746</v>
          </cell>
          <cell r="B1009" t="str">
            <v>Wiktoria</v>
          </cell>
          <cell r="C1009" t="str">
            <v>KUPIEC</v>
          </cell>
          <cell r="D1009" t="str">
            <v>UKS Kiko Zamość</v>
          </cell>
        </row>
        <row r="1010">
          <cell r="A1010" t="str">
            <v>K5022</v>
          </cell>
          <cell r="B1010" t="str">
            <v>Korneliusz</v>
          </cell>
          <cell r="C1010" t="str">
            <v>KUPIS</v>
          </cell>
          <cell r="D1010" t="str">
            <v>ULKS Łączna</v>
          </cell>
        </row>
        <row r="1011">
          <cell r="A1011" t="str">
            <v>K5581</v>
          </cell>
          <cell r="B1011" t="str">
            <v>Ilona</v>
          </cell>
          <cell r="C1011" t="str">
            <v>KUPREWICZ</v>
          </cell>
          <cell r="D1011" t="str">
            <v>SKB Suwałki</v>
          </cell>
        </row>
        <row r="1012">
          <cell r="A1012" t="str">
            <v>K5874</v>
          </cell>
          <cell r="B1012" t="str">
            <v>Maciej</v>
          </cell>
          <cell r="C1012" t="str">
            <v>KURAN</v>
          </cell>
          <cell r="D1012" t="str">
            <v>----</v>
          </cell>
        </row>
        <row r="1013">
          <cell r="A1013" t="str">
            <v>K4923</v>
          </cell>
          <cell r="B1013" t="str">
            <v>Filip</v>
          </cell>
          <cell r="C1013" t="str">
            <v>KURANDA</v>
          </cell>
          <cell r="D1013" t="str">
            <v>UKS 25 Kielce</v>
          </cell>
        </row>
        <row r="1014">
          <cell r="A1014" t="str">
            <v>K4704</v>
          </cell>
          <cell r="B1014" t="str">
            <v>Jarosław</v>
          </cell>
          <cell r="C1014" t="str">
            <v>KURKOWSKI</v>
          </cell>
          <cell r="D1014" t="str">
            <v>MLKS Solec Kuj.</v>
          </cell>
        </row>
        <row r="1015">
          <cell r="A1015" t="str">
            <v>K3375</v>
          </cell>
          <cell r="B1015" t="str">
            <v>Wojciech</v>
          </cell>
          <cell r="C1015" t="str">
            <v>KURZYŃSKI</v>
          </cell>
          <cell r="D1015" t="str">
            <v>UKS Trójka Tarnobrzeg</v>
          </cell>
        </row>
        <row r="1016">
          <cell r="A1016" t="str">
            <v>K5387</v>
          </cell>
          <cell r="B1016" t="str">
            <v>Klaudia</v>
          </cell>
          <cell r="C1016" t="str">
            <v>KUSIAK</v>
          </cell>
          <cell r="D1016" t="str">
            <v>UKS Orliki Ropica Polska</v>
          </cell>
        </row>
        <row r="1017">
          <cell r="A1017" t="str">
            <v>K5233</v>
          </cell>
          <cell r="B1017" t="str">
            <v>Jakub</v>
          </cell>
          <cell r="C1017" t="str">
            <v>KUSZA</v>
          </cell>
          <cell r="D1017" t="str">
            <v>UKS Orbitek Straszęcin</v>
          </cell>
        </row>
        <row r="1018">
          <cell r="A1018" t="str">
            <v>K5173</v>
          </cell>
          <cell r="B1018" t="str">
            <v>Patrycja</v>
          </cell>
          <cell r="C1018" t="str">
            <v>KUSZMAR</v>
          </cell>
          <cell r="D1018" t="str">
            <v>UKS Kometa Sianów</v>
          </cell>
        </row>
        <row r="1019">
          <cell r="A1019" t="str">
            <v>K5470</v>
          </cell>
          <cell r="B1019" t="str">
            <v>Maciej</v>
          </cell>
          <cell r="C1019" t="str">
            <v>KUSZTELAK</v>
          </cell>
          <cell r="D1019" t="str">
            <v>KS Chojnik Jelenia Góra</v>
          </cell>
        </row>
        <row r="1020">
          <cell r="A1020" t="str">
            <v>K5713</v>
          </cell>
          <cell r="B1020" t="str">
            <v>Tomasz</v>
          </cell>
          <cell r="C1020" t="str">
            <v>KUŚMIEREK</v>
          </cell>
          <cell r="D1020" t="str">
            <v>----</v>
          </cell>
        </row>
        <row r="1021">
          <cell r="A1021" t="str">
            <v>K3863</v>
          </cell>
          <cell r="B1021" t="str">
            <v>Katarzyna</v>
          </cell>
          <cell r="C1021" t="str">
            <v>KUTACHA</v>
          </cell>
          <cell r="D1021" t="str">
            <v>UKS Start Widełka</v>
          </cell>
        </row>
        <row r="1022">
          <cell r="A1022" t="str">
            <v>K4929</v>
          </cell>
          <cell r="B1022" t="str">
            <v>Jakub</v>
          </cell>
          <cell r="C1022" t="str">
            <v>KUTYŁA</v>
          </cell>
          <cell r="D1022" t="str">
            <v>AZSAGH Kraków</v>
          </cell>
        </row>
        <row r="1023">
          <cell r="A1023" t="str">
            <v>K3842</v>
          </cell>
          <cell r="B1023" t="str">
            <v>Tomasz</v>
          </cell>
          <cell r="C1023" t="str">
            <v>KUTYŁA</v>
          </cell>
          <cell r="D1023" t="str">
            <v>AZSAGH Kraków</v>
          </cell>
        </row>
        <row r="1024">
          <cell r="A1024" t="str">
            <v>K5722</v>
          </cell>
          <cell r="B1024" t="str">
            <v>Sebastian</v>
          </cell>
          <cell r="C1024" t="str">
            <v>KUZIOŁA</v>
          </cell>
          <cell r="D1024" t="str">
            <v>----</v>
          </cell>
        </row>
        <row r="1025">
          <cell r="A1025" t="str">
            <v>K5910</v>
          </cell>
          <cell r="B1025" t="str">
            <v>Kevin</v>
          </cell>
          <cell r="C1025" t="str">
            <v>KUZIOROWICZ</v>
          </cell>
          <cell r="D1025" t="str">
            <v>UKS Junior Wrzosowa</v>
          </cell>
        </row>
        <row r="1026">
          <cell r="A1026" t="str">
            <v>K4273</v>
          </cell>
          <cell r="B1026" t="str">
            <v>Maksymilian</v>
          </cell>
          <cell r="C1026" t="str">
            <v>KWARCIŃSKI</v>
          </cell>
          <cell r="D1026" t="str">
            <v>UKSOSIR Badminton Sławno</v>
          </cell>
        </row>
        <row r="1027">
          <cell r="A1027" t="str">
            <v>K3503</v>
          </cell>
          <cell r="B1027" t="str">
            <v>Kamil</v>
          </cell>
          <cell r="C1027" t="str">
            <v>KWAŚNIEWSKI</v>
          </cell>
          <cell r="D1027" t="str">
            <v>MKS Orlicz Suchedniów</v>
          </cell>
        </row>
        <row r="1028">
          <cell r="A1028" t="str">
            <v>K3504</v>
          </cell>
          <cell r="B1028" t="str">
            <v>Patryk</v>
          </cell>
          <cell r="C1028" t="str">
            <v>KWAŚNIEWSKI</v>
          </cell>
          <cell r="D1028" t="str">
            <v>MKS Orlicz Suchedniów</v>
          </cell>
        </row>
        <row r="1029">
          <cell r="A1029" t="str">
            <v>K5208</v>
          </cell>
          <cell r="B1029" t="str">
            <v>Dominika</v>
          </cell>
          <cell r="C1029" t="str">
            <v>KWAŚNIK</v>
          </cell>
          <cell r="D1029" t="str">
            <v>UKS Feniks Kędzierzyn-Koźle</v>
          </cell>
        </row>
        <row r="1030">
          <cell r="A1030" t="str">
            <v>K5929</v>
          </cell>
          <cell r="B1030" t="str">
            <v>Klaudia</v>
          </cell>
          <cell r="C1030" t="str">
            <v>KWAŚNIK</v>
          </cell>
          <cell r="D1030" t="str">
            <v>Górnik Łęczna SA</v>
          </cell>
        </row>
        <row r="1031">
          <cell r="A1031" t="str">
            <v>K4682</v>
          </cell>
          <cell r="B1031" t="str">
            <v>Olga</v>
          </cell>
          <cell r="C1031" t="str">
            <v>KWAŚNY</v>
          </cell>
          <cell r="D1031" t="str">
            <v>UKS Kopernik Słupca</v>
          </cell>
        </row>
        <row r="1032">
          <cell r="A1032" t="str">
            <v>K5598</v>
          </cell>
          <cell r="B1032" t="str">
            <v>Eliza</v>
          </cell>
          <cell r="C1032" t="str">
            <v>KWIATKOWSKA</v>
          </cell>
          <cell r="D1032" t="str">
            <v>STB Energia Lubliniec</v>
          </cell>
        </row>
        <row r="1033">
          <cell r="A1033" t="str">
            <v>K4667</v>
          </cell>
          <cell r="B1033" t="str">
            <v>Piotr</v>
          </cell>
          <cell r="C1033" t="str">
            <v>KWIECIŃSKI</v>
          </cell>
          <cell r="D1033" t="str">
            <v>----</v>
          </cell>
        </row>
        <row r="1034">
          <cell r="A1034" t="str">
            <v>L0527</v>
          </cell>
          <cell r="B1034" t="str">
            <v>Ryszard</v>
          </cell>
          <cell r="C1034" t="str">
            <v>LACHMAN</v>
          </cell>
          <cell r="D1034" t="str">
            <v>----</v>
          </cell>
        </row>
        <row r="1035">
          <cell r="A1035" t="str">
            <v>L4807</v>
          </cell>
          <cell r="B1035" t="str">
            <v>Weronika</v>
          </cell>
          <cell r="C1035" t="str">
            <v>LANCMAN</v>
          </cell>
          <cell r="D1035" t="str">
            <v>UKS 2 Sobótka</v>
          </cell>
        </row>
        <row r="1036">
          <cell r="A1036" t="str">
            <v>L2035</v>
          </cell>
          <cell r="B1036" t="str">
            <v>Jakub</v>
          </cell>
          <cell r="C1036" t="str">
            <v>LANG</v>
          </cell>
          <cell r="D1036" t="str">
            <v>AZSWAT Warszawa</v>
          </cell>
        </row>
        <row r="1037">
          <cell r="A1037" t="str">
            <v>L5550</v>
          </cell>
          <cell r="B1037" t="str">
            <v>Jan</v>
          </cell>
          <cell r="C1037" t="str">
            <v>LARYSZ</v>
          </cell>
          <cell r="D1037" t="str">
            <v>AZSAGH Kraków</v>
          </cell>
        </row>
        <row r="1038">
          <cell r="A1038" t="str">
            <v>L5958</v>
          </cell>
          <cell r="B1038" t="str">
            <v>Joanna</v>
          </cell>
          <cell r="C1038" t="str">
            <v>LASECKA</v>
          </cell>
          <cell r="D1038" t="str">
            <v>OTB Lotka Ostrów Wlkp.</v>
          </cell>
        </row>
        <row r="1039">
          <cell r="A1039" t="str">
            <v>L5480</v>
          </cell>
          <cell r="B1039" t="str">
            <v>Sebastian</v>
          </cell>
          <cell r="C1039" t="str">
            <v>LASECKI</v>
          </cell>
          <cell r="D1039" t="str">
            <v>----</v>
          </cell>
        </row>
        <row r="1040">
          <cell r="A1040" t="str">
            <v>L5359</v>
          </cell>
          <cell r="B1040" t="str">
            <v>Aleksandra</v>
          </cell>
          <cell r="C1040" t="str">
            <v>LASKOWSKA</v>
          </cell>
          <cell r="D1040" t="str">
            <v>UKS Kiko Zamość</v>
          </cell>
        </row>
        <row r="1041">
          <cell r="A1041" t="str">
            <v>L5747</v>
          </cell>
          <cell r="B1041" t="str">
            <v>Karolina</v>
          </cell>
          <cell r="C1041" t="str">
            <v>LASKOWSKA</v>
          </cell>
          <cell r="D1041" t="str">
            <v>UKS Kiko Zamość</v>
          </cell>
        </row>
        <row r="1042">
          <cell r="A1042" t="str">
            <v>L5661</v>
          </cell>
          <cell r="B1042" t="str">
            <v>Marcin</v>
          </cell>
          <cell r="C1042" t="str">
            <v>LASOTA</v>
          </cell>
          <cell r="D1042" t="str">
            <v>----</v>
          </cell>
        </row>
        <row r="1043">
          <cell r="A1043" t="str">
            <v>L1461</v>
          </cell>
          <cell r="B1043" t="str">
            <v>Krzysztof</v>
          </cell>
          <cell r="C1043" t="str">
            <v>LATAWSKI</v>
          </cell>
          <cell r="D1043" t="str">
            <v>----</v>
          </cell>
        </row>
        <row r="1044">
          <cell r="A1044" t="str">
            <v>L4255</v>
          </cell>
          <cell r="B1044" t="str">
            <v>Natalia</v>
          </cell>
          <cell r="C1044" t="str">
            <v>LAUKS</v>
          </cell>
          <cell r="D1044" t="str">
            <v>KKS Ruch Piotrków Tryb.</v>
          </cell>
        </row>
        <row r="1045">
          <cell r="A1045" t="str">
            <v>L5398</v>
          </cell>
          <cell r="B1045" t="str">
            <v>Dominika</v>
          </cell>
          <cell r="C1045" t="str">
            <v>LĄKOCY</v>
          </cell>
          <cell r="D1045" t="str">
            <v>PMKS Chrobry Piotrowice</v>
          </cell>
        </row>
        <row r="1046">
          <cell r="A1046" t="str">
            <v>L4078</v>
          </cell>
          <cell r="B1046" t="str">
            <v>Norbert</v>
          </cell>
          <cell r="C1046" t="str">
            <v>LECH</v>
          </cell>
          <cell r="D1046" t="str">
            <v>UKS Ząbkowice Dąbrowa Górn.</v>
          </cell>
        </row>
        <row r="1047">
          <cell r="A1047" t="str">
            <v>L4928</v>
          </cell>
          <cell r="B1047" t="str">
            <v>Weronika</v>
          </cell>
          <cell r="C1047" t="str">
            <v>LECH</v>
          </cell>
          <cell r="D1047" t="str">
            <v>AZSAGH Kraków</v>
          </cell>
        </row>
        <row r="1048">
          <cell r="A1048" t="str">
            <v>L4434</v>
          </cell>
          <cell r="B1048" t="str">
            <v>Bazyli</v>
          </cell>
          <cell r="C1048" t="str">
            <v>LECZKOWSKI</v>
          </cell>
          <cell r="D1048" t="str">
            <v>----</v>
          </cell>
        </row>
        <row r="1049">
          <cell r="A1049" t="str">
            <v>L5911</v>
          </cell>
          <cell r="B1049" t="str">
            <v>Artur</v>
          </cell>
          <cell r="C1049" t="str">
            <v>LEDWOŃ</v>
          </cell>
          <cell r="D1049" t="str">
            <v>UKS Plesbad Pszczyna</v>
          </cell>
        </row>
        <row r="1050">
          <cell r="A1050" t="str">
            <v>L4574</v>
          </cell>
          <cell r="B1050" t="str">
            <v>Aleksandra</v>
          </cell>
          <cell r="C1050" t="str">
            <v>LEGIĘĆ</v>
          </cell>
          <cell r="D1050" t="str">
            <v>UKS Smecz Bogatynia</v>
          </cell>
        </row>
        <row r="1051">
          <cell r="A1051" t="str">
            <v>L5686</v>
          </cell>
          <cell r="B1051" t="str">
            <v>Jan</v>
          </cell>
          <cell r="C1051" t="str">
            <v>LEGIĘĆ</v>
          </cell>
          <cell r="D1051" t="str">
            <v>UKS Smecz Bogatynia</v>
          </cell>
        </row>
        <row r="1052">
          <cell r="A1052" t="str">
            <v>L4716</v>
          </cell>
          <cell r="B1052" t="str">
            <v>Rafał</v>
          </cell>
          <cell r="C1052" t="str">
            <v>LEJKO</v>
          </cell>
          <cell r="D1052" t="str">
            <v>MKS Stal Nowa Dęba</v>
          </cell>
        </row>
        <row r="1053">
          <cell r="A1053" t="str">
            <v>L4706</v>
          </cell>
          <cell r="B1053" t="str">
            <v>Marek</v>
          </cell>
          <cell r="C1053" t="str">
            <v>LENARTOWICZ</v>
          </cell>
          <cell r="D1053" t="str">
            <v>----</v>
          </cell>
        </row>
        <row r="1054">
          <cell r="A1054" t="str">
            <v>L3116</v>
          </cell>
          <cell r="B1054" t="str">
            <v>Justyna</v>
          </cell>
          <cell r="C1054" t="str">
            <v>LENCZEWSKA</v>
          </cell>
          <cell r="D1054" t="str">
            <v>UKS Hubal Białystok</v>
          </cell>
        </row>
        <row r="1055">
          <cell r="A1055" t="str">
            <v>L5523</v>
          </cell>
          <cell r="B1055" t="str">
            <v>Sebastian</v>
          </cell>
          <cell r="C1055" t="str">
            <v>LENCZEWSKI</v>
          </cell>
          <cell r="D1055" t="str">
            <v>SKB Suwałki</v>
          </cell>
        </row>
        <row r="1056">
          <cell r="A1056" t="str">
            <v>L5532</v>
          </cell>
          <cell r="B1056" t="str">
            <v>Izabela</v>
          </cell>
          <cell r="C1056" t="str">
            <v>LENKIEWICZ</v>
          </cell>
          <cell r="D1056" t="str">
            <v>SKB Suwałki</v>
          </cell>
        </row>
        <row r="1057">
          <cell r="A1057" t="str">
            <v>L5533</v>
          </cell>
          <cell r="B1057" t="str">
            <v>Karolina</v>
          </cell>
          <cell r="C1057" t="str">
            <v>LENKIEWICZ</v>
          </cell>
          <cell r="D1057" t="str">
            <v>SKB Suwałki</v>
          </cell>
        </row>
        <row r="1058">
          <cell r="A1058" t="str">
            <v>L4037</v>
          </cell>
          <cell r="B1058" t="str">
            <v>Patryk</v>
          </cell>
          <cell r="C1058" t="str">
            <v>LEPIANKA</v>
          </cell>
          <cell r="D1058" t="str">
            <v>UKS Kiko Zamość</v>
          </cell>
        </row>
        <row r="1059">
          <cell r="A1059" t="str">
            <v>L3566</v>
          </cell>
          <cell r="B1059" t="str">
            <v>Paweł</v>
          </cell>
          <cell r="C1059" t="str">
            <v>LEPIANKA</v>
          </cell>
          <cell r="D1059" t="str">
            <v>UKS Kiko Zamość</v>
          </cell>
        </row>
        <row r="1060">
          <cell r="A1060" t="str">
            <v>L5767</v>
          </cell>
          <cell r="B1060" t="str">
            <v>Piotr</v>
          </cell>
          <cell r="C1060" t="str">
            <v>LEPIANKA</v>
          </cell>
          <cell r="D1060" t="str">
            <v>UKS Kiko Zamość</v>
          </cell>
        </row>
        <row r="1061">
          <cell r="A1061" t="str">
            <v>L5135</v>
          </cell>
          <cell r="B1061" t="str">
            <v>Filip</v>
          </cell>
          <cell r="C1061" t="str">
            <v>LEPIARSKI</v>
          </cell>
          <cell r="D1061" t="str">
            <v>----</v>
          </cell>
        </row>
        <row r="1062">
          <cell r="A1062" t="str">
            <v>L5012</v>
          </cell>
          <cell r="B1062" t="str">
            <v>Tomasz</v>
          </cell>
          <cell r="C1062" t="str">
            <v>LESIAK</v>
          </cell>
          <cell r="D1062" t="str">
            <v>MKSKSOS Kraków</v>
          </cell>
        </row>
        <row r="1063">
          <cell r="A1063" t="str">
            <v>L0571</v>
          </cell>
          <cell r="B1063" t="str">
            <v>Ewa</v>
          </cell>
          <cell r="C1063" t="str">
            <v>LESIUK</v>
          </cell>
          <cell r="D1063" t="str">
            <v>----</v>
          </cell>
        </row>
        <row r="1064">
          <cell r="A1064" t="str">
            <v>L5501</v>
          </cell>
          <cell r="B1064" t="str">
            <v>Paweł</v>
          </cell>
          <cell r="C1064" t="str">
            <v>LESNER</v>
          </cell>
          <cell r="D1064" t="str">
            <v>ZKB Maced Polanów</v>
          </cell>
        </row>
        <row r="1065">
          <cell r="A1065" t="str">
            <v>L5277</v>
          </cell>
          <cell r="B1065" t="str">
            <v>Dorota</v>
          </cell>
          <cell r="C1065" t="str">
            <v>LEWANDOWSKA</v>
          </cell>
          <cell r="D1065" t="str">
            <v>----</v>
          </cell>
        </row>
        <row r="1066">
          <cell r="A1066" t="str">
            <v>L4926</v>
          </cell>
          <cell r="B1066" t="str">
            <v>Wiktoria</v>
          </cell>
          <cell r="C1066" t="str">
            <v>LEWANDOWSKA</v>
          </cell>
          <cell r="D1066" t="str">
            <v>UKS 25 Kielce</v>
          </cell>
        </row>
        <row r="1067">
          <cell r="A1067" t="str">
            <v>L5734</v>
          </cell>
          <cell r="B1067" t="str">
            <v>Bartosz</v>
          </cell>
          <cell r="C1067" t="str">
            <v>LEWANDOWSKI</v>
          </cell>
          <cell r="D1067" t="str">
            <v>UKS Lotka Łódź</v>
          </cell>
        </row>
        <row r="1068">
          <cell r="A1068" t="str">
            <v>L4659</v>
          </cell>
          <cell r="B1068" t="str">
            <v>Jacek</v>
          </cell>
          <cell r="C1068" t="str">
            <v>LEWANDOWSKI</v>
          </cell>
          <cell r="D1068" t="str">
            <v>----</v>
          </cell>
        </row>
        <row r="1069">
          <cell r="A1069" t="str">
            <v>L4473</v>
          </cell>
          <cell r="B1069" t="str">
            <v>Jan</v>
          </cell>
          <cell r="C1069" t="str">
            <v>LEWANDOWSKI</v>
          </cell>
          <cell r="D1069" t="str">
            <v>BKS Kolejarz Częstochowa</v>
          </cell>
        </row>
        <row r="1070">
          <cell r="A1070" t="str">
            <v>L3893</v>
          </cell>
          <cell r="B1070" t="str">
            <v>Kacper</v>
          </cell>
          <cell r="C1070" t="str">
            <v>LEWANDOWSKI</v>
          </cell>
          <cell r="D1070" t="str">
            <v>SLKS Tramp Orneta</v>
          </cell>
        </row>
        <row r="1071">
          <cell r="A1071" t="str">
            <v>L3415</v>
          </cell>
          <cell r="B1071" t="str">
            <v>Paweł</v>
          </cell>
          <cell r="C1071" t="str">
            <v>LEWANDOWSKI</v>
          </cell>
          <cell r="D1071" t="str">
            <v>UKS Kometa Sianów</v>
          </cell>
        </row>
        <row r="1072">
          <cell r="A1072" t="str">
            <v>L5835</v>
          </cell>
          <cell r="B1072" t="str">
            <v>Jan</v>
          </cell>
          <cell r="C1072" t="str">
            <v>LEWSZUK</v>
          </cell>
          <cell r="D1072" t="str">
            <v>UKS Hubal Białystok</v>
          </cell>
        </row>
        <row r="1073">
          <cell r="A1073" t="str">
            <v>L5045</v>
          </cell>
          <cell r="B1073" t="str">
            <v>Eliza</v>
          </cell>
          <cell r="C1073" t="str">
            <v>LIBUDZIC</v>
          </cell>
          <cell r="D1073" t="str">
            <v>OTB Lotka Ostrów Wlkp.</v>
          </cell>
        </row>
        <row r="1074">
          <cell r="A1074" t="str">
            <v>L3681</v>
          </cell>
          <cell r="B1074" t="str">
            <v>Klaudia</v>
          </cell>
          <cell r="C1074" t="str">
            <v>LICZBIŃSKA</v>
          </cell>
          <cell r="D1074" t="str">
            <v>UKS Kopernik Słupca</v>
          </cell>
        </row>
        <row r="1075">
          <cell r="A1075" t="str">
            <v>L4492</v>
          </cell>
          <cell r="B1075" t="str">
            <v>Kacper</v>
          </cell>
          <cell r="C1075" t="str">
            <v>LINKE</v>
          </cell>
          <cell r="D1075" t="str">
            <v>UTS Akro-Bad Warszawa</v>
          </cell>
        </row>
        <row r="1076">
          <cell r="A1076" t="str">
            <v>L5811</v>
          </cell>
          <cell r="B1076" t="str">
            <v>Julia</v>
          </cell>
          <cell r="C1076" t="str">
            <v>LIPIEC</v>
          </cell>
          <cell r="D1076" t="str">
            <v>UKS Kiko Zamość</v>
          </cell>
        </row>
        <row r="1077">
          <cell r="A1077" t="str">
            <v>L0702</v>
          </cell>
          <cell r="B1077" t="str">
            <v>Agata</v>
          </cell>
          <cell r="C1077" t="str">
            <v>LIPOWSKA</v>
          </cell>
          <cell r="D1077" t="str">
            <v>AZSWAT Warszawa</v>
          </cell>
        </row>
        <row r="1078">
          <cell r="A1078" t="str">
            <v>L3105</v>
          </cell>
          <cell r="B1078" t="str">
            <v>Marcin</v>
          </cell>
          <cell r="C1078" t="str">
            <v>LIPOWSKI</v>
          </cell>
          <cell r="D1078" t="str">
            <v>AZSWAT Warszawa</v>
          </cell>
        </row>
        <row r="1079">
          <cell r="A1079" t="str">
            <v>L0354</v>
          </cell>
          <cell r="B1079" t="str">
            <v>Tomasz</v>
          </cell>
          <cell r="C1079" t="str">
            <v>LIPSKI</v>
          </cell>
          <cell r="D1079" t="str">
            <v>ŚKBad Harcownik Warszawa</v>
          </cell>
        </row>
        <row r="1080">
          <cell r="A1080" t="str">
            <v>L5335</v>
          </cell>
          <cell r="B1080" t="str">
            <v>Jakub</v>
          </cell>
          <cell r="C1080" t="str">
            <v>LIS</v>
          </cell>
          <cell r="D1080" t="str">
            <v>UMKS Dubiecko</v>
          </cell>
        </row>
        <row r="1081">
          <cell r="A1081" t="str">
            <v>L5182</v>
          </cell>
          <cell r="B1081" t="str">
            <v>Kacper</v>
          </cell>
          <cell r="C1081" t="str">
            <v>LIS</v>
          </cell>
          <cell r="D1081" t="str">
            <v>UKS Kiko Zamość</v>
          </cell>
        </row>
        <row r="1082">
          <cell r="A1082" t="str">
            <v>L5685</v>
          </cell>
          <cell r="B1082" t="str">
            <v>Magdalena</v>
          </cell>
          <cell r="C1082" t="str">
            <v>LISEK</v>
          </cell>
          <cell r="D1082" t="str">
            <v>STB Energia Lubliniec</v>
          </cell>
        </row>
        <row r="1083">
          <cell r="A1083" t="str">
            <v>L5678</v>
          </cell>
          <cell r="B1083" t="str">
            <v>Wiktoria</v>
          </cell>
          <cell r="C1083" t="str">
            <v>LISOWSKA</v>
          </cell>
          <cell r="D1083" t="str">
            <v>UKS Dwójka Wesoła</v>
          </cell>
        </row>
        <row r="1084">
          <cell r="A1084" t="str">
            <v>L3990</v>
          </cell>
          <cell r="B1084" t="str">
            <v>Marcin</v>
          </cell>
          <cell r="C1084" t="str">
            <v>LISZKA</v>
          </cell>
          <cell r="D1084" t="str">
            <v>UKS Orliki Ropica Polska</v>
          </cell>
        </row>
        <row r="1085">
          <cell r="A1085" t="str">
            <v>L5819</v>
          </cell>
          <cell r="B1085" t="str">
            <v>Maciej</v>
          </cell>
          <cell r="C1085" t="str">
            <v>LITEWSKI</v>
          </cell>
          <cell r="D1085" t="str">
            <v>UKSB Milenium Warszawa</v>
          </cell>
        </row>
        <row r="1086">
          <cell r="A1086" t="str">
            <v>L4800</v>
          </cell>
          <cell r="B1086" t="str">
            <v>Jakub</v>
          </cell>
          <cell r="C1086" t="str">
            <v>LIU</v>
          </cell>
          <cell r="D1086" t="str">
            <v>KS Match Point Ślęza</v>
          </cell>
        </row>
        <row r="1087">
          <cell r="A1087" t="str">
            <v>L4927</v>
          </cell>
          <cell r="B1087" t="str">
            <v>Gabriel</v>
          </cell>
          <cell r="C1087" t="str">
            <v>LOREK</v>
          </cell>
          <cell r="D1087" t="str">
            <v>UKS Smecz Bogatynia</v>
          </cell>
        </row>
        <row r="1088">
          <cell r="A1088" t="str">
            <v>L2865</v>
          </cell>
          <cell r="B1088" t="str">
            <v>Filip</v>
          </cell>
          <cell r="C1088" t="str">
            <v>LOTARSKI</v>
          </cell>
          <cell r="D1088" t="str">
            <v>KKS Warmia Olsztyn</v>
          </cell>
        </row>
        <row r="1089">
          <cell r="A1089" t="str">
            <v>L3032</v>
          </cell>
          <cell r="B1089" t="str">
            <v>Kacper</v>
          </cell>
          <cell r="C1089" t="str">
            <v>LOTARSKI</v>
          </cell>
          <cell r="D1089" t="str">
            <v>AZSUWM Olsztyn</v>
          </cell>
        </row>
        <row r="1090">
          <cell r="A1090" t="str">
            <v>L5597</v>
          </cell>
          <cell r="B1090" t="str">
            <v>Zuzanna</v>
          </cell>
          <cell r="C1090" t="str">
            <v>LUBAN</v>
          </cell>
          <cell r="D1090" t="str">
            <v>STB Energia Lubliniec</v>
          </cell>
        </row>
        <row r="1091">
          <cell r="A1091" t="str">
            <v>L5696</v>
          </cell>
          <cell r="B1091" t="str">
            <v>Kinga</v>
          </cell>
          <cell r="C1091" t="str">
            <v>LUBIENIECKA</v>
          </cell>
          <cell r="D1091" t="str">
            <v>UKS 2 Sobótka</v>
          </cell>
        </row>
        <row r="1092">
          <cell r="A1092" t="str">
            <v>L5259</v>
          </cell>
          <cell r="B1092" t="str">
            <v>Dominika</v>
          </cell>
          <cell r="C1092" t="str">
            <v>LUBOCH</v>
          </cell>
          <cell r="D1092" t="str">
            <v>MKS Stal Nowa Dęba</v>
          </cell>
        </row>
        <row r="1093">
          <cell r="A1093" t="str">
            <v>L5283</v>
          </cell>
          <cell r="B1093" t="str">
            <v>Bartosz</v>
          </cell>
          <cell r="C1093" t="str">
            <v>LURZYŃSKI</v>
          </cell>
          <cell r="D1093" t="str">
            <v>UKS 25 Kielce</v>
          </cell>
        </row>
        <row r="1094">
          <cell r="A1094" t="str">
            <v>L5281</v>
          </cell>
          <cell r="B1094" t="str">
            <v>Wojciech</v>
          </cell>
          <cell r="C1094" t="str">
            <v>LURZYŃSKI</v>
          </cell>
          <cell r="D1094" t="str">
            <v>UKS 25 Kielce</v>
          </cell>
        </row>
        <row r="1095">
          <cell r="A1095" t="str">
            <v>L5708</v>
          </cell>
          <cell r="B1095" t="str">
            <v>Tobiasz</v>
          </cell>
          <cell r="C1095" t="str">
            <v>LUTY</v>
          </cell>
          <cell r="D1095" t="str">
            <v>SKB Suwałki</v>
          </cell>
        </row>
        <row r="1096">
          <cell r="A1096" t="str">
            <v>Ł1509</v>
          </cell>
          <cell r="B1096" t="str">
            <v>Ewelina</v>
          </cell>
          <cell r="C1096" t="str">
            <v>ŁACH</v>
          </cell>
          <cell r="D1096" t="str">
            <v>AZSAGH Kraków</v>
          </cell>
        </row>
        <row r="1097">
          <cell r="A1097" t="str">
            <v>Ł5873</v>
          </cell>
          <cell r="B1097" t="str">
            <v>Klaudia</v>
          </cell>
          <cell r="C1097" t="str">
            <v>ŁAKOMA</v>
          </cell>
          <cell r="D1097" t="str">
            <v>UKS Iskra Babimost</v>
          </cell>
        </row>
        <row r="1098">
          <cell r="A1098" t="str">
            <v>Ł3294</v>
          </cell>
          <cell r="B1098" t="str">
            <v>Paweł</v>
          </cell>
          <cell r="C1098" t="str">
            <v>ŁANIEC</v>
          </cell>
          <cell r="D1098" t="str">
            <v>KS Stal Sulęcin</v>
          </cell>
        </row>
        <row r="1099">
          <cell r="A1099" t="str">
            <v>Ł4803</v>
          </cell>
          <cell r="B1099" t="str">
            <v>Jan</v>
          </cell>
          <cell r="C1099" t="str">
            <v>ŁAPIŃSKI</v>
          </cell>
          <cell r="D1099" t="str">
            <v>UKS Astra Wrocław</v>
          </cell>
        </row>
        <row r="1100">
          <cell r="A1100" t="str">
            <v>Ł2728</v>
          </cell>
          <cell r="B1100" t="str">
            <v>Anna</v>
          </cell>
          <cell r="C1100" t="str">
            <v>ŁAZARCZYK</v>
          </cell>
          <cell r="D1100" t="str">
            <v>AZSUWM Olsztyn</v>
          </cell>
        </row>
        <row r="1101">
          <cell r="A1101" t="str">
            <v>Ł5108</v>
          </cell>
          <cell r="B1101" t="str">
            <v>Mateusz</v>
          </cell>
          <cell r="C1101" t="str">
            <v>ŁĄPIEŚ</v>
          </cell>
          <cell r="D1101" t="str">
            <v>AZSWAT Warszawa</v>
          </cell>
        </row>
        <row r="1102">
          <cell r="A1102" t="str">
            <v>Ł5687</v>
          </cell>
          <cell r="B1102" t="str">
            <v>Mateusz</v>
          </cell>
          <cell r="C1102" t="str">
            <v>ŁEBEK</v>
          </cell>
          <cell r="D1102" t="str">
            <v>STB Energia Lubliniec</v>
          </cell>
        </row>
        <row r="1103">
          <cell r="A1103" t="str">
            <v>Ł5260</v>
          </cell>
          <cell r="B1103" t="str">
            <v>Jeremi</v>
          </cell>
          <cell r="C1103" t="str">
            <v>ŁEPTUCH</v>
          </cell>
          <cell r="D1103" t="str">
            <v>MKS Stal Nowa Dęba</v>
          </cell>
        </row>
        <row r="1104">
          <cell r="A1104" t="str">
            <v>Ł5114</v>
          </cell>
          <cell r="B1104" t="str">
            <v>Dominika</v>
          </cell>
          <cell r="C1104" t="str">
            <v>ŁĘPA</v>
          </cell>
          <cell r="D1104" t="str">
            <v>UKSB Volant Mielec</v>
          </cell>
        </row>
        <row r="1105">
          <cell r="A1105" t="str">
            <v>Ł0630</v>
          </cell>
          <cell r="B1105" t="str">
            <v>Michał</v>
          </cell>
          <cell r="C1105" t="str">
            <v>ŁOGOSZ</v>
          </cell>
          <cell r="D1105" t="str">
            <v>SKB Suwałki</v>
          </cell>
        </row>
        <row r="1106">
          <cell r="A1106" t="str">
            <v>Ł5463</v>
          </cell>
          <cell r="B1106" t="str">
            <v>Klaudia</v>
          </cell>
          <cell r="C1106" t="str">
            <v>ŁOPACKA</v>
          </cell>
          <cell r="D1106" t="str">
            <v>MKB Lednik Miastko</v>
          </cell>
        </row>
        <row r="1107">
          <cell r="A1107" t="str">
            <v>Ł5583</v>
          </cell>
          <cell r="B1107" t="str">
            <v>Hubert</v>
          </cell>
          <cell r="C1107" t="str">
            <v>ŁOPACKI</v>
          </cell>
          <cell r="D1107" t="str">
            <v>MKB Lednik Miastko</v>
          </cell>
        </row>
        <row r="1108">
          <cell r="A1108" t="str">
            <v>Ł5366</v>
          </cell>
          <cell r="B1108" t="str">
            <v>Kamila</v>
          </cell>
          <cell r="C1108" t="str">
            <v>ŁUKASIAK</v>
          </cell>
          <cell r="D1108" t="str">
            <v>UKS Badminton Stare Babice</v>
          </cell>
        </row>
        <row r="1109">
          <cell r="A1109" t="str">
            <v>Ł4427</v>
          </cell>
          <cell r="B1109" t="str">
            <v>Magda</v>
          </cell>
          <cell r="C1109" t="str">
            <v>ŁUKASIAK</v>
          </cell>
          <cell r="D1109" t="str">
            <v>MKS Orlicz Suchedniów</v>
          </cell>
        </row>
        <row r="1110">
          <cell r="A1110" t="str">
            <v>Ł3890</v>
          </cell>
          <cell r="B1110" t="str">
            <v>Mariusz</v>
          </cell>
          <cell r="C1110" t="str">
            <v>ŁUKASZEWICZ</v>
          </cell>
          <cell r="D1110" t="str">
            <v>SLKS Tramp Orneta</v>
          </cell>
        </row>
        <row r="1111">
          <cell r="A1111" t="str">
            <v>Ł4234</v>
          </cell>
          <cell r="B1111" t="str">
            <v>Krzysztof</v>
          </cell>
          <cell r="C1111" t="str">
            <v>ŁUKOMSKI</v>
          </cell>
          <cell r="D1111" t="str">
            <v>BKS Kolejarz Częstochowa</v>
          </cell>
        </row>
        <row r="1112">
          <cell r="A1112" t="str">
            <v>Ł5169</v>
          </cell>
          <cell r="B1112" t="str">
            <v>Danuta</v>
          </cell>
          <cell r="C1112" t="str">
            <v>ŁUNIEWSKA</v>
          </cell>
          <cell r="D1112" t="str">
            <v>----</v>
          </cell>
        </row>
        <row r="1113">
          <cell r="A1113" t="str">
            <v>Ł5083</v>
          </cell>
          <cell r="B1113" t="str">
            <v>Jan</v>
          </cell>
          <cell r="C1113" t="str">
            <v>ŁUSZCZ</v>
          </cell>
          <cell r="D1113" t="str">
            <v>UMKS Junis Szczucin</v>
          </cell>
        </row>
        <row r="1114">
          <cell r="A1114" t="str">
            <v>Ł0539</v>
          </cell>
          <cell r="B1114" t="str">
            <v>Piotr</v>
          </cell>
          <cell r="C1114" t="str">
            <v>ŁUSZKIEWICZ</v>
          </cell>
          <cell r="D1114" t="str">
            <v>SKB Piast Słupsk</v>
          </cell>
        </row>
        <row r="1115">
          <cell r="A1115" t="str">
            <v>Ł5427</v>
          </cell>
          <cell r="B1115" t="str">
            <v>Patrycja</v>
          </cell>
          <cell r="C1115" t="str">
            <v>ŁUTCZYK</v>
          </cell>
          <cell r="D1115" t="str">
            <v>MKS Orlicz Suchedniów</v>
          </cell>
        </row>
        <row r="1116">
          <cell r="A1116" t="str">
            <v>Ł5151</v>
          </cell>
          <cell r="B1116" t="str">
            <v>Ewa</v>
          </cell>
          <cell r="C1116" t="str">
            <v>ŁYKO</v>
          </cell>
          <cell r="D1116" t="str">
            <v>KS Match Point Ślęza</v>
          </cell>
        </row>
        <row r="1117">
          <cell r="A1117" t="str">
            <v>Ł5765</v>
          </cell>
          <cell r="B1117" t="str">
            <v>Martyna</v>
          </cell>
          <cell r="C1117" t="str">
            <v>ŁYŻWA</v>
          </cell>
          <cell r="D1117" t="str">
            <v>UKS Lotka Łódź</v>
          </cell>
        </row>
        <row r="1118">
          <cell r="A1118" t="str">
            <v>M4567</v>
          </cell>
          <cell r="B1118" t="str">
            <v>Klaudia</v>
          </cell>
          <cell r="C1118" t="str">
            <v>MAC</v>
          </cell>
          <cell r="D1118" t="str">
            <v>UKS Sokół Ropczyce</v>
          </cell>
        </row>
        <row r="1119">
          <cell r="A1119" t="str">
            <v>M2137</v>
          </cell>
          <cell r="B1119" t="str">
            <v>Katarzyna</v>
          </cell>
          <cell r="C1119" t="str">
            <v>MACEDOŃSKA</v>
          </cell>
          <cell r="D1119" t="str">
            <v>LKS Technik Głubczyce</v>
          </cell>
        </row>
        <row r="1120">
          <cell r="A1120" t="str">
            <v>M5545</v>
          </cell>
          <cell r="B1120" t="str">
            <v>Wojciech</v>
          </cell>
          <cell r="C1120" t="str">
            <v>MACHAJ</v>
          </cell>
          <cell r="D1120" t="str">
            <v>UKSB Volant Mielec</v>
          </cell>
        </row>
        <row r="1121">
          <cell r="A1121" t="str">
            <v>M3661</v>
          </cell>
          <cell r="B1121" t="str">
            <v>Magdalena</v>
          </cell>
          <cell r="C1121" t="str">
            <v>MACHNIK</v>
          </cell>
          <cell r="D1121" t="str">
            <v>UKS Orbitek Straszęcin</v>
          </cell>
        </row>
        <row r="1122">
          <cell r="A1122" t="str">
            <v>M5326</v>
          </cell>
          <cell r="B1122" t="str">
            <v>Szymon</v>
          </cell>
          <cell r="C1122" t="str">
            <v>MACIĄG</v>
          </cell>
          <cell r="D1122" t="str">
            <v>UKS Start Widełka</v>
          </cell>
        </row>
        <row r="1123">
          <cell r="A1123" t="str">
            <v>M5731</v>
          </cell>
          <cell r="B1123" t="str">
            <v>Maciej</v>
          </cell>
          <cell r="C1123" t="str">
            <v>MACIEJEWSKI</v>
          </cell>
          <cell r="D1123" t="str">
            <v>UKS Orkan Przeźmierowo</v>
          </cell>
        </row>
        <row r="1124">
          <cell r="A1124" t="str">
            <v>M4994</v>
          </cell>
          <cell r="B1124" t="str">
            <v>Krzysztof</v>
          </cell>
          <cell r="C1124" t="str">
            <v>MACIELAK</v>
          </cell>
          <cell r="D1124" t="str">
            <v>----</v>
          </cell>
        </row>
        <row r="1125">
          <cell r="A1125" t="str">
            <v>M4409</v>
          </cell>
          <cell r="B1125" t="str">
            <v>Tomasz</v>
          </cell>
          <cell r="C1125" t="str">
            <v>MACIELAK</v>
          </cell>
          <cell r="D1125" t="str">
            <v>MMKS Gdańsk</v>
          </cell>
        </row>
        <row r="1126">
          <cell r="A1126" t="str">
            <v>M5027</v>
          </cell>
          <cell r="B1126" t="str">
            <v>Kamil</v>
          </cell>
          <cell r="C1126" t="str">
            <v>MACIOŁEK</v>
          </cell>
          <cell r="D1126" t="str">
            <v>MKS Strzelce Opolskie</v>
          </cell>
        </row>
        <row r="1127">
          <cell r="A1127" t="str">
            <v>M5462</v>
          </cell>
          <cell r="B1127" t="str">
            <v>Natalia</v>
          </cell>
          <cell r="C1127" t="str">
            <v>MACIUPA</v>
          </cell>
          <cell r="D1127" t="str">
            <v>MKB Lednik Miastko</v>
          </cell>
        </row>
        <row r="1128">
          <cell r="A1128" t="str">
            <v>M4669</v>
          </cell>
          <cell r="B1128" t="str">
            <v>Weronika</v>
          </cell>
          <cell r="C1128" t="str">
            <v>MACUREK</v>
          </cell>
          <cell r="D1128" t="str">
            <v>UKSOSIR Badminton Sławno</v>
          </cell>
        </row>
        <row r="1129">
          <cell r="A1129" t="str">
            <v>M3641</v>
          </cell>
          <cell r="B1129" t="str">
            <v>Mariusz</v>
          </cell>
          <cell r="C1129" t="str">
            <v>MACZUGA</v>
          </cell>
          <cell r="D1129" t="str">
            <v>UKS Ząbkowice Dąbrowa Górn.</v>
          </cell>
        </row>
        <row r="1130">
          <cell r="A1130" t="str">
            <v>M5913</v>
          </cell>
          <cell r="B1130" t="str">
            <v>Pulina</v>
          </cell>
          <cell r="C1130" t="str">
            <v>MACZUGA</v>
          </cell>
          <cell r="D1130" t="str">
            <v>BKS Kolejarz Katowice</v>
          </cell>
        </row>
        <row r="1131">
          <cell r="A1131" t="str">
            <v>M5454</v>
          </cell>
          <cell r="B1131" t="str">
            <v>Piotr</v>
          </cell>
          <cell r="C1131" t="str">
            <v>MAGDZIARZ</v>
          </cell>
          <cell r="D1131" t="str">
            <v>UKS Korona Pabianice</v>
          </cell>
        </row>
        <row r="1132">
          <cell r="A1132" t="str">
            <v>M5519</v>
          </cell>
          <cell r="B1132" t="str">
            <v>Joanna</v>
          </cell>
          <cell r="C1132" t="str">
            <v>MAGNUCKA</v>
          </cell>
          <cell r="D1132" t="str">
            <v>UKS Orkan Przeźmierowo</v>
          </cell>
        </row>
        <row r="1133">
          <cell r="A1133" t="str">
            <v>M4518</v>
          </cell>
          <cell r="B1133" t="str">
            <v>Jakub</v>
          </cell>
          <cell r="C1133" t="str">
            <v>MAJERSKI</v>
          </cell>
          <cell r="D1133" t="str">
            <v>MKSKSOS Kraków</v>
          </cell>
        </row>
        <row r="1134">
          <cell r="A1134" t="str">
            <v>M5647</v>
          </cell>
          <cell r="B1134" t="str">
            <v>Anna</v>
          </cell>
          <cell r="C1134" t="str">
            <v>MAJEWSKA</v>
          </cell>
          <cell r="D1134" t="str">
            <v>UKSB Volant Mielec</v>
          </cell>
        </row>
        <row r="1135">
          <cell r="A1135" t="str">
            <v>M3851</v>
          </cell>
          <cell r="B1135" t="str">
            <v>Adrian</v>
          </cell>
          <cell r="C1135" t="str">
            <v>MAJEWSKI</v>
          </cell>
          <cell r="D1135" t="str">
            <v>UKS Hubal Białystok</v>
          </cell>
        </row>
        <row r="1136">
          <cell r="A1136" t="str">
            <v>M4979</v>
          </cell>
          <cell r="B1136" t="str">
            <v>Bartosz</v>
          </cell>
          <cell r="C1136" t="str">
            <v>MAJEWSKI</v>
          </cell>
          <cell r="D1136" t="str">
            <v>UKS Junior Wrzosowa</v>
          </cell>
        </row>
        <row r="1137">
          <cell r="A1137" t="str">
            <v>M4177</v>
          </cell>
          <cell r="B1137" t="str">
            <v>Krzysztof</v>
          </cell>
          <cell r="C1137" t="str">
            <v>MAJKOWSKI</v>
          </cell>
          <cell r="D1137" t="str">
            <v>ŚKBad Harcownik Warszawa</v>
          </cell>
        </row>
        <row r="1138">
          <cell r="A1138" t="str">
            <v>M0355</v>
          </cell>
          <cell r="B1138" t="str">
            <v>Michał</v>
          </cell>
          <cell r="C1138" t="str">
            <v>MAJKOWSKI</v>
          </cell>
          <cell r="D1138" t="str">
            <v>ŚKBad Harcownik Warszawa</v>
          </cell>
        </row>
        <row r="1139">
          <cell r="A1139" t="str">
            <v>M4593</v>
          </cell>
          <cell r="B1139" t="str">
            <v>Paulina</v>
          </cell>
          <cell r="C1139" t="str">
            <v>MAJTKA</v>
          </cell>
          <cell r="D1139" t="str">
            <v>ZKB Maced Polanów</v>
          </cell>
        </row>
        <row r="1140">
          <cell r="A1140" t="str">
            <v>M4933</v>
          </cell>
          <cell r="B1140" t="str">
            <v>Kacper</v>
          </cell>
          <cell r="C1140" t="str">
            <v>MAKAREWICZ</v>
          </cell>
          <cell r="D1140" t="str">
            <v>UKS Hubal Białystok</v>
          </cell>
        </row>
        <row r="1141">
          <cell r="A1141" t="str">
            <v>M5517</v>
          </cell>
          <cell r="B1141" t="str">
            <v>Jan</v>
          </cell>
          <cell r="C1141" t="str">
            <v>MAKAROWICZ</v>
          </cell>
          <cell r="D1141" t="str">
            <v>ŚKBad Harcownik Warszawa</v>
          </cell>
        </row>
        <row r="1142">
          <cell r="A1142" t="str">
            <v>M4965</v>
          </cell>
          <cell r="B1142" t="str">
            <v>Patryk</v>
          </cell>
          <cell r="C1142" t="str">
            <v>MAKOWSKI</v>
          </cell>
          <cell r="D1142" t="str">
            <v>KS Stal Sulęcin</v>
          </cell>
        </row>
        <row r="1143">
          <cell r="A1143" t="str">
            <v>M4309</v>
          </cell>
          <cell r="B1143" t="str">
            <v>Wojciech</v>
          </cell>
          <cell r="C1143" t="str">
            <v>MALAJKA</v>
          </cell>
          <cell r="D1143" t="str">
            <v>UKS Iskra Babimost</v>
          </cell>
        </row>
        <row r="1144">
          <cell r="A1144" t="str">
            <v>M3868</v>
          </cell>
          <cell r="B1144" t="str">
            <v>Antoni</v>
          </cell>
          <cell r="C1144" t="str">
            <v>MALCHAREK</v>
          </cell>
          <cell r="D1144" t="str">
            <v>----</v>
          </cell>
        </row>
        <row r="1145">
          <cell r="A1145" t="str">
            <v>M4059</v>
          </cell>
          <cell r="B1145" t="str">
            <v>Danuta</v>
          </cell>
          <cell r="C1145" t="str">
            <v>MALCHAREK</v>
          </cell>
          <cell r="D1145" t="str">
            <v>----</v>
          </cell>
        </row>
        <row r="1146">
          <cell r="A1146" t="str">
            <v>M4891</v>
          </cell>
          <cell r="B1146" t="str">
            <v>Wiktoria</v>
          </cell>
          <cell r="C1146" t="str">
            <v>MALCZYK</v>
          </cell>
          <cell r="D1146" t="str">
            <v>KS Wesoła Warszawa</v>
          </cell>
        </row>
        <row r="1147">
          <cell r="A1147" t="str">
            <v>M4437</v>
          </cell>
          <cell r="B1147" t="str">
            <v>Agata</v>
          </cell>
          <cell r="C1147" t="str">
            <v>MALEK</v>
          </cell>
          <cell r="D1147" t="str">
            <v>KS Wesoła Warszawa</v>
          </cell>
        </row>
        <row r="1148">
          <cell r="A1148" t="str">
            <v>M5254</v>
          </cell>
          <cell r="B1148" t="str">
            <v>Fabian</v>
          </cell>
          <cell r="C1148" t="str">
            <v>MALESZEWSKI</v>
          </cell>
          <cell r="D1148" t="str">
            <v>----</v>
          </cell>
        </row>
        <row r="1149">
          <cell r="A1149" t="str">
            <v>M1068</v>
          </cell>
          <cell r="B1149" t="str">
            <v>Grzegorz</v>
          </cell>
          <cell r="C1149" t="str">
            <v>MALESZEWSKI</v>
          </cell>
          <cell r="D1149" t="str">
            <v>----</v>
          </cell>
        </row>
        <row r="1150">
          <cell r="A1150" t="str">
            <v>M3377</v>
          </cell>
          <cell r="B1150" t="str">
            <v>Szymon</v>
          </cell>
          <cell r="C1150" t="str">
            <v>MALIK</v>
          </cell>
          <cell r="D1150" t="str">
            <v>UKS Trójka Tarnobrzeg</v>
          </cell>
        </row>
        <row r="1151">
          <cell r="A1151" t="str">
            <v>M3572</v>
          </cell>
          <cell r="B1151" t="str">
            <v>Tymoteusz</v>
          </cell>
          <cell r="C1151" t="str">
            <v>MALIK</v>
          </cell>
          <cell r="D1151" t="str">
            <v>UKS Trójka Tarnobrzeg</v>
          </cell>
        </row>
        <row r="1152">
          <cell r="A1152" t="str">
            <v>M5580</v>
          </cell>
          <cell r="B1152" t="str">
            <v>Martyna</v>
          </cell>
          <cell r="C1152" t="str">
            <v>MALINOWSKA</v>
          </cell>
          <cell r="D1152" t="str">
            <v>UKS Kiko Zamość</v>
          </cell>
        </row>
        <row r="1153">
          <cell r="A1153" t="str">
            <v>M5720</v>
          </cell>
          <cell r="B1153" t="str">
            <v>Jakub</v>
          </cell>
          <cell r="C1153" t="str">
            <v>MALINOWSKI</v>
          </cell>
          <cell r="D1153" t="str">
            <v>LUKS Badminton Choroszcz</v>
          </cell>
        </row>
        <row r="1154">
          <cell r="A1154" t="str">
            <v>M2533</v>
          </cell>
          <cell r="B1154" t="str">
            <v>Damian</v>
          </cell>
          <cell r="C1154" t="str">
            <v>MALSKI</v>
          </cell>
          <cell r="D1154" t="str">
            <v>AZSAGH Kraków</v>
          </cell>
        </row>
        <row r="1155">
          <cell r="A1155" t="str">
            <v>M4689</v>
          </cell>
          <cell r="B1155" t="str">
            <v>Maciej</v>
          </cell>
          <cell r="C1155" t="str">
            <v>MAŁACHOWSKI</v>
          </cell>
          <cell r="D1155" t="str">
            <v>UKS Kometa Sianów</v>
          </cell>
        </row>
        <row r="1156">
          <cell r="A1156" t="str">
            <v>M1939</v>
          </cell>
          <cell r="B1156" t="str">
            <v>Jakub</v>
          </cell>
          <cell r="C1156" t="str">
            <v>MAŁYSZKO</v>
          </cell>
          <cell r="D1156" t="str">
            <v>MKB Lednik Miastko</v>
          </cell>
        </row>
        <row r="1157">
          <cell r="A1157" t="str">
            <v>M1474</v>
          </cell>
          <cell r="B1157" t="str">
            <v>Katarzyna</v>
          </cell>
          <cell r="C1157" t="str">
            <v>MAŁYSZKO</v>
          </cell>
          <cell r="D1157" t="str">
            <v>----</v>
          </cell>
        </row>
        <row r="1158">
          <cell r="A1158" t="str">
            <v>M2837</v>
          </cell>
          <cell r="B1158" t="str">
            <v>Marta</v>
          </cell>
          <cell r="C1158" t="str">
            <v>MAŁYSZKO</v>
          </cell>
          <cell r="D1158" t="str">
            <v>MKB Lednik Miastko</v>
          </cell>
        </row>
        <row r="1159">
          <cell r="A1159" t="str">
            <v>M4313</v>
          </cell>
          <cell r="B1159" t="str">
            <v>Hong</v>
          </cell>
          <cell r="C1159" t="str">
            <v>MAO</v>
          </cell>
          <cell r="D1159" t="str">
            <v>LKS Technik Głubczyce</v>
          </cell>
        </row>
        <row r="1160">
          <cell r="A1160" t="str">
            <v>M5644</v>
          </cell>
          <cell r="B1160" t="str">
            <v>Patrycja</v>
          </cell>
          <cell r="C1160" t="str">
            <v>MARCHUT</v>
          </cell>
          <cell r="D1160" t="str">
            <v>UKS Sokół Ropczyce</v>
          </cell>
        </row>
        <row r="1161">
          <cell r="A1161" t="str">
            <v>M5657</v>
          </cell>
          <cell r="B1161" t="str">
            <v>Dominik</v>
          </cell>
          <cell r="C1161" t="str">
            <v>MARCINIAK</v>
          </cell>
          <cell r="D1161" t="str">
            <v>KSR Wolant Łódź</v>
          </cell>
        </row>
        <row r="1162">
          <cell r="A1162" t="str">
            <v>M5305</v>
          </cell>
          <cell r="B1162" t="str">
            <v>Jacek</v>
          </cell>
          <cell r="C1162" t="str">
            <v>MARCINIAK</v>
          </cell>
          <cell r="D1162" t="str">
            <v>----</v>
          </cell>
        </row>
        <row r="1163">
          <cell r="A1163" t="str">
            <v>M4621</v>
          </cell>
          <cell r="B1163" t="str">
            <v>Joanna</v>
          </cell>
          <cell r="C1163" t="str">
            <v>MARCINIAK</v>
          </cell>
          <cell r="D1163" t="str">
            <v>SLKS Tramp Orneta</v>
          </cell>
        </row>
        <row r="1164">
          <cell r="A1164" t="str">
            <v>M4773</v>
          </cell>
          <cell r="B1164" t="str">
            <v>Maksym</v>
          </cell>
          <cell r="C1164" t="str">
            <v>MARCINIAK</v>
          </cell>
          <cell r="D1164" t="str">
            <v>MLKS Solec Kuj.</v>
          </cell>
        </row>
        <row r="1165">
          <cell r="A1165" t="str">
            <v>M5851</v>
          </cell>
          <cell r="B1165" t="str">
            <v>Klara</v>
          </cell>
          <cell r="C1165" t="str">
            <v>MARCINOWSKA</v>
          </cell>
          <cell r="D1165" t="str">
            <v>UKS Astra Wrocław</v>
          </cell>
        </row>
        <row r="1166">
          <cell r="A1166" t="str">
            <v>M5850</v>
          </cell>
          <cell r="B1166" t="str">
            <v>Melania</v>
          </cell>
          <cell r="C1166" t="str">
            <v>MARCINOWSKA</v>
          </cell>
          <cell r="D1166" t="str">
            <v>UKS Astra Wrocław</v>
          </cell>
        </row>
        <row r="1167">
          <cell r="A1167" t="str">
            <v>M3790</v>
          </cell>
          <cell r="B1167" t="str">
            <v>Kornelia</v>
          </cell>
          <cell r="C1167" t="str">
            <v>MARCZAK</v>
          </cell>
          <cell r="D1167" t="str">
            <v>UKS Plesbad Pszczyna</v>
          </cell>
        </row>
        <row r="1168">
          <cell r="A1168" t="str">
            <v>M3006</v>
          </cell>
          <cell r="B1168" t="str">
            <v>Matylda</v>
          </cell>
          <cell r="C1168" t="str">
            <v>MARCZAK</v>
          </cell>
          <cell r="D1168" t="str">
            <v>AZSWAT Warszawa</v>
          </cell>
        </row>
        <row r="1169">
          <cell r="A1169" t="str">
            <v>M5692</v>
          </cell>
          <cell r="B1169" t="str">
            <v>Aleksandra</v>
          </cell>
          <cell r="C1169" t="str">
            <v>MARCZUK</v>
          </cell>
          <cell r="D1169" t="str">
            <v>UKS Kiko Zamość</v>
          </cell>
        </row>
        <row r="1170">
          <cell r="A1170" t="str">
            <v>M4096</v>
          </cell>
          <cell r="B1170" t="str">
            <v>Mirosław</v>
          </cell>
          <cell r="C1170" t="str">
            <v>MAREK</v>
          </cell>
          <cell r="D1170" t="str">
            <v>----</v>
          </cell>
        </row>
        <row r="1171">
          <cell r="A1171" t="str">
            <v>M4225</v>
          </cell>
          <cell r="B1171" t="str">
            <v>Bartosz</v>
          </cell>
          <cell r="C1171" t="str">
            <v>MARKIEWICZ</v>
          </cell>
          <cell r="D1171" t="str">
            <v>MLKS Solec Kuj.</v>
          </cell>
        </row>
        <row r="1172">
          <cell r="A1172" t="str">
            <v>M3704</v>
          </cell>
          <cell r="B1172" t="str">
            <v>Rafał</v>
          </cell>
          <cell r="C1172" t="str">
            <v>MARKOWICZ</v>
          </cell>
          <cell r="D1172" t="str">
            <v>UKS Orliki Ropica Polska</v>
          </cell>
        </row>
        <row r="1173">
          <cell r="A1173" t="str">
            <v>M4809</v>
          </cell>
          <cell r="B1173" t="str">
            <v>Klaudia</v>
          </cell>
          <cell r="C1173" t="str">
            <v>MARKOWSKA</v>
          </cell>
          <cell r="D1173" t="str">
            <v>UKS Hubal Białystok</v>
          </cell>
        </row>
        <row r="1174">
          <cell r="A1174" t="str">
            <v>M5483</v>
          </cell>
          <cell r="B1174" t="str">
            <v>Grzegorz</v>
          </cell>
          <cell r="C1174" t="str">
            <v>MARKOWSKI</v>
          </cell>
          <cell r="D1174" t="str">
            <v>----</v>
          </cell>
        </row>
        <row r="1175">
          <cell r="A1175" t="str">
            <v>M4698</v>
          </cell>
          <cell r="B1175" t="str">
            <v>Norbert</v>
          </cell>
          <cell r="C1175" t="str">
            <v>MARKOWSKI</v>
          </cell>
          <cell r="D1175" t="str">
            <v>UKS Kometa Sianów</v>
          </cell>
        </row>
        <row r="1176">
          <cell r="A1176" t="str">
            <v>M5297</v>
          </cell>
          <cell r="B1176" t="str">
            <v>Hubert</v>
          </cell>
          <cell r="C1176" t="str">
            <v>MARSZAŁEK</v>
          </cell>
          <cell r="D1176" t="str">
            <v>UKS KSBad Kraków</v>
          </cell>
        </row>
        <row r="1177">
          <cell r="A1177" t="str">
            <v>M5270</v>
          </cell>
          <cell r="B1177" t="str">
            <v>Maciej</v>
          </cell>
          <cell r="C1177" t="str">
            <v>MARSZAŁEK</v>
          </cell>
          <cell r="D1177" t="str">
            <v>UKS Badminton Stare Babice</v>
          </cell>
        </row>
        <row r="1178">
          <cell r="A1178" t="str">
            <v>M5296</v>
          </cell>
          <cell r="B1178" t="str">
            <v>Natalia</v>
          </cell>
          <cell r="C1178" t="str">
            <v>MARSZAŁEK</v>
          </cell>
          <cell r="D1178" t="str">
            <v>UKS KSBad Kraków</v>
          </cell>
        </row>
        <row r="1179">
          <cell r="A1179" t="str">
            <v>M4152</v>
          </cell>
          <cell r="B1179" t="str">
            <v>Aleksandra</v>
          </cell>
          <cell r="C1179" t="str">
            <v>MARTIN</v>
          </cell>
          <cell r="D1179" t="str">
            <v>UKS Lotka Lubiewo</v>
          </cell>
        </row>
        <row r="1180">
          <cell r="A1180" t="str">
            <v>M4154</v>
          </cell>
          <cell r="B1180" t="str">
            <v>Krzysztof</v>
          </cell>
          <cell r="C1180" t="str">
            <v>MARTIN</v>
          </cell>
          <cell r="D1180" t="str">
            <v>UKS Lotka Lubiewo</v>
          </cell>
        </row>
        <row r="1181">
          <cell r="A1181" t="str">
            <v>M5701</v>
          </cell>
          <cell r="B1181" t="str">
            <v>Julia</v>
          </cell>
          <cell r="C1181" t="str">
            <v>MARTYKA</v>
          </cell>
          <cell r="D1181" t="str">
            <v>UKSB Volant Mielec</v>
          </cell>
        </row>
        <row r="1182">
          <cell r="A1182" t="str">
            <v>M3833</v>
          </cell>
          <cell r="B1182" t="str">
            <v>Piotr</v>
          </cell>
          <cell r="C1182" t="str">
            <v>MARTYŃSKI</v>
          </cell>
          <cell r="D1182" t="str">
            <v>KS Chojnik Jelenia Góra</v>
          </cell>
        </row>
        <row r="1183">
          <cell r="A1183" t="str">
            <v>M4910</v>
          </cell>
          <cell r="B1183" t="str">
            <v>Aleksandra</v>
          </cell>
          <cell r="C1183" t="str">
            <v>MARZEC</v>
          </cell>
          <cell r="D1183" t="str">
            <v>MKSKSOS Kraków</v>
          </cell>
        </row>
        <row r="1184">
          <cell r="A1184" t="str">
            <v>M4876</v>
          </cell>
          <cell r="B1184" t="str">
            <v>Magdalena</v>
          </cell>
          <cell r="C1184" t="str">
            <v>MAŚLANIK</v>
          </cell>
          <cell r="D1184" t="str">
            <v>KKS Warmia Olsztyn</v>
          </cell>
        </row>
        <row r="1185">
          <cell r="A1185" t="str">
            <v>M0153</v>
          </cell>
          <cell r="B1185" t="str">
            <v>Krzysztof</v>
          </cell>
          <cell r="C1185" t="str">
            <v>MAŚLANKA</v>
          </cell>
          <cell r="D1185" t="str">
            <v>UKS 15 Kędzierzyn-Koźle</v>
          </cell>
        </row>
        <row r="1186">
          <cell r="A1186" t="str">
            <v>M2377</v>
          </cell>
          <cell r="B1186" t="str">
            <v>Adam</v>
          </cell>
          <cell r="C1186" t="str">
            <v>MAŚNIK</v>
          </cell>
          <cell r="D1186" t="str">
            <v>UKS Dwójka Wesoła</v>
          </cell>
        </row>
        <row r="1187">
          <cell r="A1187" t="str">
            <v>M5159</v>
          </cell>
          <cell r="B1187" t="str">
            <v>Grzegorz</v>
          </cell>
          <cell r="C1187" t="str">
            <v>MATCZAK</v>
          </cell>
          <cell r="D1187" t="str">
            <v>KS Wesoła Warszawa</v>
          </cell>
        </row>
        <row r="1188">
          <cell r="A1188" t="str">
            <v>M4688</v>
          </cell>
          <cell r="B1188" t="str">
            <v>Martyna</v>
          </cell>
          <cell r="C1188" t="str">
            <v>MATEJEK</v>
          </cell>
          <cell r="D1188" t="str">
            <v>UKS Kometa Sianów</v>
          </cell>
        </row>
        <row r="1189">
          <cell r="A1189" t="str">
            <v>M4460</v>
          </cell>
          <cell r="B1189" t="str">
            <v>Magdalena</v>
          </cell>
          <cell r="C1189" t="str">
            <v>MATEREK</v>
          </cell>
          <cell r="D1189" t="str">
            <v>MKS Orlicz Suchedniów</v>
          </cell>
        </row>
        <row r="1190">
          <cell r="A1190" t="str">
            <v>M0196</v>
          </cell>
          <cell r="B1190" t="str">
            <v>Robert</v>
          </cell>
          <cell r="C1190" t="str">
            <v>MATEUSIAK</v>
          </cell>
          <cell r="D1190" t="str">
            <v>UKS Hubal Białystok</v>
          </cell>
        </row>
        <row r="1191">
          <cell r="A1191" t="str">
            <v>M5149</v>
          </cell>
          <cell r="B1191" t="str">
            <v>Radosław</v>
          </cell>
          <cell r="C1191" t="str">
            <v>MATKOWSKI</v>
          </cell>
          <cell r="D1191" t="str">
            <v>KS Match Point Ślęza</v>
          </cell>
        </row>
        <row r="1192">
          <cell r="A1192" t="str">
            <v>M5957</v>
          </cell>
          <cell r="B1192" t="str">
            <v>Jakub</v>
          </cell>
          <cell r="C1192" t="str">
            <v>MATŁOKA</v>
          </cell>
          <cell r="D1192" t="str">
            <v>OTB Lotka Ostrów Wlkp.</v>
          </cell>
        </row>
        <row r="1193">
          <cell r="A1193" t="str">
            <v>M5778</v>
          </cell>
          <cell r="B1193" t="str">
            <v>Bogdan</v>
          </cell>
          <cell r="C1193" t="str">
            <v>MATOGA</v>
          </cell>
          <cell r="D1193" t="str">
            <v>----</v>
          </cell>
        </row>
        <row r="1194">
          <cell r="A1194" t="str">
            <v>M5301</v>
          </cell>
          <cell r="B1194" t="str">
            <v>Tomasz</v>
          </cell>
          <cell r="C1194" t="str">
            <v>MATOGA</v>
          </cell>
          <cell r="D1194" t="str">
            <v>UKS KSBad Kraków</v>
          </cell>
        </row>
        <row r="1195">
          <cell r="A1195" t="str">
            <v>M0529</v>
          </cell>
          <cell r="B1195" t="str">
            <v>Marian</v>
          </cell>
          <cell r="C1195" t="str">
            <v>MATUSEWICZ</v>
          </cell>
          <cell r="D1195" t="str">
            <v>----</v>
          </cell>
        </row>
        <row r="1196">
          <cell r="A1196" t="str">
            <v>M4456</v>
          </cell>
          <cell r="B1196" t="str">
            <v>Patrycja</v>
          </cell>
          <cell r="C1196" t="str">
            <v>MATUSIAK</v>
          </cell>
          <cell r="D1196" t="str">
            <v>LUKS Krokus Góralice</v>
          </cell>
        </row>
        <row r="1197">
          <cell r="A1197" t="str">
            <v>M4565</v>
          </cell>
          <cell r="B1197" t="str">
            <v>Maciej</v>
          </cell>
          <cell r="C1197" t="str">
            <v>MATUSZ</v>
          </cell>
          <cell r="D1197" t="str">
            <v>LKS Technik Głubczyce</v>
          </cell>
        </row>
        <row r="1198">
          <cell r="A1198" t="str">
            <v>M0116</v>
          </cell>
          <cell r="B1198" t="str">
            <v>Michał</v>
          </cell>
          <cell r="C1198" t="str">
            <v>MATUSZAK</v>
          </cell>
          <cell r="D1198" t="str">
            <v>----</v>
          </cell>
        </row>
        <row r="1199">
          <cell r="A1199" t="str">
            <v>M5279</v>
          </cell>
          <cell r="B1199" t="str">
            <v>Grzegorz</v>
          </cell>
          <cell r="C1199" t="str">
            <v>MATYJA</v>
          </cell>
          <cell r="D1199" t="str">
            <v>----</v>
          </cell>
        </row>
        <row r="1200">
          <cell r="A1200" t="str">
            <v>M3796</v>
          </cell>
          <cell r="B1200" t="str">
            <v>Daniel</v>
          </cell>
          <cell r="C1200" t="str">
            <v>MATYSEK</v>
          </cell>
          <cell r="D1200" t="str">
            <v>UKS Ząbkowice Dąbrowa Górn.</v>
          </cell>
        </row>
        <row r="1201">
          <cell r="A1201" t="str">
            <v>M3746</v>
          </cell>
          <cell r="B1201" t="str">
            <v>Dorota</v>
          </cell>
          <cell r="C1201" t="str">
            <v>MATYSIAK</v>
          </cell>
          <cell r="D1201" t="str">
            <v>KS Hubertus Zalesie Górne</v>
          </cell>
        </row>
        <row r="1202">
          <cell r="A1202" t="str">
            <v>M4977</v>
          </cell>
          <cell r="B1202" t="str">
            <v>Filip</v>
          </cell>
          <cell r="C1202" t="str">
            <v>MATYSIAK</v>
          </cell>
          <cell r="D1202" t="str">
            <v>UKS Junior Wrzosowa</v>
          </cell>
        </row>
        <row r="1203">
          <cell r="A1203" t="str">
            <v>M3747</v>
          </cell>
          <cell r="B1203" t="str">
            <v>Michał</v>
          </cell>
          <cell r="C1203" t="str">
            <v>MATYSIAK</v>
          </cell>
          <cell r="D1203" t="str">
            <v>KS Hubertus Zalesie Górne</v>
          </cell>
        </row>
        <row r="1204">
          <cell r="A1204" t="str">
            <v>M4741</v>
          </cell>
          <cell r="B1204" t="str">
            <v>Klaudia</v>
          </cell>
          <cell r="C1204" t="str">
            <v>MATYSZCZUK</v>
          </cell>
          <cell r="D1204" t="str">
            <v>UKS Kometa Sianów</v>
          </cell>
        </row>
        <row r="1205">
          <cell r="A1205" t="str">
            <v>M3524</v>
          </cell>
          <cell r="B1205" t="str">
            <v>Dawid</v>
          </cell>
          <cell r="C1205" t="str">
            <v>MAZUR</v>
          </cell>
          <cell r="D1205" t="str">
            <v>LKS Technik Głubczyce</v>
          </cell>
        </row>
        <row r="1206">
          <cell r="A1206" t="str">
            <v>M5584</v>
          </cell>
          <cell r="B1206" t="str">
            <v>Jakub</v>
          </cell>
          <cell r="C1206" t="str">
            <v>MAZUR</v>
          </cell>
          <cell r="D1206" t="str">
            <v>LKS Technik Głubczyce</v>
          </cell>
        </row>
        <row r="1207">
          <cell r="A1207" t="str">
            <v>M4134</v>
          </cell>
          <cell r="B1207" t="str">
            <v>Jarosław</v>
          </cell>
          <cell r="C1207" t="str">
            <v>MAZUR</v>
          </cell>
          <cell r="D1207" t="str">
            <v>UKSB Volant Mielec</v>
          </cell>
        </row>
        <row r="1208">
          <cell r="A1208" t="str">
            <v>M3761</v>
          </cell>
          <cell r="B1208" t="str">
            <v>Monika</v>
          </cell>
          <cell r="C1208" t="str">
            <v>MAZUR</v>
          </cell>
          <cell r="D1208" t="str">
            <v>LKS Technik Głubczyce</v>
          </cell>
        </row>
        <row r="1209">
          <cell r="A1209" t="str">
            <v>M5655</v>
          </cell>
          <cell r="B1209" t="str">
            <v>Kamila</v>
          </cell>
          <cell r="C1209" t="str">
            <v>MAZUREK</v>
          </cell>
          <cell r="D1209" t="str">
            <v>PMKS Chrobry Piotrowice</v>
          </cell>
        </row>
        <row r="1210">
          <cell r="A1210" t="str">
            <v>M5411</v>
          </cell>
          <cell r="B1210" t="str">
            <v>Marcin</v>
          </cell>
          <cell r="C1210" t="str">
            <v>MAZURKIEWICZ</v>
          </cell>
          <cell r="D1210" t="str">
            <v>BKS Kolejarz Katowice</v>
          </cell>
        </row>
        <row r="1211">
          <cell r="A1211" t="str">
            <v>M3567</v>
          </cell>
          <cell r="B1211" t="str">
            <v>Karol</v>
          </cell>
          <cell r="C1211" t="str">
            <v>MĄCZYŃSKI</v>
          </cell>
          <cell r="D1211" t="str">
            <v>UKSB Volant Mielec</v>
          </cell>
        </row>
        <row r="1212">
          <cell r="A1212" t="str">
            <v>M5582</v>
          </cell>
          <cell r="B1212" t="str">
            <v>Tomasz</v>
          </cell>
          <cell r="C1212" t="str">
            <v>MĄDRY</v>
          </cell>
          <cell r="D1212" t="str">
            <v>UKSB Milenium Warszawa</v>
          </cell>
        </row>
        <row r="1213">
          <cell r="A1213" t="str">
            <v>M5029</v>
          </cell>
          <cell r="B1213" t="str">
            <v>Zofia</v>
          </cell>
          <cell r="C1213" t="str">
            <v>MEHLICH</v>
          </cell>
          <cell r="D1213" t="str">
            <v>MKS Strzelce Opolskie</v>
          </cell>
        </row>
        <row r="1214">
          <cell r="A1214" t="str">
            <v>M5284</v>
          </cell>
          <cell r="B1214" t="str">
            <v>Paweł</v>
          </cell>
          <cell r="C1214" t="str">
            <v>MELA</v>
          </cell>
          <cell r="D1214" t="str">
            <v>----</v>
          </cell>
        </row>
        <row r="1215">
          <cell r="A1215" t="str">
            <v>M5942</v>
          </cell>
          <cell r="B1215" t="str">
            <v>Jakub</v>
          </cell>
          <cell r="C1215" t="str">
            <v>MELANIUK</v>
          </cell>
          <cell r="D1215" t="str">
            <v>UKSB Milenium Warszawa</v>
          </cell>
        </row>
        <row r="1216">
          <cell r="A1216" t="str">
            <v>M0516</v>
          </cell>
          <cell r="B1216" t="str">
            <v>Mirosław</v>
          </cell>
          <cell r="C1216" t="str">
            <v>MENDELEWSKI</v>
          </cell>
          <cell r="D1216" t="str">
            <v>SKB Piast Słupsk</v>
          </cell>
        </row>
        <row r="1217">
          <cell r="A1217" t="str">
            <v>M5042</v>
          </cell>
          <cell r="B1217" t="str">
            <v>Weronika</v>
          </cell>
          <cell r="C1217" t="str">
            <v>MENDERA</v>
          </cell>
          <cell r="D1217" t="str">
            <v>OTB Lotka Ostrów Wlkp.</v>
          </cell>
        </row>
        <row r="1218">
          <cell r="A1218" t="str">
            <v>M2605</v>
          </cell>
          <cell r="B1218" t="str">
            <v>Piotr</v>
          </cell>
          <cell r="C1218" t="str">
            <v>MEZGIER</v>
          </cell>
          <cell r="D1218" t="str">
            <v>UKS Kometa Sianów</v>
          </cell>
        </row>
        <row r="1219">
          <cell r="A1219" t="str">
            <v>M3946</v>
          </cell>
          <cell r="B1219" t="str">
            <v>Dawid</v>
          </cell>
          <cell r="C1219" t="str">
            <v>MIANOWSKI</v>
          </cell>
          <cell r="D1219" t="str">
            <v>MKS Garwolin</v>
          </cell>
        </row>
        <row r="1220">
          <cell r="A1220" t="str">
            <v>M3531</v>
          </cell>
          <cell r="B1220" t="str">
            <v>Norbert</v>
          </cell>
          <cell r="C1220" t="str">
            <v>MIARKA</v>
          </cell>
          <cell r="D1220" t="str">
            <v>ZKB Maced Polanów</v>
          </cell>
        </row>
        <row r="1221">
          <cell r="A1221" t="str">
            <v>M4957</v>
          </cell>
          <cell r="B1221" t="str">
            <v>Weronika</v>
          </cell>
          <cell r="C1221" t="str">
            <v>MIAZEK</v>
          </cell>
          <cell r="D1221" t="str">
            <v>PMKS Chrobry Piotrowice</v>
          </cell>
        </row>
        <row r="1222">
          <cell r="A1222" t="str">
            <v>M4760</v>
          </cell>
          <cell r="B1222" t="str">
            <v>Klaudia</v>
          </cell>
          <cell r="C1222" t="str">
            <v>MICHAELIS</v>
          </cell>
          <cell r="D1222" t="str">
            <v>MLKS Solec Kuj.</v>
          </cell>
        </row>
        <row r="1223">
          <cell r="A1223" t="str">
            <v>M5918</v>
          </cell>
          <cell r="B1223" t="str">
            <v>Julia</v>
          </cell>
          <cell r="C1223" t="str">
            <v>MICHALAK</v>
          </cell>
          <cell r="D1223" t="str">
            <v>UKSOSIR Badminton Sławno</v>
          </cell>
        </row>
        <row r="1224">
          <cell r="A1224" t="str">
            <v>M5292</v>
          </cell>
          <cell r="B1224" t="str">
            <v>Aleksandra</v>
          </cell>
          <cell r="C1224" t="str">
            <v>MICHALCZUK</v>
          </cell>
          <cell r="D1224" t="str">
            <v>MKS Stal Nowa Dęba</v>
          </cell>
        </row>
        <row r="1225">
          <cell r="A1225" t="str">
            <v>M4571</v>
          </cell>
          <cell r="B1225" t="str">
            <v>Aleksandra</v>
          </cell>
          <cell r="C1225" t="str">
            <v>MICHALSKA</v>
          </cell>
          <cell r="D1225" t="str">
            <v>UKS Smecz Bogatynia</v>
          </cell>
        </row>
        <row r="1226">
          <cell r="A1226" t="str">
            <v>M5401</v>
          </cell>
          <cell r="B1226" t="str">
            <v>Martyna</v>
          </cell>
          <cell r="C1226" t="str">
            <v>MICHALSKA</v>
          </cell>
          <cell r="D1226" t="str">
            <v>PMKS Chrobry Piotrowice</v>
          </cell>
        </row>
        <row r="1227">
          <cell r="A1227" t="str">
            <v>M4285</v>
          </cell>
          <cell r="B1227" t="str">
            <v>Beata</v>
          </cell>
          <cell r="C1227" t="str">
            <v>MICHALUK</v>
          </cell>
          <cell r="D1227" t="str">
            <v>SKB Suwałki</v>
          </cell>
        </row>
        <row r="1228">
          <cell r="A1228" t="str">
            <v>M4170</v>
          </cell>
          <cell r="B1228" t="str">
            <v>Kamil</v>
          </cell>
          <cell r="C1228" t="str">
            <v>MICHAŁEK</v>
          </cell>
          <cell r="D1228" t="str">
            <v>UKS Orbitek Straszęcin</v>
          </cell>
        </row>
        <row r="1229">
          <cell r="A1229" t="str">
            <v>M4612</v>
          </cell>
          <cell r="B1229" t="str">
            <v>Patryk</v>
          </cell>
          <cell r="C1229" t="str">
            <v>MICHAŁEK</v>
          </cell>
          <cell r="D1229" t="str">
            <v>UKS Orbitek Straszęcin</v>
          </cell>
        </row>
        <row r="1230">
          <cell r="A1230" t="str">
            <v>M5126</v>
          </cell>
          <cell r="B1230" t="str">
            <v>Emilia</v>
          </cell>
          <cell r="C1230" t="str">
            <v>MICHEL</v>
          </cell>
          <cell r="D1230" t="str">
            <v>UKS Korona Pabianice</v>
          </cell>
        </row>
        <row r="1231">
          <cell r="A1231" t="str">
            <v>M1944</v>
          </cell>
          <cell r="B1231" t="str">
            <v>Jakub</v>
          </cell>
          <cell r="C1231" t="str">
            <v>MICHNIEWICZ</v>
          </cell>
          <cell r="D1231" t="str">
            <v>UKS Hubal Białystok</v>
          </cell>
        </row>
        <row r="1232">
          <cell r="A1232" t="str">
            <v>M3097</v>
          </cell>
          <cell r="B1232" t="str">
            <v>Mariusz</v>
          </cell>
          <cell r="C1232" t="str">
            <v>MICHNIEWICZ</v>
          </cell>
          <cell r="D1232" t="str">
            <v>UKS Hubal Białystok</v>
          </cell>
        </row>
        <row r="1233">
          <cell r="A1233" t="str">
            <v>M4053</v>
          </cell>
          <cell r="B1233" t="str">
            <v>Katarzyna</v>
          </cell>
          <cell r="C1233" t="str">
            <v>MICHTA</v>
          </cell>
          <cell r="D1233" t="str">
            <v>MKS Orlicz Suchedniów</v>
          </cell>
        </row>
        <row r="1234">
          <cell r="A1234" t="str">
            <v>M5671</v>
          </cell>
          <cell r="B1234" t="str">
            <v>Sebastian</v>
          </cell>
          <cell r="C1234" t="str">
            <v>MICHTA</v>
          </cell>
          <cell r="D1234" t="str">
            <v>UKS Ząbkowice Dąbrowa Górn.</v>
          </cell>
        </row>
        <row r="1235">
          <cell r="A1235" t="str">
            <v>M5599</v>
          </cell>
          <cell r="B1235" t="str">
            <v>Aleksandra</v>
          </cell>
          <cell r="C1235" t="str">
            <v>MIECZKOWSKA</v>
          </cell>
          <cell r="D1235" t="str">
            <v>UKS Hubal Białystok</v>
          </cell>
        </row>
        <row r="1236">
          <cell r="A1236" t="str">
            <v>M4817</v>
          </cell>
          <cell r="B1236" t="str">
            <v>Arkadiusz</v>
          </cell>
          <cell r="C1236" t="str">
            <v>MIECZKOWSKI</v>
          </cell>
          <cell r="D1236" t="str">
            <v>UKS Hubal Białystok</v>
          </cell>
        </row>
        <row r="1237">
          <cell r="A1237" t="str">
            <v>M4631</v>
          </cell>
          <cell r="B1237" t="str">
            <v>Agata</v>
          </cell>
          <cell r="C1237" t="str">
            <v>MIELEWCZYK</v>
          </cell>
          <cell r="D1237" t="str">
            <v>ULKS U-2 Lotka Bytów</v>
          </cell>
        </row>
        <row r="1238">
          <cell r="A1238" t="str">
            <v>M3662</v>
          </cell>
          <cell r="B1238" t="str">
            <v>Anita</v>
          </cell>
          <cell r="C1238" t="str">
            <v>MIELNICZEK</v>
          </cell>
          <cell r="D1238" t="str">
            <v>UKS Orbitek Straszęcin</v>
          </cell>
        </row>
        <row r="1239">
          <cell r="A1239" t="str">
            <v>M3544</v>
          </cell>
          <cell r="B1239" t="str">
            <v>Bartosz</v>
          </cell>
          <cell r="C1239" t="str">
            <v>MIERNIK</v>
          </cell>
          <cell r="D1239" t="str">
            <v>MKS Orlicz Suchedniów</v>
          </cell>
        </row>
        <row r="1240">
          <cell r="A1240" t="str">
            <v>M5307</v>
          </cell>
          <cell r="B1240" t="str">
            <v>Grzegorz</v>
          </cell>
          <cell r="C1240" t="str">
            <v>MIERNIK</v>
          </cell>
          <cell r="D1240" t="str">
            <v>----</v>
          </cell>
        </row>
        <row r="1241">
          <cell r="A1241" t="str">
            <v>M5379</v>
          </cell>
          <cell r="B1241" t="str">
            <v>Kamila</v>
          </cell>
          <cell r="C1241" t="str">
            <v>MIERNIK</v>
          </cell>
          <cell r="D1241" t="str">
            <v>MKS Orlicz Suchedniów</v>
          </cell>
        </row>
        <row r="1242">
          <cell r="A1242" t="str">
            <v>M4779</v>
          </cell>
          <cell r="B1242" t="str">
            <v>Mariusz</v>
          </cell>
          <cell r="C1242" t="str">
            <v>MIERNIK</v>
          </cell>
          <cell r="D1242" t="str">
            <v>----</v>
          </cell>
        </row>
        <row r="1243">
          <cell r="A1243" t="str">
            <v>M3281</v>
          </cell>
          <cell r="B1243" t="str">
            <v>Mateusz</v>
          </cell>
          <cell r="C1243" t="str">
            <v>MIERNIK</v>
          </cell>
          <cell r="D1243" t="str">
            <v>MKS Orlicz Suchedniów</v>
          </cell>
        </row>
        <row r="1244">
          <cell r="A1244" t="str">
            <v>M4093</v>
          </cell>
          <cell r="B1244" t="str">
            <v>Miłosz</v>
          </cell>
          <cell r="C1244" t="str">
            <v>MIERNIK</v>
          </cell>
          <cell r="D1244" t="str">
            <v>MKS Orlicz Suchedniów</v>
          </cell>
        </row>
        <row r="1245">
          <cell r="A1245" t="str">
            <v>M5386</v>
          </cell>
          <cell r="B1245" t="str">
            <v>Weronika</v>
          </cell>
          <cell r="C1245" t="str">
            <v>MIERNIK</v>
          </cell>
          <cell r="D1245" t="str">
            <v>MKS Orlicz Suchedniów</v>
          </cell>
        </row>
        <row r="1246">
          <cell r="A1246" t="str">
            <v>M4756</v>
          </cell>
          <cell r="B1246" t="str">
            <v>Emilia</v>
          </cell>
          <cell r="C1246" t="str">
            <v>MIERZEJEWSKA</v>
          </cell>
          <cell r="D1246" t="str">
            <v>UKSOSIR Badminton Sławno</v>
          </cell>
        </row>
        <row r="1247">
          <cell r="A1247" t="str">
            <v>M5854</v>
          </cell>
          <cell r="B1247" t="str">
            <v>Natalia</v>
          </cell>
          <cell r="C1247" t="str">
            <v>MIERZWA</v>
          </cell>
          <cell r="D1247" t="str">
            <v>UKS Astra Wrocław</v>
          </cell>
        </row>
        <row r="1248">
          <cell r="A1248" t="str">
            <v>M3309</v>
          </cell>
          <cell r="B1248" t="str">
            <v>Edyta</v>
          </cell>
          <cell r="C1248" t="str">
            <v>MIETŁA</v>
          </cell>
          <cell r="D1248" t="str">
            <v>MKS Spartakus Niepołomice</v>
          </cell>
        </row>
        <row r="1249">
          <cell r="A1249" t="str">
            <v>M3959</v>
          </cell>
          <cell r="B1249" t="str">
            <v>Łucja</v>
          </cell>
          <cell r="C1249" t="str">
            <v>MIGAS</v>
          </cell>
          <cell r="D1249" t="str">
            <v>UKS Iskra Sarbice</v>
          </cell>
        </row>
        <row r="1250">
          <cell r="A1250" t="str">
            <v>M5474</v>
          </cell>
          <cell r="B1250" t="str">
            <v>Szymon</v>
          </cell>
          <cell r="C1250" t="str">
            <v>MIGAS</v>
          </cell>
          <cell r="D1250" t="str">
            <v>UKS Iskra Sarbice</v>
          </cell>
        </row>
        <row r="1251">
          <cell r="A1251" t="str">
            <v>M5331</v>
          </cell>
          <cell r="B1251" t="str">
            <v>Katarzyna</v>
          </cell>
          <cell r="C1251" t="str">
            <v>MIKLASZEWSKA</v>
          </cell>
          <cell r="D1251" t="str">
            <v>UKS 70 Płock</v>
          </cell>
        </row>
        <row r="1252">
          <cell r="A1252" t="str">
            <v>M0371</v>
          </cell>
          <cell r="B1252" t="str">
            <v>Mateusz</v>
          </cell>
          <cell r="C1252" t="str">
            <v>MIKOŁAJCZAK</v>
          </cell>
          <cell r="D1252" t="str">
            <v>----</v>
          </cell>
        </row>
        <row r="1253">
          <cell r="A1253" t="str">
            <v>M5979</v>
          </cell>
          <cell r="B1253" t="str">
            <v>Jakub</v>
          </cell>
          <cell r="C1253" t="str">
            <v>MIKOŁAJCZYK</v>
          </cell>
          <cell r="D1253" t="str">
            <v>UKS Badminton Stare Babice</v>
          </cell>
        </row>
        <row r="1254">
          <cell r="A1254" t="str">
            <v>M4748</v>
          </cell>
          <cell r="B1254" t="str">
            <v>Olga</v>
          </cell>
          <cell r="C1254" t="str">
            <v>MIKSZA</v>
          </cell>
          <cell r="D1254" t="str">
            <v>KS Wesoła Warszawa</v>
          </cell>
        </row>
        <row r="1255">
          <cell r="A1255" t="str">
            <v>M1476</v>
          </cell>
          <cell r="B1255" t="str">
            <v>Andrzej</v>
          </cell>
          <cell r="C1255" t="str">
            <v>MIKULSKI</v>
          </cell>
          <cell r="D1255" t="str">
            <v>MKSKSOS Kraków</v>
          </cell>
        </row>
        <row r="1256">
          <cell r="A1256" t="str">
            <v>M5390</v>
          </cell>
          <cell r="B1256" t="str">
            <v>Bartosz</v>
          </cell>
          <cell r="C1256" t="str">
            <v>MIL</v>
          </cell>
          <cell r="D1256" t="str">
            <v>KKS Warmia Olsztyn</v>
          </cell>
        </row>
        <row r="1257">
          <cell r="A1257" t="str">
            <v>M3422</v>
          </cell>
          <cell r="B1257" t="str">
            <v>Jerzy</v>
          </cell>
          <cell r="C1257" t="str">
            <v>MILER</v>
          </cell>
          <cell r="D1257" t="str">
            <v>----</v>
          </cell>
        </row>
        <row r="1258">
          <cell r="A1258" t="str">
            <v>M5901</v>
          </cell>
          <cell r="B1258" t="str">
            <v>Sandra</v>
          </cell>
          <cell r="C1258" t="str">
            <v>MILER</v>
          </cell>
          <cell r="D1258" t="str">
            <v>KKS Ruch Piotrków Tryb.</v>
          </cell>
        </row>
        <row r="1259">
          <cell r="A1259" t="str">
            <v>M5287</v>
          </cell>
          <cell r="B1259" t="str">
            <v>Marek</v>
          </cell>
          <cell r="C1259" t="str">
            <v>MIŁOSZEWSKI</v>
          </cell>
          <cell r="D1259" t="str">
            <v>----</v>
          </cell>
        </row>
        <row r="1260">
          <cell r="A1260" t="str">
            <v>M4795</v>
          </cell>
          <cell r="B1260" t="str">
            <v>Łukasz</v>
          </cell>
          <cell r="C1260" t="str">
            <v>MIŁOŚNICKI</v>
          </cell>
          <cell r="D1260" t="str">
            <v>SLKS Tramp Orneta</v>
          </cell>
        </row>
        <row r="1261">
          <cell r="A1261" t="str">
            <v>M4796</v>
          </cell>
          <cell r="B1261" t="str">
            <v>Mateusz</v>
          </cell>
          <cell r="C1261" t="str">
            <v>MIŁOŚNICKI</v>
          </cell>
          <cell r="D1261" t="str">
            <v>SLKS Tramp Orneta</v>
          </cell>
        </row>
        <row r="1262">
          <cell r="A1262" t="str">
            <v>M3762</v>
          </cell>
          <cell r="B1262" t="str">
            <v>Dawid</v>
          </cell>
          <cell r="C1262" t="str">
            <v>MINARTOWICZ</v>
          </cell>
          <cell r="D1262" t="str">
            <v>LKS Technik Głubczyce</v>
          </cell>
        </row>
        <row r="1263">
          <cell r="A1263" t="str">
            <v>M3763</v>
          </cell>
          <cell r="B1263" t="str">
            <v>Dominika</v>
          </cell>
          <cell r="C1263" t="str">
            <v>MINARTOWICZ</v>
          </cell>
          <cell r="D1263" t="str">
            <v>LKS Technik Głubczyce</v>
          </cell>
        </row>
        <row r="1264">
          <cell r="A1264" t="str">
            <v>M4588</v>
          </cell>
          <cell r="B1264" t="str">
            <v>Jakub</v>
          </cell>
          <cell r="C1264" t="str">
            <v>MINARTOWICZ</v>
          </cell>
          <cell r="D1264" t="str">
            <v>LKS Technik Głubczyce</v>
          </cell>
        </row>
        <row r="1265">
          <cell r="A1265" t="str">
            <v>M4193</v>
          </cell>
          <cell r="B1265" t="str">
            <v>Robert</v>
          </cell>
          <cell r="C1265" t="str">
            <v>MIRGA</v>
          </cell>
          <cell r="D1265" t="str">
            <v>LKS Technik Głubczyce</v>
          </cell>
        </row>
        <row r="1266">
          <cell r="A1266" t="str">
            <v>M4914</v>
          </cell>
          <cell r="B1266" t="str">
            <v>Aleksandra</v>
          </cell>
          <cell r="C1266" t="str">
            <v>MIROWSKA</v>
          </cell>
          <cell r="D1266" t="str">
            <v>KKS Ruch Piotrków Tryb.</v>
          </cell>
        </row>
        <row r="1267">
          <cell r="A1267" t="str">
            <v>M 034</v>
          </cell>
          <cell r="B1267" t="str">
            <v>Michał</v>
          </cell>
          <cell r="C1267" t="str">
            <v>MIROWSKI</v>
          </cell>
          <cell r="D1267" t="str">
            <v>----</v>
          </cell>
        </row>
        <row r="1268">
          <cell r="A1268" t="str">
            <v>M4534</v>
          </cell>
          <cell r="B1268" t="str">
            <v>Mateusz</v>
          </cell>
          <cell r="C1268" t="str">
            <v>MISIK</v>
          </cell>
          <cell r="D1268" t="str">
            <v>MUKS 5 Chełm</v>
          </cell>
        </row>
        <row r="1269">
          <cell r="A1269" t="str">
            <v>M4441</v>
          </cell>
          <cell r="B1269" t="str">
            <v>Piotr</v>
          </cell>
          <cell r="C1269" t="str">
            <v>MISIOROWSKI</v>
          </cell>
          <cell r="D1269" t="str">
            <v>AZSAGH Kraków</v>
          </cell>
        </row>
        <row r="1270">
          <cell r="A1270" t="str">
            <v>M5121</v>
          </cell>
          <cell r="B1270" t="str">
            <v>Julia</v>
          </cell>
          <cell r="C1270" t="str">
            <v>MISIURA</v>
          </cell>
          <cell r="D1270" t="str">
            <v>UKS Plesbad Pszczyna</v>
          </cell>
        </row>
        <row r="1271">
          <cell r="A1271" t="str">
            <v>M4792</v>
          </cell>
          <cell r="B1271" t="str">
            <v>Urszula</v>
          </cell>
          <cell r="C1271" t="str">
            <v>MISZKIEL</v>
          </cell>
          <cell r="D1271" t="str">
            <v>SKB Suwałki</v>
          </cell>
        </row>
        <row r="1272">
          <cell r="A1272" t="str">
            <v>M5269</v>
          </cell>
          <cell r="B1272" t="str">
            <v>Julia</v>
          </cell>
          <cell r="C1272" t="str">
            <v>MIŚKO</v>
          </cell>
          <cell r="D1272" t="str">
            <v>UKS Badminton Stare Babice</v>
          </cell>
        </row>
        <row r="1273">
          <cell r="A1273" t="str">
            <v>M4349</v>
          </cell>
          <cell r="B1273" t="str">
            <v>Katarzyna</v>
          </cell>
          <cell r="C1273" t="str">
            <v>MITURSKA</v>
          </cell>
          <cell r="D1273" t="str">
            <v>ŚKBad Harcownik Warszawa</v>
          </cell>
        </row>
        <row r="1274">
          <cell r="A1274" t="str">
            <v>M4864</v>
          </cell>
          <cell r="B1274" t="str">
            <v>Katarzyna</v>
          </cell>
          <cell r="C1274" t="str">
            <v>MŁODAWSKA</v>
          </cell>
          <cell r="D1274" t="str">
            <v>MKS Orlicz Suchedniów</v>
          </cell>
        </row>
        <row r="1275">
          <cell r="A1275" t="str">
            <v>M2127</v>
          </cell>
          <cell r="B1275" t="str">
            <v>Ewa</v>
          </cell>
          <cell r="C1275" t="str">
            <v>MŁYNARSKA</v>
          </cell>
          <cell r="D1275" t="str">
            <v>----</v>
          </cell>
        </row>
        <row r="1276">
          <cell r="A1276" t="str">
            <v>M5460</v>
          </cell>
          <cell r="B1276" t="str">
            <v>Jakub</v>
          </cell>
          <cell r="C1276" t="str">
            <v>MNICH</v>
          </cell>
          <cell r="D1276" t="str">
            <v>MKB Lednik Miastko</v>
          </cell>
        </row>
        <row r="1277">
          <cell r="A1277" t="str">
            <v>M3981</v>
          </cell>
          <cell r="B1277" t="str">
            <v>Andrzej</v>
          </cell>
          <cell r="C1277" t="str">
            <v>MOCZULAK</v>
          </cell>
          <cell r="D1277" t="str">
            <v>KS Hubertus Zalesie Górne</v>
          </cell>
        </row>
        <row r="1278">
          <cell r="A1278" t="str">
            <v>M3216</v>
          </cell>
          <cell r="B1278" t="str">
            <v>Izabella</v>
          </cell>
          <cell r="C1278" t="str">
            <v>MORAWIEC</v>
          </cell>
          <cell r="D1278" t="str">
            <v>MMKS Kędzierzyn-Koźle</v>
          </cell>
        </row>
        <row r="1279">
          <cell r="A1279" t="str">
            <v>M5266</v>
          </cell>
          <cell r="B1279" t="str">
            <v>Tomasz</v>
          </cell>
          <cell r="C1279" t="str">
            <v>MORAWIK</v>
          </cell>
          <cell r="D1279" t="str">
            <v>AZSAGH Kraków</v>
          </cell>
        </row>
        <row r="1280">
          <cell r="A1280" t="str">
            <v>M3391</v>
          </cell>
          <cell r="B1280" t="str">
            <v>Kamila</v>
          </cell>
          <cell r="C1280" t="str">
            <v>MORAWSKA</v>
          </cell>
          <cell r="D1280" t="str">
            <v>AZSAGH Kraków</v>
          </cell>
        </row>
        <row r="1281">
          <cell r="A1281" t="str">
            <v>M2267</v>
          </cell>
          <cell r="B1281" t="str">
            <v>Mirosław</v>
          </cell>
          <cell r="C1281" t="str">
            <v>MORDASIEWICZ</v>
          </cell>
          <cell r="D1281" t="str">
            <v>UKS Hubal Białystok</v>
          </cell>
        </row>
        <row r="1282">
          <cell r="A1282" t="str">
            <v>M 059</v>
          </cell>
          <cell r="B1282" t="str">
            <v>Łukasz</v>
          </cell>
          <cell r="C1282" t="str">
            <v>MOREŃ</v>
          </cell>
          <cell r="D1282" t="str">
            <v>SKB Suwałki</v>
          </cell>
        </row>
        <row r="1283">
          <cell r="A1283" t="str">
            <v>M2043</v>
          </cell>
          <cell r="B1283" t="str">
            <v>Paweł</v>
          </cell>
          <cell r="C1283" t="str">
            <v>MOROZIK</v>
          </cell>
          <cell r="D1283" t="str">
            <v>ŚKBad Harcownik Warszawa</v>
          </cell>
        </row>
        <row r="1284">
          <cell r="A1284" t="str">
            <v>M4654</v>
          </cell>
          <cell r="B1284" t="str">
            <v>Marceli</v>
          </cell>
          <cell r="C1284" t="str">
            <v>MORZEWSKI</v>
          </cell>
          <cell r="D1284" t="str">
            <v>UKSB Milenium Warszawa</v>
          </cell>
        </row>
        <row r="1285">
          <cell r="A1285" t="str">
            <v>M3506</v>
          </cell>
          <cell r="B1285" t="str">
            <v>Aleksander</v>
          </cell>
          <cell r="C1285" t="str">
            <v>MORZYK</v>
          </cell>
          <cell r="D1285" t="str">
            <v>LUKS Jedynka Częstochowa</v>
          </cell>
        </row>
        <row r="1286">
          <cell r="A1286" t="str">
            <v>M2664</v>
          </cell>
          <cell r="B1286" t="str">
            <v>Anna</v>
          </cell>
          <cell r="C1286" t="str">
            <v>MOSKAL</v>
          </cell>
          <cell r="D1286" t="str">
            <v>UKS Sokół Ropczyce</v>
          </cell>
        </row>
        <row r="1287">
          <cell r="A1287" t="str">
            <v>M5383</v>
          </cell>
          <cell r="B1287" t="str">
            <v>Patryk</v>
          </cell>
          <cell r="C1287" t="str">
            <v>MOSKAL</v>
          </cell>
          <cell r="D1287" t="str">
            <v>MKS Orlicz Suchedniów</v>
          </cell>
        </row>
        <row r="1288">
          <cell r="A1288" t="str">
            <v>M5486</v>
          </cell>
          <cell r="B1288" t="str">
            <v>Tomasz</v>
          </cell>
          <cell r="C1288" t="str">
            <v>MOSKAL</v>
          </cell>
          <cell r="D1288" t="str">
            <v>----</v>
          </cell>
        </row>
        <row r="1289">
          <cell r="A1289" t="str">
            <v>M3404</v>
          </cell>
          <cell r="B1289" t="str">
            <v>Jan</v>
          </cell>
          <cell r="C1289" t="str">
            <v>MOSKALEW</v>
          </cell>
          <cell r="D1289" t="str">
            <v>ŚKBad Harcownik Warszawa</v>
          </cell>
        </row>
        <row r="1290">
          <cell r="A1290" t="str">
            <v>M3731</v>
          </cell>
          <cell r="B1290" t="str">
            <v>Jakub</v>
          </cell>
          <cell r="C1290" t="str">
            <v>MOSORZEWSKI</v>
          </cell>
          <cell r="D1290" t="str">
            <v>UKS Kiko Zamość</v>
          </cell>
        </row>
        <row r="1291">
          <cell r="A1291" t="str">
            <v>M5225</v>
          </cell>
          <cell r="B1291" t="str">
            <v>Patryk</v>
          </cell>
          <cell r="C1291" t="str">
            <v>MOTYKA</v>
          </cell>
          <cell r="D1291" t="str">
            <v>UMKS Junis Szczucin</v>
          </cell>
        </row>
        <row r="1292">
          <cell r="A1292" t="str">
            <v>M5226</v>
          </cell>
          <cell r="B1292" t="str">
            <v>Sylwia</v>
          </cell>
          <cell r="C1292" t="str">
            <v>MOTYKA</v>
          </cell>
          <cell r="D1292" t="str">
            <v>UMKS Junis Szczucin</v>
          </cell>
        </row>
        <row r="1293">
          <cell r="A1293" t="str">
            <v>M4513</v>
          </cell>
          <cell r="B1293" t="str">
            <v>Konrad</v>
          </cell>
          <cell r="C1293" t="str">
            <v>MOTYL</v>
          </cell>
          <cell r="D1293" t="str">
            <v>MKS Dwójka Blachownia</v>
          </cell>
        </row>
        <row r="1294">
          <cell r="A1294" t="str">
            <v>M5276</v>
          </cell>
          <cell r="B1294" t="str">
            <v>Wacław</v>
          </cell>
          <cell r="C1294" t="str">
            <v>MOZER</v>
          </cell>
          <cell r="D1294" t="str">
            <v>----</v>
          </cell>
        </row>
        <row r="1295">
          <cell r="A1295" t="str">
            <v>M1985</v>
          </cell>
          <cell r="B1295" t="str">
            <v>Agnieszka</v>
          </cell>
          <cell r="C1295" t="str">
            <v>MOŹDZIOCH</v>
          </cell>
          <cell r="D1295" t="str">
            <v>UKS Ostrówek</v>
          </cell>
        </row>
        <row r="1296">
          <cell r="A1296" t="str">
            <v>M3221</v>
          </cell>
          <cell r="B1296" t="str">
            <v>Kinga</v>
          </cell>
          <cell r="C1296" t="str">
            <v>MÓŁKA</v>
          </cell>
          <cell r="D1296" t="str">
            <v>UMKS Junis Szczucin</v>
          </cell>
        </row>
        <row r="1297">
          <cell r="A1297" t="str">
            <v>M4261</v>
          </cell>
          <cell r="B1297" t="str">
            <v>Piotr</v>
          </cell>
          <cell r="C1297" t="str">
            <v>MRACHACZ</v>
          </cell>
          <cell r="D1297" t="str">
            <v>UKS 15 Kędzierzyn-Koźle</v>
          </cell>
        </row>
        <row r="1298">
          <cell r="A1298" t="str">
            <v>M3590</v>
          </cell>
          <cell r="B1298" t="str">
            <v>Michał</v>
          </cell>
          <cell r="C1298" t="str">
            <v>MROZEK</v>
          </cell>
          <cell r="D1298" t="str">
            <v>UKS Orliki Ropica Polska</v>
          </cell>
        </row>
        <row r="1299">
          <cell r="A1299" t="str">
            <v>M3165</v>
          </cell>
          <cell r="B1299" t="str">
            <v>Bartłomiej</v>
          </cell>
          <cell r="C1299" t="str">
            <v>MRÓZ</v>
          </cell>
          <cell r="D1299" t="str">
            <v>MMKS Kędzierzyn-Koźle</v>
          </cell>
        </row>
        <row r="1300">
          <cell r="A1300" t="str">
            <v>M3486</v>
          </cell>
          <cell r="B1300" t="str">
            <v>Dominika</v>
          </cell>
          <cell r="C1300" t="str">
            <v>MRÓZ</v>
          </cell>
          <cell r="D1300" t="str">
            <v>MMKS Kędzierzyn-Koźle</v>
          </cell>
        </row>
        <row r="1301">
          <cell r="A1301" t="str">
            <v>M5347</v>
          </cell>
          <cell r="B1301" t="str">
            <v>Kamila</v>
          </cell>
          <cell r="C1301" t="str">
            <v>MRÓZ</v>
          </cell>
          <cell r="D1301" t="str">
            <v>UKS Kiko Zamość</v>
          </cell>
        </row>
        <row r="1302">
          <cell r="A1302" t="str">
            <v>M5852</v>
          </cell>
          <cell r="B1302" t="str">
            <v>Marcin</v>
          </cell>
          <cell r="C1302" t="str">
            <v>MRÓZ</v>
          </cell>
          <cell r="D1302" t="str">
            <v>UKS Astra Wrocław</v>
          </cell>
        </row>
        <row r="1303">
          <cell r="A1303" t="str">
            <v>M5127</v>
          </cell>
          <cell r="B1303" t="str">
            <v>Natalia</v>
          </cell>
          <cell r="C1303" t="str">
            <v>MRÓZ</v>
          </cell>
          <cell r="D1303" t="str">
            <v>UKS Korona Pabianice</v>
          </cell>
        </row>
        <row r="1304">
          <cell r="A1304" t="str">
            <v>M4661</v>
          </cell>
          <cell r="B1304" t="str">
            <v>Jerzy</v>
          </cell>
          <cell r="C1304" t="str">
            <v>MURACH</v>
          </cell>
          <cell r="D1304" t="str">
            <v>----</v>
          </cell>
        </row>
        <row r="1305">
          <cell r="A1305" t="str">
            <v>M1734</v>
          </cell>
          <cell r="B1305" t="str">
            <v>Maja</v>
          </cell>
          <cell r="C1305" t="str">
            <v>MUSZYŃSKA</v>
          </cell>
          <cell r="D1305" t="str">
            <v>KS Match Point Ślęza</v>
          </cell>
        </row>
        <row r="1306">
          <cell r="A1306" t="str">
            <v>M4810</v>
          </cell>
          <cell r="B1306" t="str">
            <v>Paulina</v>
          </cell>
          <cell r="C1306" t="str">
            <v>MUSZYŃSKA</v>
          </cell>
          <cell r="D1306" t="str">
            <v>UKS Hubal Białystok</v>
          </cell>
        </row>
        <row r="1307">
          <cell r="A1307" t="str">
            <v>M4717</v>
          </cell>
          <cell r="B1307" t="str">
            <v>Beata</v>
          </cell>
          <cell r="C1307" t="str">
            <v>MYCEK</v>
          </cell>
          <cell r="D1307" t="str">
            <v>MKS Stal Nowa Dęba</v>
          </cell>
        </row>
        <row r="1308">
          <cell r="A1308" t="str">
            <v>M4972</v>
          </cell>
          <cell r="B1308" t="str">
            <v>Cezary</v>
          </cell>
          <cell r="C1308" t="str">
            <v>MYDLAK</v>
          </cell>
          <cell r="D1308" t="str">
            <v>UKS Ostrówek</v>
          </cell>
        </row>
        <row r="1309">
          <cell r="A1309" t="str">
            <v>M5726</v>
          </cell>
          <cell r="B1309" t="str">
            <v>Magdalena</v>
          </cell>
          <cell r="C1309" t="str">
            <v>MYNARSKA</v>
          </cell>
          <cell r="D1309" t="str">
            <v>UKS Plesbad Pszczyna</v>
          </cell>
        </row>
        <row r="1310">
          <cell r="A1310" t="str">
            <v>M3728</v>
          </cell>
          <cell r="B1310" t="str">
            <v>Katarzyna</v>
          </cell>
          <cell r="C1310" t="str">
            <v>MYSŁEK</v>
          </cell>
          <cell r="D1310" t="str">
            <v>BKS Kolejarz Częstochowa</v>
          </cell>
        </row>
        <row r="1311">
          <cell r="A1311" t="str">
            <v>M4909</v>
          </cell>
          <cell r="B1311" t="str">
            <v>Krzysztof</v>
          </cell>
          <cell r="C1311" t="str">
            <v>MYSŁEK</v>
          </cell>
          <cell r="D1311" t="str">
            <v>LUKS Jedynka Częstochowa</v>
          </cell>
        </row>
        <row r="1312">
          <cell r="A1312" t="str">
            <v>M5475</v>
          </cell>
          <cell r="B1312" t="str">
            <v>Jakub</v>
          </cell>
          <cell r="C1312" t="str">
            <v>MYSŁOWSKI</v>
          </cell>
          <cell r="D1312" t="str">
            <v>UKS Iskra Sarbice</v>
          </cell>
        </row>
        <row r="1313">
          <cell r="A1313" t="str">
            <v>M5683</v>
          </cell>
          <cell r="B1313" t="str">
            <v>Marta</v>
          </cell>
          <cell r="C1313" t="str">
            <v>MYSZKIEWICZ</v>
          </cell>
          <cell r="D1313" t="str">
            <v>----</v>
          </cell>
        </row>
        <row r="1314">
          <cell r="A1314" t="str">
            <v>M4973</v>
          </cell>
          <cell r="B1314" t="str">
            <v>Angelika</v>
          </cell>
          <cell r="C1314" t="str">
            <v>MYŚLIWIEC</v>
          </cell>
          <cell r="D1314" t="str">
            <v>UKS Ostrówek</v>
          </cell>
        </row>
        <row r="1315">
          <cell r="A1315" t="str">
            <v>M2879</v>
          </cell>
          <cell r="B1315" t="str">
            <v>Katarzyna</v>
          </cell>
          <cell r="C1315" t="str">
            <v>MYZIA</v>
          </cell>
          <cell r="D1315" t="str">
            <v>UKS Sokół Ropczyce</v>
          </cell>
        </row>
        <row r="1316">
          <cell r="A1316" t="str">
            <v>N5310</v>
          </cell>
          <cell r="B1316" t="str">
            <v>Maciej</v>
          </cell>
          <cell r="C1316" t="str">
            <v>NAGŁY</v>
          </cell>
          <cell r="D1316" t="str">
            <v>----</v>
          </cell>
        </row>
        <row r="1317">
          <cell r="A1317" t="str">
            <v>N5937</v>
          </cell>
          <cell r="B1317" t="str">
            <v>Michał</v>
          </cell>
          <cell r="C1317" t="str">
            <v>NAGŁY</v>
          </cell>
          <cell r="D1317" t="str">
            <v>----</v>
          </cell>
        </row>
        <row r="1318">
          <cell r="A1318" t="str">
            <v>N5813</v>
          </cell>
          <cell r="B1318" t="str">
            <v>Miłosz</v>
          </cell>
          <cell r="C1318" t="str">
            <v>NAKLICKI</v>
          </cell>
          <cell r="D1318" t="str">
            <v>UKS Kiko Zamość</v>
          </cell>
        </row>
        <row r="1319">
          <cell r="A1319" t="str">
            <v>N0653</v>
          </cell>
          <cell r="B1319" t="str">
            <v>Maciej</v>
          </cell>
          <cell r="C1319" t="str">
            <v>NAMYSŁ</v>
          </cell>
          <cell r="D1319" t="str">
            <v>----</v>
          </cell>
        </row>
        <row r="1320">
          <cell r="A1320" t="str">
            <v>N1209</v>
          </cell>
          <cell r="B1320" t="str">
            <v>Anna</v>
          </cell>
          <cell r="C1320" t="str">
            <v>NAREL</v>
          </cell>
          <cell r="D1320" t="str">
            <v>UKS Hubal Białystok</v>
          </cell>
        </row>
        <row r="1321">
          <cell r="A1321" t="str">
            <v>N4993</v>
          </cell>
          <cell r="B1321" t="str">
            <v>Sławomir</v>
          </cell>
          <cell r="C1321" t="str">
            <v>NARUSZ</v>
          </cell>
          <cell r="D1321" t="str">
            <v>----</v>
          </cell>
        </row>
        <row r="1322">
          <cell r="A1322" t="str">
            <v>N3148</v>
          </cell>
          <cell r="B1322" t="str">
            <v>Kamil</v>
          </cell>
          <cell r="C1322" t="str">
            <v>NASIŁOWSKI</v>
          </cell>
          <cell r="D1322" t="str">
            <v>UKSB Milenium Warszawa</v>
          </cell>
        </row>
        <row r="1323">
          <cell r="A1323" t="str">
            <v>N5737</v>
          </cell>
          <cell r="B1323" t="str">
            <v>Jakub</v>
          </cell>
          <cell r="C1323" t="str">
            <v>NAWROCKI</v>
          </cell>
          <cell r="D1323" t="str">
            <v>MKS Spartakus Niepołomice</v>
          </cell>
        </row>
        <row r="1324">
          <cell r="A1324" t="str">
            <v>N2279</v>
          </cell>
          <cell r="B1324" t="str">
            <v>Janusz</v>
          </cell>
          <cell r="C1324" t="str">
            <v>NAWROCKI</v>
          </cell>
          <cell r="D1324" t="str">
            <v>----</v>
          </cell>
        </row>
        <row r="1325">
          <cell r="A1325" t="str">
            <v>N4500</v>
          </cell>
          <cell r="B1325" t="str">
            <v>Zbigniew</v>
          </cell>
          <cell r="C1325" t="str">
            <v>NAWROCKI</v>
          </cell>
          <cell r="D1325" t="str">
            <v>----</v>
          </cell>
        </row>
        <row r="1326">
          <cell r="A1326" t="str">
            <v>N3847</v>
          </cell>
          <cell r="B1326" t="str">
            <v>Miłosz</v>
          </cell>
          <cell r="C1326" t="str">
            <v>NELKE</v>
          </cell>
          <cell r="D1326" t="str">
            <v>MLKS Solec Kuj.</v>
          </cell>
        </row>
        <row r="1327">
          <cell r="A1327" t="str">
            <v>N5960</v>
          </cell>
          <cell r="B1327" t="str">
            <v>Andrzej</v>
          </cell>
          <cell r="C1327" t="str">
            <v>NICZYPORUK</v>
          </cell>
          <cell r="D1327" t="str">
            <v>AZSUW Warszawa</v>
          </cell>
        </row>
        <row r="1328">
          <cell r="A1328" t="str">
            <v>N5615</v>
          </cell>
          <cell r="B1328" t="str">
            <v>Andrzej</v>
          </cell>
          <cell r="C1328" t="str">
            <v>NIEBRZYDOWSKI</v>
          </cell>
          <cell r="D1328" t="str">
            <v>----</v>
          </cell>
        </row>
        <row r="1329">
          <cell r="A1329" t="str">
            <v>N5412</v>
          </cell>
          <cell r="B1329" t="str">
            <v>Adam</v>
          </cell>
          <cell r="C1329" t="str">
            <v>NIEDBAŁA</v>
          </cell>
          <cell r="D1329" t="str">
            <v>BKS Kolejarz Katowice</v>
          </cell>
        </row>
        <row r="1330">
          <cell r="A1330" t="str">
            <v>N5413</v>
          </cell>
          <cell r="B1330" t="str">
            <v>Katarzyna</v>
          </cell>
          <cell r="C1330" t="str">
            <v>NIEDBAŁA</v>
          </cell>
          <cell r="D1330" t="str">
            <v>BKS Kolejarz Katowice</v>
          </cell>
        </row>
        <row r="1331">
          <cell r="A1331" t="str">
            <v>N2869</v>
          </cell>
          <cell r="B1331" t="str">
            <v>Adam</v>
          </cell>
          <cell r="C1331" t="str">
            <v>NIEDOJADŁO</v>
          </cell>
          <cell r="D1331" t="str">
            <v>MLKS Solec Kuj.</v>
          </cell>
        </row>
        <row r="1332">
          <cell r="A1332" t="str">
            <v>N3521</v>
          </cell>
          <cell r="B1332" t="str">
            <v>Kamil</v>
          </cell>
          <cell r="C1332" t="str">
            <v>NIEDŹWIEDZKI</v>
          </cell>
          <cell r="D1332" t="str">
            <v>SKB Suwałki</v>
          </cell>
        </row>
        <row r="1333">
          <cell r="A1333" t="str">
            <v>N3914</v>
          </cell>
          <cell r="B1333" t="str">
            <v>Daria</v>
          </cell>
          <cell r="C1333" t="str">
            <v>NIELUBIŃSKA</v>
          </cell>
          <cell r="D1333" t="str">
            <v>KS Chojnik Jelenia Góra</v>
          </cell>
        </row>
        <row r="1334">
          <cell r="A1334" t="str">
            <v>N5434</v>
          </cell>
          <cell r="B1334" t="str">
            <v>Marcin</v>
          </cell>
          <cell r="C1334" t="str">
            <v>NIEMCZYK</v>
          </cell>
          <cell r="D1334" t="str">
            <v>ULKS Łączna</v>
          </cell>
        </row>
        <row r="1335">
          <cell r="A1335" t="str">
            <v>N5395</v>
          </cell>
          <cell r="B1335" t="str">
            <v>Aleksandra</v>
          </cell>
          <cell r="C1335" t="str">
            <v>NIEMIEC</v>
          </cell>
          <cell r="D1335" t="str">
            <v>UKS Jagiellonka Medyka</v>
          </cell>
        </row>
        <row r="1336">
          <cell r="A1336" t="str">
            <v>N5861</v>
          </cell>
          <cell r="B1336" t="str">
            <v>Martyna</v>
          </cell>
          <cell r="C1336" t="str">
            <v>NIEMIEC</v>
          </cell>
          <cell r="D1336" t="str">
            <v>KS Chojnik Jelenia Góra</v>
          </cell>
        </row>
        <row r="1337">
          <cell r="A1337" t="str">
            <v>N4575</v>
          </cell>
          <cell r="B1337" t="str">
            <v>Wiktoria</v>
          </cell>
          <cell r="C1337" t="str">
            <v>NIEMIEC</v>
          </cell>
          <cell r="D1337" t="str">
            <v>MKS Strzelce Opolskie</v>
          </cell>
        </row>
        <row r="1338">
          <cell r="A1338" t="str">
            <v>N5488</v>
          </cell>
          <cell r="B1338" t="str">
            <v>Kamil</v>
          </cell>
          <cell r="C1338" t="str">
            <v>NIEWĘGŁOWSKI</v>
          </cell>
          <cell r="D1338" t="str">
            <v>UMKS Iskra Wolsztyn</v>
          </cell>
        </row>
        <row r="1339">
          <cell r="A1339" t="str">
            <v>N0396</v>
          </cell>
          <cell r="B1339" t="str">
            <v>Paweł</v>
          </cell>
          <cell r="C1339" t="str">
            <v>NIEWOLIŃSKI</v>
          </cell>
          <cell r="D1339" t="str">
            <v>PTS Puszczykowo</v>
          </cell>
        </row>
        <row r="1340">
          <cell r="A1340" t="str">
            <v>N3738</v>
          </cell>
          <cell r="B1340" t="str">
            <v>Aneta</v>
          </cell>
          <cell r="C1340" t="str">
            <v>NIKLAS</v>
          </cell>
          <cell r="D1340" t="str">
            <v>ULKS U-2 Lotka Bytów</v>
          </cell>
        </row>
        <row r="1341">
          <cell r="A1341" t="str">
            <v>N5113</v>
          </cell>
          <cell r="B1341" t="str">
            <v>Weronika</v>
          </cell>
          <cell r="C1341" t="str">
            <v>NIKLAS</v>
          </cell>
          <cell r="D1341" t="str">
            <v>ULKS U-2 Lotka Bytów</v>
          </cell>
        </row>
        <row r="1342">
          <cell r="A1342" t="str">
            <v>N4714</v>
          </cell>
          <cell r="B1342" t="str">
            <v>Tomasz</v>
          </cell>
          <cell r="C1342" t="str">
            <v>NISKI</v>
          </cell>
          <cell r="D1342" t="str">
            <v>----</v>
          </cell>
        </row>
        <row r="1343">
          <cell r="A1343" t="str">
            <v>N5814</v>
          </cell>
          <cell r="B1343" t="str">
            <v>Mateusz</v>
          </cell>
          <cell r="C1343" t="str">
            <v>NOCUŃ</v>
          </cell>
          <cell r="D1343" t="str">
            <v>MMKS Gdańsk</v>
          </cell>
        </row>
        <row r="1344">
          <cell r="A1344" t="str">
            <v>N2036</v>
          </cell>
          <cell r="B1344" t="str">
            <v>Magdalena</v>
          </cell>
          <cell r="C1344" t="str">
            <v>NOGAL</v>
          </cell>
          <cell r="D1344" t="str">
            <v>AZSUWM Olsztyn</v>
          </cell>
        </row>
        <row r="1345">
          <cell r="A1345" t="str">
            <v>N2007</v>
          </cell>
          <cell r="B1345" t="str">
            <v>Mariusz</v>
          </cell>
          <cell r="C1345" t="str">
            <v>NOGAL</v>
          </cell>
          <cell r="D1345" t="str">
            <v>AZSUWM Olsztyn</v>
          </cell>
        </row>
        <row r="1346">
          <cell r="A1346" t="str">
            <v>N5769</v>
          </cell>
          <cell r="B1346" t="str">
            <v>Patryk</v>
          </cell>
          <cell r="C1346" t="str">
            <v>NOSAL</v>
          </cell>
          <cell r="D1346" t="str">
            <v>UKS Kiko Zamość</v>
          </cell>
        </row>
        <row r="1347">
          <cell r="A1347" t="str">
            <v>N5894</v>
          </cell>
          <cell r="B1347" t="str">
            <v>Patrycja</v>
          </cell>
          <cell r="C1347" t="str">
            <v>NOWACKA</v>
          </cell>
          <cell r="D1347" t="str">
            <v>Górnik Łęczna SA</v>
          </cell>
        </row>
        <row r="1348">
          <cell r="A1348" t="str">
            <v>N5467</v>
          </cell>
          <cell r="B1348" t="str">
            <v>Adam</v>
          </cell>
          <cell r="C1348" t="str">
            <v>NOWAK</v>
          </cell>
          <cell r="D1348" t="str">
            <v>KS Chojnik Jelenia Góra</v>
          </cell>
        </row>
        <row r="1349">
          <cell r="A1349" t="str">
            <v>N5961</v>
          </cell>
          <cell r="B1349" t="str">
            <v>Alicja</v>
          </cell>
          <cell r="C1349" t="str">
            <v>NOWAK</v>
          </cell>
          <cell r="D1349" t="str">
            <v>UMKS Junis Szczucin</v>
          </cell>
        </row>
        <row r="1350">
          <cell r="A1350" t="str">
            <v>N4342</v>
          </cell>
          <cell r="B1350" t="str">
            <v>Izabela</v>
          </cell>
          <cell r="C1350" t="str">
            <v>NOWAK</v>
          </cell>
          <cell r="D1350" t="str">
            <v>UKSB Volant Mielec</v>
          </cell>
        </row>
        <row r="1351">
          <cell r="A1351" t="str">
            <v>N5674</v>
          </cell>
          <cell r="B1351" t="str">
            <v>Jakub</v>
          </cell>
          <cell r="C1351" t="str">
            <v>NOWAK</v>
          </cell>
          <cell r="D1351" t="str">
            <v>UKS Ząbkowice Dąbrowa Górn.</v>
          </cell>
        </row>
        <row r="1352">
          <cell r="A1352" t="str">
            <v>N3834</v>
          </cell>
          <cell r="B1352" t="str">
            <v>Jędrzej</v>
          </cell>
          <cell r="C1352" t="str">
            <v>NOWAK</v>
          </cell>
          <cell r="D1352" t="str">
            <v>KS Chojnik Jelenia Góra</v>
          </cell>
        </row>
        <row r="1353">
          <cell r="A1353" t="str">
            <v>N5551</v>
          </cell>
          <cell r="B1353" t="str">
            <v>Julia</v>
          </cell>
          <cell r="C1353" t="str">
            <v>NOWAK</v>
          </cell>
          <cell r="D1353" t="str">
            <v>AZSAGH Kraków</v>
          </cell>
        </row>
        <row r="1354">
          <cell r="A1354" t="str">
            <v>N3831</v>
          </cell>
          <cell r="B1354" t="str">
            <v>Justyna</v>
          </cell>
          <cell r="C1354" t="str">
            <v>NOWAK</v>
          </cell>
          <cell r="D1354" t="str">
            <v>AZSAGH Kraków</v>
          </cell>
        </row>
        <row r="1355">
          <cell r="A1355" t="str">
            <v>N3563</v>
          </cell>
          <cell r="B1355" t="str">
            <v>Kamila</v>
          </cell>
          <cell r="C1355" t="str">
            <v>NOWAK</v>
          </cell>
          <cell r="D1355" t="str">
            <v>AZSAGH Kraków</v>
          </cell>
        </row>
        <row r="1356">
          <cell r="A1356" t="str">
            <v>N3333</v>
          </cell>
          <cell r="B1356" t="str">
            <v>Marcin</v>
          </cell>
          <cell r="C1356" t="str">
            <v>NOWAK</v>
          </cell>
          <cell r="D1356" t="str">
            <v>UKS Smecz Bogatynia</v>
          </cell>
        </row>
        <row r="1357">
          <cell r="A1357" t="str">
            <v>N3190</v>
          </cell>
          <cell r="B1357" t="str">
            <v>Mateusz</v>
          </cell>
          <cell r="C1357" t="str">
            <v>NOWAK</v>
          </cell>
          <cell r="D1357" t="str">
            <v>UKSB Volant Mielec</v>
          </cell>
        </row>
        <row r="1358">
          <cell r="A1358" t="str">
            <v>N5487</v>
          </cell>
          <cell r="B1358" t="str">
            <v>Sylwia</v>
          </cell>
          <cell r="C1358" t="str">
            <v>NOWAK</v>
          </cell>
          <cell r="D1358" t="str">
            <v>UKS Dwójka Wesoła</v>
          </cell>
        </row>
        <row r="1359">
          <cell r="A1359" t="str">
            <v>N5879</v>
          </cell>
          <cell r="B1359" t="str">
            <v>Szymon</v>
          </cell>
          <cell r="C1359" t="str">
            <v>NOWAK</v>
          </cell>
          <cell r="D1359" t="str">
            <v>UKS Smecz Milicz</v>
          </cell>
        </row>
        <row r="1360">
          <cell r="A1360" t="str">
            <v>N3334</v>
          </cell>
          <cell r="B1360" t="str">
            <v>Urszula</v>
          </cell>
          <cell r="C1360" t="str">
            <v>NOWAK</v>
          </cell>
          <cell r="D1360" t="str">
            <v>UKS Smecz Bogatynia</v>
          </cell>
        </row>
        <row r="1361">
          <cell r="A1361" t="str">
            <v>N4446</v>
          </cell>
          <cell r="B1361" t="str">
            <v>Weronika</v>
          </cell>
          <cell r="C1361" t="str">
            <v>NOWAK</v>
          </cell>
          <cell r="D1361" t="str">
            <v>AZSAGH Kraków</v>
          </cell>
        </row>
        <row r="1362">
          <cell r="A1362" t="str">
            <v>N4131</v>
          </cell>
          <cell r="B1362" t="str">
            <v>Marcin</v>
          </cell>
          <cell r="C1362" t="str">
            <v>NOWAKOWSKI</v>
          </cell>
          <cell r="D1362" t="str">
            <v>ŚKBad Harcownik Warszawa</v>
          </cell>
        </row>
        <row r="1363">
          <cell r="A1363" t="str">
            <v>N5770</v>
          </cell>
          <cell r="B1363" t="str">
            <v>Łukasz</v>
          </cell>
          <cell r="C1363" t="str">
            <v>NOWOSAD</v>
          </cell>
          <cell r="D1363" t="str">
            <v>UKS Kiko Zamość</v>
          </cell>
        </row>
        <row r="1364">
          <cell r="A1364" t="str">
            <v>N5586</v>
          </cell>
          <cell r="B1364" t="str">
            <v>Wojciech</v>
          </cell>
          <cell r="C1364" t="str">
            <v>NOWOSAD</v>
          </cell>
          <cell r="D1364" t="str">
            <v>UKS Kiko Zamość</v>
          </cell>
        </row>
        <row r="1365">
          <cell r="A1365" t="str">
            <v>N2625</v>
          </cell>
          <cell r="B1365" t="str">
            <v>Joanna</v>
          </cell>
          <cell r="C1365" t="str">
            <v>NOWOSIAK</v>
          </cell>
          <cell r="D1365" t="str">
            <v>SLKS Tramp Orneta</v>
          </cell>
        </row>
        <row r="1366">
          <cell r="A1366" t="str">
            <v>N2356</v>
          </cell>
          <cell r="B1366" t="str">
            <v>Damian</v>
          </cell>
          <cell r="C1366" t="str">
            <v>NOWOSIELSKI</v>
          </cell>
          <cell r="D1366" t="str">
            <v>UKS Ząbkowice Dąbrowa Górn.</v>
          </cell>
        </row>
        <row r="1367">
          <cell r="A1367" t="str">
            <v>O5375</v>
          </cell>
          <cell r="B1367" t="str">
            <v>Joanna</v>
          </cell>
          <cell r="C1367" t="str">
            <v>OBARA</v>
          </cell>
          <cell r="D1367" t="str">
            <v>MKS Orlicz Suchedniów</v>
          </cell>
        </row>
        <row r="1368">
          <cell r="A1368" t="str">
            <v>O3768</v>
          </cell>
          <cell r="B1368" t="str">
            <v>Paulina</v>
          </cell>
          <cell r="C1368" t="str">
            <v>OBARA</v>
          </cell>
          <cell r="D1368" t="str">
            <v>MKS Orlicz Suchedniów</v>
          </cell>
        </row>
        <row r="1369">
          <cell r="A1369" t="str">
            <v>O3767</v>
          </cell>
          <cell r="B1369" t="str">
            <v>Przemysław</v>
          </cell>
          <cell r="C1369" t="str">
            <v>OBARA</v>
          </cell>
          <cell r="D1369" t="str">
            <v>MKS Orlicz Suchedniów</v>
          </cell>
        </row>
        <row r="1370">
          <cell r="A1370" t="str">
            <v>O3926</v>
          </cell>
          <cell r="B1370" t="str">
            <v>Sebastian</v>
          </cell>
          <cell r="C1370" t="str">
            <v>OBRYCKI</v>
          </cell>
          <cell r="D1370" t="str">
            <v>LKS Technik Głubczyce</v>
          </cell>
        </row>
        <row r="1371">
          <cell r="A1371" t="str">
            <v>O1455</v>
          </cell>
          <cell r="B1371" t="str">
            <v>Jarosław</v>
          </cell>
          <cell r="C1371" t="str">
            <v>OCIEPA</v>
          </cell>
          <cell r="D1371" t="str">
            <v>----</v>
          </cell>
        </row>
        <row r="1372">
          <cell r="A1372" t="str">
            <v>O1694</v>
          </cell>
          <cell r="B1372" t="str">
            <v>Maciej</v>
          </cell>
          <cell r="C1372" t="str">
            <v>OCIEPA</v>
          </cell>
          <cell r="D1372" t="str">
            <v>BKS Kolejarz Częstochowa</v>
          </cell>
        </row>
        <row r="1373">
          <cell r="A1373" t="str">
            <v>O0695</v>
          </cell>
          <cell r="B1373" t="str">
            <v>Marcin</v>
          </cell>
          <cell r="C1373" t="str">
            <v>OCIEPA</v>
          </cell>
          <cell r="D1373" t="str">
            <v>KS Chojnik Jelenia Góra</v>
          </cell>
        </row>
        <row r="1374">
          <cell r="A1374" t="str">
            <v>O2939</v>
          </cell>
          <cell r="B1374" t="str">
            <v>Michał</v>
          </cell>
          <cell r="C1374" t="str">
            <v>OCIEPA</v>
          </cell>
          <cell r="D1374" t="str">
            <v>BKS Kolejarz Częstochowa</v>
          </cell>
        </row>
        <row r="1375">
          <cell r="A1375" t="str">
            <v>O2940</v>
          </cell>
          <cell r="B1375" t="str">
            <v>Natalia</v>
          </cell>
          <cell r="C1375" t="str">
            <v>OCIEPA</v>
          </cell>
          <cell r="D1375" t="str">
            <v>BKS Kolejarz Częstochowa</v>
          </cell>
        </row>
        <row r="1376">
          <cell r="A1376" t="str">
            <v>O5285</v>
          </cell>
          <cell r="B1376" t="str">
            <v>Zbigniew</v>
          </cell>
          <cell r="C1376" t="str">
            <v>OGÓREK</v>
          </cell>
          <cell r="D1376" t="str">
            <v>----</v>
          </cell>
        </row>
        <row r="1377">
          <cell r="A1377" t="str">
            <v>O5871</v>
          </cell>
          <cell r="B1377" t="str">
            <v>Bartosz</v>
          </cell>
          <cell r="C1377" t="str">
            <v>OGRODNICZUK</v>
          </cell>
          <cell r="D1377" t="str">
            <v>----</v>
          </cell>
        </row>
        <row r="1378">
          <cell r="A1378" t="str">
            <v>O0270</v>
          </cell>
          <cell r="B1378" t="str">
            <v>Barbara</v>
          </cell>
          <cell r="C1378" t="str">
            <v>OGRODZIŃSKA</v>
          </cell>
          <cell r="D1378" t="str">
            <v>----</v>
          </cell>
        </row>
        <row r="1379">
          <cell r="A1379" t="str">
            <v>O5715</v>
          </cell>
          <cell r="B1379" t="str">
            <v>Przemysław</v>
          </cell>
          <cell r="C1379" t="str">
            <v>OGRODZIŃSKI</v>
          </cell>
          <cell r="D1379" t="str">
            <v>----</v>
          </cell>
        </row>
        <row r="1380">
          <cell r="A1380" t="str">
            <v>O5453</v>
          </cell>
          <cell r="B1380" t="str">
            <v>Kacper</v>
          </cell>
          <cell r="C1380" t="str">
            <v>OKROJEK</v>
          </cell>
          <cell r="D1380" t="str">
            <v>UKS Korona Pabianice</v>
          </cell>
        </row>
        <row r="1381">
          <cell r="A1381" t="str">
            <v>O5612</v>
          </cell>
          <cell r="B1381" t="str">
            <v>Alicja</v>
          </cell>
          <cell r="C1381" t="str">
            <v>OLBORSKA</v>
          </cell>
          <cell r="D1381" t="str">
            <v>UKS Kiko Zamość</v>
          </cell>
        </row>
        <row r="1382">
          <cell r="A1382" t="str">
            <v>O4336</v>
          </cell>
          <cell r="B1382" t="str">
            <v>Przemysław</v>
          </cell>
          <cell r="C1382" t="str">
            <v>OLBROMSKI</v>
          </cell>
          <cell r="D1382" t="str">
            <v>KKS Ruch Piotrków Tryb.</v>
          </cell>
        </row>
        <row r="1383">
          <cell r="A1383" t="str">
            <v>O2811</v>
          </cell>
          <cell r="B1383" t="str">
            <v>Radosław</v>
          </cell>
          <cell r="C1383" t="str">
            <v>OLCZAK</v>
          </cell>
          <cell r="D1383" t="str">
            <v>----</v>
          </cell>
        </row>
        <row r="1384">
          <cell r="A1384" t="str">
            <v>O2176</v>
          </cell>
          <cell r="B1384" t="str">
            <v>Jan</v>
          </cell>
          <cell r="C1384" t="str">
            <v>OLEARCZUK</v>
          </cell>
          <cell r="D1384" t="str">
            <v>AZSWAT Warszawa</v>
          </cell>
        </row>
        <row r="1385">
          <cell r="A1385" t="str">
            <v>O2779</v>
          </cell>
          <cell r="B1385" t="str">
            <v>Szymon</v>
          </cell>
          <cell r="C1385" t="str">
            <v>OLEARCZUK</v>
          </cell>
          <cell r="D1385" t="str">
            <v>AZSWAT Warszawa</v>
          </cell>
        </row>
        <row r="1386">
          <cell r="A1386" t="str">
            <v>O5073</v>
          </cell>
          <cell r="B1386" t="str">
            <v>Ewelina</v>
          </cell>
          <cell r="C1386" t="str">
            <v>OLECHNIK</v>
          </cell>
          <cell r="D1386" t="str">
            <v>UKS Smecz Bogatynia</v>
          </cell>
        </row>
        <row r="1387">
          <cell r="A1387" t="str">
            <v>O 063</v>
          </cell>
          <cell r="B1387" t="str">
            <v>Karolina</v>
          </cell>
          <cell r="C1387" t="str">
            <v>OLEJARZ</v>
          </cell>
          <cell r="D1387" t="str">
            <v>----</v>
          </cell>
        </row>
        <row r="1388">
          <cell r="A1388" t="str">
            <v>O5793</v>
          </cell>
          <cell r="B1388" t="str">
            <v>Michał</v>
          </cell>
          <cell r="C1388" t="str">
            <v>OLEJNIK</v>
          </cell>
          <cell r="D1388" t="str">
            <v>KKS Warmia Olsztyn</v>
          </cell>
        </row>
        <row r="1389">
          <cell r="A1389" t="str">
            <v>O4359</v>
          </cell>
          <cell r="B1389" t="str">
            <v>Sebastian</v>
          </cell>
          <cell r="C1389" t="str">
            <v>OLEK</v>
          </cell>
          <cell r="D1389" t="str">
            <v>----</v>
          </cell>
        </row>
        <row r="1390">
          <cell r="A1390" t="str">
            <v>O1026</v>
          </cell>
          <cell r="B1390" t="str">
            <v>Elżbieta</v>
          </cell>
          <cell r="C1390" t="str">
            <v>OLSZEWSKA</v>
          </cell>
          <cell r="D1390" t="str">
            <v>BKS Kolejarz Częstochowa</v>
          </cell>
        </row>
        <row r="1391">
          <cell r="A1391" t="str">
            <v>O4895</v>
          </cell>
          <cell r="B1391" t="str">
            <v>Antoni</v>
          </cell>
          <cell r="C1391" t="str">
            <v>OŁDZIEJ</v>
          </cell>
          <cell r="D1391" t="str">
            <v>KS Wesoła Warszawa</v>
          </cell>
        </row>
        <row r="1392">
          <cell r="A1392" t="str">
            <v>O4896</v>
          </cell>
          <cell r="B1392" t="str">
            <v>Stanisław</v>
          </cell>
          <cell r="C1392" t="str">
            <v>OŁDZIEJ</v>
          </cell>
          <cell r="D1392" t="str">
            <v>KS Wesoła Warszawa</v>
          </cell>
        </row>
        <row r="1393">
          <cell r="A1393" t="str">
            <v>O5531</v>
          </cell>
          <cell r="B1393" t="str">
            <v>Magdalena</v>
          </cell>
          <cell r="C1393" t="str">
            <v>OŁÓW</v>
          </cell>
          <cell r="D1393" t="str">
            <v>SKB Suwałki</v>
          </cell>
        </row>
        <row r="1394">
          <cell r="A1394" t="str">
            <v>O0475</v>
          </cell>
          <cell r="B1394" t="str">
            <v>Urszula</v>
          </cell>
          <cell r="C1394" t="str">
            <v>ONICHIMIUK</v>
          </cell>
          <cell r="D1394" t="str">
            <v>UKS Hubal Białystok</v>
          </cell>
        </row>
        <row r="1395">
          <cell r="A1395" t="str">
            <v>O5794</v>
          </cell>
          <cell r="B1395" t="str">
            <v>Jakub</v>
          </cell>
          <cell r="C1395" t="str">
            <v>ONISZK</v>
          </cell>
          <cell r="D1395" t="str">
            <v>ŚKBad Harcownik Warszawa</v>
          </cell>
        </row>
        <row r="1396">
          <cell r="A1396" t="str">
            <v>O4733</v>
          </cell>
          <cell r="B1396" t="str">
            <v>Paweł</v>
          </cell>
          <cell r="C1396" t="str">
            <v>ONYŚKO</v>
          </cell>
          <cell r="D1396" t="str">
            <v>KS Chojnik Jelenia Góra</v>
          </cell>
        </row>
        <row r="1397">
          <cell r="A1397" t="str">
            <v>O4516</v>
          </cell>
          <cell r="B1397" t="str">
            <v>Agata</v>
          </cell>
          <cell r="C1397" t="str">
            <v>OPALIŃSKA</v>
          </cell>
          <cell r="D1397" t="str">
            <v>AZSOŚ Łódź</v>
          </cell>
        </row>
        <row r="1398">
          <cell r="A1398" t="str">
            <v>O5161</v>
          </cell>
          <cell r="B1398" t="str">
            <v>Julia</v>
          </cell>
          <cell r="C1398" t="str">
            <v>ORŁOWSKA</v>
          </cell>
          <cell r="D1398" t="str">
            <v>KS Wesoła Warszawa</v>
          </cell>
        </row>
        <row r="1399">
          <cell r="A1399" t="str">
            <v>O5162</v>
          </cell>
          <cell r="B1399" t="str">
            <v>Michał</v>
          </cell>
          <cell r="C1399" t="str">
            <v>ORŁOWSKI</v>
          </cell>
          <cell r="D1399" t="str">
            <v>KS Wesoła Warszawa</v>
          </cell>
        </row>
        <row r="1400">
          <cell r="A1400" t="str">
            <v>O5286</v>
          </cell>
          <cell r="B1400" t="str">
            <v>Przemysław</v>
          </cell>
          <cell r="C1400" t="str">
            <v>ORSZULAK</v>
          </cell>
          <cell r="D1400" t="str">
            <v>BKS Kolejarz Częstochowa</v>
          </cell>
        </row>
        <row r="1401">
          <cell r="A1401" t="str">
            <v>O5312</v>
          </cell>
          <cell r="B1401" t="str">
            <v>Jessica</v>
          </cell>
          <cell r="C1401" t="str">
            <v>ORZECHOWICZ</v>
          </cell>
          <cell r="D1401" t="str">
            <v>UKS MixTeam Tarnowiec</v>
          </cell>
        </row>
        <row r="1402">
          <cell r="A1402" t="str">
            <v>O5899</v>
          </cell>
          <cell r="B1402" t="str">
            <v>Klaudia</v>
          </cell>
          <cell r="C1402" t="str">
            <v>ORZECHOWSKA</v>
          </cell>
          <cell r="D1402" t="str">
            <v>UKS Kometa Sianów</v>
          </cell>
        </row>
        <row r="1403">
          <cell r="A1403" t="str">
            <v>O4695</v>
          </cell>
          <cell r="B1403" t="str">
            <v>Dominik</v>
          </cell>
          <cell r="C1403" t="str">
            <v>ORZECHOWSKI</v>
          </cell>
          <cell r="D1403" t="str">
            <v>UKS Kometa Sianów</v>
          </cell>
        </row>
        <row r="1404">
          <cell r="A1404" t="str">
            <v>O5492</v>
          </cell>
          <cell r="B1404" t="str">
            <v>Magdalena</v>
          </cell>
          <cell r="C1404" t="str">
            <v>ORZESZYNA</v>
          </cell>
          <cell r="D1404" t="str">
            <v>KB Vol-Trick Kępno</v>
          </cell>
        </row>
        <row r="1405">
          <cell r="A1405" t="str">
            <v>O5493</v>
          </cell>
          <cell r="B1405" t="str">
            <v>Robert</v>
          </cell>
          <cell r="C1405" t="str">
            <v>ORZESZYNA</v>
          </cell>
          <cell r="D1405" t="str">
            <v>KB Vol-Trick Kępno</v>
          </cell>
        </row>
        <row r="1406">
          <cell r="A1406" t="str">
            <v>O5160</v>
          </cell>
          <cell r="B1406" t="str">
            <v>Jakub</v>
          </cell>
          <cell r="C1406" t="str">
            <v>ORZĘCKI</v>
          </cell>
          <cell r="D1406" t="str">
            <v>KS Wesoła Warszawa</v>
          </cell>
        </row>
        <row r="1407">
          <cell r="A1407" t="str">
            <v>O4074</v>
          </cell>
          <cell r="B1407" t="str">
            <v>Józef</v>
          </cell>
          <cell r="C1407" t="str">
            <v>ORZOŁ</v>
          </cell>
          <cell r="D1407" t="str">
            <v>----</v>
          </cell>
        </row>
        <row r="1408">
          <cell r="A1408" t="str">
            <v>O4947</v>
          </cell>
          <cell r="B1408" t="str">
            <v>Jacek</v>
          </cell>
          <cell r="C1408" t="str">
            <v>OSADNIK</v>
          </cell>
          <cell r="D1408" t="str">
            <v>----</v>
          </cell>
        </row>
        <row r="1409">
          <cell r="A1409" t="str">
            <v>O2619</v>
          </cell>
          <cell r="B1409" t="str">
            <v>Maciej</v>
          </cell>
          <cell r="C1409" t="str">
            <v>OSETEK</v>
          </cell>
          <cell r="D1409" t="str">
            <v>AZSAGH Kraków</v>
          </cell>
        </row>
        <row r="1410">
          <cell r="A1410" t="str">
            <v>O3345</v>
          </cell>
          <cell r="B1410" t="str">
            <v>Katarzyna</v>
          </cell>
          <cell r="C1410" t="str">
            <v>OSIKA</v>
          </cell>
          <cell r="D1410" t="str">
            <v>UKS Siódemka Świebodzin</v>
          </cell>
        </row>
        <row r="1411">
          <cell r="A1411" t="str">
            <v>O4385</v>
          </cell>
          <cell r="B1411" t="str">
            <v>Radosław</v>
          </cell>
          <cell r="C1411" t="str">
            <v>OSMANOWICZ</v>
          </cell>
          <cell r="D1411" t="str">
            <v>UKS Feniks Kędzierzyn-Koźle</v>
          </cell>
        </row>
        <row r="1412">
          <cell r="A1412" t="str">
            <v>O4640</v>
          </cell>
          <cell r="B1412" t="str">
            <v>Klaudia</v>
          </cell>
          <cell r="C1412" t="str">
            <v>OSTROWSKA</v>
          </cell>
          <cell r="D1412" t="str">
            <v>MKB Lednik Miastko</v>
          </cell>
        </row>
        <row r="1413">
          <cell r="A1413" t="str">
            <v>O4465</v>
          </cell>
          <cell r="B1413" t="str">
            <v>Alan</v>
          </cell>
          <cell r="C1413" t="str">
            <v>OSTROWSKI</v>
          </cell>
          <cell r="D1413" t="str">
            <v>UKS Plesbad Pszczyna</v>
          </cell>
        </row>
        <row r="1414">
          <cell r="A1414" t="str">
            <v>O5079</v>
          </cell>
          <cell r="B1414" t="str">
            <v>Damian</v>
          </cell>
          <cell r="C1414" t="str">
            <v>OSTROWSKI</v>
          </cell>
          <cell r="D1414" t="str">
            <v>UKS Badminton Stare Babice</v>
          </cell>
        </row>
        <row r="1415">
          <cell r="A1415" t="str">
            <v>O5271</v>
          </cell>
          <cell r="B1415" t="str">
            <v>Dawid</v>
          </cell>
          <cell r="C1415" t="str">
            <v>OSTROWSKI</v>
          </cell>
          <cell r="D1415" t="str">
            <v>UKS Badminton Stare Babice</v>
          </cell>
        </row>
        <row r="1416">
          <cell r="A1416" t="str">
            <v>O5416</v>
          </cell>
          <cell r="B1416" t="str">
            <v>Anna</v>
          </cell>
          <cell r="C1416" t="str">
            <v>OTOCKA-SZTOLCMAN</v>
          </cell>
          <cell r="D1416" t="str">
            <v>----</v>
          </cell>
        </row>
        <row r="1417">
          <cell r="A1417" t="str">
            <v>O3678</v>
          </cell>
          <cell r="B1417" t="str">
            <v>Klaudia</v>
          </cell>
          <cell r="C1417" t="str">
            <v>OTOKA</v>
          </cell>
          <cell r="D1417" t="str">
            <v>MKB Lednik Miastko</v>
          </cell>
        </row>
        <row r="1418">
          <cell r="A1418" t="str">
            <v>O2414</v>
          </cell>
          <cell r="B1418" t="str">
            <v>Bartłomiej</v>
          </cell>
          <cell r="C1418" t="str">
            <v>OWCZARCZUK</v>
          </cell>
          <cell r="D1418" t="str">
            <v>LUKS Księżyno</v>
          </cell>
        </row>
        <row r="1419">
          <cell r="A1419" t="str">
            <v>O2415</v>
          </cell>
          <cell r="B1419" t="str">
            <v>Paulina</v>
          </cell>
          <cell r="C1419" t="str">
            <v>OWCZARCZUK</v>
          </cell>
          <cell r="D1419" t="str">
            <v>UKS Hubal Białystok</v>
          </cell>
        </row>
        <row r="1420">
          <cell r="A1420" t="str">
            <v>O3986</v>
          </cell>
          <cell r="B1420" t="str">
            <v>Klaudia</v>
          </cell>
          <cell r="C1420" t="str">
            <v>OWCZAREK</v>
          </cell>
          <cell r="D1420" t="str">
            <v>UKS Iskra Babimost</v>
          </cell>
        </row>
        <row r="1421">
          <cell r="A1421" t="str">
            <v>O5804</v>
          </cell>
          <cell r="B1421" t="str">
            <v>Zuzanna</v>
          </cell>
          <cell r="C1421" t="str">
            <v>OWCZAREK</v>
          </cell>
          <cell r="D1421" t="str">
            <v>UKS Iskra Babimost</v>
          </cell>
        </row>
        <row r="1422">
          <cell r="A1422" t="str">
            <v>O5218</v>
          </cell>
          <cell r="B1422" t="str">
            <v>Natalia</v>
          </cell>
          <cell r="C1422" t="str">
            <v>OWSIEJEW</v>
          </cell>
          <cell r="D1422" t="str">
            <v>SKB Suwałki</v>
          </cell>
        </row>
        <row r="1423">
          <cell r="A1423" t="str">
            <v>O4843</v>
          </cell>
          <cell r="B1423" t="str">
            <v>Katarzyna</v>
          </cell>
          <cell r="C1423" t="str">
            <v>OZDOBA</v>
          </cell>
          <cell r="D1423" t="str">
            <v>----</v>
          </cell>
        </row>
        <row r="1424">
          <cell r="A1424" t="str">
            <v>O5314</v>
          </cell>
          <cell r="B1424" t="str">
            <v>Wojciech</v>
          </cell>
          <cell r="C1424" t="str">
            <v>OŻÓG</v>
          </cell>
          <cell r="D1424" t="str">
            <v>----</v>
          </cell>
        </row>
        <row r="1425">
          <cell r="A1425" t="str">
            <v>P4618</v>
          </cell>
          <cell r="B1425" t="str">
            <v>Dominika</v>
          </cell>
          <cell r="C1425" t="str">
            <v>PACHUCKA</v>
          </cell>
          <cell r="D1425" t="str">
            <v>SLKS Tramp Orneta</v>
          </cell>
        </row>
        <row r="1426">
          <cell r="A1426" t="str">
            <v>P3757</v>
          </cell>
          <cell r="B1426" t="str">
            <v>Joanna</v>
          </cell>
          <cell r="C1426" t="str">
            <v>PACYNA</v>
          </cell>
          <cell r="D1426" t="str">
            <v>UKS Iskra Babimost</v>
          </cell>
        </row>
        <row r="1427">
          <cell r="A1427" t="str">
            <v>P4820</v>
          </cell>
          <cell r="B1427" t="str">
            <v>Aleksandra</v>
          </cell>
          <cell r="C1427" t="str">
            <v>PAJĄK</v>
          </cell>
          <cell r="D1427" t="str">
            <v>MKS Orlicz Suchedniów</v>
          </cell>
        </row>
        <row r="1428">
          <cell r="A1428" t="str">
            <v>P5441</v>
          </cell>
          <cell r="B1428" t="str">
            <v>Miłosz</v>
          </cell>
          <cell r="C1428" t="str">
            <v>PAJĄK</v>
          </cell>
          <cell r="D1428" t="str">
            <v>ULKS Łączna</v>
          </cell>
        </row>
        <row r="1429">
          <cell r="A1429" t="str">
            <v>P4028</v>
          </cell>
          <cell r="B1429" t="str">
            <v>Aleksandra</v>
          </cell>
          <cell r="C1429" t="str">
            <v>PAJEK</v>
          </cell>
          <cell r="D1429" t="str">
            <v>MKS Orlicz Suchedniów</v>
          </cell>
        </row>
        <row r="1430">
          <cell r="A1430" t="str">
            <v>P4027</v>
          </cell>
          <cell r="B1430" t="str">
            <v>Izabela</v>
          </cell>
          <cell r="C1430" t="str">
            <v>PAJEK</v>
          </cell>
          <cell r="D1430" t="str">
            <v>MKS Orlicz Suchedniów</v>
          </cell>
        </row>
        <row r="1431">
          <cell r="A1431" t="str">
            <v>P4029</v>
          </cell>
          <cell r="B1431" t="str">
            <v>Kamil</v>
          </cell>
          <cell r="C1431" t="str">
            <v>PAJEK</v>
          </cell>
          <cell r="D1431" t="str">
            <v>MKS Orlicz Suchedniów</v>
          </cell>
        </row>
        <row r="1432">
          <cell r="A1432" t="str">
            <v>P5376</v>
          </cell>
          <cell r="B1432" t="str">
            <v>Maksym</v>
          </cell>
          <cell r="C1432" t="str">
            <v>PAJEK</v>
          </cell>
          <cell r="D1432" t="str">
            <v>MKS Orlicz Suchedniów</v>
          </cell>
        </row>
        <row r="1433">
          <cell r="A1433" t="str">
            <v>P5076</v>
          </cell>
          <cell r="B1433" t="str">
            <v>Mateusz</v>
          </cell>
          <cell r="C1433" t="str">
            <v>PAKŁOS</v>
          </cell>
          <cell r="D1433" t="str">
            <v>UKSB Volant Mielec</v>
          </cell>
        </row>
        <row r="1434">
          <cell r="A1434" t="str">
            <v>P4954</v>
          </cell>
          <cell r="B1434" t="str">
            <v>Mariusz</v>
          </cell>
          <cell r="C1434" t="str">
            <v>PAKULSKI</v>
          </cell>
          <cell r="D1434" t="str">
            <v>----</v>
          </cell>
        </row>
        <row r="1435">
          <cell r="A1435" t="str">
            <v>P5423</v>
          </cell>
          <cell r="B1435" t="str">
            <v>Natalia</v>
          </cell>
          <cell r="C1435" t="str">
            <v>PALEWICZ</v>
          </cell>
          <cell r="D1435" t="str">
            <v>KS Chojnik Jelenia Góra</v>
          </cell>
        </row>
        <row r="1436">
          <cell r="A1436" t="str">
            <v>P1309</v>
          </cell>
          <cell r="B1436" t="str">
            <v>Wojciech</v>
          </cell>
          <cell r="C1436" t="str">
            <v>PALIKIJ</v>
          </cell>
          <cell r="D1436" t="str">
            <v>UKS Unia Bieruń</v>
          </cell>
        </row>
        <row r="1437">
          <cell r="A1437" t="str">
            <v>P5864</v>
          </cell>
          <cell r="B1437" t="str">
            <v>Jakub</v>
          </cell>
          <cell r="C1437" t="str">
            <v>PALMOWSKI</v>
          </cell>
          <cell r="D1437" t="str">
            <v>MKS Spartakus Niepołomice</v>
          </cell>
        </row>
        <row r="1438">
          <cell r="A1438" t="str">
            <v>P3555</v>
          </cell>
          <cell r="B1438" t="str">
            <v>Kinga</v>
          </cell>
          <cell r="C1438" t="str">
            <v>PALONKA</v>
          </cell>
          <cell r="D1438" t="str">
            <v>UKS Kiko Zamość</v>
          </cell>
        </row>
        <row r="1439">
          <cell r="A1439" t="str">
            <v>P4834</v>
          </cell>
          <cell r="B1439" t="str">
            <v>Jerzy</v>
          </cell>
          <cell r="C1439" t="str">
            <v>PAŁASZ</v>
          </cell>
          <cell r="D1439" t="str">
            <v>----</v>
          </cell>
        </row>
        <row r="1440">
          <cell r="A1440" t="str">
            <v>P5348</v>
          </cell>
          <cell r="B1440" t="str">
            <v>Wojciech</v>
          </cell>
          <cell r="C1440" t="str">
            <v>PAŁCZYŃSKI</v>
          </cell>
          <cell r="D1440" t="str">
            <v>UKS Kiko Zamość</v>
          </cell>
        </row>
        <row r="1441">
          <cell r="A1441" t="str">
            <v>P4274</v>
          </cell>
          <cell r="B1441" t="str">
            <v>Maciej</v>
          </cell>
          <cell r="C1441" t="str">
            <v>PAŁKA</v>
          </cell>
          <cell r="D1441" t="str">
            <v>KS Wesoła Warszawa</v>
          </cell>
        </row>
        <row r="1442">
          <cell r="A1442" t="str">
            <v>P5255</v>
          </cell>
          <cell r="B1442" t="str">
            <v>Michał</v>
          </cell>
          <cell r="C1442" t="str">
            <v>PAŁKA</v>
          </cell>
          <cell r="D1442" t="str">
            <v>KS Wesoła Warszawa</v>
          </cell>
        </row>
        <row r="1443">
          <cell r="A1443" t="str">
            <v>P5748</v>
          </cell>
          <cell r="B1443" t="str">
            <v>Marta</v>
          </cell>
          <cell r="C1443" t="str">
            <v>PAŁYGA</v>
          </cell>
          <cell r="D1443" t="str">
            <v>UKS Kiko Zamość</v>
          </cell>
        </row>
        <row r="1444">
          <cell r="A1444" t="str">
            <v>P4884</v>
          </cell>
          <cell r="B1444" t="str">
            <v>Patryk</v>
          </cell>
          <cell r="C1444" t="str">
            <v>PANASIEWICZ</v>
          </cell>
          <cell r="D1444" t="str">
            <v>KS Chojnik Jelenia Góra</v>
          </cell>
        </row>
        <row r="1445">
          <cell r="A1445" t="str">
            <v>P5424</v>
          </cell>
          <cell r="B1445" t="str">
            <v>Sandra</v>
          </cell>
          <cell r="C1445" t="str">
            <v>PANASIEWICZ</v>
          </cell>
          <cell r="D1445" t="str">
            <v>KS Chojnik Jelenia Góra</v>
          </cell>
        </row>
        <row r="1446">
          <cell r="A1446" t="str">
            <v>P4523</v>
          </cell>
          <cell r="B1446" t="str">
            <v>Paulina</v>
          </cell>
          <cell r="C1446" t="str">
            <v>PAPIERAK</v>
          </cell>
          <cell r="D1446" t="str">
            <v>KKS Ruch Piotrków Tryb.</v>
          </cell>
        </row>
        <row r="1447">
          <cell r="A1447" t="str">
            <v>P5890</v>
          </cell>
          <cell r="B1447" t="str">
            <v>Patrycja</v>
          </cell>
          <cell r="C1447" t="str">
            <v>PAPIŃSKA</v>
          </cell>
          <cell r="D1447" t="str">
            <v>MMKS Gdańsk</v>
          </cell>
        </row>
        <row r="1448">
          <cell r="A1448" t="str">
            <v>P2838</v>
          </cell>
          <cell r="B1448" t="str">
            <v>Aleksandra</v>
          </cell>
          <cell r="C1448" t="str">
            <v>PAPRZYCKA</v>
          </cell>
          <cell r="D1448" t="str">
            <v>MKB Lednik Miastko</v>
          </cell>
        </row>
        <row r="1449">
          <cell r="A1449" t="str">
            <v>P5698</v>
          </cell>
          <cell r="B1449" t="str">
            <v>Dariusz</v>
          </cell>
          <cell r="C1449" t="str">
            <v>PAPRZYCKI</v>
          </cell>
          <cell r="D1449" t="str">
            <v>----</v>
          </cell>
        </row>
        <row r="1450">
          <cell r="A1450" t="str">
            <v>P5721</v>
          </cell>
          <cell r="B1450" t="str">
            <v>Greta</v>
          </cell>
          <cell r="C1450" t="str">
            <v>PARDYKA</v>
          </cell>
          <cell r="D1450" t="str">
            <v>----</v>
          </cell>
        </row>
        <row r="1451">
          <cell r="A1451" t="str">
            <v>P4202</v>
          </cell>
          <cell r="B1451" t="str">
            <v>Bartłomiej</v>
          </cell>
          <cell r="C1451" t="str">
            <v>PARYSZ</v>
          </cell>
          <cell r="D1451" t="str">
            <v>UKS Unia Bieruń</v>
          </cell>
        </row>
        <row r="1452">
          <cell r="A1452" t="str">
            <v>P4197</v>
          </cell>
          <cell r="B1452" t="str">
            <v>Zuzanna</v>
          </cell>
          <cell r="C1452" t="str">
            <v>PARYSZ</v>
          </cell>
          <cell r="D1452" t="str">
            <v>UKS Unia Bieruń</v>
          </cell>
        </row>
        <row r="1453">
          <cell r="A1453" t="str">
            <v>P4611</v>
          </cell>
          <cell r="B1453" t="str">
            <v>Dorian</v>
          </cell>
          <cell r="C1453" t="str">
            <v>PASTERNAK</v>
          </cell>
          <cell r="D1453" t="str">
            <v>UKSOSIR Badminton Sławno</v>
          </cell>
        </row>
        <row r="1454">
          <cell r="A1454" t="str">
            <v>P1874</v>
          </cell>
          <cell r="B1454" t="str">
            <v>Justyna</v>
          </cell>
          <cell r="C1454" t="str">
            <v>PASTERNAK</v>
          </cell>
          <cell r="D1454" t="str">
            <v>LKS Technik Głubczyce</v>
          </cell>
        </row>
        <row r="1455">
          <cell r="A1455" t="str">
            <v>P1086</v>
          </cell>
          <cell r="B1455" t="str">
            <v>Andrzej</v>
          </cell>
          <cell r="C1455" t="str">
            <v>PASTUSZAK</v>
          </cell>
          <cell r="D1455" t="str">
            <v>----</v>
          </cell>
        </row>
        <row r="1456">
          <cell r="A1456" t="str">
            <v>P5370</v>
          </cell>
          <cell r="B1456" t="str">
            <v>Jakub</v>
          </cell>
          <cell r="C1456" t="str">
            <v>PASZKIEWICZ</v>
          </cell>
          <cell r="D1456" t="str">
            <v>MMKS Gdańsk</v>
          </cell>
        </row>
        <row r="1457">
          <cell r="A1457" t="str">
            <v>P3603</v>
          </cell>
          <cell r="B1457" t="str">
            <v>Bartosz</v>
          </cell>
          <cell r="C1457" t="str">
            <v>PASZKOWSKI</v>
          </cell>
          <cell r="D1457" t="str">
            <v>KS Chojnik Jelenia Góra</v>
          </cell>
        </row>
        <row r="1458">
          <cell r="A1458" t="str">
            <v>P4442</v>
          </cell>
          <cell r="B1458" t="str">
            <v>Izabela</v>
          </cell>
          <cell r="C1458" t="str">
            <v>PATRZAŁEK</v>
          </cell>
          <cell r="D1458" t="str">
            <v>AZSAGH Kraków</v>
          </cell>
        </row>
        <row r="1459">
          <cell r="A1459" t="str">
            <v>P5018</v>
          </cell>
          <cell r="B1459" t="str">
            <v>Ida</v>
          </cell>
          <cell r="C1459" t="str">
            <v>PATURY</v>
          </cell>
          <cell r="D1459" t="str">
            <v>KKS Ruch Piotrków Tryb.</v>
          </cell>
        </row>
        <row r="1460">
          <cell r="A1460" t="str">
            <v>P4808</v>
          </cell>
          <cell r="B1460" t="str">
            <v>Mikołaj</v>
          </cell>
          <cell r="C1460" t="str">
            <v>PAWEŁCZYK</v>
          </cell>
          <cell r="D1460" t="str">
            <v>AZSWAT Warszawa</v>
          </cell>
        </row>
        <row r="1461">
          <cell r="A1461" t="str">
            <v>P2756</v>
          </cell>
          <cell r="B1461" t="str">
            <v>Magdalena</v>
          </cell>
          <cell r="C1461" t="str">
            <v>PAWLUK</v>
          </cell>
          <cell r="D1461" t="str">
            <v>UKS Ostrówek</v>
          </cell>
        </row>
        <row r="1462">
          <cell r="A1462" t="str">
            <v>P5349</v>
          </cell>
          <cell r="B1462" t="str">
            <v>Małgorzata</v>
          </cell>
          <cell r="C1462" t="str">
            <v>PAWLUK</v>
          </cell>
          <cell r="D1462" t="str">
            <v>UKS Kiko Zamość</v>
          </cell>
        </row>
        <row r="1463">
          <cell r="A1463" t="str">
            <v>P0530</v>
          </cell>
          <cell r="B1463" t="str">
            <v>Ryszard</v>
          </cell>
          <cell r="C1463" t="str">
            <v>PAWLUK</v>
          </cell>
          <cell r="D1463" t="str">
            <v>----</v>
          </cell>
        </row>
        <row r="1464">
          <cell r="A1464" t="str">
            <v>P5676</v>
          </cell>
          <cell r="B1464" t="str">
            <v>Katarzyna</v>
          </cell>
          <cell r="C1464" t="str">
            <v>PAWŁOWICZ</v>
          </cell>
          <cell r="D1464" t="str">
            <v>UKS Smecz Bogatynia</v>
          </cell>
        </row>
        <row r="1465">
          <cell r="A1465" t="str">
            <v>P2593</v>
          </cell>
          <cell r="B1465" t="str">
            <v>Hubert</v>
          </cell>
          <cell r="C1465" t="str">
            <v>PAWŁOWSKI</v>
          </cell>
          <cell r="D1465" t="str">
            <v>PTS Puszczykowo</v>
          </cell>
        </row>
        <row r="1466">
          <cell r="A1466" t="str">
            <v>P4216</v>
          </cell>
          <cell r="B1466" t="str">
            <v>Bartosz</v>
          </cell>
          <cell r="C1466" t="str">
            <v>PAŹDZIOR</v>
          </cell>
          <cell r="D1466" t="str">
            <v>MUKS 5 Chełm</v>
          </cell>
        </row>
        <row r="1467">
          <cell r="A1467" t="str">
            <v>P0311</v>
          </cell>
          <cell r="B1467" t="str">
            <v>Hubert</v>
          </cell>
          <cell r="C1467" t="str">
            <v>PĄCZEK</v>
          </cell>
          <cell r="D1467" t="str">
            <v>AZSAGH Kraków</v>
          </cell>
        </row>
        <row r="1468">
          <cell r="A1468" t="str">
            <v>P4629</v>
          </cell>
          <cell r="B1468" t="str">
            <v>Klaudia</v>
          </cell>
          <cell r="C1468" t="str">
            <v>PEPLIŃSKA</v>
          </cell>
          <cell r="D1468" t="str">
            <v>ULKS U-2 Lotka Bytów</v>
          </cell>
        </row>
        <row r="1469">
          <cell r="A1469" t="str">
            <v>P5267</v>
          </cell>
          <cell r="B1469" t="str">
            <v>Lech</v>
          </cell>
          <cell r="C1469" t="str">
            <v>PERKO</v>
          </cell>
          <cell r="D1469" t="str">
            <v>----</v>
          </cell>
        </row>
        <row r="1470">
          <cell r="A1470" t="str">
            <v>P5888</v>
          </cell>
          <cell r="B1470" t="str">
            <v>Jakub</v>
          </cell>
          <cell r="C1470" t="str">
            <v>PERLIŃSKI</v>
          </cell>
          <cell r="D1470" t="str">
            <v>UKS Smecz Milicz</v>
          </cell>
        </row>
        <row r="1471">
          <cell r="A1471" t="str">
            <v>P5878</v>
          </cell>
          <cell r="B1471" t="str">
            <v>Michał</v>
          </cell>
          <cell r="C1471" t="str">
            <v>PERLIŃSKI</v>
          </cell>
          <cell r="D1471" t="str">
            <v>UKS Smecz Milicz</v>
          </cell>
        </row>
        <row r="1472">
          <cell r="A1472" t="str">
            <v>P4783</v>
          </cell>
          <cell r="B1472" t="str">
            <v>Jacek</v>
          </cell>
          <cell r="C1472" t="str">
            <v>PERSONA</v>
          </cell>
          <cell r="D1472" t="str">
            <v>----</v>
          </cell>
        </row>
        <row r="1473">
          <cell r="A1473" t="str">
            <v>P2342</v>
          </cell>
          <cell r="B1473" t="str">
            <v>Martyna</v>
          </cell>
          <cell r="C1473" t="str">
            <v>PERSONA</v>
          </cell>
          <cell r="D1473" t="str">
            <v>MKS Orlicz Suchedniów</v>
          </cell>
        </row>
        <row r="1474">
          <cell r="A1474" t="str">
            <v>P2183</v>
          </cell>
          <cell r="B1474" t="str">
            <v>Tomasz</v>
          </cell>
          <cell r="C1474" t="str">
            <v>PERSONA</v>
          </cell>
          <cell r="D1474" t="str">
            <v>MKS Orlicz Suchedniów</v>
          </cell>
        </row>
        <row r="1475">
          <cell r="A1475" t="str">
            <v>P1497</v>
          </cell>
          <cell r="B1475" t="str">
            <v>Jacek</v>
          </cell>
          <cell r="C1475" t="str">
            <v>PĘKACKI</v>
          </cell>
          <cell r="D1475" t="str">
            <v>----</v>
          </cell>
        </row>
        <row r="1476">
          <cell r="A1476" t="str">
            <v>P2520</v>
          </cell>
          <cell r="B1476" t="str">
            <v>Marta</v>
          </cell>
          <cell r="C1476" t="str">
            <v>PĘKALA</v>
          </cell>
          <cell r="D1476" t="str">
            <v>AZSAGH Kraków</v>
          </cell>
        </row>
        <row r="1477">
          <cell r="A1477" t="str">
            <v>P5120</v>
          </cell>
          <cell r="B1477" t="str">
            <v>Dagmara</v>
          </cell>
          <cell r="C1477" t="str">
            <v>PĘKAŁA</v>
          </cell>
          <cell r="D1477" t="str">
            <v>UKS Plesbad Pszczyna</v>
          </cell>
        </row>
        <row r="1478">
          <cell r="A1478" t="str">
            <v>P5472</v>
          </cell>
          <cell r="B1478" t="str">
            <v>Maja</v>
          </cell>
          <cell r="C1478" t="str">
            <v>PIASECKA</v>
          </cell>
          <cell r="D1478" t="str">
            <v>UKS 70 Płock</v>
          </cell>
        </row>
        <row r="1479">
          <cell r="A1479" t="str">
            <v>P4782</v>
          </cell>
          <cell r="B1479" t="str">
            <v>Andrzej</v>
          </cell>
          <cell r="C1479" t="str">
            <v>PIĄTEK</v>
          </cell>
          <cell r="D1479" t="str">
            <v>----</v>
          </cell>
        </row>
        <row r="1480">
          <cell r="A1480" t="str">
            <v>P3300</v>
          </cell>
          <cell r="B1480" t="str">
            <v>Dawid</v>
          </cell>
          <cell r="C1480" t="str">
            <v>PIĄTEK</v>
          </cell>
          <cell r="D1480" t="str">
            <v>UKSB Volant Mielec</v>
          </cell>
        </row>
        <row r="1481">
          <cell r="A1481" t="str">
            <v>P5629</v>
          </cell>
          <cell r="B1481" t="str">
            <v>Konrad</v>
          </cell>
          <cell r="C1481" t="str">
            <v>PIECH</v>
          </cell>
          <cell r="D1481" t="str">
            <v>UKS Hubal Białystok</v>
          </cell>
        </row>
        <row r="1482">
          <cell r="A1482" t="str">
            <v>P3093</v>
          </cell>
          <cell r="B1482" t="str">
            <v>Sławomir</v>
          </cell>
          <cell r="C1482" t="str">
            <v>PIECHNIK</v>
          </cell>
          <cell r="D1482" t="str">
            <v>----</v>
          </cell>
        </row>
        <row r="1483">
          <cell r="A1483" t="str">
            <v>P3707</v>
          </cell>
          <cell r="B1483" t="str">
            <v>Bartosz</v>
          </cell>
          <cell r="C1483" t="str">
            <v>PIEKARZ</v>
          </cell>
          <cell r="D1483" t="str">
            <v>UKS Orliki Ropica Polska</v>
          </cell>
        </row>
        <row r="1484">
          <cell r="A1484" t="str">
            <v>P5562</v>
          </cell>
          <cell r="B1484" t="str">
            <v>Szymon</v>
          </cell>
          <cell r="C1484" t="str">
            <v>PIEKARZ</v>
          </cell>
          <cell r="D1484" t="str">
            <v>UKS Orliki Ropica Polska</v>
          </cell>
        </row>
        <row r="1485">
          <cell r="A1485" t="str">
            <v>P0199</v>
          </cell>
          <cell r="B1485" t="str">
            <v>Maciej</v>
          </cell>
          <cell r="C1485" t="str">
            <v>PIEKŁO</v>
          </cell>
          <cell r="D1485" t="str">
            <v>AZSAGH Kraków</v>
          </cell>
        </row>
        <row r="1486">
          <cell r="A1486" t="str">
            <v>P4830</v>
          </cell>
          <cell r="B1486" t="str">
            <v>Zdzisław</v>
          </cell>
          <cell r="C1486" t="str">
            <v>PIEKOSZEWSKI</v>
          </cell>
          <cell r="D1486" t="str">
            <v>----</v>
          </cell>
        </row>
        <row r="1487">
          <cell r="A1487" t="str">
            <v>P5137</v>
          </cell>
          <cell r="B1487" t="str">
            <v>Krystian</v>
          </cell>
          <cell r="C1487" t="str">
            <v>PIELACIŃSKI</v>
          </cell>
          <cell r="D1487" t="str">
            <v>KS Masovia Płock</v>
          </cell>
        </row>
        <row r="1488">
          <cell r="A1488" t="str">
            <v>P0959</v>
          </cell>
          <cell r="B1488" t="str">
            <v>Paweł</v>
          </cell>
          <cell r="C1488" t="str">
            <v>PIELUSZYŃSKI</v>
          </cell>
          <cell r="D1488" t="str">
            <v>----</v>
          </cell>
        </row>
        <row r="1489">
          <cell r="A1489" t="str">
            <v>P2640</v>
          </cell>
          <cell r="B1489" t="str">
            <v>Patrycja</v>
          </cell>
          <cell r="C1489" t="str">
            <v>PIEPRZAK</v>
          </cell>
          <cell r="D1489" t="str">
            <v>UKS Sokół Ropczyce</v>
          </cell>
        </row>
        <row r="1490">
          <cell r="A1490" t="str">
            <v>P4684</v>
          </cell>
          <cell r="B1490" t="str">
            <v>Dominika</v>
          </cell>
          <cell r="C1490" t="str">
            <v>PIERÓG</v>
          </cell>
          <cell r="D1490" t="str">
            <v>UKSB Volant Mielec</v>
          </cell>
        </row>
        <row r="1491">
          <cell r="A1491" t="str">
            <v>P5009</v>
          </cell>
          <cell r="B1491" t="str">
            <v>Olga</v>
          </cell>
          <cell r="C1491" t="str">
            <v>PIESTRAK</v>
          </cell>
          <cell r="D1491" t="str">
            <v>----</v>
          </cell>
        </row>
        <row r="1492">
          <cell r="A1492" t="str">
            <v>P5665</v>
          </cell>
          <cell r="B1492" t="str">
            <v>Karolina</v>
          </cell>
          <cell r="C1492" t="str">
            <v>PIETNICA</v>
          </cell>
          <cell r="D1492" t="str">
            <v>UKS Jagiellonka Medyka</v>
          </cell>
        </row>
        <row r="1493">
          <cell r="A1493" t="str">
            <v>P5049</v>
          </cell>
          <cell r="B1493" t="str">
            <v>Patryk</v>
          </cell>
          <cell r="C1493" t="str">
            <v>PIETRAS</v>
          </cell>
          <cell r="D1493" t="str">
            <v>UKSB Volant Mielec</v>
          </cell>
        </row>
        <row r="1494">
          <cell r="A1494" t="str">
            <v>P4160</v>
          </cell>
          <cell r="B1494" t="str">
            <v>Kinga</v>
          </cell>
          <cell r="C1494" t="str">
            <v>PIETRUSIEWICZ</v>
          </cell>
          <cell r="D1494" t="str">
            <v>UKS Iskra Babimost</v>
          </cell>
        </row>
        <row r="1495">
          <cell r="A1495" t="str">
            <v>P5419</v>
          </cell>
          <cell r="B1495" t="str">
            <v>Jarosław</v>
          </cell>
          <cell r="C1495" t="str">
            <v>PIETRUSZKA</v>
          </cell>
          <cell r="D1495" t="str">
            <v>----</v>
          </cell>
        </row>
        <row r="1496">
          <cell r="A1496" t="str">
            <v>P5540</v>
          </cell>
          <cell r="B1496" t="str">
            <v>Joanna</v>
          </cell>
          <cell r="C1496" t="str">
            <v>PIETRUSZKA</v>
          </cell>
          <cell r="D1496" t="str">
            <v>UKS Junior Wrzosowa</v>
          </cell>
        </row>
        <row r="1497">
          <cell r="A1497" t="str">
            <v>P3246</v>
          </cell>
          <cell r="B1497" t="str">
            <v>Mateusz</v>
          </cell>
          <cell r="C1497" t="str">
            <v>PIETRUSZKA</v>
          </cell>
          <cell r="D1497" t="str">
            <v>KS Chojnik Jelenia Góra</v>
          </cell>
        </row>
        <row r="1498">
          <cell r="A1498" t="str">
            <v>P0987</v>
          </cell>
          <cell r="B1498" t="str">
            <v>Bartosz</v>
          </cell>
          <cell r="C1498" t="str">
            <v>PIETRYJA</v>
          </cell>
          <cell r="D1498" t="str">
            <v>UKS Plesbad Pszczyna</v>
          </cell>
        </row>
        <row r="1499">
          <cell r="A1499" t="str">
            <v>P0986</v>
          </cell>
          <cell r="B1499" t="str">
            <v>Małgorzata</v>
          </cell>
          <cell r="C1499" t="str">
            <v>PIETRYJA</v>
          </cell>
          <cell r="D1499" t="str">
            <v>UKS Plesbad Pszczyna</v>
          </cell>
        </row>
        <row r="1500">
          <cell r="A1500" t="str">
            <v>P1929</v>
          </cell>
          <cell r="B1500" t="str">
            <v>Paweł</v>
          </cell>
          <cell r="C1500" t="str">
            <v>PIETRYJA</v>
          </cell>
          <cell r="D1500" t="str">
            <v>UKS Plesbad Pszczyna</v>
          </cell>
        </row>
        <row r="1501">
          <cell r="A1501" t="str">
            <v>P4759</v>
          </cell>
          <cell r="B1501" t="str">
            <v>Martyna</v>
          </cell>
          <cell r="C1501" t="str">
            <v>PIETRZAK</v>
          </cell>
          <cell r="D1501" t="str">
            <v>MLKS Solec Kuj.</v>
          </cell>
        </row>
        <row r="1502">
          <cell r="A1502" t="str">
            <v>P4758</v>
          </cell>
          <cell r="B1502" t="str">
            <v>Natalia</v>
          </cell>
          <cell r="C1502" t="str">
            <v>PIETRZAK</v>
          </cell>
          <cell r="D1502" t="str">
            <v>MLKS Solec Kuj.</v>
          </cell>
        </row>
        <row r="1503">
          <cell r="A1503" t="str">
            <v>P4392</v>
          </cell>
          <cell r="B1503" t="str">
            <v>Karol</v>
          </cell>
          <cell r="C1503" t="str">
            <v>PIKUŁA</v>
          </cell>
          <cell r="D1503" t="str">
            <v>UKS Hubal Białystok</v>
          </cell>
        </row>
        <row r="1504">
          <cell r="A1504" t="str">
            <v>P3571</v>
          </cell>
          <cell r="B1504" t="str">
            <v>Klaudia</v>
          </cell>
          <cell r="C1504" t="str">
            <v>PIKUZIŃSKA</v>
          </cell>
          <cell r="D1504" t="str">
            <v>UKS Kiko Zamość</v>
          </cell>
        </row>
        <row r="1505">
          <cell r="A1505" t="str">
            <v>P4819</v>
          </cell>
          <cell r="B1505" t="str">
            <v>Justyna</v>
          </cell>
          <cell r="C1505" t="str">
            <v>PILARSKA</v>
          </cell>
          <cell r="D1505" t="str">
            <v>MKS Spartakus Niepołomice</v>
          </cell>
        </row>
        <row r="1506">
          <cell r="A1506" t="str">
            <v>P3098</v>
          </cell>
          <cell r="B1506" t="str">
            <v>Robert</v>
          </cell>
          <cell r="C1506" t="str">
            <v>PILNY</v>
          </cell>
          <cell r="D1506" t="str">
            <v>----</v>
          </cell>
        </row>
        <row r="1507">
          <cell r="A1507" t="str">
            <v>P5588</v>
          </cell>
          <cell r="B1507" t="str">
            <v>Aleksandra</v>
          </cell>
          <cell r="C1507" t="str">
            <v>PIOTROWSKA</v>
          </cell>
          <cell r="D1507" t="str">
            <v>BKS Kolejarz Częstochowa</v>
          </cell>
        </row>
        <row r="1508">
          <cell r="A1508" t="str">
            <v>P1946</v>
          </cell>
          <cell r="B1508" t="str">
            <v>Ewa</v>
          </cell>
          <cell r="C1508" t="str">
            <v>PIOTROWSKA</v>
          </cell>
          <cell r="D1508" t="str">
            <v>UKS Hubal Białystok</v>
          </cell>
        </row>
        <row r="1509">
          <cell r="A1509" t="str">
            <v>P5690</v>
          </cell>
          <cell r="B1509" t="str">
            <v>Hanna</v>
          </cell>
          <cell r="C1509" t="str">
            <v>PIOTROWSKA</v>
          </cell>
          <cell r="D1509" t="str">
            <v>UKS Smecz Bogatynia</v>
          </cell>
        </row>
        <row r="1510">
          <cell r="A1510" t="str">
            <v>P5195</v>
          </cell>
          <cell r="B1510" t="str">
            <v>Monika</v>
          </cell>
          <cell r="C1510" t="str">
            <v>PIOTROWSKA</v>
          </cell>
          <cell r="D1510" t="str">
            <v>UKS Kiko Zamość</v>
          </cell>
        </row>
        <row r="1511">
          <cell r="A1511" t="str">
            <v>P4482</v>
          </cell>
          <cell r="B1511" t="str">
            <v>Oliwia</v>
          </cell>
          <cell r="C1511" t="str">
            <v>PIOTROWSKA</v>
          </cell>
          <cell r="D1511" t="str">
            <v>UKS Kiko Zamość</v>
          </cell>
        </row>
        <row r="1512">
          <cell r="A1512" t="str">
            <v>P5350</v>
          </cell>
          <cell r="B1512" t="str">
            <v>Miłosz</v>
          </cell>
          <cell r="C1512" t="str">
            <v>PIOTROWSKI</v>
          </cell>
          <cell r="D1512" t="str">
            <v>UKS Kiko Zamość</v>
          </cell>
        </row>
        <row r="1513">
          <cell r="A1513" t="str">
            <v>P4762</v>
          </cell>
          <cell r="B1513" t="str">
            <v>Zuzanna</v>
          </cell>
          <cell r="C1513" t="str">
            <v>PIÓRO</v>
          </cell>
          <cell r="D1513" t="str">
            <v>UKS 25 Kielce</v>
          </cell>
        </row>
        <row r="1514">
          <cell r="A1514" t="str">
            <v>P4183</v>
          </cell>
          <cell r="B1514" t="str">
            <v>Michał</v>
          </cell>
          <cell r="C1514" t="str">
            <v>PIRECKI</v>
          </cell>
          <cell r="D1514" t="str">
            <v>BKS Kolejarz Częstochowa</v>
          </cell>
        </row>
        <row r="1515">
          <cell r="A1515" t="str">
            <v>P3533</v>
          </cell>
          <cell r="B1515" t="str">
            <v>Magdalena</v>
          </cell>
          <cell r="C1515" t="str">
            <v>PIRZEWSKA</v>
          </cell>
          <cell r="D1515" t="str">
            <v>ZKB Maced Polanów</v>
          </cell>
        </row>
        <row r="1516">
          <cell r="A1516" t="str">
            <v>P3435</v>
          </cell>
          <cell r="B1516" t="str">
            <v>Rafał</v>
          </cell>
          <cell r="C1516" t="str">
            <v>PIŚNIAK</v>
          </cell>
          <cell r="D1516" t="str">
            <v>MMKS Kędzierzyn-Koźle</v>
          </cell>
        </row>
        <row r="1517">
          <cell r="A1517" t="str">
            <v>P5447</v>
          </cell>
          <cell r="B1517" t="str">
            <v>Jakub</v>
          </cell>
          <cell r="C1517" t="str">
            <v>PITURA</v>
          </cell>
          <cell r="D1517" t="str">
            <v>KKS Warmia Olsztyn</v>
          </cell>
        </row>
        <row r="1518">
          <cell r="A1518" t="str">
            <v>P5439</v>
          </cell>
          <cell r="B1518" t="str">
            <v>Kacper</v>
          </cell>
          <cell r="C1518" t="str">
            <v>PIWOWAR</v>
          </cell>
          <cell r="D1518" t="str">
            <v>ULKS Łączna</v>
          </cell>
        </row>
        <row r="1519">
          <cell r="A1519" t="str">
            <v>P5438</v>
          </cell>
          <cell r="B1519" t="str">
            <v>Marcin</v>
          </cell>
          <cell r="C1519" t="str">
            <v>PIWOWAR</v>
          </cell>
          <cell r="D1519" t="str">
            <v>ULKS Łączna</v>
          </cell>
        </row>
        <row r="1520">
          <cell r="A1520" t="str">
            <v>P5242</v>
          </cell>
          <cell r="B1520" t="str">
            <v>Krzysztof</v>
          </cell>
          <cell r="C1520" t="str">
            <v>PIWOWARSKI</v>
          </cell>
          <cell r="D1520" t="str">
            <v>UKS 2 Sobótka</v>
          </cell>
        </row>
        <row r="1521">
          <cell r="A1521" t="str">
            <v>P5025</v>
          </cell>
          <cell r="B1521" t="str">
            <v>Jakub</v>
          </cell>
          <cell r="C1521" t="str">
            <v>PLASZCZYK</v>
          </cell>
          <cell r="D1521" t="str">
            <v>MKS Strzelce Opolskie</v>
          </cell>
        </row>
        <row r="1522">
          <cell r="A1522" t="str">
            <v>P5458</v>
          </cell>
          <cell r="B1522" t="str">
            <v>Michał</v>
          </cell>
          <cell r="C1522" t="str">
            <v>PLISKOWSKI</v>
          </cell>
          <cell r="D1522" t="str">
            <v>MKB Lednik Miastko</v>
          </cell>
        </row>
        <row r="1523">
          <cell r="A1523" t="str">
            <v>P5912</v>
          </cell>
          <cell r="B1523" t="str">
            <v>Julia</v>
          </cell>
          <cell r="C1523" t="str">
            <v>PŁAWECKA</v>
          </cell>
          <cell r="D1523" t="str">
            <v>UKS Plesbad Pszczyna</v>
          </cell>
        </row>
        <row r="1524">
          <cell r="A1524" t="str">
            <v>P 075</v>
          </cell>
          <cell r="B1524" t="str">
            <v>Damian</v>
          </cell>
          <cell r="C1524" t="str">
            <v>PŁAWECKI</v>
          </cell>
          <cell r="D1524" t="str">
            <v>AZSAGH Kraków</v>
          </cell>
        </row>
        <row r="1525">
          <cell r="A1525" t="str">
            <v>P3965</v>
          </cell>
          <cell r="B1525" t="str">
            <v>Mateusz</v>
          </cell>
          <cell r="C1525" t="str">
            <v>PŁAWECKI</v>
          </cell>
          <cell r="D1525" t="str">
            <v>AZSAGH Kraków</v>
          </cell>
        </row>
        <row r="1526">
          <cell r="A1526" t="str">
            <v>P5490</v>
          </cell>
          <cell r="B1526" t="str">
            <v>Radosław</v>
          </cell>
          <cell r="C1526" t="str">
            <v>PŁAWECKI</v>
          </cell>
          <cell r="D1526" t="str">
            <v>UKS Plesbad Pszczyna</v>
          </cell>
        </row>
        <row r="1527">
          <cell r="A1527" t="str">
            <v>P3934</v>
          </cell>
          <cell r="B1527" t="str">
            <v>Patryk</v>
          </cell>
          <cell r="C1527" t="str">
            <v>PŁAZA</v>
          </cell>
          <cell r="D1527" t="str">
            <v>UKS Smecz Bogatynia</v>
          </cell>
        </row>
        <row r="1528">
          <cell r="A1528" t="str">
            <v>P4119</v>
          </cell>
          <cell r="B1528" t="str">
            <v>Kamil</v>
          </cell>
          <cell r="C1528" t="str">
            <v>PŁOCH</v>
          </cell>
          <cell r="D1528" t="str">
            <v>UKS Start Widełka</v>
          </cell>
        </row>
        <row r="1529">
          <cell r="A1529" t="str">
            <v>P4121</v>
          </cell>
          <cell r="B1529" t="str">
            <v>Konrad</v>
          </cell>
          <cell r="C1529" t="str">
            <v>PŁOCH</v>
          </cell>
          <cell r="D1529" t="str">
            <v>UKS Start Widełka</v>
          </cell>
        </row>
        <row r="1530">
          <cell r="A1530" t="str">
            <v>P4530</v>
          </cell>
          <cell r="B1530" t="str">
            <v>Krzysztof</v>
          </cell>
          <cell r="C1530" t="str">
            <v>PŁOCH</v>
          </cell>
          <cell r="D1530" t="str">
            <v>UKS Start Widełka</v>
          </cell>
        </row>
        <row r="1531">
          <cell r="A1531" t="str">
            <v>P5554</v>
          </cell>
          <cell r="B1531" t="str">
            <v>Daniel</v>
          </cell>
          <cell r="C1531" t="str">
            <v>PŁODZIEŃ</v>
          </cell>
          <cell r="D1531" t="str">
            <v>AZSAGH Kraków</v>
          </cell>
        </row>
        <row r="1532">
          <cell r="A1532" t="str">
            <v>P3627</v>
          </cell>
          <cell r="B1532" t="str">
            <v>Kamila</v>
          </cell>
          <cell r="C1532" t="str">
            <v>PŁODZIEŃ</v>
          </cell>
          <cell r="D1532" t="str">
            <v>SKB Piast Słupsk</v>
          </cell>
        </row>
        <row r="1533">
          <cell r="A1533" t="str">
            <v>P4642</v>
          </cell>
          <cell r="B1533" t="str">
            <v>Dawid</v>
          </cell>
          <cell r="C1533" t="str">
            <v>PŁOKARZ</v>
          </cell>
          <cell r="D1533" t="str">
            <v>OTB Lotka Ostrów Wlkp.</v>
          </cell>
        </row>
        <row r="1534">
          <cell r="A1534" t="str">
            <v>P5466</v>
          </cell>
          <cell r="B1534" t="str">
            <v>Wiktoria</v>
          </cell>
          <cell r="C1534" t="str">
            <v>PŁOSKONKA</v>
          </cell>
          <cell r="D1534" t="str">
            <v>KS Chojnik Jelenia Góra</v>
          </cell>
        </row>
        <row r="1535">
          <cell r="A1535" t="str">
            <v>P2012</v>
          </cell>
          <cell r="B1535" t="str">
            <v>Emilia</v>
          </cell>
          <cell r="C1535" t="str">
            <v>POCZTOWIAK</v>
          </cell>
          <cell r="D1535" t="str">
            <v>UKS Iskra Babimost</v>
          </cell>
        </row>
        <row r="1536">
          <cell r="A1536" t="str">
            <v>P0841</v>
          </cell>
          <cell r="B1536" t="str">
            <v>Natalia</v>
          </cell>
          <cell r="C1536" t="str">
            <v>POCZTOWIAK</v>
          </cell>
          <cell r="D1536" t="str">
            <v>LKS Technik Głubczyce</v>
          </cell>
        </row>
        <row r="1537">
          <cell r="A1537" t="str">
            <v>P3368</v>
          </cell>
          <cell r="B1537" t="str">
            <v>Mateusz</v>
          </cell>
          <cell r="C1537" t="str">
            <v>PODLEWSKI</v>
          </cell>
          <cell r="D1537" t="str">
            <v>KKS Ruch Piotrków Tryb.</v>
          </cell>
        </row>
        <row r="1538">
          <cell r="A1538" t="str">
            <v>P5385</v>
          </cell>
          <cell r="B1538" t="str">
            <v>Marcel</v>
          </cell>
          <cell r="C1538" t="str">
            <v>PODNIESIŃSKI</v>
          </cell>
          <cell r="D1538" t="str">
            <v>MKS Orlicz Suchedniów</v>
          </cell>
        </row>
        <row r="1539">
          <cell r="A1539" t="str">
            <v>P4286</v>
          </cell>
          <cell r="B1539" t="str">
            <v>Ewelina</v>
          </cell>
          <cell r="C1539" t="str">
            <v>PODZIEWSKA</v>
          </cell>
          <cell r="D1539" t="str">
            <v>SKB Suwałki</v>
          </cell>
        </row>
        <row r="1540">
          <cell r="A1540" t="str">
            <v>P0623</v>
          </cell>
          <cell r="B1540" t="str">
            <v>Mariusz</v>
          </cell>
          <cell r="C1540" t="str">
            <v>POGOŃ</v>
          </cell>
          <cell r="D1540" t="str">
            <v>AZSAGH Kraków</v>
          </cell>
        </row>
        <row r="1541">
          <cell r="A1541" t="str">
            <v>P4833</v>
          </cell>
          <cell r="B1541" t="str">
            <v>Łukasz</v>
          </cell>
          <cell r="C1541" t="str">
            <v>POHL</v>
          </cell>
          <cell r="D1541" t="str">
            <v>----</v>
          </cell>
        </row>
        <row r="1542">
          <cell r="A1542" t="str">
            <v>P0726</v>
          </cell>
          <cell r="B1542" t="str">
            <v>Przemysław</v>
          </cell>
          <cell r="C1542" t="str">
            <v>POHL</v>
          </cell>
          <cell r="D1542" t="str">
            <v>----</v>
          </cell>
        </row>
        <row r="1543">
          <cell r="A1543" t="str">
            <v>P4254</v>
          </cell>
          <cell r="B1543" t="str">
            <v>Daria</v>
          </cell>
          <cell r="C1543" t="str">
            <v>POKORSKA</v>
          </cell>
          <cell r="D1543" t="str">
            <v>UKS Kopernik Słupca</v>
          </cell>
        </row>
        <row r="1544">
          <cell r="A1544" t="str">
            <v>P4246</v>
          </cell>
          <cell r="B1544" t="str">
            <v>Klaudia</v>
          </cell>
          <cell r="C1544" t="str">
            <v>POKUSIŃSKA</v>
          </cell>
          <cell r="D1544" t="str">
            <v>KKS Ruch Piotrków Tryb.</v>
          </cell>
        </row>
        <row r="1545">
          <cell r="A1545" t="str">
            <v>P4726</v>
          </cell>
          <cell r="B1545" t="str">
            <v>Paweł</v>
          </cell>
          <cell r="C1545" t="str">
            <v>POLAKOWSKI</v>
          </cell>
          <cell r="D1545" t="str">
            <v>UKS Hubal Białystok</v>
          </cell>
        </row>
        <row r="1546">
          <cell r="A1546" t="str">
            <v>P5709</v>
          </cell>
          <cell r="B1546" t="str">
            <v>Mikołaj</v>
          </cell>
          <cell r="C1546" t="str">
            <v>POLAŃSKI</v>
          </cell>
          <cell r="D1546" t="str">
            <v>----</v>
          </cell>
        </row>
        <row r="1547">
          <cell r="A1547" t="str">
            <v>P2686</v>
          </cell>
          <cell r="B1547" t="str">
            <v>Michał</v>
          </cell>
          <cell r="C1547" t="str">
            <v>POLEK</v>
          </cell>
          <cell r="D1547" t="str">
            <v>LKS Technik Głubczyce</v>
          </cell>
        </row>
        <row r="1548">
          <cell r="A1548" t="str">
            <v>P4367</v>
          </cell>
          <cell r="B1548" t="str">
            <v>Katarzyna</v>
          </cell>
          <cell r="C1548" t="str">
            <v>POLOCZEK</v>
          </cell>
          <cell r="D1548" t="str">
            <v>STB Energia Lubliniec</v>
          </cell>
        </row>
        <row r="1549">
          <cell r="A1549" t="str">
            <v>P5760</v>
          </cell>
          <cell r="B1549" t="str">
            <v>Mariusz</v>
          </cell>
          <cell r="C1549" t="str">
            <v>POPA</v>
          </cell>
          <cell r="D1549" t="str">
            <v>UKS Korona Pabianice</v>
          </cell>
        </row>
        <row r="1550">
          <cell r="A1550" t="str">
            <v>P0650</v>
          </cell>
          <cell r="B1550" t="str">
            <v>Paweł</v>
          </cell>
          <cell r="C1550" t="str">
            <v>POPENDA</v>
          </cell>
          <cell r="D1550" t="str">
            <v>BKS Kolejarz Częstochowa</v>
          </cell>
        </row>
        <row r="1551">
          <cell r="A1551" t="str">
            <v>P5729</v>
          </cell>
          <cell r="B1551" t="str">
            <v>Zuzanna</v>
          </cell>
          <cell r="C1551" t="str">
            <v>POPIK</v>
          </cell>
          <cell r="D1551" t="str">
            <v>UKS Orkan Przeźmierowo</v>
          </cell>
        </row>
        <row r="1552">
          <cell r="A1552" t="str">
            <v>P0265</v>
          </cell>
          <cell r="B1552" t="str">
            <v>Kamil</v>
          </cell>
          <cell r="C1552" t="str">
            <v>POPŁAWSKI</v>
          </cell>
          <cell r="D1552" t="str">
            <v>----</v>
          </cell>
        </row>
        <row r="1553">
          <cell r="A1553" t="str">
            <v>P3283</v>
          </cell>
          <cell r="B1553" t="str">
            <v>Magdalena</v>
          </cell>
          <cell r="C1553" t="str">
            <v>POPRZECZKO</v>
          </cell>
          <cell r="D1553" t="str">
            <v>UKS Badminton Stare Babice</v>
          </cell>
        </row>
        <row r="1554">
          <cell r="A1554" t="str">
            <v>P2001</v>
          </cell>
          <cell r="B1554" t="str">
            <v>Martyna</v>
          </cell>
          <cell r="C1554" t="str">
            <v>POPRZECZKO</v>
          </cell>
          <cell r="D1554" t="str">
            <v>UKS Badminton Stare Babice</v>
          </cell>
        </row>
        <row r="1555">
          <cell r="A1555" t="str">
            <v>P0773</v>
          </cell>
          <cell r="B1555" t="str">
            <v>Wojciech</v>
          </cell>
          <cell r="C1555" t="str">
            <v>POSZELĘŻNY</v>
          </cell>
          <cell r="D1555" t="str">
            <v>LUKS Badminton Choroszcz</v>
          </cell>
        </row>
        <row r="1556">
          <cell r="A1556" t="str">
            <v>P5834</v>
          </cell>
          <cell r="B1556" t="str">
            <v>Paweł</v>
          </cell>
          <cell r="C1556" t="str">
            <v>POTAŚ</v>
          </cell>
          <cell r="D1556" t="str">
            <v>UKS Hubal Białystok</v>
          </cell>
        </row>
        <row r="1557">
          <cell r="A1557" t="str">
            <v>P1826</v>
          </cell>
          <cell r="B1557" t="str">
            <v>Maciej</v>
          </cell>
          <cell r="C1557" t="str">
            <v>POULAKOWSKI</v>
          </cell>
          <cell r="D1557" t="str">
            <v>SKB Suwałki</v>
          </cell>
        </row>
        <row r="1558">
          <cell r="A1558" t="str">
            <v>P5351</v>
          </cell>
          <cell r="B1558" t="str">
            <v>Norbert</v>
          </cell>
          <cell r="C1558" t="str">
            <v>POŹDZIK</v>
          </cell>
          <cell r="D1558" t="str">
            <v>UKS Kiko Zamość</v>
          </cell>
        </row>
        <row r="1559">
          <cell r="A1559" t="str">
            <v>P4363</v>
          </cell>
          <cell r="B1559" t="str">
            <v>Angelika</v>
          </cell>
          <cell r="C1559" t="str">
            <v>PRADELA</v>
          </cell>
          <cell r="D1559" t="str">
            <v>STB Energia Lubliniec</v>
          </cell>
        </row>
        <row r="1560">
          <cell r="A1560" t="str">
            <v>P4951</v>
          </cell>
          <cell r="B1560" t="str">
            <v>Grzegorz</v>
          </cell>
          <cell r="C1560" t="str">
            <v>PRADELA</v>
          </cell>
          <cell r="D1560" t="str">
            <v>STB Energia Lubliniec</v>
          </cell>
        </row>
        <row r="1561">
          <cell r="A1561" t="str">
            <v>P4366</v>
          </cell>
          <cell r="B1561" t="str">
            <v>Patrycja</v>
          </cell>
          <cell r="C1561" t="str">
            <v>PRADELA</v>
          </cell>
          <cell r="D1561" t="str">
            <v>STB Energia Lubliniec</v>
          </cell>
        </row>
        <row r="1562">
          <cell r="A1562" t="str">
            <v>P5807</v>
          </cell>
          <cell r="B1562" t="str">
            <v>Filip</v>
          </cell>
          <cell r="C1562" t="str">
            <v>PRAJS</v>
          </cell>
          <cell r="D1562" t="str">
            <v>UKS Feniks Kędzierzyn-Koźle</v>
          </cell>
        </row>
        <row r="1563">
          <cell r="A1563" t="str">
            <v>P5422</v>
          </cell>
          <cell r="B1563" t="str">
            <v>Jakub</v>
          </cell>
          <cell r="C1563" t="str">
            <v>PRASK</v>
          </cell>
          <cell r="D1563" t="str">
            <v>KS Chojnik Jelenia Góra</v>
          </cell>
        </row>
        <row r="1564">
          <cell r="A1564" t="str">
            <v>P5190</v>
          </cell>
          <cell r="B1564" t="str">
            <v>Adam</v>
          </cell>
          <cell r="C1564" t="str">
            <v>PRASOŁEK</v>
          </cell>
          <cell r="D1564" t="str">
            <v>STB Energia Lubliniec</v>
          </cell>
        </row>
        <row r="1565">
          <cell r="A1565" t="str">
            <v>P2095</v>
          </cell>
          <cell r="B1565" t="str">
            <v>Paweł</v>
          </cell>
          <cell r="C1565" t="str">
            <v>PRĄDZIŃSKI</v>
          </cell>
          <cell r="D1565" t="str">
            <v>UKS Kometa Sianów</v>
          </cell>
        </row>
        <row r="1566">
          <cell r="A1566" t="str">
            <v>P5507</v>
          </cell>
          <cell r="B1566" t="str">
            <v>Michalina</v>
          </cell>
          <cell r="C1566" t="str">
            <v>PRENDECKA</v>
          </cell>
          <cell r="D1566" t="str">
            <v>ZKB Maced Polanów</v>
          </cell>
        </row>
        <row r="1567">
          <cell r="A1567" t="str">
            <v>P5506</v>
          </cell>
          <cell r="B1567" t="str">
            <v>Filip</v>
          </cell>
          <cell r="C1567" t="str">
            <v>PRENDECKI</v>
          </cell>
          <cell r="D1567" t="str">
            <v>ZKB Maced Polanów</v>
          </cell>
        </row>
        <row r="1568">
          <cell r="A1568" t="str">
            <v>P0924</v>
          </cell>
          <cell r="B1568" t="str">
            <v>Zdzisława</v>
          </cell>
          <cell r="C1568" t="str">
            <v>PRĘDKA</v>
          </cell>
          <cell r="D1568" t="str">
            <v>UTS Akro-Bad Warszawa</v>
          </cell>
        </row>
        <row r="1569">
          <cell r="A1569" t="str">
            <v>P 051</v>
          </cell>
          <cell r="B1569" t="str">
            <v>Jacek</v>
          </cell>
          <cell r="C1569" t="str">
            <v>PRĘDKI</v>
          </cell>
          <cell r="D1569" t="str">
            <v>MKS Garwolin</v>
          </cell>
        </row>
        <row r="1570">
          <cell r="A1570" t="str">
            <v>P0925</v>
          </cell>
          <cell r="B1570" t="str">
            <v>Kazimierz</v>
          </cell>
          <cell r="C1570" t="str">
            <v>PRĘDKI</v>
          </cell>
          <cell r="D1570" t="str">
            <v>UTS Akro-Bad Warszawa</v>
          </cell>
        </row>
        <row r="1571">
          <cell r="A1571" t="str">
            <v>P5185</v>
          </cell>
          <cell r="B1571" t="str">
            <v>Tomasz</v>
          </cell>
          <cell r="C1571" t="str">
            <v>PROĆ</v>
          </cell>
          <cell r="D1571" t="str">
            <v>UKS Kiko Zamość</v>
          </cell>
        </row>
        <row r="1572">
          <cell r="A1572" t="str">
            <v>P5207</v>
          </cell>
          <cell r="B1572" t="str">
            <v>Adam</v>
          </cell>
          <cell r="C1572" t="str">
            <v>PROKOPCZUK</v>
          </cell>
          <cell r="D1572" t="str">
            <v>UKS Feniks Kędzierzyn-Koźle</v>
          </cell>
        </row>
        <row r="1573">
          <cell r="A1573" t="str">
            <v>P5948</v>
          </cell>
          <cell r="B1573" t="str">
            <v>Julia</v>
          </cell>
          <cell r="C1573" t="str">
            <v>PROKOPCZUK</v>
          </cell>
          <cell r="D1573" t="str">
            <v>UKS Feniks Kędzierzyn-Koźle</v>
          </cell>
        </row>
        <row r="1574">
          <cell r="A1574" t="str">
            <v>P5444</v>
          </cell>
          <cell r="B1574" t="str">
            <v>Aleks</v>
          </cell>
          <cell r="C1574" t="str">
            <v>PROMNY</v>
          </cell>
          <cell r="D1574" t="str">
            <v>KKS Ruch Piotrków Tryb.</v>
          </cell>
        </row>
        <row r="1575">
          <cell r="A1575" t="str">
            <v>P5456</v>
          </cell>
          <cell r="B1575" t="str">
            <v>Ernest</v>
          </cell>
          <cell r="C1575" t="str">
            <v>PRONDZIŃSKI</v>
          </cell>
          <cell r="D1575" t="str">
            <v>MKB Lednik Miastko</v>
          </cell>
        </row>
        <row r="1576">
          <cell r="A1576" t="str">
            <v>P5452</v>
          </cell>
          <cell r="B1576" t="str">
            <v>Aleksandra</v>
          </cell>
          <cell r="C1576" t="str">
            <v>PRUS</v>
          </cell>
          <cell r="D1576" t="str">
            <v>KS Chojnik Jelenia Góra</v>
          </cell>
        </row>
        <row r="1577">
          <cell r="A1577" t="str">
            <v>P4942</v>
          </cell>
          <cell r="B1577" t="str">
            <v>Wiktoria</v>
          </cell>
          <cell r="C1577" t="str">
            <v>PRUSZYŃSKA</v>
          </cell>
          <cell r="D1577" t="str">
            <v>LUKS Księżyno</v>
          </cell>
        </row>
        <row r="1578">
          <cell r="A1578" t="str">
            <v>P5764</v>
          </cell>
          <cell r="B1578" t="str">
            <v>Ewelina</v>
          </cell>
          <cell r="C1578" t="str">
            <v>PRYGA</v>
          </cell>
          <cell r="D1578" t="str">
            <v>MKSKSOS Kraków</v>
          </cell>
        </row>
        <row r="1579">
          <cell r="A1579" t="str">
            <v>P4126</v>
          </cell>
          <cell r="B1579" t="str">
            <v>Andrzej</v>
          </cell>
          <cell r="C1579" t="str">
            <v>PRZEDPEŁSKI</v>
          </cell>
          <cell r="D1579" t="str">
            <v>ŚKBad Harcownik Warszawa</v>
          </cell>
        </row>
        <row r="1580">
          <cell r="A1580" t="str">
            <v>P4925</v>
          </cell>
          <cell r="B1580" t="str">
            <v>Anna</v>
          </cell>
          <cell r="C1580" t="str">
            <v>PRZEPIÓRA</v>
          </cell>
          <cell r="D1580" t="str">
            <v>UKS 25 Kielce</v>
          </cell>
        </row>
        <row r="1581">
          <cell r="A1581" t="str">
            <v>P4447</v>
          </cell>
          <cell r="B1581" t="str">
            <v>Wiktoria</v>
          </cell>
          <cell r="C1581" t="str">
            <v>PRZEWROCKA</v>
          </cell>
          <cell r="D1581" t="str">
            <v>AZSAGH Kraków</v>
          </cell>
        </row>
        <row r="1582">
          <cell r="A1582" t="str">
            <v>P4064</v>
          </cell>
          <cell r="B1582" t="str">
            <v>Jan</v>
          </cell>
          <cell r="C1582" t="str">
            <v>PRZYBYLSKI</v>
          </cell>
          <cell r="D1582" t="str">
            <v>----</v>
          </cell>
        </row>
        <row r="1583">
          <cell r="A1583" t="str">
            <v>P5477</v>
          </cell>
          <cell r="B1583" t="str">
            <v>Paulina</v>
          </cell>
          <cell r="C1583" t="str">
            <v>PRZYBYŁ</v>
          </cell>
          <cell r="D1583" t="str">
            <v>UKS Iskra Sarbice</v>
          </cell>
        </row>
        <row r="1584">
          <cell r="A1584" t="str">
            <v>P5324</v>
          </cell>
          <cell r="B1584" t="str">
            <v>Eryk</v>
          </cell>
          <cell r="C1584" t="str">
            <v>PRZYBYSŁAWSKI</v>
          </cell>
          <cell r="D1584" t="str">
            <v>UKS Kometa Sianów</v>
          </cell>
        </row>
        <row r="1585">
          <cell r="A1585" t="str">
            <v>P2184</v>
          </cell>
          <cell r="B1585" t="str">
            <v>Filip</v>
          </cell>
          <cell r="C1585" t="str">
            <v>PRZYJEMSKI</v>
          </cell>
          <cell r="D1585" t="str">
            <v>MKS Orlicz Suchedniów</v>
          </cell>
        </row>
        <row r="1586">
          <cell r="A1586" t="str">
            <v>P2343</v>
          </cell>
          <cell r="B1586" t="str">
            <v>Paweł</v>
          </cell>
          <cell r="C1586" t="str">
            <v>PRZYJEMSKI</v>
          </cell>
          <cell r="D1586" t="str">
            <v>MKS Orlicz Suchedniów</v>
          </cell>
        </row>
        <row r="1587">
          <cell r="A1587" t="str">
            <v>P1489</v>
          </cell>
          <cell r="B1587" t="str">
            <v>Zbigniew</v>
          </cell>
          <cell r="C1587" t="str">
            <v>PRZYJEMSKI</v>
          </cell>
          <cell r="D1587" t="str">
            <v>----</v>
          </cell>
        </row>
        <row r="1588">
          <cell r="A1588" t="str">
            <v>P4643</v>
          </cell>
          <cell r="B1588" t="str">
            <v>Sebastian</v>
          </cell>
          <cell r="C1588" t="str">
            <v>PRZYTUŁA</v>
          </cell>
          <cell r="D1588" t="str">
            <v>AZSAGH Kraków</v>
          </cell>
        </row>
        <row r="1589">
          <cell r="A1589" t="str">
            <v>P5241</v>
          </cell>
          <cell r="B1589" t="str">
            <v>Mateusz</v>
          </cell>
          <cell r="C1589" t="str">
            <v>PSUJ</v>
          </cell>
          <cell r="D1589" t="str">
            <v>UKS Ząbkowice Dąbrowa Górn.</v>
          </cell>
        </row>
        <row r="1590">
          <cell r="A1590" t="str">
            <v>P4786</v>
          </cell>
          <cell r="B1590" t="str">
            <v>Aleksandra</v>
          </cell>
          <cell r="C1590" t="str">
            <v>PTAK</v>
          </cell>
          <cell r="D1590" t="str">
            <v>STB Energia Lubliniec</v>
          </cell>
        </row>
        <row r="1591">
          <cell r="A1591" t="str">
            <v>P5830</v>
          </cell>
          <cell r="B1591" t="str">
            <v>Aleksandra</v>
          </cell>
          <cell r="C1591" t="str">
            <v>PTAK</v>
          </cell>
          <cell r="D1591" t="str">
            <v>UKS Siódemka Świebodzin</v>
          </cell>
        </row>
        <row r="1592">
          <cell r="A1592" t="str">
            <v>P5202</v>
          </cell>
          <cell r="B1592" t="str">
            <v>Dominik</v>
          </cell>
          <cell r="C1592" t="str">
            <v>PTAK</v>
          </cell>
          <cell r="D1592" t="str">
            <v>UKS Siódemka Świebodzin</v>
          </cell>
        </row>
        <row r="1593">
          <cell r="A1593" t="str">
            <v>P5857</v>
          </cell>
          <cell r="B1593" t="str">
            <v>Hubert</v>
          </cell>
          <cell r="C1593" t="str">
            <v>PTAK</v>
          </cell>
          <cell r="D1593" t="str">
            <v>----</v>
          </cell>
        </row>
        <row r="1594">
          <cell r="A1594" t="str">
            <v>P5831</v>
          </cell>
          <cell r="B1594" t="str">
            <v>Oskar</v>
          </cell>
          <cell r="C1594" t="str">
            <v>PTAK</v>
          </cell>
          <cell r="D1594" t="str">
            <v>UKS Siódemka Świebodzin</v>
          </cell>
        </row>
        <row r="1595">
          <cell r="A1595" t="str">
            <v>P5980</v>
          </cell>
          <cell r="B1595" t="str">
            <v>Hanna</v>
          </cell>
          <cell r="C1595" t="str">
            <v>PTASIK</v>
          </cell>
          <cell r="D1595" t="str">
            <v>KKS Warmia Olsztyn</v>
          </cell>
        </row>
        <row r="1596">
          <cell r="A1596" t="str">
            <v>P4715</v>
          </cell>
          <cell r="B1596" t="str">
            <v>Jerzy</v>
          </cell>
          <cell r="C1596" t="str">
            <v>PTASZYŃSKI</v>
          </cell>
          <cell r="D1596" t="str">
            <v>----</v>
          </cell>
        </row>
        <row r="1597">
          <cell r="A1597" t="str">
            <v>P5601</v>
          </cell>
          <cell r="B1597" t="str">
            <v>Hubert</v>
          </cell>
          <cell r="C1597" t="str">
            <v>PUCIŁOWSKI</v>
          </cell>
          <cell r="D1597" t="str">
            <v>UKS Hubal Białystok</v>
          </cell>
        </row>
        <row r="1598">
          <cell r="A1598" t="str">
            <v>P5560</v>
          </cell>
          <cell r="B1598" t="str">
            <v>Marcin</v>
          </cell>
          <cell r="C1598" t="str">
            <v>PUŁKOWNIK</v>
          </cell>
          <cell r="D1598" t="str">
            <v>KS Stal Sulęcin</v>
          </cell>
        </row>
        <row r="1599">
          <cell r="A1599" t="str">
            <v>P4828</v>
          </cell>
          <cell r="B1599" t="str">
            <v>Artur</v>
          </cell>
          <cell r="C1599" t="str">
            <v>PUPIN</v>
          </cell>
          <cell r="D1599" t="str">
            <v>----</v>
          </cell>
        </row>
        <row r="1600">
          <cell r="A1600" t="str">
            <v>P1784</v>
          </cell>
          <cell r="B1600" t="str">
            <v>Anna</v>
          </cell>
          <cell r="C1600" t="str">
            <v>PUSTELNIK</v>
          </cell>
          <cell r="D1600" t="str">
            <v>----</v>
          </cell>
        </row>
        <row r="1601">
          <cell r="A1601" t="str">
            <v>P4829</v>
          </cell>
          <cell r="B1601" t="str">
            <v>Maciej</v>
          </cell>
          <cell r="C1601" t="str">
            <v>PUSTELNIK</v>
          </cell>
          <cell r="D1601" t="str">
            <v>----</v>
          </cell>
        </row>
        <row r="1602">
          <cell r="A1602" t="str">
            <v>P1434</v>
          </cell>
          <cell r="B1602" t="str">
            <v>Tomasz</v>
          </cell>
          <cell r="C1602" t="str">
            <v>PYĆ</v>
          </cell>
          <cell r="D1602" t="str">
            <v>AZSOŚ Łódź</v>
          </cell>
        </row>
        <row r="1603">
          <cell r="A1603" t="str">
            <v>P2880</v>
          </cell>
          <cell r="B1603" t="str">
            <v>Dominika</v>
          </cell>
          <cell r="C1603" t="str">
            <v>PYRC</v>
          </cell>
          <cell r="D1603" t="str">
            <v>AZSAGH Kraków</v>
          </cell>
        </row>
        <row r="1604">
          <cell r="A1604" t="str">
            <v>P5986</v>
          </cell>
          <cell r="B1604" t="str">
            <v>Łukasz</v>
          </cell>
          <cell r="C1604" t="str">
            <v>PYRCHLA</v>
          </cell>
          <cell r="D1604" t="str">
            <v>BKS Kolejarz Częstochowa</v>
          </cell>
        </row>
        <row r="1605">
          <cell r="A1605" t="str">
            <v>P5459</v>
          </cell>
          <cell r="B1605" t="str">
            <v>Filip</v>
          </cell>
          <cell r="C1605" t="str">
            <v>PYZIOŁEK</v>
          </cell>
          <cell r="D1605" t="str">
            <v>MKB Lednik Miastko</v>
          </cell>
        </row>
        <row r="1606">
          <cell r="A1606" t="str">
            <v>R3310</v>
          </cell>
          <cell r="B1606" t="str">
            <v>Justyna</v>
          </cell>
          <cell r="C1606" t="str">
            <v>RACHOWICZ</v>
          </cell>
          <cell r="D1606" t="str">
            <v>MKS Spartakus Niepołomice</v>
          </cell>
        </row>
        <row r="1607">
          <cell r="A1607" t="str">
            <v>R5990</v>
          </cell>
          <cell r="B1607" t="str">
            <v>Julia</v>
          </cell>
          <cell r="C1607" t="str">
            <v>RACHOWSKA</v>
          </cell>
          <cell r="D1607" t="str">
            <v>KSR Wolant Łódź</v>
          </cell>
        </row>
        <row r="1608">
          <cell r="A1608" t="str">
            <v>R5884</v>
          </cell>
          <cell r="B1608" t="str">
            <v>Daria</v>
          </cell>
          <cell r="C1608" t="str">
            <v>RACZEK</v>
          </cell>
          <cell r="D1608" t="str">
            <v>UKS Smecz Milicz</v>
          </cell>
        </row>
        <row r="1609">
          <cell r="A1609" t="str">
            <v>R5771</v>
          </cell>
          <cell r="B1609" t="str">
            <v>Jakub</v>
          </cell>
          <cell r="C1609" t="str">
            <v>RACZKIEWICZ</v>
          </cell>
          <cell r="D1609" t="str">
            <v>UKS Kiko Zamość</v>
          </cell>
        </row>
        <row r="1610">
          <cell r="A1610" t="str">
            <v>R1393</v>
          </cell>
          <cell r="B1610" t="str">
            <v>Grzegorz</v>
          </cell>
          <cell r="C1610" t="str">
            <v>RADECKI</v>
          </cell>
          <cell r="D1610" t="str">
            <v>----</v>
          </cell>
        </row>
        <row r="1611">
          <cell r="A1611" t="str">
            <v>R5626</v>
          </cell>
          <cell r="B1611" t="str">
            <v>Anna</v>
          </cell>
          <cell r="C1611" t="str">
            <v>RADTKE</v>
          </cell>
          <cell r="D1611" t="str">
            <v>ULKS U-2 Lotka Bytów</v>
          </cell>
        </row>
        <row r="1612">
          <cell r="A1612" t="str">
            <v>R5482</v>
          </cell>
          <cell r="B1612" t="str">
            <v>Jan</v>
          </cell>
          <cell r="C1612" t="str">
            <v>RADZIEJEWSKI</v>
          </cell>
          <cell r="D1612" t="str">
            <v>ŚKBad Harcownik Warszawa</v>
          </cell>
        </row>
        <row r="1613">
          <cell r="A1613" t="str">
            <v>R5603</v>
          </cell>
          <cell r="B1613" t="str">
            <v>Aleksandra</v>
          </cell>
          <cell r="C1613" t="str">
            <v>RADZISZEWSKA</v>
          </cell>
          <cell r="D1613" t="str">
            <v>UKS Hubal Białystok</v>
          </cell>
        </row>
        <row r="1614">
          <cell r="A1614" t="str">
            <v>R4700</v>
          </cell>
          <cell r="B1614" t="str">
            <v>Paweł</v>
          </cell>
          <cell r="C1614" t="str">
            <v>RADZIWON</v>
          </cell>
          <cell r="D1614" t="str">
            <v>UKS Hubal Białystok</v>
          </cell>
        </row>
        <row r="1615">
          <cell r="A1615" t="str">
            <v>R5716</v>
          </cell>
          <cell r="B1615" t="str">
            <v>Dorota</v>
          </cell>
          <cell r="C1615" t="str">
            <v>RAJCZYK-GAŁKOWSKA</v>
          </cell>
          <cell r="D1615" t="str">
            <v>----</v>
          </cell>
        </row>
        <row r="1616">
          <cell r="A1616" t="str">
            <v>R5805</v>
          </cell>
          <cell r="B1616" t="str">
            <v>Wiktoria</v>
          </cell>
          <cell r="C1616" t="str">
            <v>RAKOWSKA</v>
          </cell>
          <cell r="D1616" t="str">
            <v>UKS Iskra Babimost</v>
          </cell>
        </row>
        <row r="1617">
          <cell r="A1617" t="str">
            <v>R5565</v>
          </cell>
          <cell r="B1617" t="str">
            <v>Paweł</v>
          </cell>
          <cell r="C1617" t="str">
            <v>RAKOWSKI</v>
          </cell>
          <cell r="D1617" t="str">
            <v>----</v>
          </cell>
        </row>
        <row r="1618">
          <cell r="A1618" t="str">
            <v>R5633</v>
          </cell>
          <cell r="B1618" t="str">
            <v>Filip</v>
          </cell>
          <cell r="C1618" t="str">
            <v>RAMOS</v>
          </cell>
          <cell r="D1618" t="str">
            <v>UKSB Volant Mielec</v>
          </cell>
        </row>
        <row r="1619">
          <cell r="A1619" t="str">
            <v>R5512</v>
          </cell>
          <cell r="B1619" t="str">
            <v>Aleksandra</v>
          </cell>
          <cell r="C1619" t="str">
            <v>RAMS</v>
          </cell>
          <cell r="D1619" t="str">
            <v>MMKS Kędzierzyn-Koźle</v>
          </cell>
        </row>
        <row r="1620">
          <cell r="A1620" t="str">
            <v>R1129</v>
          </cell>
          <cell r="B1620" t="str">
            <v>Kamil</v>
          </cell>
          <cell r="C1620" t="str">
            <v>RASZKIEWICZ</v>
          </cell>
          <cell r="D1620" t="str">
            <v>AZSUWM Olsztyn</v>
          </cell>
        </row>
        <row r="1621">
          <cell r="A1621" t="str">
            <v>R5872</v>
          </cell>
          <cell r="B1621" t="str">
            <v>Katarzyna</v>
          </cell>
          <cell r="C1621" t="str">
            <v>RATAJCZAK</v>
          </cell>
          <cell r="D1621" t="str">
            <v>UKS Iskra Babimost</v>
          </cell>
        </row>
        <row r="1622">
          <cell r="A1622" t="str">
            <v>R0364</v>
          </cell>
          <cell r="B1622" t="str">
            <v>Rafał</v>
          </cell>
          <cell r="C1622" t="str">
            <v>RATAJCZAK</v>
          </cell>
          <cell r="D1622" t="str">
            <v>AZSUW Warszawa</v>
          </cell>
        </row>
        <row r="1623">
          <cell r="A1623" t="str">
            <v>R5066</v>
          </cell>
          <cell r="B1623" t="str">
            <v>Mateusz</v>
          </cell>
          <cell r="C1623" t="str">
            <v>RATHE</v>
          </cell>
          <cell r="D1623" t="str">
            <v>AZSUW Warszawa</v>
          </cell>
        </row>
        <row r="1624">
          <cell r="A1624" t="str">
            <v>R3534</v>
          </cell>
          <cell r="B1624" t="str">
            <v>Jakub</v>
          </cell>
          <cell r="C1624" t="str">
            <v>RATKOWSKI</v>
          </cell>
          <cell r="D1624" t="str">
            <v>ZKB Maced Polanów</v>
          </cell>
        </row>
        <row r="1625">
          <cell r="A1625" t="str">
            <v>R3535</v>
          </cell>
          <cell r="B1625" t="str">
            <v>Nikodem</v>
          </cell>
          <cell r="C1625" t="str">
            <v>RATKOWSKI</v>
          </cell>
          <cell r="D1625" t="str">
            <v>ZKB Maced Polanów</v>
          </cell>
        </row>
        <row r="1626">
          <cell r="A1626" t="str">
            <v>R5500</v>
          </cell>
          <cell r="B1626" t="str">
            <v>Iza</v>
          </cell>
          <cell r="C1626" t="str">
            <v>RATYŃSKA</v>
          </cell>
          <cell r="D1626" t="str">
            <v>ZKB Maced Polanów</v>
          </cell>
        </row>
        <row r="1627">
          <cell r="A1627" t="str">
            <v>R5165</v>
          </cell>
          <cell r="B1627" t="str">
            <v>Marta</v>
          </cell>
          <cell r="C1627" t="str">
            <v>RATYŃSKA</v>
          </cell>
          <cell r="D1627" t="str">
            <v>KS Wesoła Warszawa</v>
          </cell>
        </row>
        <row r="1628">
          <cell r="A1628" t="str">
            <v>R5672</v>
          </cell>
          <cell r="B1628" t="str">
            <v>Mateusz</v>
          </cell>
          <cell r="C1628" t="str">
            <v>RAWINIS</v>
          </cell>
          <cell r="D1628" t="str">
            <v>UKS Ząbkowice Dąbrowa Górn.</v>
          </cell>
        </row>
        <row r="1629">
          <cell r="A1629" t="str">
            <v>R3487</v>
          </cell>
          <cell r="B1629" t="str">
            <v>Konrad</v>
          </cell>
          <cell r="C1629" t="str">
            <v>RAWSKI</v>
          </cell>
          <cell r="D1629" t="str">
            <v>UKS Dwójka Wesoła</v>
          </cell>
        </row>
        <row r="1630">
          <cell r="A1630" t="str">
            <v>R4846</v>
          </cell>
          <cell r="B1630" t="str">
            <v>Mateusz</v>
          </cell>
          <cell r="C1630" t="str">
            <v>RĄCZKIEWICZ</v>
          </cell>
          <cell r="D1630" t="str">
            <v>KKS Warmia Olsztyn</v>
          </cell>
        </row>
        <row r="1631">
          <cell r="A1631" t="str">
            <v>R4845</v>
          </cell>
          <cell r="B1631" t="str">
            <v>Wanda</v>
          </cell>
          <cell r="C1631" t="str">
            <v>RĄCZKIEWICZ</v>
          </cell>
          <cell r="D1631" t="str">
            <v>KKS Warmia Olsztyn</v>
          </cell>
        </row>
        <row r="1632">
          <cell r="A1632" t="str">
            <v>R3481</v>
          </cell>
          <cell r="B1632" t="str">
            <v>Marta</v>
          </cell>
          <cell r="C1632" t="str">
            <v>RECA</v>
          </cell>
          <cell r="D1632" t="str">
            <v>ULKS U-2 Lotka Bytów</v>
          </cell>
        </row>
        <row r="1633">
          <cell r="A1633" t="str">
            <v>R4144</v>
          </cell>
          <cell r="B1633" t="str">
            <v>Wioleta</v>
          </cell>
          <cell r="C1633" t="str">
            <v>RECKA</v>
          </cell>
          <cell r="D1633" t="str">
            <v>UKS Lotka Lubiewo</v>
          </cell>
        </row>
        <row r="1634">
          <cell r="A1634" t="str">
            <v>R4145</v>
          </cell>
          <cell r="B1634" t="str">
            <v>Michał</v>
          </cell>
          <cell r="C1634" t="str">
            <v>RECKI</v>
          </cell>
          <cell r="D1634" t="str">
            <v>UKS Lotka Lubiewo</v>
          </cell>
        </row>
        <row r="1635">
          <cell r="A1635" t="str">
            <v>R5700</v>
          </cell>
          <cell r="B1635" t="str">
            <v>Łukasz</v>
          </cell>
          <cell r="C1635" t="str">
            <v>REGEŃCZUK</v>
          </cell>
          <cell r="D1635" t="str">
            <v>UKS Astra Wrocław</v>
          </cell>
        </row>
        <row r="1636">
          <cell r="A1636" t="str">
            <v>R3804</v>
          </cell>
          <cell r="B1636" t="str">
            <v>Sebastian</v>
          </cell>
          <cell r="C1636" t="str">
            <v>REGEŃCZUK</v>
          </cell>
          <cell r="D1636" t="str">
            <v>KS Match Point Ślęza</v>
          </cell>
        </row>
        <row r="1637">
          <cell r="A1637" t="str">
            <v>R3886</v>
          </cell>
          <cell r="B1637" t="str">
            <v>Marek</v>
          </cell>
          <cell r="C1637" t="str">
            <v>REGUŁA</v>
          </cell>
          <cell r="D1637" t="str">
            <v>UKSB Volant Mielec</v>
          </cell>
        </row>
        <row r="1638">
          <cell r="A1638" t="str">
            <v>R5072</v>
          </cell>
          <cell r="B1638" t="str">
            <v>Natalia</v>
          </cell>
          <cell r="C1638" t="str">
            <v>REGUŁA</v>
          </cell>
          <cell r="D1638" t="str">
            <v>UKSB Volant Mielec</v>
          </cell>
        </row>
        <row r="1639">
          <cell r="A1639" t="str">
            <v>R4587</v>
          </cell>
          <cell r="B1639" t="str">
            <v>Oliwia</v>
          </cell>
          <cell r="C1639" t="str">
            <v>REICHEL</v>
          </cell>
          <cell r="D1639" t="str">
            <v>ZKB Maced Polanów</v>
          </cell>
        </row>
        <row r="1640">
          <cell r="A1640" t="str">
            <v>R5209</v>
          </cell>
          <cell r="B1640" t="str">
            <v>Artur</v>
          </cell>
          <cell r="C1640" t="str">
            <v>REJMENT</v>
          </cell>
          <cell r="D1640" t="str">
            <v>UKS 15 Kędzierzyn-Koźle</v>
          </cell>
        </row>
        <row r="1641">
          <cell r="A1641" t="str">
            <v>R4070</v>
          </cell>
          <cell r="B1641" t="str">
            <v>Igor</v>
          </cell>
          <cell r="C1641" t="str">
            <v>RENCIKOWSKI-RENZBERG</v>
          </cell>
          <cell r="D1641" t="str">
            <v>UKS Bursztyn Gdańsk</v>
          </cell>
        </row>
        <row r="1642">
          <cell r="A1642" t="str">
            <v>R5970</v>
          </cell>
          <cell r="B1642" t="str">
            <v>Ignacy</v>
          </cell>
          <cell r="C1642" t="str">
            <v>REPIŃSKI</v>
          </cell>
          <cell r="D1642" t="str">
            <v>WWL Badminton Club Marki</v>
          </cell>
        </row>
        <row r="1643">
          <cell r="A1643" t="str">
            <v>R5197</v>
          </cell>
          <cell r="B1643" t="str">
            <v>Weronika</v>
          </cell>
          <cell r="C1643" t="str">
            <v>REWUCHA</v>
          </cell>
          <cell r="D1643" t="str">
            <v>UKS Kiko Zamość</v>
          </cell>
        </row>
        <row r="1644">
          <cell r="A1644" t="str">
            <v>R4189</v>
          </cell>
          <cell r="B1644" t="str">
            <v>Jakub</v>
          </cell>
          <cell r="C1644" t="str">
            <v>RĘBACZ</v>
          </cell>
          <cell r="D1644" t="str">
            <v>UKS Kiko Zamość</v>
          </cell>
        </row>
        <row r="1645">
          <cell r="A1645" t="str">
            <v>R4188</v>
          </cell>
          <cell r="B1645" t="str">
            <v>Klaudia</v>
          </cell>
          <cell r="C1645" t="str">
            <v>RĘBACZ</v>
          </cell>
          <cell r="D1645" t="str">
            <v>UKS Kiko Zamość</v>
          </cell>
        </row>
        <row r="1646">
          <cell r="A1646" t="str">
            <v>R5249</v>
          </cell>
          <cell r="B1646" t="str">
            <v>Oliwia</v>
          </cell>
          <cell r="C1646" t="str">
            <v>RĘBACZ</v>
          </cell>
          <cell r="D1646" t="str">
            <v>UKS Kiko Zamość</v>
          </cell>
        </row>
        <row r="1647">
          <cell r="A1647" t="str">
            <v>R5827</v>
          </cell>
          <cell r="B1647" t="str">
            <v>Paula</v>
          </cell>
          <cell r="C1647" t="str">
            <v>ROBAK</v>
          </cell>
          <cell r="D1647" t="str">
            <v>KS Stal Sulęcin</v>
          </cell>
        </row>
        <row r="1648">
          <cell r="A1648" t="str">
            <v>R3363</v>
          </cell>
          <cell r="B1648" t="str">
            <v>Karolina</v>
          </cell>
          <cell r="C1648" t="str">
            <v>ROGALSKA</v>
          </cell>
          <cell r="D1648" t="str">
            <v>UKS 2 Sobótka</v>
          </cell>
        </row>
        <row r="1649">
          <cell r="A1649" t="str">
            <v>R3364</v>
          </cell>
          <cell r="B1649" t="str">
            <v>Kinga</v>
          </cell>
          <cell r="C1649" t="str">
            <v>ROGALSKA</v>
          </cell>
          <cell r="D1649" t="str">
            <v>UKS 2 Sobótka</v>
          </cell>
        </row>
        <row r="1650">
          <cell r="A1650" t="str">
            <v>R4788</v>
          </cell>
          <cell r="B1650" t="str">
            <v>Jakub</v>
          </cell>
          <cell r="C1650" t="str">
            <v>ROGALSKI</v>
          </cell>
          <cell r="D1650" t="str">
            <v>UKS 2 Sobótka</v>
          </cell>
        </row>
        <row r="1651">
          <cell r="A1651" t="str">
            <v>R0301</v>
          </cell>
          <cell r="B1651" t="str">
            <v>Michał</v>
          </cell>
          <cell r="C1651" t="str">
            <v>ROGALSKI</v>
          </cell>
          <cell r="D1651" t="str">
            <v>UKS Hubal Białystok</v>
          </cell>
        </row>
        <row r="1652">
          <cell r="A1652" t="str">
            <v>R3500</v>
          </cell>
          <cell r="B1652" t="str">
            <v>Mikołaj</v>
          </cell>
          <cell r="C1652" t="str">
            <v>ROGALSKI</v>
          </cell>
          <cell r="D1652" t="str">
            <v>UKS Hubal Białystok</v>
          </cell>
        </row>
        <row r="1653">
          <cell r="A1653" t="str">
            <v>R4360</v>
          </cell>
          <cell r="B1653" t="str">
            <v>Pamela</v>
          </cell>
          <cell r="C1653" t="str">
            <v>ROGIŃSKA</v>
          </cell>
          <cell r="D1653" t="str">
            <v>ŚKBad Harcownik Warszawa</v>
          </cell>
        </row>
        <row r="1654">
          <cell r="A1654" t="str">
            <v>R2668</v>
          </cell>
          <cell r="B1654" t="str">
            <v>Aleksandra</v>
          </cell>
          <cell r="C1654" t="str">
            <v>ROGOWSKA</v>
          </cell>
          <cell r="D1654" t="str">
            <v>MLKS Solec Kuj.</v>
          </cell>
        </row>
        <row r="1655">
          <cell r="A1655" t="str">
            <v>R2656</v>
          </cell>
          <cell r="B1655" t="str">
            <v>Michał</v>
          </cell>
          <cell r="C1655" t="str">
            <v>ROGOWSKI</v>
          </cell>
          <cell r="D1655" t="str">
            <v>UKSOSIR Badminton Sławno</v>
          </cell>
        </row>
        <row r="1656">
          <cell r="A1656" t="str">
            <v>R4341</v>
          </cell>
          <cell r="B1656" t="str">
            <v>Małgorzata</v>
          </cell>
          <cell r="C1656" t="str">
            <v>ROGUT</v>
          </cell>
          <cell r="D1656" t="str">
            <v>MLKS Solec Kuj.</v>
          </cell>
        </row>
        <row r="1657">
          <cell r="A1657" t="str">
            <v>R4765</v>
          </cell>
          <cell r="B1657" t="str">
            <v>Paulina</v>
          </cell>
          <cell r="C1657" t="str">
            <v>ROGUT</v>
          </cell>
          <cell r="D1657" t="str">
            <v>MLKS Solec Kuj.</v>
          </cell>
        </row>
        <row r="1658">
          <cell r="A1658" t="str">
            <v>R3741</v>
          </cell>
          <cell r="B1658" t="str">
            <v>Paula</v>
          </cell>
          <cell r="C1658" t="str">
            <v>ROMAN</v>
          </cell>
          <cell r="D1658" t="str">
            <v>UKSOSIR Badminton Sławno</v>
          </cell>
        </row>
        <row r="1659">
          <cell r="A1659" t="str">
            <v>R5064</v>
          </cell>
          <cell r="B1659" t="str">
            <v>Albert</v>
          </cell>
          <cell r="C1659" t="str">
            <v>ROMANOWICZ</v>
          </cell>
          <cell r="D1659" t="str">
            <v>UKS Hubal Białystok</v>
          </cell>
        </row>
        <row r="1660">
          <cell r="A1660" t="str">
            <v>R5527</v>
          </cell>
          <cell r="B1660" t="str">
            <v>Mateusz</v>
          </cell>
          <cell r="C1660" t="str">
            <v>ROMANOWSKI</v>
          </cell>
          <cell r="D1660" t="str">
            <v>SKB Suwałki</v>
          </cell>
        </row>
        <row r="1661">
          <cell r="A1661" t="str">
            <v>R3202</v>
          </cell>
          <cell r="B1661" t="str">
            <v>Dagmara</v>
          </cell>
          <cell r="C1661" t="str">
            <v>ROMAŃSKA</v>
          </cell>
          <cell r="D1661" t="str">
            <v>LUKS Jedynka Częstochowa</v>
          </cell>
        </row>
        <row r="1662">
          <cell r="A1662" t="str">
            <v>R5496</v>
          </cell>
          <cell r="B1662" t="str">
            <v>Leszek</v>
          </cell>
          <cell r="C1662" t="str">
            <v>RORAT</v>
          </cell>
          <cell r="D1662" t="str">
            <v>KB Vol-Trick Kępno</v>
          </cell>
        </row>
        <row r="1663">
          <cell r="A1663" t="str">
            <v>R4085</v>
          </cell>
          <cell r="B1663" t="str">
            <v>Marek</v>
          </cell>
          <cell r="C1663" t="str">
            <v>ROSA</v>
          </cell>
          <cell r="D1663" t="str">
            <v>WWL Badminton Club Marki</v>
          </cell>
        </row>
        <row r="1664">
          <cell r="A1664" t="str">
            <v>R5140</v>
          </cell>
          <cell r="B1664" t="str">
            <v>Sławomir</v>
          </cell>
          <cell r="C1664" t="str">
            <v>ROSA</v>
          </cell>
          <cell r="D1664" t="str">
            <v>----</v>
          </cell>
        </row>
        <row r="1665">
          <cell r="A1665" t="str">
            <v>R4568</v>
          </cell>
          <cell r="B1665" t="str">
            <v>Weronika</v>
          </cell>
          <cell r="C1665" t="str">
            <v>ROSIAK</v>
          </cell>
          <cell r="D1665" t="str">
            <v>KS Chojnik Jelenia Góra</v>
          </cell>
        </row>
        <row r="1666">
          <cell r="A1666" t="str">
            <v>R4106</v>
          </cell>
          <cell r="B1666" t="str">
            <v>Karolina</v>
          </cell>
          <cell r="C1666" t="str">
            <v>ROSIŃSKA</v>
          </cell>
          <cell r="D1666" t="str">
            <v>----</v>
          </cell>
        </row>
        <row r="1667">
          <cell r="A1667" t="str">
            <v>R4985</v>
          </cell>
          <cell r="B1667" t="str">
            <v>Natalia</v>
          </cell>
          <cell r="C1667" t="str">
            <v>ROSIŃSKA</v>
          </cell>
          <cell r="D1667" t="str">
            <v>UKS Junior Wrzosowa</v>
          </cell>
        </row>
        <row r="1668">
          <cell r="A1668" t="str">
            <v>R3773</v>
          </cell>
          <cell r="B1668" t="str">
            <v>August</v>
          </cell>
          <cell r="C1668" t="str">
            <v>ROSOŁOWSKI</v>
          </cell>
          <cell r="D1668" t="str">
            <v>UKS Kiko Zamość</v>
          </cell>
        </row>
        <row r="1669">
          <cell r="A1669" t="str">
            <v>R4616</v>
          </cell>
          <cell r="B1669" t="str">
            <v>Jakub</v>
          </cell>
          <cell r="C1669" t="str">
            <v>ROSZKO</v>
          </cell>
          <cell r="D1669" t="str">
            <v>UKSB Milenium Warszawa</v>
          </cell>
        </row>
        <row r="1670">
          <cell r="A1670" t="str">
            <v>R4889</v>
          </cell>
          <cell r="B1670" t="str">
            <v>Jan</v>
          </cell>
          <cell r="C1670" t="str">
            <v>ROSZKO</v>
          </cell>
          <cell r="D1670" t="str">
            <v>UKSB Milenium Warszawa</v>
          </cell>
        </row>
        <row r="1671">
          <cell r="A1671" t="str">
            <v>R4860</v>
          </cell>
          <cell r="B1671" t="str">
            <v>Filip</v>
          </cell>
          <cell r="C1671" t="str">
            <v>ROSZKOWSKI</v>
          </cell>
          <cell r="D1671" t="str">
            <v>LUKS Badminton Choroszcz</v>
          </cell>
        </row>
        <row r="1672">
          <cell r="A1672" t="str">
            <v>R3871</v>
          </cell>
          <cell r="B1672" t="str">
            <v>Konrad</v>
          </cell>
          <cell r="C1672" t="str">
            <v>ROŻNIAŁ</v>
          </cell>
          <cell r="D1672" t="str">
            <v>UKSB Volant Mielec</v>
          </cell>
        </row>
        <row r="1673">
          <cell r="A1673" t="str">
            <v>R4591</v>
          </cell>
          <cell r="B1673" t="str">
            <v>Natalia</v>
          </cell>
          <cell r="C1673" t="str">
            <v>RÓG</v>
          </cell>
          <cell r="D1673" t="str">
            <v>MKS Stal Nowa Dęba</v>
          </cell>
        </row>
        <row r="1674">
          <cell r="A1674" t="str">
            <v>R4718</v>
          </cell>
          <cell r="B1674" t="str">
            <v>Patryk</v>
          </cell>
          <cell r="C1674" t="str">
            <v>RÓG</v>
          </cell>
          <cell r="D1674" t="str">
            <v>MKS Stal Nowa Dęba</v>
          </cell>
        </row>
        <row r="1675">
          <cell r="A1675" t="str">
            <v>R5966</v>
          </cell>
          <cell r="B1675" t="str">
            <v>Klaudia</v>
          </cell>
          <cell r="C1675" t="str">
            <v>RÓJ</v>
          </cell>
          <cell r="D1675" t="str">
            <v>UMKS Junis Szczucin</v>
          </cell>
        </row>
        <row r="1676">
          <cell r="A1676" t="str">
            <v>R5290</v>
          </cell>
          <cell r="B1676" t="str">
            <v>Robert</v>
          </cell>
          <cell r="C1676" t="str">
            <v>RÓZIECKI</v>
          </cell>
          <cell r="D1676" t="str">
            <v>----</v>
          </cell>
        </row>
        <row r="1677">
          <cell r="A1677" t="str">
            <v>R4636</v>
          </cell>
          <cell r="B1677" t="str">
            <v>Marta</v>
          </cell>
          <cell r="C1677" t="str">
            <v>RÓŻYCKA</v>
          </cell>
          <cell r="D1677" t="str">
            <v>UKSB Milenium Warszawa</v>
          </cell>
        </row>
        <row r="1678">
          <cell r="A1678" t="str">
            <v>R5263</v>
          </cell>
          <cell r="B1678" t="str">
            <v>Klaudia</v>
          </cell>
          <cell r="C1678" t="str">
            <v>RUBIK</v>
          </cell>
          <cell r="D1678" t="str">
            <v>UKS Astra Wrocław</v>
          </cell>
        </row>
        <row r="1679">
          <cell r="A1679" t="str">
            <v>R5663</v>
          </cell>
          <cell r="B1679" t="str">
            <v>Mateusz</v>
          </cell>
          <cell r="C1679" t="str">
            <v>RUCZKA</v>
          </cell>
          <cell r="D1679" t="str">
            <v>----</v>
          </cell>
        </row>
        <row r="1680">
          <cell r="A1680" t="str">
            <v>R4844</v>
          </cell>
          <cell r="B1680" t="str">
            <v>Aleksandra</v>
          </cell>
          <cell r="C1680" t="str">
            <v>RUDNICKA</v>
          </cell>
          <cell r="D1680" t="str">
            <v>UKS Dwójka Wesoła</v>
          </cell>
        </row>
        <row r="1681">
          <cell r="A1681" t="str">
            <v>R5280</v>
          </cell>
          <cell r="B1681" t="str">
            <v>Dawid</v>
          </cell>
          <cell r="C1681" t="str">
            <v>RUDNICKI</v>
          </cell>
          <cell r="D1681" t="str">
            <v>UKS 25 Kielce</v>
          </cell>
        </row>
        <row r="1682">
          <cell r="A1682" t="str">
            <v>R0176</v>
          </cell>
          <cell r="B1682" t="str">
            <v>Kinga</v>
          </cell>
          <cell r="C1682" t="str">
            <v>RUDOLF</v>
          </cell>
          <cell r="D1682" t="str">
            <v>BKS Kolejarz Częstochowa</v>
          </cell>
        </row>
        <row r="1683">
          <cell r="A1683" t="str">
            <v>R  09</v>
          </cell>
          <cell r="B1683" t="str">
            <v>Jan</v>
          </cell>
          <cell r="C1683" t="str">
            <v>RUDZIŃSKI</v>
          </cell>
          <cell r="D1683" t="str">
            <v>UKS Hubal Białystok</v>
          </cell>
        </row>
        <row r="1684">
          <cell r="A1684" t="str">
            <v>R5325</v>
          </cell>
          <cell r="B1684" t="str">
            <v>Daniel</v>
          </cell>
          <cell r="C1684" t="str">
            <v>RUMAK</v>
          </cell>
          <cell r="D1684" t="str">
            <v>UKS Start Widełka</v>
          </cell>
        </row>
        <row r="1685">
          <cell r="A1685" t="str">
            <v>R4875</v>
          </cell>
          <cell r="B1685" t="str">
            <v>Urszula</v>
          </cell>
          <cell r="C1685" t="str">
            <v>RUMAK</v>
          </cell>
          <cell r="D1685" t="str">
            <v>UKS Start Widełka</v>
          </cell>
        </row>
        <row r="1686">
          <cell r="A1686" t="str">
            <v>R4955</v>
          </cell>
          <cell r="B1686" t="str">
            <v>Mariusz</v>
          </cell>
          <cell r="C1686" t="str">
            <v>RURARZ</v>
          </cell>
          <cell r="D1686" t="str">
            <v>----</v>
          </cell>
        </row>
        <row r="1687">
          <cell r="A1687" t="str">
            <v>R5080</v>
          </cell>
          <cell r="B1687" t="str">
            <v>Łukasz</v>
          </cell>
          <cell r="C1687" t="str">
            <v>RUSEK</v>
          </cell>
          <cell r="D1687" t="str">
            <v>UKS Badminton Stare Babice</v>
          </cell>
        </row>
        <row r="1688">
          <cell r="A1688" t="str">
            <v>R5983</v>
          </cell>
          <cell r="B1688" t="str">
            <v>Patryk</v>
          </cell>
          <cell r="C1688" t="str">
            <v>RUSIN</v>
          </cell>
          <cell r="D1688" t="str">
            <v>UKSB Volant Mielec</v>
          </cell>
        </row>
        <row r="1689">
          <cell r="A1689" t="str">
            <v>R4675</v>
          </cell>
          <cell r="B1689" t="str">
            <v>Jakub</v>
          </cell>
          <cell r="C1689" t="str">
            <v>RUSINEK</v>
          </cell>
          <cell r="D1689" t="str">
            <v>UKS Kiko Zamość</v>
          </cell>
        </row>
        <row r="1690">
          <cell r="A1690" t="str">
            <v>R4729</v>
          </cell>
          <cell r="B1690" t="str">
            <v>Przemysław</v>
          </cell>
          <cell r="C1690" t="str">
            <v>RUSNAK</v>
          </cell>
          <cell r="D1690" t="str">
            <v>MUKS 2 Kietrz</v>
          </cell>
        </row>
        <row r="1691">
          <cell r="A1691" t="str">
            <v>R5590</v>
          </cell>
          <cell r="B1691" t="str">
            <v>Julia</v>
          </cell>
          <cell r="C1691" t="str">
            <v>RUSZKOWSKA</v>
          </cell>
          <cell r="D1691" t="str">
            <v>KSR Wolant Łódź</v>
          </cell>
        </row>
        <row r="1692">
          <cell r="A1692" t="str">
            <v>R2465</v>
          </cell>
          <cell r="B1692" t="str">
            <v>Paulina</v>
          </cell>
          <cell r="C1692" t="str">
            <v>RUTKOWICZ</v>
          </cell>
          <cell r="D1692" t="str">
            <v>AZSUWM Olsztyn</v>
          </cell>
        </row>
        <row r="1693">
          <cell r="A1693" t="str">
            <v>R4122</v>
          </cell>
          <cell r="B1693" t="str">
            <v>Aleksandra</v>
          </cell>
          <cell r="C1693" t="str">
            <v>RUTKOWSKA</v>
          </cell>
          <cell r="D1693" t="str">
            <v>ŚKBad Harcownik Warszawa</v>
          </cell>
        </row>
        <row r="1694">
          <cell r="A1694" t="str">
            <v>R3720</v>
          </cell>
          <cell r="B1694" t="str">
            <v>Barbara</v>
          </cell>
          <cell r="C1694" t="str">
            <v>RUTKOWSKA</v>
          </cell>
          <cell r="D1694" t="str">
            <v>ŚKBad Harcownik Warszawa</v>
          </cell>
        </row>
        <row r="1695">
          <cell r="A1695" t="str">
            <v>R3733</v>
          </cell>
          <cell r="B1695" t="str">
            <v>Magdalena</v>
          </cell>
          <cell r="C1695" t="str">
            <v>RUTKOWSKA</v>
          </cell>
          <cell r="D1695" t="str">
            <v>UKS 70 Płock</v>
          </cell>
        </row>
        <row r="1696">
          <cell r="A1696" t="str">
            <v>R4323</v>
          </cell>
          <cell r="B1696" t="str">
            <v>Mariusz</v>
          </cell>
          <cell r="C1696" t="str">
            <v>RUTKOWSKI</v>
          </cell>
          <cell r="D1696" t="str">
            <v>UKS Jedynka Ruciane-Nida</v>
          </cell>
        </row>
        <row r="1697">
          <cell r="A1697" t="str">
            <v>R3593</v>
          </cell>
          <cell r="B1697" t="str">
            <v>Szymon</v>
          </cell>
          <cell r="C1697" t="str">
            <v>RUTKOWSKI</v>
          </cell>
          <cell r="D1697" t="str">
            <v>KKS Warmia Olsztyn</v>
          </cell>
        </row>
        <row r="1698">
          <cell r="A1698" t="str">
            <v>R5730</v>
          </cell>
          <cell r="B1698" t="str">
            <v>Joanna</v>
          </cell>
          <cell r="C1698" t="str">
            <v>RYBAK</v>
          </cell>
          <cell r="D1698" t="str">
            <v>UKS Orkan Przeźmierowo</v>
          </cell>
        </row>
        <row r="1699">
          <cell r="A1699" t="str">
            <v>R3326</v>
          </cell>
          <cell r="B1699" t="str">
            <v>Kamil</v>
          </cell>
          <cell r="C1699" t="str">
            <v>RYBAK</v>
          </cell>
          <cell r="D1699" t="str">
            <v>KKS Ruch Piotrków Tryb.</v>
          </cell>
        </row>
        <row r="1700">
          <cell r="A1700" t="str">
            <v>R3686</v>
          </cell>
          <cell r="B1700" t="str">
            <v>Julita</v>
          </cell>
          <cell r="C1700" t="str">
            <v>RYBAŁT</v>
          </cell>
          <cell r="D1700" t="str">
            <v>UKS Hubal Białystok</v>
          </cell>
        </row>
        <row r="1701">
          <cell r="A1701" t="str">
            <v>R 052</v>
          </cell>
          <cell r="B1701" t="str">
            <v>Jerzy</v>
          </cell>
          <cell r="C1701" t="str">
            <v>RYBICKI</v>
          </cell>
          <cell r="D1701" t="str">
            <v>MKS Garwolin</v>
          </cell>
        </row>
        <row r="1702">
          <cell r="A1702" t="str">
            <v>R5738</v>
          </cell>
          <cell r="B1702" t="str">
            <v>Michał</v>
          </cell>
          <cell r="C1702" t="str">
            <v>RYBICKI</v>
          </cell>
          <cell r="D1702" t="str">
            <v>AZSOŚ Łódź</v>
          </cell>
        </row>
        <row r="1703">
          <cell r="A1703" t="str">
            <v>R5568</v>
          </cell>
          <cell r="B1703" t="str">
            <v>Oliwia</v>
          </cell>
          <cell r="C1703" t="str">
            <v>RYBIŃSKA</v>
          </cell>
          <cell r="D1703" t="str">
            <v>UKSB Volant Mielec</v>
          </cell>
        </row>
        <row r="1704">
          <cell r="A1704" t="str">
            <v>R3756</v>
          </cell>
          <cell r="B1704" t="str">
            <v>Emilia</v>
          </cell>
          <cell r="C1704" t="str">
            <v>RYCHŁA</v>
          </cell>
          <cell r="D1704" t="str">
            <v>UKS Iskra Babimost</v>
          </cell>
        </row>
        <row r="1705">
          <cell r="A1705" t="str">
            <v>R5358</v>
          </cell>
          <cell r="B1705" t="str">
            <v>Mateusz</v>
          </cell>
          <cell r="C1705" t="str">
            <v>RYCHŁY</v>
          </cell>
          <cell r="D1705" t="str">
            <v>UKS Iskra Babimost</v>
          </cell>
        </row>
        <row r="1706">
          <cell r="A1706" t="str">
            <v>R5007</v>
          </cell>
          <cell r="B1706" t="str">
            <v>Oskar</v>
          </cell>
          <cell r="C1706" t="str">
            <v>RYCZYŃSKI</v>
          </cell>
          <cell r="D1706" t="str">
            <v>UKS Ząbkowice Dąbrowa Górn.</v>
          </cell>
        </row>
        <row r="1707">
          <cell r="A1707" t="str">
            <v>R5898</v>
          </cell>
          <cell r="B1707" t="str">
            <v>Iga</v>
          </cell>
          <cell r="C1707" t="str">
            <v>RYDZEWSKA</v>
          </cell>
          <cell r="D1707" t="str">
            <v>BKS Kolejarz Częstochowa</v>
          </cell>
        </row>
        <row r="1708">
          <cell r="A1708" t="str">
            <v>R3696</v>
          </cell>
          <cell r="B1708" t="str">
            <v>Mateusz</v>
          </cell>
          <cell r="C1708" t="str">
            <v>RYK</v>
          </cell>
          <cell r="D1708" t="str">
            <v>ZKB Maced Polanów</v>
          </cell>
        </row>
        <row r="1709">
          <cell r="A1709" t="str">
            <v>R4826</v>
          </cell>
          <cell r="B1709" t="str">
            <v>Marcin</v>
          </cell>
          <cell r="C1709" t="str">
            <v>RYKAŁA</v>
          </cell>
          <cell r="D1709" t="str">
            <v>----</v>
          </cell>
        </row>
        <row r="1710">
          <cell r="A1710" t="str">
            <v>R5211</v>
          </cell>
          <cell r="B1710" t="str">
            <v>Krzysztof</v>
          </cell>
          <cell r="C1710" t="str">
            <v>RYŁ</v>
          </cell>
          <cell r="D1710" t="str">
            <v>MKS Strzelce Opolskie</v>
          </cell>
        </row>
        <row r="1711">
          <cell r="A1711" t="str">
            <v>R5704</v>
          </cell>
          <cell r="B1711" t="str">
            <v>Klaudia</v>
          </cell>
          <cell r="C1711" t="str">
            <v>RYŚ</v>
          </cell>
          <cell r="D1711" t="str">
            <v>ULKS U-2 Lotka Bytów</v>
          </cell>
        </row>
        <row r="1712">
          <cell r="A1712" t="str">
            <v>R3102</v>
          </cell>
          <cell r="B1712" t="str">
            <v>Sławomir</v>
          </cell>
          <cell r="C1712" t="str">
            <v>RYŻYŃSKI</v>
          </cell>
          <cell r="D1712" t="str">
            <v>UKS Hubal Białystok</v>
          </cell>
        </row>
        <row r="1713">
          <cell r="A1713" t="str">
            <v>R2927</v>
          </cell>
          <cell r="B1713" t="str">
            <v>Dawid</v>
          </cell>
          <cell r="C1713" t="str">
            <v>RZĄSA</v>
          </cell>
          <cell r="D1713" t="str">
            <v>MKS Stal Nowa Dęba</v>
          </cell>
        </row>
        <row r="1714">
          <cell r="A1714" t="str">
            <v>R5699</v>
          </cell>
          <cell r="B1714" t="str">
            <v>Mariusz</v>
          </cell>
          <cell r="C1714" t="str">
            <v>RZESZOT</v>
          </cell>
          <cell r="D1714" t="str">
            <v>----</v>
          </cell>
        </row>
        <row r="1715">
          <cell r="A1715" t="str">
            <v>R2669</v>
          </cell>
          <cell r="B1715" t="str">
            <v>Paweł</v>
          </cell>
          <cell r="C1715" t="str">
            <v>RZESZOTALSKI</v>
          </cell>
          <cell r="D1715" t="str">
            <v>MMKS Kędzierzyn-Koźle</v>
          </cell>
        </row>
        <row r="1716">
          <cell r="A1716" t="str">
            <v>R3884</v>
          </cell>
          <cell r="B1716" t="str">
            <v>Dawid</v>
          </cell>
          <cell r="C1716" t="str">
            <v>RZESZUTEK</v>
          </cell>
          <cell r="D1716" t="str">
            <v>UKSB Volant Mielec</v>
          </cell>
        </row>
        <row r="1717">
          <cell r="A1717" t="str">
            <v>R1448</v>
          </cell>
          <cell r="B1717" t="str">
            <v>Janusz</v>
          </cell>
          <cell r="C1717" t="str">
            <v>RŻEWSKI</v>
          </cell>
          <cell r="D1717" t="str">
            <v>----</v>
          </cell>
        </row>
        <row r="1718">
          <cell r="A1718" t="str">
            <v>S3778</v>
          </cell>
          <cell r="B1718" t="str">
            <v>Damian</v>
          </cell>
          <cell r="C1718" t="str">
            <v>SADALSKI</v>
          </cell>
          <cell r="D1718" t="str">
            <v>UKS Orkan Przeźmierowo</v>
          </cell>
        </row>
        <row r="1719">
          <cell r="A1719" t="str">
            <v>S5520</v>
          </cell>
          <cell r="B1719" t="str">
            <v>Piotr</v>
          </cell>
          <cell r="C1719" t="str">
            <v>SADALSKI</v>
          </cell>
          <cell r="D1719" t="str">
            <v>UKS Orkan Przeźmierowo</v>
          </cell>
        </row>
        <row r="1720">
          <cell r="A1720" t="str">
            <v>S2881</v>
          </cell>
          <cell r="B1720" t="str">
            <v>Dominik</v>
          </cell>
          <cell r="C1720" t="str">
            <v>SADO</v>
          </cell>
          <cell r="D1720" t="str">
            <v>AZSAGH Kraków</v>
          </cell>
        </row>
        <row r="1721">
          <cell r="A1721" t="str">
            <v>S2882</v>
          </cell>
          <cell r="B1721" t="str">
            <v>Sebastian</v>
          </cell>
          <cell r="C1721" t="str">
            <v>SADO</v>
          </cell>
          <cell r="D1721" t="str">
            <v>AZSAGH Kraków</v>
          </cell>
        </row>
        <row r="1722">
          <cell r="A1722" t="str">
            <v>S4944</v>
          </cell>
          <cell r="B1722" t="str">
            <v>Paulina</v>
          </cell>
          <cell r="C1722" t="str">
            <v>SADOWSKA</v>
          </cell>
          <cell r="D1722" t="str">
            <v>MMKS Gdańsk</v>
          </cell>
        </row>
        <row r="1723">
          <cell r="A1723" t="str">
            <v>S4943</v>
          </cell>
          <cell r="B1723" t="str">
            <v>Karol</v>
          </cell>
          <cell r="C1723" t="str">
            <v>SADOWSKI</v>
          </cell>
          <cell r="D1723" t="str">
            <v>MMKS Gdańsk</v>
          </cell>
        </row>
        <row r="1724">
          <cell r="A1724" t="str">
            <v>S5947</v>
          </cell>
          <cell r="B1724" t="str">
            <v>Mateusz</v>
          </cell>
          <cell r="C1724" t="str">
            <v>SADOWSKI</v>
          </cell>
          <cell r="D1724" t="str">
            <v>UKSB Milenium Warszawa</v>
          </cell>
        </row>
        <row r="1725">
          <cell r="A1725" t="str">
            <v>S2332</v>
          </cell>
          <cell r="B1725" t="str">
            <v>Aleksandra</v>
          </cell>
          <cell r="C1725" t="str">
            <v>SADZA</v>
          </cell>
          <cell r="D1725" t="str">
            <v>UKS 70 Płock</v>
          </cell>
        </row>
        <row r="1726">
          <cell r="A1726" t="str">
            <v>S2973</v>
          </cell>
          <cell r="B1726" t="str">
            <v>Tomasz</v>
          </cell>
          <cell r="C1726" t="str">
            <v>SAGUN</v>
          </cell>
          <cell r="D1726" t="str">
            <v>UKS Hubal Białystok</v>
          </cell>
        </row>
        <row r="1727">
          <cell r="A1727" t="str">
            <v>S5036</v>
          </cell>
          <cell r="B1727" t="str">
            <v>Wojciech</v>
          </cell>
          <cell r="C1727" t="str">
            <v>SAJDOK</v>
          </cell>
          <cell r="D1727" t="str">
            <v>UKS Unia Bieruń</v>
          </cell>
        </row>
        <row r="1728">
          <cell r="A1728" t="str">
            <v>S3573</v>
          </cell>
          <cell r="B1728" t="str">
            <v>Wiktor</v>
          </cell>
          <cell r="C1728" t="str">
            <v>SALAMON</v>
          </cell>
          <cell r="D1728" t="str">
            <v>UKS Trójka Tarnobrzeg</v>
          </cell>
        </row>
        <row r="1729">
          <cell r="A1729" t="str">
            <v>S5071</v>
          </cell>
          <cell r="B1729" t="str">
            <v>Tobiasz</v>
          </cell>
          <cell r="C1729" t="str">
            <v>SAŁAGAJ</v>
          </cell>
          <cell r="D1729" t="str">
            <v>UKSB Volant Mielec</v>
          </cell>
        </row>
        <row r="1730">
          <cell r="A1730" t="str">
            <v>S5194</v>
          </cell>
          <cell r="B1730" t="str">
            <v>Wiktoria</v>
          </cell>
          <cell r="C1730" t="str">
            <v>SAMBORSKA</v>
          </cell>
          <cell r="D1730" t="str">
            <v>UKS Kiko Zamość</v>
          </cell>
        </row>
        <row r="1731">
          <cell r="A1731" t="str">
            <v>S4498</v>
          </cell>
          <cell r="B1731" t="str">
            <v>Krzysztof</v>
          </cell>
          <cell r="C1731" t="str">
            <v>SAMONEK</v>
          </cell>
          <cell r="D1731" t="str">
            <v>----</v>
          </cell>
        </row>
        <row r="1732">
          <cell r="A1732" t="str">
            <v>S3690</v>
          </cell>
          <cell r="B1732" t="str">
            <v>Nicola</v>
          </cell>
          <cell r="C1732" t="str">
            <v>SAMSON</v>
          </cell>
          <cell r="D1732" t="str">
            <v>BKS Kolejarz Katowice</v>
          </cell>
        </row>
        <row r="1733">
          <cell r="A1733" t="str">
            <v>S5313</v>
          </cell>
          <cell r="B1733" t="str">
            <v>Anna</v>
          </cell>
          <cell r="C1733" t="str">
            <v>SANOCKA</v>
          </cell>
          <cell r="D1733" t="str">
            <v>UKS Arka Umieszcz</v>
          </cell>
        </row>
        <row r="1734">
          <cell r="A1734" t="str">
            <v>S4742</v>
          </cell>
          <cell r="B1734" t="str">
            <v>Mateusz</v>
          </cell>
          <cell r="C1734" t="str">
            <v>SAPIECHA</v>
          </cell>
          <cell r="D1734" t="str">
            <v>UKS Ząbkowice Dąbrowa Górn.</v>
          </cell>
        </row>
        <row r="1735">
          <cell r="A1735" t="str">
            <v>S5250</v>
          </cell>
          <cell r="B1735" t="str">
            <v>Weronika</v>
          </cell>
          <cell r="C1735" t="str">
            <v>SASKOWSKA</v>
          </cell>
          <cell r="D1735" t="str">
            <v>LUKS Krokus Góralice</v>
          </cell>
        </row>
        <row r="1736">
          <cell r="A1736" t="str">
            <v>S5684</v>
          </cell>
          <cell r="B1736" t="str">
            <v>Wiktoria</v>
          </cell>
          <cell r="C1736" t="str">
            <v>SASKOWSKA</v>
          </cell>
          <cell r="D1736" t="str">
            <v>LUKS Krokus Góralice</v>
          </cell>
        </row>
        <row r="1737">
          <cell r="A1737" t="str">
            <v>S5800</v>
          </cell>
          <cell r="B1737" t="str">
            <v>Uladzislau</v>
          </cell>
          <cell r="C1737" t="str">
            <v>SAVELYEU</v>
          </cell>
          <cell r="D1737" t="str">
            <v>----</v>
          </cell>
        </row>
        <row r="1738">
          <cell r="A1738" t="str">
            <v>S5959</v>
          </cell>
          <cell r="B1738" t="str">
            <v>Anna</v>
          </cell>
          <cell r="C1738" t="str">
            <v>SAWICKA</v>
          </cell>
          <cell r="D1738" t="str">
            <v>UKS MixTeam Tarnowiec</v>
          </cell>
        </row>
        <row r="1739">
          <cell r="A1739" t="str">
            <v>S5356</v>
          </cell>
          <cell r="B1739" t="str">
            <v>Karina</v>
          </cell>
          <cell r="C1739" t="str">
            <v>SAWICKA</v>
          </cell>
          <cell r="D1739" t="str">
            <v>ULKS U-2 Lotka Bytów</v>
          </cell>
        </row>
        <row r="1740">
          <cell r="A1740" t="str">
            <v>S3176</v>
          </cell>
          <cell r="B1740" t="str">
            <v>Sylwia</v>
          </cell>
          <cell r="C1740" t="str">
            <v>SAWICKA</v>
          </cell>
          <cell r="D1740" t="str">
            <v>AZSWAT Warszawa</v>
          </cell>
        </row>
        <row r="1741">
          <cell r="A1741" t="str">
            <v>S5092</v>
          </cell>
          <cell r="B1741" t="str">
            <v>Andrzej</v>
          </cell>
          <cell r="C1741" t="str">
            <v>SAWICKI</v>
          </cell>
          <cell r="D1741" t="str">
            <v>UKS Hubal Białystok</v>
          </cell>
        </row>
        <row r="1742">
          <cell r="A1742" t="str">
            <v>S4781</v>
          </cell>
          <cell r="B1742" t="str">
            <v>Grzegorz</v>
          </cell>
          <cell r="C1742" t="str">
            <v>SAWICKI</v>
          </cell>
          <cell r="D1742" t="str">
            <v>----</v>
          </cell>
        </row>
        <row r="1743">
          <cell r="A1743" t="str">
            <v>S5402</v>
          </cell>
          <cell r="B1743" t="str">
            <v>Piotr</v>
          </cell>
          <cell r="C1743" t="str">
            <v>SAWICKI</v>
          </cell>
          <cell r="D1743" t="str">
            <v>AZSWAT Warszawa</v>
          </cell>
        </row>
        <row r="1744">
          <cell r="A1744" t="str">
            <v>S5198</v>
          </cell>
          <cell r="B1744" t="str">
            <v>Katarzyna</v>
          </cell>
          <cell r="C1744" t="str">
            <v>SENDEREK</v>
          </cell>
          <cell r="D1744" t="str">
            <v>UKS Kiko Zamość</v>
          </cell>
        </row>
        <row r="1745">
          <cell r="A1745" t="str">
            <v>S4220</v>
          </cell>
          <cell r="B1745" t="str">
            <v>Julia</v>
          </cell>
          <cell r="C1745" t="str">
            <v>SENDERSKA</v>
          </cell>
          <cell r="D1745" t="str">
            <v>UKS 25 Kielce</v>
          </cell>
        </row>
        <row r="1746">
          <cell r="A1746" t="str">
            <v>S4623</v>
          </cell>
          <cell r="B1746" t="str">
            <v>Damian</v>
          </cell>
          <cell r="C1746" t="str">
            <v>SENDROWSKI</v>
          </cell>
          <cell r="D1746" t="str">
            <v>UKS 70 Płock</v>
          </cell>
        </row>
        <row r="1747">
          <cell r="A1747" t="str">
            <v>S0155</v>
          </cell>
          <cell r="B1747" t="str">
            <v>Anna</v>
          </cell>
          <cell r="C1747" t="str">
            <v>SERAFIN</v>
          </cell>
          <cell r="D1747" t="str">
            <v>LKS Technik Głubczyce</v>
          </cell>
        </row>
        <row r="1748">
          <cell r="A1748" t="str">
            <v>S5234</v>
          </cell>
          <cell r="B1748" t="str">
            <v>Filip</v>
          </cell>
          <cell r="C1748" t="str">
            <v>SERAFIN</v>
          </cell>
          <cell r="D1748" t="str">
            <v>UKS Orbitek Straszęcin</v>
          </cell>
        </row>
        <row r="1749">
          <cell r="A1749" t="str">
            <v>S5666</v>
          </cell>
          <cell r="B1749" t="str">
            <v>Kacper</v>
          </cell>
          <cell r="C1749" t="str">
            <v>SERAFIN</v>
          </cell>
          <cell r="D1749" t="str">
            <v>UKS Jagiellonka Medyka</v>
          </cell>
        </row>
        <row r="1750">
          <cell r="A1750" t="str">
            <v>S5237</v>
          </cell>
          <cell r="B1750" t="str">
            <v>Wiktor</v>
          </cell>
          <cell r="C1750" t="str">
            <v>SERAFIN</v>
          </cell>
          <cell r="D1750" t="str">
            <v>UKS Orbitek Straszęcin</v>
          </cell>
        </row>
        <row r="1751">
          <cell r="A1751" t="str">
            <v>S3724</v>
          </cell>
          <cell r="B1751" t="str">
            <v>Jakub</v>
          </cell>
          <cell r="C1751" t="str">
            <v>SEWERYN</v>
          </cell>
          <cell r="D1751" t="str">
            <v>UKS 2 Sobótka</v>
          </cell>
        </row>
        <row r="1752">
          <cell r="A1752" t="str">
            <v>S5141</v>
          </cell>
          <cell r="B1752" t="str">
            <v>Marek</v>
          </cell>
          <cell r="C1752" t="str">
            <v>SĘCZEK</v>
          </cell>
          <cell r="D1752" t="str">
            <v>----</v>
          </cell>
        </row>
        <row r="1753">
          <cell r="A1753" t="str">
            <v>S4674</v>
          </cell>
          <cell r="B1753" t="str">
            <v>Adrian</v>
          </cell>
          <cell r="C1753" t="str">
            <v>SIDOR</v>
          </cell>
          <cell r="D1753" t="str">
            <v>UKS Kiko Zamość</v>
          </cell>
        </row>
        <row r="1754">
          <cell r="A1754" t="str">
            <v>S4125</v>
          </cell>
          <cell r="B1754" t="str">
            <v>Natalia</v>
          </cell>
          <cell r="C1754" t="str">
            <v>SIDOR</v>
          </cell>
          <cell r="D1754" t="str">
            <v>ŚKBad Harcownik Warszawa</v>
          </cell>
        </row>
        <row r="1755">
          <cell r="A1755" t="str">
            <v>S2122</v>
          </cell>
          <cell r="B1755" t="str">
            <v>Sebastian</v>
          </cell>
          <cell r="C1755" t="str">
            <v>SIDOREK</v>
          </cell>
          <cell r="D1755" t="str">
            <v>SKB Suwałki</v>
          </cell>
        </row>
        <row r="1756">
          <cell r="A1756" t="str">
            <v>S5097</v>
          </cell>
          <cell r="B1756" t="str">
            <v>Maciej</v>
          </cell>
          <cell r="C1756" t="str">
            <v>SIDOROWICZ</v>
          </cell>
          <cell r="D1756" t="str">
            <v>----</v>
          </cell>
        </row>
        <row r="1757">
          <cell r="A1757" t="str">
            <v>S1644</v>
          </cell>
          <cell r="B1757" t="str">
            <v>Mateusz</v>
          </cell>
          <cell r="C1757" t="str">
            <v>SIECIECHOWICZ</v>
          </cell>
          <cell r="D1757" t="str">
            <v>AZSWAT Warszawa</v>
          </cell>
        </row>
        <row r="1758">
          <cell r="A1758" t="str">
            <v>S5272</v>
          </cell>
          <cell r="B1758" t="str">
            <v>Julia</v>
          </cell>
          <cell r="C1758" t="str">
            <v>SIEKLICKA</v>
          </cell>
          <cell r="D1758" t="str">
            <v>UKS Badminton Stare Babice</v>
          </cell>
        </row>
        <row r="1759">
          <cell r="A1759" t="str">
            <v>S2114</v>
          </cell>
          <cell r="B1759" t="str">
            <v>Krzysztof</v>
          </cell>
          <cell r="C1759" t="str">
            <v>SIEMIENIUK</v>
          </cell>
          <cell r="D1759" t="str">
            <v>AZSUWM Olsztyn</v>
          </cell>
        </row>
        <row r="1760">
          <cell r="A1760" t="str">
            <v>S4257</v>
          </cell>
          <cell r="B1760" t="str">
            <v>Maciej</v>
          </cell>
          <cell r="C1760" t="str">
            <v>SIEMIGINOWSKI</v>
          </cell>
          <cell r="D1760" t="str">
            <v>LKS Technik Głubczyce</v>
          </cell>
        </row>
        <row r="1761">
          <cell r="A1761" t="str">
            <v>S4814</v>
          </cell>
          <cell r="B1761" t="str">
            <v>Weronika</v>
          </cell>
          <cell r="C1761" t="str">
            <v>SIEMIŃSKA</v>
          </cell>
          <cell r="D1761" t="str">
            <v>UKS Hubal Białystok</v>
          </cell>
        </row>
        <row r="1762">
          <cell r="A1762" t="str">
            <v>S4672</v>
          </cell>
          <cell r="B1762" t="str">
            <v>Michał</v>
          </cell>
          <cell r="C1762" t="str">
            <v>SIEMKO</v>
          </cell>
          <cell r="D1762" t="str">
            <v>UKS Kiko Zamość</v>
          </cell>
        </row>
        <row r="1763">
          <cell r="A1763" t="str">
            <v>S4318</v>
          </cell>
          <cell r="B1763" t="str">
            <v>Ola</v>
          </cell>
          <cell r="C1763" t="str">
            <v>SIEPRAWSKA</v>
          </cell>
          <cell r="D1763" t="str">
            <v>ULKS U-2 Lotka Bytów</v>
          </cell>
        </row>
        <row r="1764">
          <cell r="A1764" t="str">
            <v>S4731</v>
          </cell>
          <cell r="B1764" t="str">
            <v>Michał</v>
          </cell>
          <cell r="C1764" t="str">
            <v>SIERAK</v>
          </cell>
          <cell r="D1764" t="str">
            <v>UKS Orliki Ropica Polska</v>
          </cell>
        </row>
        <row r="1765">
          <cell r="A1765" t="str">
            <v>S3222</v>
          </cell>
          <cell r="B1765" t="str">
            <v>Łukasz</v>
          </cell>
          <cell r="C1765" t="str">
            <v>SIEROŃ</v>
          </cell>
          <cell r="D1765" t="str">
            <v>UMKS Junis Szczucin</v>
          </cell>
        </row>
        <row r="1766">
          <cell r="A1766" t="str">
            <v>S3855</v>
          </cell>
          <cell r="B1766" t="str">
            <v>Maja</v>
          </cell>
          <cell r="C1766" t="str">
            <v>SIERPIŃSKA</v>
          </cell>
          <cell r="D1766" t="str">
            <v>KS Hubertus Zalesie Górne</v>
          </cell>
        </row>
        <row r="1767">
          <cell r="A1767" t="str">
            <v>S5627</v>
          </cell>
          <cell r="B1767" t="str">
            <v>Piotr</v>
          </cell>
          <cell r="C1767" t="str">
            <v>SIERZPUTOWSKI</v>
          </cell>
          <cell r="D1767" t="str">
            <v>ULKS U-2 Lotka Bytów</v>
          </cell>
        </row>
        <row r="1768">
          <cell r="A1768" t="str">
            <v>S5068</v>
          </cell>
          <cell r="B1768" t="str">
            <v>Stanisław</v>
          </cell>
          <cell r="C1768" t="str">
            <v>SIERZPUTOWSKI</v>
          </cell>
          <cell r="D1768" t="str">
            <v>AZSUW Warszawa</v>
          </cell>
        </row>
        <row r="1769">
          <cell r="A1769" t="str">
            <v>S2876</v>
          </cell>
          <cell r="B1769" t="str">
            <v>Paweł</v>
          </cell>
          <cell r="C1769" t="str">
            <v>SIĘPAK</v>
          </cell>
          <cell r="D1769" t="str">
            <v>UKS KSBad Kraków</v>
          </cell>
        </row>
        <row r="1770">
          <cell r="A1770" t="str">
            <v>S5484</v>
          </cell>
          <cell r="B1770" t="str">
            <v>Dominika</v>
          </cell>
          <cell r="C1770" t="str">
            <v>SIKORSKA</v>
          </cell>
          <cell r="D1770" t="str">
            <v>AZSOŚ Łódź</v>
          </cell>
        </row>
        <row r="1771">
          <cell r="A1771" t="str">
            <v>S5694</v>
          </cell>
          <cell r="B1771" t="str">
            <v>Borys</v>
          </cell>
          <cell r="C1771" t="str">
            <v>SIKORSKI</v>
          </cell>
          <cell r="D1771" t="str">
            <v>UKS 2 Sobótka</v>
          </cell>
        </row>
        <row r="1772">
          <cell r="A1772" t="str">
            <v>S5919</v>
          </cell>
          <cell r="B1772" t="str">
            <v>Mateusz</v>
          </cell>
          <cell r="C1772" t="str">
            <v>SIKORSKI</v>
          </cell>
          <cell r="D1772" t="str">
            <v>UKS Lotka Łódź</v>
          </cell>
        </row>
        <row r="1773">
          <cell r="A1773" t="str">
            <v>S5648</v>
          </cell>
          <cell r="B1773" t="str">
            <v>Julia</v>
          </cell>
          <cell r="C1773" t="str">
            <v>SIRY</v>
          </cell>
          <cell r="D1773" t="str">
            <v>UKSB Volant Mielec</v>
          </cell>
        </row>
        <row r="1774">
          <cell r="A1774" t="str">
            <v>S5697</v>
          </cell>
          <cell r="B1774" t="str">
            <v>Kuba</v>
          </cell>
          <cell r="C1774" t="str">
            <v>SITEK</v>
          </cell>
          <cell r="D1774" t="str">
            <v>----</v>
          </cell>
        </row>
        <row r="1775">
          <cell r="A1775" t="str">
            <v>S5372</v>
          </cell>
          <cell r="B1775" t="str">
            <v>Jan</v>
          </cell>
          <cell r="C1775" t="str">
            <v>SIULKOWSKI</v>
          </cell>
          <cell r="D1775" t="str">
            <v>UKS Kiko Zamość</v>
          </cell>
        </row>
        <row r="1776">
          <cell r="A1776" t="str">
            <v>S5702</v>
          </cell>
          <cell r="B1776" t="str">
            <v>Paulina</v>
          </cell>
          <cell r="C1776" t="str">
            <v>SKAZA</v>
          </cell>
          <cell r="D1776" t="str">
            <v>UKSB Volant Mielec</v>
          </cell>
        </row>
        <row r="1777">
          <cell r="A1777" t="str">
            <v>S5243</v>
          </cell>
          <cell r="B1777" t="str">
            <v>Wojciech</v>
          </cell>
          <cell r="C1777" t="str">
            <v>SKOREK</v>
          </cell>
          <cell r="D1777" t="str">
            <v>UKS Ostrówek</v>
          </cell>
        </row>
        <row r="1778">
          <cell r="A1778" t="str">
            <v>S5725</v>
          </cell>
          <cell r="B1778" t="str">
            <v>Piotr</v>
          </cell>
          <cell r="C1778" t="str">
            <v>SKORUPIŃSKI</v>
          </cell>
          <cell r="D1778" t="str">
            <v>UMKS Iskra Wolsztyn</v>
          </cell>
        </row>
        <row r="1779">
          <cell r="A1779" t="str">
            <v>S4128</v>
          </cell>
          <cell r="B1779" t="str">
            <v>Grzegorz</v>
          </cell>
          <cell r="C1779" t="str">
            <v>SKORUPKO</v>
          </cell>
          <cell r="D1779" t="str">
            <v>ŚKBad Harcownik Warszawa</v>
          </cell>
        </row>
        <row r="1780">
          <cell r="A1780" t="str">
            <v>S5886</v>
          </cell>
          <cell r="B1780" t="str">
            <v>Agnieszka</v>
          </cell>
          <cell r="C1780" t="str">
            <v>SKOWRON</v>
          </cell>
          <cell r="D1780" t="str">
            <v>UKS Smecz Milicz</v>
          </cell>
        </row>
        <row r="1781">
          <cell r="A1781" t="str">
            <v>S4958</v>
          </cell>
          <cell r="B1781" t="str">
            <v>Kinga</v>
          </cell>
          <cell r="C1781" t="str">
            <v>SKOWRONEK</v>
          </cell>
          <cell r="D1781" t="str">
            <v>PMKS Chrobry Piotrowice</v>
          </cell>
        </row>
        <row r="1782">
          <cell r="A1782" t="str">
            <v>S5215</v>
          </cell>
          <cell r="B1782" t="str">
            <v>Natalia</v>
          </cell>
          <cell r="C1782" t="str">
            <v>SKROCKA</v>
          </cell>
          <cell r="D1782" t="str">
            <v>SKB Suwałki</v>
          </cell>
        </row>
        <row r="1783">
          <cell r="A1783" t="str">
            <v>S0922</v>
          </cell>
          <cell r="B1783" t="str">
            <v>Rafał</v>
          </cell>
          <cell r="C1783" t="str">
            <v>SKRZEK</v>
          </cell>
          <cell r="D1783" t="str">
            <v>UKS Orbitek Straszęcin</v>
          </cell>
        </row>
        <row r="1784">
          <cell r="A1784" t="str">
            <v>S3183</v>
          </cell>
          <cell r="B1784" t="str">
            <v>Aleksandra</v>
          </cell>
          <cell r="C1784" t="str">
            <v>SKRZYŃSKA</v>
          </cell>
          <cell r="D1784" t="str">
            <v>UKS Kiko Zamość</v>
          </cell>
        </row>
        <row r="1785">
          <cell r="A1785" t="str">
            <v>S3721</v>
          </cell>
          <cell r="B1785" t="str">
            <v>Błażej</v>
          </cell>
          <cell r="C1785" t="str">
            <v>SKRZYPCZAK</v>
          </cell>
          <cell r="D1785" t="str">
            <v>ŚKBad Harcownik Warszawa</v>
          </cell>
        </row>
        <row r="1786">
          <cell r="A1786" t="str">
            <v>S5065</v>
          </cell>
          <cell r="B1786" t="str">
            <v>Monika</v>
          </cell>
          <cell r="C1786" t="str">
            <v>SŁOKOTOWICZ</v>
          </cell>
          <cell r="D1786" t="str">
            <v>UKS Hubal Białystok</v>
          </cell>
        </row>
        <row r="1787">
          <cell r="A1787" t="str">
            <v>S5380</v>
          </cell>
          <cell r="B1787" t="str">
            <v>Bartosz</v>
          </cell>
          <cell r="C1787" t="str">
            <v>SŁOMA</v>
          </cell>
          <cell r="D1787" t="str">
            <v>MKS Orlicz Suchedniów</v>
          </cell>
        </row>
        <row r="1788">
          <cell r="A1788" t="str">
            <v>S3617</v>
          </cell>
          <cell r="B1788" t="str">
            <v>Katarzyna</v>
          </cell>
          <cell r="C1788" t="str">
            <v>SŁOMBA</v>
          </cell>
          <cell r="D1788" t="str">
            <v>UKSB Volant Mielec</v>
          </cell>
        </row>
        <row r="1789">
          <cell r="A1789" t="str">
            <v>S0218</v>
          </cell>
          <cell r="B1789" t="str">
            <v>Adam</v>
          </cell>
          <cell r="C1789" t="str">
            <v>SŁOMKA</v>
          </cell>
          <cell r="D1789" t="str">
            <v>KS Chojnik Jelenia Góra</v>
          </cell>
        </row>
        <row r="1790">
          <cell r="A1790" t="str">
            <v>S2735</v>
          </cell>
          <cell r="B1790" t="str">
            <v>Paweł</v>
          </cell>
          <cell r="C1790" t="str">
            <v>SŁOMKA</v>
          </cell>
          <cell r="D1790" t="str">
            <v>KS Chojnik Jelenia Góra</v>
          </cell>
        </row>
        <row r="1791">
          <cell r="A1791" t="str">
            <v>S4703</v>
          </cell>
          <cell r="B1791" t="str">
            <v>Mateusz</v>
          </cell>
          <cell r="C1791" t="str">
            <v>SŁOMKOWSKI</v>
          </cell>
          <cell r="D1791" t="str">
            <v>KS Wesoła Warszawa</v>
          </cell>
        </row>
        <row r="1792">
          <cell r="A1792" t="str">
            <v>S5789</v>
          </cell>
          <cell r="B1792" t="str">
            <v>Wiktoria</v>
          </cell>
          <cell r="C1792" t="str">
            <v>SŁOTA</v>
          </cell>
          <cell r="D1792" t="str">
            <v>UKS Orbitek Straszęcin</v>
          </cell>
        </row>
        <row r="1793">
          <cell r="A1793" t="str">
            <v>S5941</v>
          </cell>
          <cell r="B1793" t="str">
            <v>Dawid</v>
          </cell>
          <cell r="C1793" t="str">
            <v>SŁOTWIŃSKI</v>
          </cell>
          <cell r="D1793" t="str">
            <v>MMKS Kędzierzyn-Koźle</v>
          </cell>
        </row>
        <row r="1794">
          <cell r="A1794" t="str">
            <v>S5124</v>
          </cell>
          <cell r="B1794" t="str">
            <v>Oliwia</v>
          </cell>
          <cell r="C1794" t="str">
            <v>SŁOWIKOWSKA</v>
          </cell>
          <cell r="D1794" t="str">
            <v>UKS 70 Płock</v>
          </cell>
        </row>
        <row r="1795">
          <cell r="A1795" t="str">
            <v>S3245</v>
          </cell>
          <cell r="B1795" t="str">
            <v>Arkadiusz</v>
          </cell>
          <cell r="C1795" t="str">
            <v>SŁUPEK</v>
          </cell>
          <cell r="D1795" t="str">
            <v>KS Chojnik Jelenia Góra</v>
          </cell>
        </row>
        <row r="1796">
          <cell r="A1796" t="str">
            <v>S4019</v>
          </cell>
          <cell r="B1796" t="str">
            <v>Kamil</v>
          </cell>
          <cell r="C1796" t="str">
            <v>SŁUPEK</v>
          </cell>
          <cell r="D1796" t="str">
            <v>KS Chojnik Jelenia Góra</v>
          </cell>
        </row>
        <row r="1797">
          <cell r="A1797" t="str">
            <v>S3502</v>
          </cell>
          <cell r="B1797" t="str">
            <v>Jakub</v>
          </cell>
          <cell r="C1797" t="str">
            <v>SMAJDA</v>
          </cell>
          <cell r="D1797" t="str">
            <v>UKS Ząbkowice Dąbrowa Górn.</v>
          </cell>
        </row>
        <row r="1798">
          <cell r="A1798" t="str">
            <v>S1436</v>
          </cell>
          <cell r="B1798" t="str">
            <v>Grzegorz</v>
          </cell>
          <cell r="C1798" t="str">
            <v>SMAJEK</v>
          </cell>
          <cell r="D1798" t="str">
            <v>----</v>
          </cell>
        </row>
        <row r="1799">
          <cell r="A1799" t="str">
            <v>S5917</v>
          </cell>
          <cell r="B1799" t="str">
            <v>Aleksandra</v>
          </cell>
          <cell r="C1799" t="str">
            <v>SMALARZ</v>
          </cell>
          <cell r="D1799" t="str">
            <v>UKS MixTeam Tarnowiec</v>
          </cell>
        </row>
        <row r="1800">
          <cell r="A1800" t="str">
            <v>S3955</v>
          </cell>
          <cell r="B1800" t="str">
            <v>Sandra</v>
          </cell>
          <cell r="C1800" t="str">
            <v>SMOK</v>
          </cell>
          <cell r="D1800" t="str">
            <v>KS Chojnik Jelenia Góra</v>
          </cell>
        </row>
        <row r="1801">
          <cell r="A1801" t="str">
            <v>S5772</v>
          </cell>
          <cell r="B1801" t="str">
            <v>Jakub</v>
          </cell>
          <cell r="C1801" t="str">
            <v>SMOLAK</v>
          </cell>
          <cell r="D1801" t="str">
            <v>UKS Kiko Zamość</v>
          </cell>
        </row>
        <row r="1802">
          <cell r="A1802" t="str">
            <v>S5542</v>
          </cell>
          <cell r="B1802" t="str">
            <v>Adrian</v>
          </cell>
          <cell r="C1802" t="str">
            <v>SMOLEŃ</v>
          </cell>
          <cell r="D1802" t="str">
            <v>----</v>
          </cell>
        </row>
        <row r="1803">
          <cell r="A1803" t="str">
            <v>S4777</v>
          </cell>
          <cell r="B1803" t="str">
            <v>Mariusz</v>
          </cell>
          <cell r="C1803" t="str">
            <v>SMOLICH</v>
          </cell>
          <cell r="D1803" t="str">
            <v>----</v>
          </cell>
        </row>
        <row r="1804">
          <cell r="A1804" t="str">
            <v>S1278</v>
          </cell>
          <cell r="B1804" t="str">
            <v>Arkadiusz</v>
          </cell>
          <cell r="C1804" t="str">
            <v>SMOLIŃSKI</v>
          </cell>
          <cell r="D1804" t="str">
            <v>AZSUWM Olsztyn</v>
          </cell>
        </row>
        <row r="1805">
          <cell r="A1805" t="str">
            <v>S2839</v>
          </cell>
          <cell r="B1805" t="str">
            <v>Robert</v>
          </cell>
          <cell r="C1805" t="str">
            <v>SMOLUCHOWSKI</v>
          </cell>
          <cell r="D1805" t="str">
            <v>MKB Lednik Miastko</v>
          </cell>
        </row>
        <row r="1806">
          <cell r="A1806" t="str">
            <v>S5604</v>
          </cell>
          <cell r="B1806" t="str">
            <v>Szymon</v>
          </cell>
          <cell r="C1806" t="str">
            <v>SNARSKI</v>
          </cell>
          <cell r="D1806" t="str">
            <v>UKS Hubal Białystok</v>
          </cell>
        </row>
        <row r="1807">
          <cell r="A1807" t="str">
            <v>S3394</v>
          </cell>
          <cell r="B1807" t="str">
            <v>Hana</v>
          </cell>
          <cell r="C1807" t="str">
            <v>SNOCHOWSKA</v>
          </cell>
          <cell r="D1807" t="str">
            <v>----</v>
          </cell>
        </row>
        <row r="1808">
          <cell r="A1808" t="str">
            <v>S5188</v>
          </cell>
          <cell r="B1808" t="str">
            <v>Kamil</v>
          </cell>
          <cell r="C1808" t="str">
            <v>SOBCZUK</v>
          </cell>
          <cell r="D1808" t="str">
            <v>UKS Kiko Zamość</v>
          </cell>
        </row>
        <row r="1809">
          <cell r="A1809" t="str">
            <v>S5116</v>
          </cell>
          <cell r="B1809" t="str">
            <v>Ada</v>
          </cell>
          <cell r="C1809" t="str">
            <v>SOBIECKA</v>
          </cell>
          <cell r="D1809" t="str">
            <v>KS Hubertus Zalesie Górne</v>
          </cell>
        </row>
        <row r="1810">
          <cell r="A1810" t="str">
            <v>S5001</v>
          </cell>
          <cell r="B1810" t="str">
            <v>Dariusz</v>
          </cell>
          <cell r="C1810" t="str">
            <v>SOBKÓW</v>
          </cell>
          <cell r="D1810" t="str">
            <v>----</v>
          </cell>
        </row>
        <row r="1811">
          <cell r="A1811" t="str">
            <v>S4287</v>
          </cell>
          <cell r="B1811" t="str">
            <v>Michał</v>
          </cell>
          <cell r="C1811" t="str">
            <v>SOBOLEWSKI</v>
          </cell>
          <cell r="D1811" t="str">
            <v>SKB Suwałki</v>
          </cell>
        </row>
        <row r="1812">
          <cell r="A1812" t="str">
            <v>S5203</v>
          </cell>
          <cell r="B1812" t="str">
            <v>Tomasz</v>
          </cell>
          <cell r="C1812" t="str">
            <v>SOBOLEWSKI</v>
          </cell>
          <cell r="D1812" t="str">
            <v>UKS Kiko Zamość</v>
          </cell>
        </row>
        <row r="1813">
          <cell r="A1813" t="str">
            <v>S5916</v>
          </cell>
          <cell r="B1813" t="str">
            <v>Iwona</v>
          </cell>
          <cell r="C1813" t="str">
            <v>SOBOTKA</v>
          </cell>
          <cell r="D1813" t="str">
            <v>----</v>
          </cell>
        </row>
        <row r="1814">
          <cell r="A1814" t="str">
            <v>S5915</v>
          </cell>
          <cell r="B1814" t="str">
            <v>Piotr</v>
          </cell>
          <cell r="C1814" t="str">
            <v>SOBOTKA</v>
          </cell>
          <cell r="D1814" t="str">
            <v>----</v>
          </cell>
        </row>
        <row r="1815">
          <cell r="A1815" t="str">
            <v>S3950</v>
          </cell>
          <cell r="B1815" t="str">
            <v>Klaudia</v>
          </cell>
          <cell r="C1815" t="str">
            <v>SOCHA</v>
          </cell>
          <cell r="D1815" t="str">
            <v>KS Chojnik Jelenia Góra</v>
          </cell>
        </row>
        <row r="1816">
          <cell r="A1816" t="str">
            <v>S3358</v>
          </cell>
          <cell r="B1816" t="str">
            <v>Maciej</v>
          </cell>
          <cell r="C1816" t="str">
            <v>SOCHA</v>
          </cell>
          <cell r="D1816" t="str">
            <v>LUKS Jedynka Częstochowa</v>
          </cell>
        </row>
        <row r="1817">
          <cell r="A1817" t="str">
            <v>S3951</v>
          </cell>
          <cell r="B1817" t="str">
            <v>Oliwia</v>
          </cell>
          <cell r="C1817" t="str">
            <v>SOCHA</v>
          </cell>
          <cell r="D1817" t="str">
            <v>KS Chojnik Jelenia Góra</v>
          </cell>
        </row>
        <row r="1818">
          <cell r="A1818" t="str">
            <v>S5862</v>
          </cell>
          <cell r="B1818" t="str">
            <v>Gabriela</v>
          </cell>
          <cell r="C1818" t="str">
            <v>SOKOŁOWSKA</v>
          </cell>
          <cell r="D1818" t="str">
            <v>KS Chojnik Jelenia Góra</v>
          </cell>
        </row>
        <row r="1819">
          <cell r="A1819" t="str">
            <v>S5107</v>
          </cell>
          <cell r="B1819" t="str">
            <v>Justyna</v>
          </cell>
          <cell r="C1819" t="str">
            <v>SOKOŁOWSKA</v>
          </cell>
          <cell r="D1819" t="str">
            <v>UKS 70 Płock</v>
          </cell>
        </row>
        <row r="1820">
          <cell r="A1820" t="str">
            <v>S3993</v>
          </cell>
          <cell r="B1820" t="str">
            <v>Martyna</v>
          </cell>
          <cell r="C1820" t="str">
            <v>SOKOŁOWSKA</v>
          </cell>
          <cell r="D1820" t="str">
            <v>KKS Warmia Olsztyn</v>
          </cell>
        </row>
        <row r="1821">
          <cell r="A1821" t="str">
            <v>S5448</v>
          </cell>
          <cell r="B1821" t="str">
            <v>Bartłomiej</v>
          </cell>
          <cell r="C1821" t="str">
            <v>SOKOŁOWSKI</v>
          </cell>
          <cell r="D1821" t="str">
            <v>KKS Warmia Olsztyn</v>
          </cell>
        </row>
        <row r="1822">
          <cell r="A1822" t="str">
            <v>S3994</v>
          </cell>
          <cell r="B1822" t="str">
            <v>Jacek</v>
          </cell>
          <cell r="C1822" t="str">
            <v>SOKOŁOWSKI</v>
          </cell>
          <cell r="D1822" t="str">
            <v>AZSUWM Olsztyn</v>
          </cell>
        </row>
        <row r="1823">
          <cell r="A1823" t="str">
            <v>S3995</v>
          </cell>
          <cell r="B1823" t="str">
            <v>Kacper</v>
          </cell>
          <cell r="C1823" t="str">
            <v>SOKOŁOWSKI</v>
          </cell>
          <cell r="D1823" t="str">
            <v>KKS Warmia Olsztyn</v>
          </cell>
        </row>
        <row r="1824">
          <cell r="A1824" t="str">
            <v>S5541</v>
          </cell>
          <cell r="B1824" t="str">
            <v>Kamil</v>
          </cell>
          <cell r="C1824" t="str">
            <v>SOKOŁOWSKI</v>
          </cell>
          <cell r="D1824" t="str">
            <v>KS Masovia Płock</v>
          </cell>
        </row>
        <row r="1825">
          <cell r="A1825" t="str">
            <v>S5609</v>
          </cell>
          <cell r="B1825" t="str">
            <v>Mateusz</v>
          </cell>
          <cell r="C1825" t="str">
            <v>SOKOŁOWSKI</v>
          </cell>
          <cell r="D1825" t="str">
            <v>SKB Suwałki</v>
          </cell>
        </row>
        <row r="1826">
          <cell r="A1826" t="str">
            <v>S5094</v>
          </cell>
          <cell r="B1826" t="str">
            <v>Jan</v>
          </cell>
          <cell r="C1826" t="str">
            <v>SOŁEK</v>
          </cell>
          <cell r="D1826" t="str">
            <v>KSR Wolant Łódź</v>
          </cell>
        </row>
        <row r="1827">
          <cell r="A1827" t="str">
            <v>S2340</v>
          </cell>
          <cell r="B1827" t="str">
            <v>Joanna</v>
          </cell>
          <cell r="C1827" t="str">
            <v>SOŁOWIŃSKA</v>
          </cell>
          <cell r="D1827" t="str">
            <v>UKS Hubal Białystok</v>
          </cell>
        </row>
        <row r="1828">
          <cell r="A1828" t="str">
            <v>S2153</v>
          </cell>
          <cell r="B1828" t="str">
            <v>Magdalena</v>
          </cell>
          <cell r="C1828" t="str">
            <v>SOSNOWSKA</v>
          </cell>
          <cell r="D1828" t="str">
            <v>SLKS Tramp Orneta</v>
          </cell>
        </row>
        <row r="1829">
          <cell r="A1829" t="str">
            <v>S1935</v>
          </cell>
          <cell r="B1829" t="str">
            <v>Adam</v>
          </cell>
          <cell r="C1829" t="str">
            <v>SOWA</v>
          </cell>
          <cell r="D1829" t="str">
            <v>BKS Kolejarz Częstochowa</v>
          </cell>
        </row>
        <row r="1830">
          <cell r="A1830" t="str">
            <v>S5034</v>
          </cell>
          <cell r="B1830" t="str">
            <v>Michał</v>
          </cell>
          <cell r="C1830" t="str">
            <v>SOWA</v>
          </cell>
          <cell r="D1830" t="str">
            <v>UKS Unia Bieruń</v>
          </cell>
        </row>
        <row r="1831">
          <cell r="A1831" t="str">
            <v>S5235</v>
          </cell>
          <cell r="B1831" t="str">
            <v>Wiktoria</v>
          </cell>
          <cell r="C1831" t="str">
            <v>SOWA</v>
          </cell>
          <cell r="D1831" t="str">
            <v>UKS Orbitek Straszęcin</v>
          </cell>
        </row>
        <row r="1832">
          <cell r="A1832" t="str">
            <v>S2901</v>
          </cell>
          <cell r="B1832" t="str">
            <v>Jakub</v>
          </cell>
          <cell r="C1832" t="str">
            <v>SOWIŃSKI</v>
          </cell>
          <cell r="D1832" t="str">
            <v>----</v>
          </cell>
        </row>
        <row r="1833">
          <cell r="A1833" t="str">
            <v>S5177</v>
          </cell>
          <cell r="B1833" t="str">
            <v>Zbigniew</v>
          </cell>
          <cell r="C1833" t="str">
            <v>SOWIŃSKI</v>
          </cell>
          <cell r="D1833" t="str">
            <v>----</v>
          </cell>
        </row>
        <row r="1834">
          <cell r="A1834" t="str">
            <v>S5535</v>
          </cell>
          <cell r="B1834" t="str">
            <v>Natalia</v>
          </cell>
          <cell r="C1834" t="str">
            <v>SPASSÓWKA</v>
          </cell>
          <cell r="D1834" t="str">
            <v>SKB Suwałki</v>
          </cell>
        </row>
        <row r="1835">
          <cell r="A1835" t="str">
            <v>S4013</v>
          </cell>
          <cell r="B1835" t="str">
            <v>Kamil</v>
          </cell>
          <cell r="C1835" t="str">
            <v>SPŁAWIŃSKI</v>
          </cell>
          <cell r="D1835" t="str">
            <v>UMKS Dubiecko</v>
          </cell>
        </row>
        <row r="1836">
          <cell r="A1836" t="str">
            <v>S5332</v>
          </cell>
          <cell r="B1836" t="str">
            <v>Mateusz</v>
          </cell>
          <cell r="C1836" t="str">
            <v>SPŁAWIŃSKI</v>
          </cell>
          <cell r="D1836" t="str">
            <v>UMKS Dubiecko</v>
          </cell>
        </row>
        <row r="1837">
          <cell r="A1837" t="str">
            <v>S5693</v>
          </cell>
          <cell r="B1837" t="str">
            <v>Paweł</v>
          </cell>
          <cell r="C1837" t="str">
            <v>SPUSTEK</v>
          </cell>
          <cell r="D1837" t="str">
            <v>UKS Kiko Zamość</v>
          </cell>
        </row>
        <row r="1838">
          <cell r="A1838" t="str">
            <v>S5634</v>
          </cell>
          <cell r="B1838" t="str">
            <v>Dawid</v>
          </cell>
          <cell r="C1838" t="str">
            <v>SROCZYŃSKI</v>
          </cell>
          <cell r="D1838" t="str">
            <v>----</v>
          </cell>
        </row>
        <row r="1839">
          <cell r="A1839" t="str">
            <v>S3971</v>
          </cell>
          <cell r="B1839" t="str">
            <v>Dawid</v>
          </cell>
          <cell r="C1839" t="str">
            <v>SROKA</v>
          </cell>
          <cell r="D1839" t="str">
            <v>KS Stal Sulęcin</v>
          </cell>
        </row>
        <row r="1840">
          <cell r="A1840" t="str">
            <v>S5643</v>
          </cell>
          <cell r="B1840" t="str">
            <v>Dawid</v>
          </cell>
          <cell r="C1840" t="str">
            <v>STACHNIK</v>
          </cell>
          <cell r="D1840" t="str">
            <v>UKS Sokół Ropczyce</v>
          </cell>
        </row>
        <row r="1841">
          <cell r="A1841" t="str">
            <v>S3843</v>
          </cell>
          <cell r="B1841" t="str">
            <v>Jerzy</v>
          </cell>
          <cell r="C1841" t="str">
            <v>STACHOWSKI</v>
          </cell>
          <cell r="D1841" t="str">
            <v>----</v>
          </cell>
        </row>
        <row r="1842">
          <cell r="A1842" t="str">
            <v>S3740</v>
          </cell>
          <cell r="B1842" t="str">
            <v>Marcin</v>
          </cell>
          <cell r="C1842" t="str">
            <v>STANECKI</v>
          </cell>
          <cell r="D1842" t="str">
            <v>MKSKSOS Kraków</v>
          </cell>
        </row>
        <row r="1843">
          <cell r="A1843" t="str">
            <v>S4802</v>
          </cell>
          <cell r="B1843" t="str">
            <v>Ewa</v>
          </cell>
          <cell r="C1843" t="str">
            <v>STANGRET</v>
          </cell>
          <cell r="D1843" t="str">
            <v>UKS Astra Wrocław</v>
          </cell>
        </row>
        <row r="1844">
          <cell r="A1844" t="str">
            <v>S2852</v>
          </cell>
          <cell r="B1844" t="str">
            <v>Maciej</v>
          </cell>
          <cell r="C1844" t="str">
            <v>STANISŁAWCZYK</v>
          </cell>
          <cell r="D1844" t="str">
            <v>SKB Piast Słupsk</v>
          </cell>
        </row>
        <row r="1845">
          <cell r="A1845" t="str">
            <v>S4770</v>
          </cell>
          <cell r="B1845" t="str">
            <v>Jakub</v>
          </cell>
          <cell r="C1845" t="str">
            <v>STANISZ</v>
          </cell>
          <cell r="D1845" t="str">
            <v>UKS 15 Kędzierzyn-Koźle</v>
          </cell>
        </row>
        <row r="1846">
          <cell r="A1846" t="str">
            <v>S3114</v>
          </cell>
          <cell r="B1846" t="str">
            <v>Joanna</v>
          </cell>
          <cell r="C1846" t="str">
            <v>STANISZ</v>
          </cell>
          <cell r="D1846" t="str">
            <v>UKS Sokół Ropczyce</v>
          </cell>
        </row>
        <row r="1847">
          <cell r="A1847" t="str">
            <v>S4438</v>
          </cell>
          <cell r="B1847" t="str">
            <v>Mateusz</v>
          </cell>
          <cell r="C1847" t="str">
            <v>STANISZ</v>
          </cell>
          <cell r="D1847" t="str">
            <v>UKS Sokół Ropczyce</v>
          </cell>
        </row>
        <row r="1848">
          <cell r="A1848" t="str">
            <v>S5790</v>
          </cell>
          <cell r="B1848" t="str">
            <v>Piotr</v>
          </cell>
          <cell r="C1848" t="str">
            <v>STANISZ</v>
          </cell>
          <cell r="D1848" t="str">
            <v>UKS Sokół Ropczyce</v>
          </cell>
        </row>
        <row r="1849">
          <cell r="A1849" t="str">
            <v>S4209</v>
          </cell>
          <cell r="B1849" t="str">
            <v>Paweł</v>
          </cell>
          <cell r="C1849" t="str">
            <v>STANKIEWICZ</v>
          </cell>
          <cell r="D1849" t="str">
            <v>UKSB Milenium Warszawa</v>
          </cell>
        </row>
        <row r="1850">
          <cell r="A1850" t="str">
            <v>S3975</v>
          </cell>
          <cell r="B1850" t="str">
            <v>Kamil</v>
          </cell>
          <cell r="C1850" t="str">
            <v>STAŃCZYC</v>
          </cell>
          <cell r="D1850" t="str">
            <v>KS Stal Sulęcin</v>
          </cell>
        </row>
        <row r="1851">
          <cell r="A1851" t="str">
            <v>S4969</v>
          </cell>
          <cell r="B1851" t="str">
            <v>Dariusz</v>
          </cell>
          <cell r="C1851" t="str">
            <v>STAŃKO</v>
          </cell>
          <cell r="D1851" t="str">
            <v>UKS Aktywna Piątka Przemyśl</v>
          </cell>
        </row>
        <row r="1852">
          <cell r="A1852" t="str">
            <v>S4372</v>
          </cell>
          <cell r="B1852" t="str">
            <v>Grzegorz</v>
          </cell>
          <cell r="C1852" t="str">
            <v>STAŃKO</v>
          </cell>
          <cell r="D1852" t="str">
            <v>UKS Aktywna Piątka Przemyśl</v>
          </cell>
        </row>
        <row r="1853">
          <cell r="A1853" t="str">
            <v>S4373</v>
          </cell>
          <cell r="B1853" t="str">
            <v>Wojciech</v>
          </cell>
          <cell r="C1853" t="str">
            <v>STAŃKO</v>
          </cell>
          <cell r="D1853" t="str">
            <v>UKS Aktywna Piątka Przemyśl</v>
          </cell>
        </row>
        <row r="1854">
          <cell r="A1854" t="str">
            <v>S5724</v>
          </cell>
          <cell r="B1854" t="str">
            <v>Ryszard</v>
          </cell>
          <cell r="C1854" t="str">
            <v>STARUCH</v>
          </cell>
          <cell r="D1854" t="str">
            <v>SLKS Tramp Orneta</v>
          </cell>
        </row>
        <row r="1855">
          <cell r="A1855" t="str">
            <v>S3972</v>
          </cell>
          <cell r="B1855" t="str">
            <v>Maciej</v>
          </cell>
          <cell r="C1855" t="str">
            <v>STASIŁOWICZ</v>
          </cell>
          <cell r="D1855" t="str">
            <v>KS Stal Sulęcin</v>
          </cell>
        </row>
        <row r="1856">
          <cell r="A1856" t="str">
            <v>S5236</v>
          </cell>
          <cell r="B1856" t="str">
            <v>Anna</v>
          </cell>
          <cell r="C1856" t="str">
            <v>STASIOWSKA</v>
          </cell>
          <cell r="D1856" t="str">
            <v>UKS Orbitek Straszęcin</v>
          </cell>
        </row>
        <row r="1857">
          <cell r="A1857" t="str">
            <v>S5705</v>
          </cell>
          <cell r="B1857" t="str">
            <v>Natalia</v>
          </cell>
          <cell r="C1857" t="str">
            <v>STASZKIEWICZ</v>
          </cell>
          <cell r="D1857" t="str">
            <v>ULKS U-2 Lotka Bytów</v>
          </cell>
        </row>
        <row r="1858">
          <cell r="A1858" t="str">
            <v>S0757</v>
          </cell>
          <cell r="B1858" t="str">
            <v>Dominik</v>
          </cell>
          <cell r="C1858" t="str">
            <v>STATNIK</v>
          </cell>
          <cell r="D1858" t="str">
            <v>----</v>
          </cell>
        </row>
        <row r="1859">
          <cell r="A1859" t="str">
            <v>S2138</v>
          </cell>
          <cell r="B1859" t="str">
            <v>Dominik</v>
          </cell>
          <cell r="C1859" t="str">
            <v>STEBNICKI</v>
          </cell>
          <cell r="D1859" t="str">
            <v>LKS Technik Głubczyce</v>
          </cell>
        </row>
        <row r="1860">
          <cell r="A1860" t="str">
            <v>S4222</v>
          </cell>
          <cell r="B1860" t="str">
            <v>Bartosz</v>
          </cell>
          <cell r="C1860" t="str">
            <v>STEFANIAK</v>
          </cell>
          <cell r="D1860" t="str">
            <v>ŚKBad Harcownik Warszawa</v>
          </cell>
        </row>
        <row r="1861">
          <cell r="A1861" t="str">
            <v>S4778</v>
          </cell>
          <cell r="B1861" t="str">
            <v>Damian</v>
          </cell>
          <cell r="C1861" t="str">
            <v>STEFAŃCZYK</v>
          </cell>
          <cell r="D1861" t="str">
            <v>----</v>
          </cell>
        </row>
        <row r="1862">
          <cell r="A1862" t="str">
            <v>S4772</v>
          </cell>
          <cell r="B1862" t="str">
            <v>Agata</v>
          </cell>
          <cell r="C1862" t="str">
            <v>STEFAŃSKA</v>
          </cell>
          <cell r="D1862" t="str">
            <v>UKS Ostrówek</v>
          </cell>
        </row>
        <row r="1863">
          <cell r="A1863" t="str">
            <v>S1472</v>
          </cell>
          <cell r="B1863" t="str">
            <v>Grażyna</v>
          </cell>
          <cell r="C1863" t="str">
            <v>STEFAŃSKA</v>
          </cell>
          <cell r="D1863" t="str">
            <v>----</v>
          </cell>
        </row>
        <row r="1864">
          <cell r="A1864" t="str">
            <v>S4974</v>
          </cell>
          <cell r="B1864" t="str">
            <v>Julia</v>
          </cell>
          <cell r="C1864" t="str">
            <v>STEFAŃSKA</v>
          </cell>
          <cell r="D1864" t="str">
            <v>UKS Ostrówek</v>
          </cell>
        </row>
        <row r="1865">
          <cell r="A1865" t="str">
            <v>S2642</v>
          </cell>
          <cell r="B1865" t="str">
            <v>Kinga</v>
          </cell>
          <cell r="C1865" t="str">
            <v>STEFAŃSKA</v>
          </cell>
          <cell r="D1865" t="str">
            <v>UKS Sokół Ropczyce</v>
          </cell>
        </row>
        <row r="1866">
          <cell r="A1866" t="str">
            <v>S4331</v>
          </cell>
          <cell r="B1866" t="str">
            <v>Michał</v>
          </cell>
          <cell r="C1866" t="str">
            <v>STEFAŃSKI</v>
          </cell>
          <cell r="D1866" t="str">
            <v>UKS Ostrówek</v>
          </cell>
        </row>
        <row r="1867">
          <cell r="A1867" t="str">
            <v>S5875</v>
          </cell>
          <cell r="B1867" t="str">
            <v>Michał</v>
          </cell>
          <cell r="C1867" t="str">
            <v>STEFAŃSKI</v>
          </cell>
          <cell r="D1867" t="str">
            <v>UKS Smecz Milicz</v>
          </cell>
        </row>
        <row r="1868">
          <cell r="A1868" t="str">
            <v>S 077</v>
          </cell>
          <cell r="B1868" t="str">
            <v>Agata</v>
          </cell>
          <cell r="C1868" t="str">
            <v>STELMASZCZYK</v>
          </cell>
          <cell r="D1868" t="str">
            <v>BKS Kolejarz Częstochowa</v>
          </cell>
        </row>
        <row r="1869">
          <cell r="A1869" t="str">
            <v>S3912</v>
          </cell>
          <cell r="B1869" t="str">
            <v>Mateusz</v>
          </cell>
          <cell r="C1869" t="str">
            <v>STEMPEL</v>
          </cell>
          <cell r="D1869" t="str">
            <v>AZSWAT Warszawa</v>
          </cell>
        </row>
        <row r="1870">
          <cell r="A1870" t="str">
            <v>S5521</v>
          </cell>
          <cell r="B1870" t="str">
            <v>Małgorzata</v>
          </cell>
          <cell r="C1870" t="str">
            <v>STERNAL</v>
          </cell>
          <cell r="D1870" t="str">
            <v>UKS Orkan Przeźmierowo</v>
          </cell>
        </row>
        <row r="1871">
          <cell r="A1871" t="str">
            <v>S5749</v>
          </cell>
          <cell r="B1871" t="str">
            <v>Julia</v>
          </cell>
          <cell r="C1871" t="str">
            <v>STERNIK</v>
          </cell>
          <cell r="D1871" t="str">
            <v>UKS Kiko Zamość</v>
          </cell>
        </row>
        <row r="1872">
          <cell r="A1872" t="str">
            <v>S5200</v>
          </cell>
          <cell r="B1872" t="str">
            <v>Dominika</v>
          </cell>
          <cell r="C1872" t="str">
            <v>STĘPIEŃ</v>
          </cell>
          <cell r="D1872" t="str">
            <v>----</v>
          </cell>
        </row>
        <row r="1873">
          <cell r="A1873" t="str">
            <v>S4937</v>
          </cell>
          <cell r="B1873" t="str">
            <v>Filip</v>
          </cell>
          <cell r="C1873" t="str">
            <v>STĘPNIAK</v>
          </cell>
          <cell r="D1873" t="str">
            <v>UKS Plesbad Pszczyna</v>
          </cell>
        </row>
        <row r="1874">
          <cell r="A1874" t="str">
            <v>S4265</v>
          </cell>
          <cell r="B1874" t="str">
            <v>Łukasz</v>
          </cell>
          <cell r="C1874" t="str">
            <v>STĘPNIEWSKI</v>
          </cell>
          <cell r="D1874" t="str">
            <v>MKB Lednik Miastko</v>
          </cell>
        </row>
        <row r="1875">
          <cell r="A1875" t="str">
            <v>S1370</v>
          </cell>
          <cell r="B1875" t="str">
            <v>Joanna</v>
          </cell>
          <cell r="C1875" t="str">
            <v>STOBIECKA</v>
          </cell>
          <cell r="D1875" t="str">
            <v>MKS Orlicz Suchedniów</v>
          </cell>
        </row>
        <row r="1876">
          <cell r="A1876" t="str">
            <v>S5384</v>
          </cell>
          <cell r="B1876" t="str">
            <v>Piotr</v>
          </cell>
          <cell r="C1876" t="str">
            <v>STOBIECKI</v>
          </cell>
          <cell r="D1876" t="str">
            <v>MKS Orlicz Suchedniów</v>
          </cell>
        </row>
        <row r="1877">
          <cell r="A1877" t="str">
            <v>S5167</v>
          </cell>
          <cell r="B1877" t="str">
            <v>Roksana</v>
          </cell>
          <cell r="C1877" t="str">
            <v>STOKOWSKA</v>
          </cell>
          <cell r="D1877" t="str">
            <v>UTS Akro-Bad Warszawa</v>
          </cell>
        </row>
        <row r="1878">
          <cell r="A1878" t="str">
            <v>S4327</v>
          </cell>
          <cell r="B1878" t="str">
            <v>Krystian</v>
          </cell>
          <cell r="C1878" t="str">
            <v>STOKOWSKI</v>
          </cell>
          <cell r="D1878" t="str">
            <v>UTS Akro-Bad Warszawa</v>
          </cell>
        </row>
        <row r="1879">
          <cell r="A1879" t="str">
            <v>S4662</v>
          </cell>
          <cell r="B1879" t="str">
            <v>Rafał</v>
          </cell>
          <cell r="C1879" t="str">
            <v>STOLARCZYK</v>
          </cell>
          <cell r="D1879" t="str">
            <v>----</v>
          </cell>
        </row>
        <row r="1880">
          <cell r="A1880" t="str">
            <v>S4738</v>
          </cell>
          <cell r="B1880" t="str">
            <v>Patryk</v>
          </cell>
          <cell r="C1880" t="str">
            <v>STOLARZ</v>
          </cell>
          <cell r="D1880" t="str">
            <v>UKSB Volant Mielec</v>
          </cell>
        </row>
        <row r="1881">
          <cell r="A1881" t="str">
            <v>S4504</v>
          </cell>
          <cell r="B1881" t="str">
            <v>Norbert</v>
          </cell>
          <cell r="C1881" t="str">
            <v>STOLICKI</v>
          </cell>
          <cell r="D1881" t="str">
            <v>----</v>
          </cell>
        </row>
        <row r="1882">
          <cell r="A1882" t="str">
            <v>S3452</v>
          </cell>
          <cell r="B1882" t="str">
            <v>Mateusz</v>
          </cell>
          <cell r="C1882" t="str">
            <v>STONKUS</v>
          </cell>
          <cell r="D1882" t="str">
            <v>UKS 70 Płock</v>
          </cell>
        </row>
        <row r="1883">
          <cell r="A1883" t="str">
            <v>S1490</v>
          </cell>
          <cell r="B1883" t="str">
            <v>Tomasz</v>
          </cell>
          <cell r="C1883" t="str">
            <v>STOPA</v>
          </cell>
          <cell r="D1883" t="str">
            <v>----</v>
          </cell>
        </row>
        <row r="1884">
          <cell r="A1884" t="str">
            <v>S5567</v>
          </cell>
          <cell r="B1884" t="str">
            <v>Mikołaj</v>
          </cell>
          <cell r="C1884" t="str">
            <v>STRAŻ</v>
          </cell>
          <cell r="D1884" t="str">
            <v>UKSB Volant Mielec</v>
          </cell>
        </row>
        <row r="1885">
          <cell r="A1885" t="str">
            <v>S2867</v>
          </cell>
          <cell r="B1885" t="str">
            <v>Weronika</v>
          </cell>
          <cell r="C1885" t="str">
            <v>STRĄK</v>
          </cell>
          <cell r="D1885" t="str">
            <v>UKS Plesbad Pszczyna</v>
          </cell>
        </row>
        <row r="1886">
          <cell r="A1886" t="str">
            <v>S4752</v>
          </cell>
          <cell r="B1886" t="str">
            <v>Anna</v>
          </cell>
          <cell r="C1886" t="str">
            <v>STREB</v>
          </cell>
          <cell r="D1886" t="str">
            <v>UKSB Volant Mielec</v>
          </cell>
        </row>
        <row r="1887">
          <cell r="A1887" t="str">
            <v>S1080</v>
          </cell>
          <cell r="B1887" t="str">
            <v>Andrzej</v>
          </cell>
          <cell r="C1887" t="str">
            <v>STRUENSEE</v>
          </cell>
          <cell r="D1887" t="str">
            <v>----</v>
          </cell>
        </row>
        <row r="1888">
          <cell r="A1888" t="str">
            <v>S5974</v>
          </cell>
          <cell r="B1888" t="str">
            <v>Mateusz</v>
          </cell>
          <cell r="C1888" t="str">
            <v>STRZELCZYK</v>
          </cell>
          <cell r="D1888" t="str">
            <v>MMKS Kędzierzyn-Koźle</v>
          </cell>
        </row>
        <row r="1889">
          <cell r="A1889" t="str">
            <v>S4873</v>
          </cell>
          <cell r="B1889" t="str">
            <v>Natalia</v>
          </cell>
          <cell r="C1889" t="str">
            <v>STRZELCZYK</v>
          </cell>
          <cell r="D1889" t="str">
            <v>KS Hubertus Zalesie Górne</v>
          </cell>
        </row>
        <row r="1890">
          <cell r="A1890" t="str">
            <v>S3538</v>
          </cell>
          <cell r="B1890" t="str">
            <v>Katarzyna</v>
          </cell>
          <cell r="C1890" t="str">
            <v>STRZELECKA</v>
          </cell>
          <cell r="D1890" t="str">
            <v>ZKB Maced Polanów</v>
          </cell>
        </row>
        <row r="1891">
          <cell r="A1891" t="str">
            <v>S3539</v>
          </cell>
          <cell r="B1891" t="str">
            <v>Paweł</v>
          </cell>
          <cell r="C1891" t="str">
            <v>STRZELECKI</v>
          </cell>
          <cell r="D1891" t="str">
            <v>ZKB Maced Polanów</v>
          </cell>
        </row>
        <row r="1892">
          <cell r="A1892" t="str">
            <v>S5147</v>
          </cell>
          <cell r="B1892" t="str">
            <v>Amelia</v>
          </cell>
          <cell r="C1892" t="str">
            <v>STRZEMIECZNA</v>
          </cell>
          <cell r="D1892" t="str">
            <v>KSR Wolant Łódź</v>
          </cell>
        </row>
        <row r="1893">
          <cell r="A1893" t="str">
            <v>S2487</v>
          </cell>
          <cell r="B1893" t="str">
            <v>Piotr</v>
          </cell>
          <cell r="C1893" t="str">
            <v>SUCHANEK</v>
          </cell>
          <cell r="D1893" t="str">
            <v>LUKS Jedynka Częstochowa</v>
          </cell>
        </row>
        <row r="1894">
          <cell r="A1894" t="str">
            <v>S4489</v>
          </cell>
          <cell r="B1894" t="str">
            <v>Milena</v>
          </cell>
          <cell r="C1894" t="str">
            <v>SUCHECKA</v>
          </cell>
          <cell r="D1894" t="str">
            <v>UKS Dwójka Wesoła</v>
          </cell>
        </row>
        <row r="1895">
          <cell r="A1895" t="str">
            <v>S3978</v>
          </cell>
          <cell r="B1895" t="str">
            <v>Maciej</v>
          </cell>
          <cell r="C1895" t="str">
            <v>SUCHORSKI</v>
          </cell>
          <cell r="D1895" t="str">
            <v>KS Stal Sulęcin</v>
          </cell>
        </row>
        <row r="1896">
          <cell r="A1896" t="str">
            <v>S4736</v>
          </cell>
          <cell r="B1896" t="str">
            <v>Paulina</v>
          </cell>
          <cell r="C1896" t="str">
            <v>SUCHOWIERZCH</v>
          </cell>
          <cell r="D1896" t="str">
            <v>UKS Kiko Zamość</v>
          </cell>
        </row>
        <row r="1897">
          <cell r="A1897" t="str">
            <v>S4087</v>
          </cell>
          <cell r="B1897" t="str">
            <v>Wioletta</v>
          </cell>
          <cell r="C1897" t="str">
            <v>SUDA</v>
          </cell>
          <cell r="D1897" t="str">
            <v>KKS Ruch Piotrków Tryb.</v>
          </cell>
        </row>
        <row r="1898">
          <cell r="A1898" t="str">
            <v>S5573</v>
          </cell>
          <cell r="B1898" t="str">
            <v>Jakub</v>
          </cell>
          <cell r="C1898" t="str">
            <v>SULEJ</v>
          </cell>
          <cell r="D1898" t="str">
            <v>PMKS Chrobry Piotrowice</v>
          </cell>
        </row>
        <row r="1899">
          <cell r="A1899" t="str">
            <v>S5131</v>
          </cell>
          <cell r="B1899" t="str">
            <v>Julia</v>
          </cell>
          <cell r="C1899" t="str">
            <v>SULKA</v>
          </cell>
          <cell r="D1899" t="str">
            <v>UKS Bursztyn Gdańsk</v>
          </cell>
        </row>
        <row r="1900">
          <cell r="A1900" t="str">
            <v>S4464</v>
          </cell>
          <cell r="B1900" t="str">
            <v>Natalia</v>
          </cell>
          <cell r="C1900" t="str">
            <v>SULKA</v>
          </cell>
          <cell r="D1900" t="str">
            <v>UKS Bursztyn Gdańsk</v>
          </cell>
        </row>
        <row r="1901">
          <cell r="A1901" t="str">
            <v>S5594</v>
          </cell>
          <cell r="B1901" t="str">
            <v>Piotr</v>
          </cell>
          <cell r="C1901" t="str">
            <v>SURMACZ</v>
          </cell>
          <cell r="D1901" t="str">
            <v>LUKS Krokus Góralice</v>
          </cell>
        </row>
        <row r="1902">
          <cell r="A1902" t="str">
            <v>S4117</v>
          </cell>
          <cell r="B1902" t="str">
            <v>Mateusz</v>
          </cell>
          <cell r="C1902" t="str">
            <v>SUROWIEC</v>
          </cell>
          <cell r="D1902" t="str">
            <v>UKS Start Widełka</v>
          </cell>
        </row>
        <row r="1903">
          <cell r="A1903" t="str">
            <v>S4693</v>
          </cell>
          <cell r="B1903" t="str">
            <v>Michalina</v>
          </cell>
          <cell r="C1903" t="str">
            <v>SURÓWKA</v>
          </cell>
          <cell r="D1903" t="str">
            <v>UKS Kometa Sianów</v>
          </cell>
        </row>
        <row r="1904">
          <cell r="A1904" t="str">
            <v>S3980</v>
          </cell>
          <cell r="B1904" t="str">
            <v>Andrea</v>
          </cell>
          <cell r="C1904" t="str">
            <v>SUSKA</v>
          </cell>
          <cell r="D1904" t="str">
            <v>UKS Bursztyn Gdańsk</v>
          </cell>
        </row>
        <row r="1905">
          <cell r="A1905" t="str">
            <v>S5442</v>
          </cell>
          <cell r="B1905" t="str">
            <v>Maciek</v>
          </cell>
          <cell r="C1905" t="str">
            <v>SUSKI</v>
          </cell>
          <cell r="D1905" t="str">
            <v>KKS Ruch Piotrków Tryb.</v>
          </cell>
        </row>
        <row r="1906">
          <cell r="A1906" t="str">
            <v>S5154</v>
          </cell>
          <cell r="B1906" t="str">
            <v>Michał</v>
          </cell>
          <cell r="C1906" t="str">
            <v>SUSKI</v>
          </cell>
          <cell r="D1906" t="str">
            <v>----</v>
          </cell>
        </row>
        <row r="1907">
          <cell r="A1907" t="str">
            <v>S2382</v>
          </cell>
          <cell r="B1907" t="str">
            <v>Michał</v>
          </cell>
          <cell r="C1907" t="str">
            <v>SUSKI</v>
          </cell>
          <cell r="D1907" t="str">
            <v>AZSWAT Warszawa</v>
          </cell>
        </row>
        <row r="1908">
          <cell r="A1908" t="str">
            <v>S1496</v>
          </cell>
          <cell r="B1908" t="str">
            <v>Piotr</v>
          </cell>
          <cell r="C1908" t="str">
            <v>SUSKI</v>
          </cell>
          <cell r="D1908" t="str">
            <v>----</v>
          </cell>
        </row>
        <row r="1909">
          <cell r="A1909" t="str">
            <v>S5261</v>
          </cell>
          <cell r="B1909" t="str">
            <v>Jakub</v>
          </cell>
          <cell r="C1909" t="str">
            <v>SUSZYŃSKI</v>
          </cell>
          <cell r="D1909" t="str">
            <v>MKS Stal Nowa Dęba</v>
          </cell>
        </row>
        <row r="1910">
          <cell r="A1910" t="str">
            <v>S0276</v>
          </cell>
          <cell r="B1910" t="str">
            <v>Jarosław</v>
          </cell>
          <cell r="C1910" t="str">
            <v>SUWAŁA</v>
          </cell>
          <cell r="D1910" t="str">
            <v>PMKS Chrobry Piotrowice</v>
          </cell>
        </row>
        <row r="1911">
          <cell r="A1911" t="str">
            <v>S4948</v>
          </cell>
          <cell r="B1911" t="str">
            <v>Henryk</v>
          </cell>
          <cell r="C1911" t="str">
            <v>SWOBODA</v>
          </cell>
          <cell r="D1911" t="str">
            <v>STB Energia Lubliniec</v>
          </cell>
        </row>
        <row r="1912">
          <cell r="A1912" t="str">
            <v>S3969</v>
          </cell>
          <cell r="B1912" t="str">
            <v>Ernestyna</v>
          </cell>
          <cell r="C1912" t="str">
            <v>SYKUŁA</v>
          </cell>
          <cell r="D1912" t="str">
            <v>KS Stal Sulęcin</v>
          </cell>
        </row>
        <row r="1913">
          <cell r="A1913" t="str">
            <v>S4129</v>
          </cell>
          <cell r="B1913" t="str">
            <v>Rafał</v>
          </cell>
          <cell r="C1913" t="str">
            <v>SYPNIEWSKI</v>
          </cell>
          <cell r="D1913" t="str">
            <v>ŚKBad Harcownik Warszawa</v>
          </cell>
        </row>
        <row r="1914">
          <cell r="A1914" t="str">
            <v>S5732</v>
          </cell>
          <cell r="B1914" t="str">
            <v>Yevgen</v>
          </cell>
          <cell r="C1914" t="str">
            <v>SYRYANYY</v>
          </cell>
          <cell r="D1914" t="str">
            <v>----</v>
          </cell>
        </row>
        <row r="1915">
          <cell r="A1915" t="str">
            <v>P1328</v>
          </cell>
          <cell r="B1915" t="str">
            <v>Katarzyna</v>
          </cell>
          <cell r="C1915" t="str">
            <v>SZAFRANIEC</v>
          </cell>
          <cell r="D1915" t="str">
            <v>AZSAGH Kraków</v>
          </cell>
        </row>
        <row r="1916">
          <cell r="A1916" t="str">
            <v>S3654</v>
          </cell>
          <cell r="B1916" t="str">
            <v>Małgorzata</v>
          </cell>
          <cell r="C1916" t="str">
            <v>SZAFRAŃSKA</v>
          </cell>
          <cell r="D1916" t="str">
            <v>KS Wesoła Warszawa</v>
          </cell>
        </row>
        <row r="1917">
          <cell r="A1917" t="str">
            <v>S0628</v>
          </cell>
          <cell r="B1917" t="str">
            <v>Jacek</v>
          </cell>
          <cell r="C1917" t="str">
            <v>SZAFRAŃSKI</v>
          </cell>
          <cell r="D1917" t="str">
            <v>KS Wesoła Warszawa</v>
          </cell>
        </row>
        <row r="1918">
          <cell r="A1918" t="str">
            <v>S5810</v>
          </cell>
          <cell r="B1918" t="str">
            <v>Piotr</v>
          </cell>
          <cell r="C1918" t="str">
            <v>SZAFRAŃSKI</v>
          </cell>
          <cell r="D1918" t="str">
            <v>UKS Korona Pabianice</v>
          </cell>
        </row>
        <row r="1919">
          <cell r="A1919" t="str">
            <v>S4410</v>
          </cell>
          <cell r="B1919" t="str">
            <v>Krystian</v>
          </cell>
          <cell r="C1919" t="str">
            <v>SZAJWAJ</v>
          </cell>
          <cell r="D1919" t="str">
            <v>UKS Bursztyn Gdańsk</v>
          </cell>
        </row>
        <row r="1920">
          <cell r="A1920" t="str">
            <v>S0303</v>
          </cell>
          <cell r="B1920" t="str">
            <v>Mateusz</v>
          </cell>
          <cell r="C1920" t="str">
            <v>SZAŁANKIEWICZ</v>
          </cell>
          <cell r="D1920" t="str">
            <v>BKS Kolejarz Częstochowa</v>
          </cell>
        </row>
        <row r="1921">
          <cell r="A1921" t="str">
            <v>S5566</v>
          </cell>
          <cell r="B1921" t="str">
            <v>Jerzy</v>
          </cell>
          <cell r="C1921" t="str">
            <v>SZAŁAPSKI</v>
          </cell>
          <cell r="D1921" t="str">
            <v>----</v>
          </cell>
        </row>
        <row r="1922">
          <cell r="A1922" t="str">
            <v>S3824</v>
          </cell>
          <cell r="B1922" t="str">
            <v>Piotr</v>
          </cell>
          <cell r="C1922" t="str">
            <v>SZAŁAS</v>
          </cell>
          <cell r="D1922" t="str">
            <v>MKS Garwolin</v>
          </cell>
        </row>
        <row r="1923">
          <cell r="A1923" t="str">
            <v>S5556</v>
          </cell>
          <cell r="B1923" t="str">
            <v>Łukasz</v>
          </cell>
          <cell r="C1923" t="str">
            <v>SZANTULA</v>
          </cell>
          <cell r="D1923" t="str">
            <v>UKSB Volant Mielec</v>
          </cell>
        </row>
        <row r="1924">
          <cell r="A1924" t="str">
            <v>S5449</v>
          </cell>
          <cell r="B1924" t="str">
            <v>Adrianna</v>
          </cell>
          <cell r="C1924" t="str">
            <v>SZARANEK</v>
          </cell>
          <cell r="D1924" t="str">
            <v>UMKS Iskra Wolsztyn</v>
          </cell>
        </row>
        <row r="1925">
          <cell r="A1925" t="str">
            <v>S5087</v>
          </cell>
          <cell r="B1925" t="str">
            <v>Dominika</v>
          </cell>
          <cell r="C1925" t="str">
            <v>SZAREK</v>
          </cell>
          <cell r="D1925" t="str">
            <v>UMKS Junis Szczucin</v>
          </cell>
        </row>
        <row r="1926">
          <cell r="A1926" t="str">
            <v>S5688</v>
          </cell>
          <cell r="B1926" t="str">
            <v>Liwia</v>
          </cell>
          <cell r="C1926" t="str">
            <v>SZATKOWSKA</v>
          </cell>
          <cell r="D1926" t="str">
            <v>UKS Smecz Bogatynia</v>
          </cell>
        </row>
        <row r="1927">
          <cell r="A1927" t="str">
            <v>S5976</v>
          </cell>
          <cell r="B1927" t="str">
            <v>Andrzej</v>
          </cell>
          <cell r="C1927" t="str">
            <v>SZCZEPANEK</v>
          </cell>
          <cell r="D1927" t="str">
            <v>UKS Badminton Stare Babice</v>
          </cell>
        </row>
        <row r="1928">
          <cell r="A1928" t="str">
            <v>S3444</v>
          </cell>
          <cell r="B1928" t="str">
            <v>Karol</v>
          </cell>
          <cell r="C1928" t="str">
            <v>SZCZEPANEK</v>
          </cell>
          <cell r="D1928" t="str">
            <v>UKS 70 Płock</v>
          </cell>
        </row>
        <row r="1929">
          <cell r="A1929" t="str">
            <v>S5201</v>
          </cell>
          <cell r="B1929" t="str">
            <v>Agata</v>
          </cell>
          <cell r="C1929" t="str">
            <v>SZCZEPANIAK</v>
          </cell>
          <cell r="D1929" t="str">
            <v>UKS Siódemka Świebodzin</v>
          </cell>
        </row>
        <row r="1930">
          <cell r="A1930" t="str">
            <v>S4218</v>
          </cell>
          <cell r="B1930" t="str">
            <v>Jakub</v>
          </cell>
          <cell r="C1930" t="str">
            <v>SZCZEPANIAK</v>
          </cell>
          <cell r="D1930" t="str">
            <v>UKS 70 Płock</v>
          </cell>
        </row>
        <row r="1931">
          <cell r="A1931" t="str">
            <v>S5179</v>
          </cell>
          <cell r="B1931" t="str">
            <v>Mateusz</v>
          </cell>
          <cell r="C1931" t="str">
            <v>SZCZEPANOWSKI</v>
          </cell>
          <cell r="D1931" t="str">
            <v>KS Wesoła Warszawa</v>
          </cell>
        </row>
        <row r="1932">
          <cell r="A1932" t="str">
            <v>S5750</v>
          </cell>
          <cell r="B1932" t="str">
            <v>Julia</v>
          </cell>
          <cell r="C1932" t="str">
            <v>SZCZEPAŃSKA</v>
          </cell>
          <cell r="D1932" t="str">
            <v>UKS Kiko Zamość</v>
          </cell>
        </row>
        <row r="1933">
          <cell r="A1933" t="str">
            <v>S1896</v>
          </cell>
          <cell r="B1933" t="str">
            <v>Andrzej</v>
          </cell>
          <cell r="C1933" t="str">
            <v>SZCZERBIŃSKI</v>
          </cell>
          <cell r="D1933" t="str">
            <v>MLKS Solec Kuj.</v>
          </cell>
        </row>
        <row r="1934">
          <cell r="A1934" t="str">
            <v>S1505</v>
          </cell>
          <cell r="B1934" t="str">
            <v>Marek</v>
          </cell>
          <cell r="C1934" t="str">
            <v>SZCZEŚNIEWSKI</v>
          </cell>
          <cell r="D1934" t="str">
            <v>----</v>
          </cell>
        </row>
        <row r="1935">
          <cell r="A1935" t="str">
            <v>S4708</v>
          </cell>
          <cell r="B1935" t="str">
            <v>Tomasz</v>
          </cell>
          <cell r="C1935" t="str">
            <v>SZCZĘSNY</v>
          </cell>
          <cell r="D1935" t="str">
            <v>----</v>
          </cell>
        </row>
        <row r="1936">
          <cell r="A1936" t="str">
            <v>S5924</v>
          </cell>
          <cell r="B1936" t="str">
            <v>Piotr</v>
          </cell>
          <cell r="C1936" t="str">
            <v>SZCZYPIOR</v>
          </cell>
          <cell r="D1936" t="str">
            <v>UKS Plesbad Pszczyna</v>
          </cell>
        </row>
        <row r="1937">
          <cell r="A1937" t="str">
            <v>S5985</v>
          </cell>
          <cell r="B1937" t="str">
            <v>Adam</v>
          </cell>
          <cell r="C1937" t="str">
            <v>SZCZYRBA</v>
          </cell>
          <cell r="D1937" t="str">
            <v>UKS Plesbad Pszczyna</v>
          </cell>
        </row>
        <row r="1938">
          <cell r="A1938" t="str">
            <v>S5361</v>
          </cell>
          <cell r="B1938" t="str">
            <v>Hanna</v>
          </cell>
          <cell r="C1938" t="str">
            <v>SZEJN</v>
          </cell>
          <cell r="D1938" t="str">
            <v>KSR Wolant Łódź</v>
          </cell>
        </row>
        <row r="1939">
          <cell r="A1939" t="str">
            <v>S5781</v>
          </cell>
          <cell r="B1939" t="str">
            <v>Aleksandra</v>
          </cell>
          <cell r="C1939" t="str">
            <v>SZELA</v>
          </cell>
          <cell r="D1939" t="str">
            <v>UKS Orbitek Straszęcin</v>
          </cell>
        </row>
        <row r="1940">
          <cell r="A1940" t="str">
            <v>S5623</v>
          </cell>
          <cell r="B1940" t="str">
            <v>Weronika</v>
          </cell>
          <cell r="C1940" t="str">
            <v>SZEMPLIŃSKA</v>
          </cell>
          <cell r="D1940" t="str">
            <v>UKS Badminton Stare Babice</v>
          </cell>
        </row>
        <row r="1941">
          <cell r="A1941" t="str">
            <v>P5508</v>
          </cell>
          <cell r="B1941" t="str">
            <v>Hanna</v>
          </cell>
          <cell r="C1941" t="str">
            <v>SZEMRAJ</v>
          </cell>
          <cell r="D1941" t="str">
            <v>ZKB Maced Polanów</v>
          </cell>
        </row>
        <row r="1942">
          <cell r="A1942" t="str">
            <v>S5389</v>
          </cell>
          <cell r="B1942" t="str">
            <v>Anna</v>
          </cell>
          <cell r="C1942" t="str">
            <v>SZEREMETA</v>
          </cell>
          <cell r="D1942" t="str">
            <v>KKS Warmia Olsztyn</v>
          </cell>
        </row>
        <row r="1943">
          <cell r="A1943" t="str">
            <v>S5229</v>
          </cell>
          <cell r="B1943" t="str">
            <v>Joanna</v>
          </cell>
          <cell r="C1943" t="str">
            <v>SZERSZEŃ</v>
          </cell>
          <cell r="D1943" t="str">
            <v>UKS Orbitek Straszęcin</v>
          </cell>
        </row>
        <row r="1944">
          <cell r="A1944" t="str">
            <v>S2522</v>
          </cell>
          <cell r="B1944" t="str">
            <v>Patrycja</v>
          </cell>
          <cell r="C1944" t="str">
            <v>SZERSZEŃ</v>
          </cell>
          <cell r="D1944" t="str">
            <v>AZSAGH Kraków</v>
          </cell>
        </row>
        <row r="1945">
          <cell r="A1945" t="str">
            <v>S5016</v>
          </cell>
          <cell r="B1945" t="str">
            <v>Beata</v>
          </cell>
          <cell r="C1945" t="str">
            <v>SZEWCZYK</v>
          </cell>
          <cell r="D1945" t="str">
            <v>UKSB Milenium Warszawa</v>
          </cell>
        </row>
        <row r="1946">
          <cell r="A1946" t="str">
            <v>S5499</v>
          </cell>
          <cell r="B1946" t="str">
            <v>Maksymilian</v>
          </cell>
          <cell r="C1946" t="str">
            <v>SZEWCZYK</v>
          </cell>
          <cell r="D1946" t="str">
            <v>ZKB Maced Polanów</v>
          </cell>
        </row>
        <row r="1947">
          <cell r="A1947" t="str">
            <v>S5932</v>
          </cell>
          <cell r="B1947" t="str">
            <v>Mateusz</v>
          </cell>
          <cell r="C1947" t="str">
            <v>SZEWCZYK</v>
          </cell>
          <cell r="D1947" t="str">
            <v>MKS Dwójka Blachownia</v>
          </cell>
        </row>
        <row r="1948">
          <cell r="A1948" t="str">
            <v>S4346</v>
          </cell>
          <cell r="B1948" t="str">
            <v>Michał</v>
          </cell>
          <cell r="C1948" t="str">
            <v>SZEWCZYK</v>
          </cell>
          <cell r="D1948" t="str">
            <v>ŚKBad Harcownik Warszawa</v>
          </cell>
        </row>
        <row r="1949">
          <cell r="A1949" t="str">
            <v>S4653</v>
          </cell>
          <cell r="B1949" t="str">
            <v>Piotr</v>
          </cell>
          <cell r="C1949" t="str">
            <v>SZEWCZYK</v>
          </cell>
          <cell r="D1949" t="str">
            <v>MKS Dwójka Blachownia</v>
          </cell>
        </row>
        <row r="1950">
          <cell r="A1950" t="str">
            <v>S4347</v>
          </cell>
          <cell r="B1950" t="str">
            <v>Stanisław</v>
          </cell>
          <cell r="C1950" t="str">
            <v>SZEWCZYK</v>
          </cell>
          <cell r="D1950" t="str">
            <v>ŚKBad Harcownik Warszawa</v>
          </cell>
        </row>
        <row r="1951">
          <cell r="A1951" t="str">
            <v>S5630</v>
          </cell>
          <cell r="B1951" t="str">
            <v>Martyna</v>
          </cell>
          <cell r="C1951" t="str">
            <v>SZKLARCZYK</v>
          </cell>
          <cell r="D1951" t="str">
            <v>UKS Jagiellonka Medyka</v>
          </cell>
        </row>
        <row r="1952">
          <cell r="A1952" t="str">
            <v>S2853</v>
          </cell>
          <cell r="B1952" t="str">
            <v>Adrian</v>
          </cell>
          <cell r="C1952" t="str">
            <v>SZKRAWAN</v>
          </cell>
          <cell r="D1952" t="str">
            <v>SKB Piast Słupsk</v>
          </cell>
        </row>
        <row r="1953">
          <cell r="A1953" t="str">
            <v>S4000</v>
          </cell>
          <cell r="B1953" t="str">
            <v>Marcin</v>
          </cell>
          <cell r="C1953" t="str">
            <v>SZKRAWAN</v>
          </cell>
          <cell r="D1953" t="str">
            <v>SKB Piast Słupsk</v>
          </cell>
        </row>
        <row r="1954">
          <cell r="A1954" t="str">
            <v>S1551</v>
          </cell>
          <cell r="B1954" t="str">
            <v>Michał</v>
          </cell>
          <cell r="C1954" t="str">
            <v>SZKUDLARCZYK</v>
          </cell>
          <cell r="D1954" t="str">
            <v>PTS Puszczykowo</v>
          </cell>
        </row>
        <row r="1955">
          <cell r="A1955" t="str">
            <v>S0870</v>
          </cell>
          <cell r="B1955" t="str">
            <v>Wojciech</v>
          </cell>
          <cell r="C1955" t="str">
            <v>SZKUDLARCZYK</v>
          </cell>
          <cell r="D1955" t="str">
            <v>LKS Technik Głubczyce</v>
          </cell>
        </row>
        <row r="1956">
          <cell r="A1956" t="str">
            <v>S 098</v>
          </cell>
          <cell r="B1956" t="str">
            <v>Joanna</v>
          </cell>
          <cell r="C1956" t="str">
            <v>SZLESZYŃSKA-ŁOGOSZ</v>
          </cell>
          <cell r="D1956" t="str">
            <v>SKB Suwałki</v>
          </cell>
        </row>
        <row r="1957">
          <cell r="A1957" t="str">
            <v>S0269</v>
          </cell>
          <cell r="B1957" t="str">
            <v>Łukasz</v>
          </cell>
          <cell r="C1957" t="str">
            <v>SZMEL</v>
          </cell>
          <cell r="D1957" t="str">
            <v>----</v>
          </cell>
        </row>
        <row r="1958">
          <cell r="A1958" t="str">
            <v>S2417</v>
          </cell>
          <cell r="B1958" t="str">
            <v>Marcin</v>
          </cell>
          <cell r="C1958" t="str">
            <v>SZMONIEWSKI</v>
          </cell>
          <cell r="D1958" t="str">
            <v>AZSUW Warszawa</v>
          </cell>
        </row>
        <row r="1959">
          <cell r="A1959" t="str">
            <v>S1093</v>
          </cell>
          <cell r="B1959" t="str">
            <v>Mariusz</v>
          </cell>
          <cell r="C1959" t="str">
            <v>SZMONIEWSKI</v>
          </cell>
          <cell r="D1959" t="str">
            <v>----</v>
          </cell>
        </row>
        <row r="1960">
          <cell r="A1960" t="str">
            <v>S3751</v>
          </cell>
          <cell r="B1960" t="str">
            <v>Karolina</v>
          </cell>
          <cell r="C1960" t="str">
            <v>SZNUROWSKA</v>
          </cell>
          <cell r="D1960" t="str">
            <v>UKS 2 Sobótka</v>
          </cell>
        </row>
        <row r="1961">
          <cell r="A1961" t="str">
            <v>S4592</v>
          </cell>
          <cell r="B1961" t="str">
            <v>Hubert</v>
          </cell>
          <cell r="C1961" t="str">
            <v>SZNYTER</v>
          </cell>
          <cell r="D1961" t="str">
            <v>ZKB Maced Polanów</v>
          </cell>
        </row>
        <row r="1962">
          <cell r="A1962" t="str">
            <v>S3748</v>
          </cell>
          <cell r="B1962" t="str">
            <v>Adam</v>
          </cell>
          <cell r="C1962" t="str">
            <v>SZOLC</v>
          </cell>
          <cell r="D1962" t="str">
            <v>KS Hubertus Zalesie Górne</v>
          </cell>
        </row>
        <row r="1963">
          <cell r="A1963" t="str">
            <v>S3371</v>
          </cell>
          <cell r="B1963" t="str">
            <v>Tomasz</v>
          </cell>
          <cell r="C1963" t="str">
            <v>SZOŁDRA</v>
          </cell>
          <cell r="D1963" t="str">
            <v>MKS Orlicz Suchedniów</v>
          </cell>
        </row>
        <row r="1964">
          <cell r="A1964" t="str">
            <v>S5352</v>
          </cell>
          <cell r="B1964" t="str">
            <v>Jakub</v>
          </cell>
          <cell r="C1964" t="str">
            <v>SZPINDA</v>
          </cell>
          <cell r="D1964" t="str">
            <v>UKS Kiko Zamość</v>
          </cell>
        </row>
        <row r="1965">
          <cell r="A1965" t="str">
            <v>S4940</v>
          </cell>
          <cell r="B1965" t="str">
            <v>Kamila</v>
          </cell>
          <cell r="C1965" t="str">
            <v>SZPINDA</v>
          </cell>
          <cell r="D1965" t="str">
            <v>UKS Kiko Zamość</v>
          </cell>
        </row>
        <row r="1966">
          <cell r="A1966" t="str">
            <v>S5513</v>
          </cell>
          <cell r="B1966" t="str">
            <v>Jacek</v>
          </cell>
          <cell r="C1966" t="str">
            <v>SZUBERT</v>
          </cell>
          <cell r="D1966" t="str">
            <v>----</v>
          </cell>
        </row>
        <row r="1967">
          <cell r="A1967" t="str">
            <v>S4730</v>
          </cell>
          <cell r="B1967" t="str">
            <v>Karolina</v>
          </cell>
          <cell r="C1967" t="str">
            <v>SZUBERT</v>
          </cell>
          <cell r="D1967" t="str">
            <v>KS Match Point Ślęza</v>
          </cell>
        </row>
        <row r="1968">
          <cell r="A1968" t="str">
            <v>S3365</v>
          </cell>
          <cell r="B1968" t="str">
            <v>Bartosz</v>
          </cell>
          <cell r="C1968" t="str">
            <v>SZUKAŁA</v>
          </cell>
          <cell r="D1968" t="str">
            <v>UKS Orkan Przeźmierowo</v>
          </cell>
        </row>
        <row r="1969">
          <cell r="A1969" t="str">
            <v>S3189</v>
          </cell>
          <cell r="B1969" t="str">
            <v>Jakub</v>
          </cell>
          <cell r="C1969" t="str">
            <v>SZUKAŁA</v>
          </cell>
          <cell r="D1969" t="str">
            <v>UKS Orkan Przeźmierowo</v>
          </cell>
        </row>
        <row r="1970">
          <cell r="A1970" t="str">
            <v>S5070</v>
          </cell>
          <cell r="B1970" t="str">
            <v>Kamila</v>
          </cell>
          <cell r="C1970" t="str">
            <v>SZUL</v>
          </cell>
          <cell r="D1970" t="str">
            <v>UKSB Volant Mielec</v>
          </cell>
        </row>
        <row r="1971">
          <cell r="A1971" t="str">
            <v>S5330</v>
          </cell>
          <cell r="B1971" t="str">
            <v>Kacper</v>
          </cell>
          <cell r="C1971" t="str">
            <v>SZULIŃSKI</v>
          </cell>
          <cell r="D1971" t="str">
            <v>UKS 70 Płock</v>
          </cell>
        </row>
        <row r="1972">
          <cell r="A1972" t="str">
            <v>S5773</v>
          </cell>
          <cell r="B1972" t="str">
            <v>Jakub</v>
          </cell>
          <cell r="C1972" t="str">
            <v>SZUMOWSKI</v>
          </cell>
          <cell r="D1972" t="str">
            <v>UKS Kiko Zamość</v>
          </cell>
        </row>
        <row r="1973">
          <cell r="A1973" t="str">
            <v>S4566</v>
          </cell>
          <cell r="B1973" t="str">
            <v>Konrad</v>
          </cell>
          <cell r="C1973" t="str">
            <v>SZWABCZYŃSKI</v>
          </cell>
          <cell r="D1973" t="str">
            <v>UKS Hubal Białystok</v>
          </cell>
        </row>
        <row r="1974">
          <cell r="A1974" t="str">
            <v>S5495</v>
          </cell>
          <cell r="B1974" t="str">
            <v>Włodzimierz</v>
          </cell>
          <cell r="C1974" t="str">
            <v>SZWACKI</v>
          </cell>
          <cell r="D1974" t="str">
            <v>KB Vol-Trick Kępno</v>
          </cell>
        </row>
        <row r="1975">
          <cell r="A1975" t="str">
            <v>S3540</v>
          </cell>
          <cell r="B1975" t="str">
            <v>Lena</v>
          </cell>
          <cell r="C1975" t="str">
            <v>SZWED</v>
          </cell>
          <cell r="D1975" t="str">
            <v>ZKB Maced Polanów</v>
          </cell>
        </row>
        <row r="1976">
          <cell r="A1976" t="str">
            <v>S3541</v>
          </cell>
          <cell r="B1976" t="str">
            <v>Patryk</v>
          </cell>
          <cell r="C1976" t="str">
            <v>SZWED</v>
          </cell>
          <cell r="D1976" t="str">
            <v>ZKB Maced Polanów</v>
          </cell>
        </row>
        <row r="1977">
          <cell r="A1977" t="str">
            <v>S4547</v>
          </cell>
          <cell r="B1977" t="str">
            <v>Aleksandra</v>
          </cell>
          <cell r="C1977" t="str">
            <v>SZWEDA</v>
          </cell>
          <cell r="D1977" t="str">
            <v>MKB Lednik Miastko</v>
          </cell>
        </row>
        <row r="1978">
          <cell r="A1978" t="str">
            <v>S4544</v>
          </cell>
          <cell r="B1978" t="str">
            <v>Paweł</v>
          </cell>
          <cell r="C1978" t="str">
            <v>SZWEDA</v>
          </cell>
          <cell r="D1978" t="str">
            <v>MKB Lednik Miastko</v>
          </cell>
        </row>
        <row r="1979">
          <cell r="A1979" t="str">
            <v>S2366</v>
          </cell>
          <cell r="B1979" t="str">
            <v>Mateusz</v>
          </cell>
          <cell r="C1979" t="str">
            <v>SZWEJKOWSKI</v>
          </cell>
          <cell r="D1979" t="str">
            <v>SKB Suwałki</v>
          </cell>
        </row>
        <row r="1980">
          <cell r="A1980" t="str">
            <v>S5334</v>
          </cell>
          <cell r="B1980" t="str">
            <v>Sara</v>
          </cell>
          <cell r="C1980" t="str">
            <v>SZYBIAK</v>
          </cell>
          <cell r="D1980" t="str">
            <v>UMKS Dubiecko</v>
          </cell>
        </row>
        <row r="1981">
          <cell r="A1981" t="str">
            <v>S5464</v>
          </cell>
          <cell r="B1981" t="str">
            <v>Karolina</v>
          </cell>
          <cell r="C1981" t="str">
            <v>SZYCA</v>
          </cell>
          <cell r="D1981" t="str">
            <v>MKB Lednik Miastko</v>
          </cell>
        </row>
        <row r="1982">
          <cell r="A1982" t="str">
            <v>S4215</v>
          </cell>
          <cell r="B1982" t="str">
            <v>Cezary</v>
          </cell>
          <cell r="C1982" t="str">
            <v>SZYCHULEC</v>
          </cell>
          <cell r="D1982" t="str">
            <v>MUKS 5 Chełm</v>
          </cell>
        </row>
        <row r="1983">
          <cell r="A1983" t="str">
            <v>S5761</v>
          </cell>
          <cell r="B1983" t="str">
            <v>Dominik</v>
          </cell>
          <cell r="C1983" t="str">
            <v>SZYDA</v>
          </cell>
          <cell r="D1983" t="str">
            <v>UKS Junior Wrzosowa</v>
          </cell>
        </row>
        <row r="1984">
          <cell r="A1984" t="str">
            <v>S5762</v>
          </cell>
          <cell r="B1984" t="str">
            <v>Patryk</v>
          </cell>
          <cell r="C1984" t="str">
            <v>SZYDA</v>
          </cell>
          <cell r="D1984" t="str">
            <v>UKS Junior Wrzosowa</v>
          </cell>
        </row>
        <row r="1985">
          <cell r="A1985" t="str">
            <v>S3316</v>
          </cell>
          <cell r="B1985" t="str">
            <v>Artur</v>
          </cell>
          <cell r="C1985" t="str">
            <v>SZYDŁOWSKI</v>
          </cell>
          <cell r="D1985" t="str">
            <v>MKS Spartakus Niepołomice</v>
          </cell>
        </row>
        <row r="1986">
          <cell r="A1986" t="str">
            <v>S4619</v>
          </cell>
          <cell r="B1986" t="str">
            <v>Dawid</v>
          </cell>
          <cell r="C1986" t="str">
            <v>SZYDŁOWSKI</v>
          </cell>
          <cell r="D1986" t="str">
            <v>SLKS Tramp Orneta</v>
          </cell>
        </row>
        <row r="1987">
          <cell r="A1987" t="str">
            <v>S2312</v>
          </cell>
          <cell r="B1987" t="str">
            <v>Mateusz</v>
          </cell>
          <cell r="C1987" t="str">
            <v>SZYDŁOWSKI</v>
          </cell>
          <cell r="D1987" t="str">
            <v>LKS Technik Głubczyce</v>
          </cell>
        </row>
        <row r="1988">
          <cell r="A1988" t="str">
            <v>S2695</v>
          </cell>
          <cell r="B1988" t="str">
            <v>Przemysław</v>
          </cell>
          <cell r="C1988" t="str">
            <v>SZYDŁOWSKI</v>
          </cell>
          <cell r="D1988" t="str">
            <v>LKS Technik Głubczyce</v>
          </cell>
        </row>
        <row r="1989">
          <cell r="A1989" t="str">
            <v>S3604</v>
          </cell>
          <cell r="B1989" t="str">
            <v>Przemysław</v>
          </cell>
          <cell r="C1989" t="str">
            <v>SZYDZIAK</v>
          </cell>
          <cell r="D1989" t="str">
            <v>UKS Smecz Bogatynia</v>
          </cell>
        </row>
        <row r="1990">
          <cell r="A1990" t="str">
            <v>S5392</v>
          </cell>
          <cell r="B1990" t="str">
            <v>Klaudia</v>
          </cell>
          <cell r="C1990" t="str">
            <v>SZYKUŁA</v>
          </cell>
          <cell r="D1990" t="str">
            <v>UKS Kiko Zamość</v>
          </cell>
        </row>
        <row r="1991">
          <cell r="A1991" t="str">
            <v>S5339</v>
          </cell>
          <cell r="B1991" t="str">
            <v>Bartosz</v>
          </cell>
          <cell r="C1991" t="str">
            <v>SZYMAJDA</v>
          </cell>
          <cell r="D1991" t="str">
            <v>UKS 2 Sobótka</v>
          </cell>
        </row>
        <row r="1992">
          <cell r="A1992" t="str">
            <v>S5832</v>
          </cell>
          <cell r="B1992" t="str">
            <v>Mikołaj</v>
          </cell>
          <cell r="C1992" t="str">
            <v>SZYMANOWSKI</v>
          </cell>
          <cell r="D1992" t="str">
            <v>----</v>
          </cell>
        </row>
        <row r="1993">
          <cell r="A1993" t="str">
            <v>S5479</v>
          </cell>
          <cell r="B1993" t="str">
            <v>Aleksandra</v>
          </cell>
          <cell r="C1993" t="str">
            <v>SZYMAŃSKA</v>
          </cell>
          <cell r="D1993" t="str">
            <v>UKSB Milenium Warszawa</v>
          </cell>
        </row>
        <row r="1994">
          <cell r="A1994" t="str">
            <v>S0740</v>
          </cell>
          <cell r="B1994" t="str">
            <v>Anna</v>
          </cell>
          <cell r="C1994" t="str">
            <v>SZYMAŃSKA</v>
          </cell>
          <cell r="D1994" t="str">
            <v>AZSUW Warszawa</v>
          </cell>
        </row>
        <row r="1995">
          <cell r="A1995" t="str">
            <v>S4370</v>
          </cell>
          <cell r="B1995" t="str">
            <v>Hanna</v>
          </cell>
          <cell r="C1995" t="str">
            <v>SZYMAŃSKA</v>
          </cell>
          <cell r="D1995" t="str">
            <v>STB Energia Lubliniec</v>
          </cell>
        </row>
        <row r="1996">
          <cell r="A1996" t="str">
            <v>S4609</v>
          </cell>
          <cell r="B1996" t="str">
            <v>Jolanta</v>
          </cell>
          <cell r="C1996" t="str">
            <v>SZYMAŃSKA</v>
          </cell>
          <cell r="D1996" t="str">
            <v>SKB Suwałki</v>
          </cell>
        </row>
        <row r="1997">
          <cell r="A1997" t="str">
            <v>S4608</v>
          </cell>
          <cell r="B1997" t="str">
            <v>Maria</v>
          </cell>
          <cell r="C1997" t="str">
            <v>SZYMAŃSKA</v>
          </cell>
          <cell r="D1997" t="str">
            <v>SKB Suwałki</v>
          </cell>
        </row>
        <row r="1998">
          <cell r="A1998" t="str">
            <v>S4168</v>
          </cell>
          <cell r="B1998" t="str">
            <v>Agnieszka</v>
          </cell>
          <cell r="C1998" t="str">
            <v>SZYMASZEK</v>
          </cell>
          <cell r="D1998" t="str">
            <v>UKS Orbitek Straszęcin</v>
          </cell>
        </row>
        <row r="1999">
          <cell r="A1999" t="str">
            <v>S3401</v>
          </cell>
          <cell r="B1999" t="str">
            <v>Michał</v>
          </cell>
          <cell r="C1999" t="str">
            <v>SZYMCZAK</v>
          </cell>
          <cell r="D1999" t="str">
            <v>KS Chojnik Jelenia Góra</v>
          </cell>
        </row>
        <row r="2000">
          <cell r="A2000" t="str">
            <v>S5574</v>
          </cell>
          <cell r="B2000" t="str">
            <v>Michał</v>
          </cell>
          <cell r="C2000" t="str">
            <v>SZYMCZYK</v>
          </cell>
          <cell r="D2000" t="str">
            <v>PMKS Chrobry Piotrowice</v>
          </cell>
        </row>
        <row r="2001">
          <cell r="A2001" t="str">
            <v>S2265</v>
          </cell>
          <cell r="B2001" t="str">
            <v>Dariusz</v>
          </cell>
          <cell r="C2001" t="str">
            <v>SZYMKIEWICZ</v>
          </cell>
          <cell r="D2001" t="str">
            <v>----</v>
          </cell>
        </row>
        <row r="2002">
          <cell r="A2002" t="str">
            <v>S1830</v>
          </cell>
          <cell r="B2002" t="str">
            <v>Patryk</v>
          </cell>
          <cell r="C2002" t="str">
            <v>SZYMONIAK</v>
          </cell>
          <cell r="D2002" t="str">
            <v>UKS Hubal Białystok</v>
          </cell>
        </row>
        <row r="2003">
          <cell r="A2003" t="str">
            <v>S4727</v>
          </cell>
          <cell r="B2003" t="str">
            <v>Patryk</v>
          </cell>
          <cell r="C2003" t="str">
            <v>SZYNISZEWSKI</v>
          </cell>
          <cell r="D2003" t="str">
            <v>UKS Kopernik Słupca</v>
          </cell>
        </row>
        <row r="2004">
          <cell r="A2004" t="str">
            <v>S5311</v>
          </cell>
          <cell r="B2004" t="str">
            <v>Krystian</v>
          </cell>
          <cell r="C2004" t="str">
            <v>SZYSZKA</v>
          </cell>
          <cell r="D2004" t="str">
            <v>MMKS Gdańsk</v>
          </cell>
        </row>
        <row r="2005">
          <cell r="A2005" t="str">
            <v>Ś5923</v>
          </cell>
          <cell r="B2005" t="str">
            <v>Irmina</v>
          </cell>
          <cell r="C2005" t="str">
            <v>ŚCIĘŻOR</v>
          </cell>
          <cell r="D2005" t="str">
            <v>MKSKSOS Kraków</v>
          </cell>
        </row>
        <row r="2006">
          <cell r="A2006" t="str">
            <v>Ś3865</v>
          </cell>
          <cell r="B2006" t="str">
            <v>Ernest</v>
          </cell>
          <cell r="C2006" t="str">
            <v>ŚCIPIEŃ</v>
          </cell>
          <cell r="D2006" t="str">
            <v>MKS Stal Nowa Dęba</v>
          </cell>
        </row>
        <row r="2007">
          <cell r="A2007" t="str">
            <v>Ś4906</v>
          </cell>
          <cell r="B2007" t="str">
            <v>Karol</v>
          </cell>
          <cell r="C2007" t="str">
            <v>ŚLEPECKI</v>
          </cell>
          <cell r="D2007" t="str">
            <v>LKS Technik Głubczyce</v>
          </cell>
        </row>
        <row r="2008">
          <cell r="A2008" t="str">
            <v>Ś5585</v>
          </cell>
          <cell r="B2008" t="str">
            <v>Szymon</v>
          </cell>
          <cell r="C2008" t="str">
            <v>ŚLEPECKI</v>
          </cell>
          <cell r="D2008" t="str">
            <v>LKS Technik Głubczyce</v>
          </cell>
        </row>
        <row r="2009">
          <cell r="A2009" t="str">
            <v>Ś3664</v>
          </cell>
          <cell r="B2009" t="str">
            <v>Gabriela</v>
          </cell>
          <cell r="C2009" t="str">
            <v>ŚLISZ</v>
          </cell>
          <cell r="D2009" t="str">
            <v>UKS Orbitek Straszęcin</v>
          </cell>
        </row>
        <row r="2010">
          <cell r="A2010" t="str">
            <v>Ś2657</v>
          </cell>
          <cell r="B2010" t="str">
            <v>Michał</v>
          </cell>
          <cell r="C2010" t="str">
            <v>ŚLIŻEWSKI</v>
          </cell>
          <cell r="D2010" t="str">
            <v>MLKS Solec Kuj.</v>
          </cell>
        </row>
        <row r="2011">
          <cell r="A2011" t="str">
            <v>Ś3199</v>
          </cell>
          <cell r="B2011" t="str">
            <v>Anna</v>
          </cell>
          <cell r="C2011" t="str">
            <v>ŚLUSARCZYK</v>
          </cell>
          <cell r="D2011" t="str">
            <v>SKB Piast Słupsk</v>
          </cell>
        </row>
        <row r="2012">
          <cell r="A2012" t="str">
            <v>Ś4458</v>
          </cell>
          <cell r="B2012" t="str">
            <v>Mateusz</v>
          </cell>
          <cell r="C2012" t="str">
            <v>ŚLUSARCZYK</v>
          </cell>
          <cell r="D2012" t="str">
            <v>MKS Orlicz Suchedniów</v>
          </cell>
        </row>
        <row r="2013">
          <cell r="A2013" t="str">
            <v>Ś4462</v>
          </cell>
          <cell r="B2013" t="str">
            <v>Michał</v>
          </cell>
          <cell r="C2013" t="str">
            <v>ŚLUSARCZYK</v>
          </cell>
          <cell r="D2013" t="str">
            <v>MKS Orlicz Suchedniów</v>
          </cell>
        </row>
        <row r="2014">
          <cell r="A2014" t="str">
            <v>Ś5428</v>
          </cell>
          <cell r="B2014" t="str">
            <v>Patryk</v>
          </cell>
          <cell r="C2014" t="str">
            <v>ŚLUSARCZYK</v>
          </cell>
          <cell r="D2014" t="str">
            <v>MKS Orlicz Suchedniów</v>
          </cell>
        </row>
        <row r="2015">
          <cell r="A2015" t="str">
            <v>Ś4031</v>
          </cell>
          <cell r="B2015" t="str">
            <v>Wiktoria</v>
          </cell>
          <cell r="C2015" t="str">
            <v>ŚLUSARCZYK</v>
          </cell>
          <cell r="D2015" t="str">
            <v>MKS Orlicz Suchedniów</v>
          </cell>
        </row>
        <row r="2016">
          <cell r="A2016" t="str">
            <v>Ś4562</v>
          </cell>
          <cell r="B2016" t="str">
            <v>Daniel</v>
          </cell>
          <cell r="C2016" t="str">
            <v>ŚMIAŁECKI</v>
          </cell>
          <cell r="D2016" t="str">
            <v>UKS 70 Płock</v>
          </cell>
        </row>
        <row r="2017">
          <cell r="A2017" t="str">
            <v>Ś4988</v>
          </cell>
          <cell r="B2017" t="str">
            <v>Robert</v>
          </cell>
          <cell r="C2017" t="str">
            <v>ŚMIERZCHALSKI</v>
          </cell>
          <cell r="D2017" t="str">
            <v>----</v>
          </cell>
        </row>
        <row r="2018">
          <cell r="A2018" t="str">
            <v>Ś5095</v>
          </cell>
          <cell r="B2018" t="str">
            <v>Krzysztof</v>
          </cell>
          <cell r="C2018" t="str">
            <v>ŚMIŁOWSKI</v>
          </cell>
          <cell r="D2018" t="str">
            <v>----</v>
          </cell>
        </row>
        <row r="2019">
          <cell r="A2019" t="str">
            <v>Ś2361</v>
          </cell>
          <cell r="B2019" t="str">
            <v>Michał</v>
          </cell>
          <cell r="C2019" t="str">
            <v>ŚMIŁOWSKI</v>
          </cell>
          <cell r="D2019" t="str">
            <v>UKS Hubal Białystok</v>
          </cell>
        </row>
        <row r="2020">
          <cell r="A2020" t="str">
            <v>Ś3163</v>
          </cell>
          <cell r="B2020" t="str">
            <v>Paweł</v>
          </cell>
          <cell r="C2020" t="str">
            <v>ŚMIŁOWSKI</v>
          </cell>
          <cell r="D2020" t="str">
            <v>UKS Hubal Białystok</v>
          </cell>
        </row>
        <row r="2021">
          <cell r="A2021" t="str">
            <v>Ś0634</v>
          </cell>
          <cell r="B2021" t="str">
            <v>Małgorzata</v>
          </cell>
          <cell r="C2021" t="str">
            <v>ŚREDNICKA</v>
          </cell>
          <cell r="D2021" t="str">
            <v>----</v>
          </cell>
        </row>
        <row r="2022">
          <cell r="A2022" t="str">
            <v>Ś4470</v>
          </cell>
          <cell r="B2022" t="str">
            <v>Aleksandra</v>
          </cell>
          <cell r="C2022" t="str">
            <v>ŚWIĄTEK</v>
          </cell>
          <cell r="D2022" t="str">
            <v>UKS 70 Płock</v>
          </cell>
        </row>
        <row r="2023">
          <cell r="A2023" t="str">
            <v>Ś5230</v>
          </cell>
          <cell r="B2023" t="str">
            <v>Klaudia</v>
          </cell>
          <cell r="C2023" t="str">
            <v>ŚWIĄTEK</v>
          </cell>
          <cell r="D2023" t="str">
            <v>UKS Orbitek Straszęcin</v>
          </cell>
        </row>
        <row r="2024">
          <cell r="A2024" t="str">
            <v>Ś3779</v>
          </cell>
          <cell r="B2024" t="str">
            <v>Magdalena</v>
          </cell>
          <cell r="C2024" t="str">
            <v>ŚWIERCZYŃSKA</v>
          </cell>
          <cell r="D2024" t="str">
            <v>UKS Orkan Przeźmierowo</v>
          </cell>
        </row>
        <row r="2025">
          <cell r="A2025" t="str">
            <v>Ś2592</v>
          </cell>
          <cell r="B2025" t="str">
            <v>Mateusz</v>
          </cell>
          <cell r="C2025" t="str">
            <v>ŚWIERCZYŃSKI</v>
          </cell>
          <cell r="D2025" t="str">
            <v>UKS Orkan Przeźmierowo</v>
          </cell>
        </row>
        <row r="2026">
          <cell r="A2026" t="str">
            <v>Ś5003</v>
          </cell>
          <cell r="B2026" t="str">
            <v>Norbert</v>
          </cell>
          <cell r="C2026" t="str">
            <v>ŚWIERK</v>
          </cell>
          <cell r="D2026" t="str">
            <v>UKS Aktywna Piątka Przemyśl</v>
          </cell>
        </row>
        <row r="2027">
          <cell r="A2027" t="str">
            <v>Ś1402</v>
          </cell>
          <cell r="B2027" t="str">
            <v>Agata</v>
          </cell>
          <cell r="C2027" t="str">
            <v>ŚWIST</v>
          </cell>
          <cell r="D2027" t="str">
            <v>UKS Kiko Zamość</v>
          </cell>
        </row>
        <row r="2028">
          <cell r="A2028" t="str">
            <v>Ś5353</v>
          </cell>
          <cell r="B2028" t="str">
            <v>Maciej</v>
          </cell>
          <cell r="C2028" t="str">
            <v>ŚWISZCZ</v>
          </cell>
          <cell r="D2028" t="str">
            <v>UKS Kiko Zamość</v>
          </cell>
        </row>
        <row r="2029">
          <cell r="A2029" t="str">
            <v>Ś5382</v>
          </cell>
          <cell r="B2029" t="str">
            <v>Wiktoria</v>
          </cell>
          <cell r="C2029" t="str">
            <v>ŚWITEK</v>
          </cell>
          <cell r="D2029" t="str">
            <v>MKS Orlicz Suchedniów</v>
          </cell>
        </row>
        <row r="2030">
          <cell r="A2030" t="str">
            <v>T3494</v>
          </cell>
          <cell r="B2030" t="str">
            <v>Rafał</v>
          </cell>
          <cell r="C2030" t="str">
            <v>TALAGA</v>
          </cell>
          <cell r="D2030" t="str">
            <v>KKS Ruch Piotrków Tryb.</v>
          </cell>
        </row>
        <row r="2031">
          <cell r="A2031" t="str">
            <v>T2190</v>
          </cell>
          <cell r="B2031" t="str">
            <v>Edyta</v>
          </cell>
          <cell r="C2031" t="str">
            <v>TARASEWICZ</v>
          </cell>
          <cell r="D2031" t="str">
            <v>UKS Hubal Białystok</v>
          </cell>
        </row>
        <row r="2032">
          <cell r="A2032" t="str">
            <v>T3167</v>
          </cell>
          <cell r="B2032" t="str">
            <v>Maria</v>
          </cell>
          <cell r="C2032" t="str">
            <v>TARASZKIEWICZ</v>
          </cell>
          <cell r="D2032" t="str">
            <v>SKB Suwałki</v>
          </cell>
        </row>
        <row r="2033">
          <cell r="A2033" t="str">
            <v>T3157</v>
          </cell>
          <cell r="B2033" t="str">
            <v>Adrianna</v>
          </cell>
          <cell r="C2033" t="str">
            <v>TATAJ</v>
          </cell>
          <cell r="D2033" t="str">
            <v>UKSB Milenium Warszawa</v>
          </cell>
        </row>
        <row r="2034">
          <cell r="A2034" t="str">
            <v>T4823</v>
          </cell>
          <cell r="B2034" t="str">
            <v>Sandra</v>
          </cell>
          <cell r="C2034" t="str">
            <v>TATARELIS</v>
          </cell>
          <cell r="D2034" t="str">
            <v>UKS Kiko Zamość</v>
          </cell>
        </row>
        <row r="2035">
          <cell r="A2035" t="str">
            <v>T3780</v>
          </cell>
          <cell r="B2035" t="str">
            <v>Zuzanna</v>
          </cell>
          <cell r="C2035" t="str">
            <v>TECŁAW</v>
          </cell>
          <cell r="D2035" t="str">
            <v>UKS Orkan Przeźmierowo</v>
          </cell>
        </row>
        <row r="2036">
          <cell r="A2036" t="str">
            <v>T4723</v>
          </cell>
          <cell r="B2036" t="str">
            <v>Dominik</v>
          </cell>
          <cell r="C2036" t="str">
            <v>TELAKOWIEC</v>
          </cell>
          <cell r="D2036" t="str">
            <v>KS Hubertus Zalesie Górne</v>
          </cell>
        </row>
        <row r="2037">
          <cell r="A2037" t="str">
            <v>T3691</v>
          </cell>
          <cell r="B2037" t="str">
            <v>Jakub</v>
          </cell>
          <cell r="C2037" t="str">
            <v>TEMBIKOWSKI</v>
          </cell>
          <cell r="D2037" t="str">
            <v>UKS Badminton Stare Babice</v>
          </cell>
        </row>
        <row r="2038">
          <cell r="A2038" t="str">
            <v>T4405</v>
          </cell>
          <cell r="B2038" t="str">
            <v>Maciej</v>
          </cell>
          <cell r="C2038" t="str">
            <v>TKACZ</v>
          </cell>
          <cell r="D2038" t="str">
            <v>KS Chojnik Jelenia Góra</v>
          </cell>
        </row>
        <row r="2039">
          <cell r="A2039" t="str">
            <v>T4594</v>
          </cell>
          <cell r="B2039" t="str">
            <v>Wiktoria</v>
          </cell>
          <cell r="C2039" t="str">
            <v>TOBISZ</v>
          </cell>
          <cell r="D2039" t="str">
            <v>ZKB Maced Polanów</v>
          </cell>
        </row>
        <row r="2040">
          <cell r="A2040" t="str">
            <v>T1478</v>
          </cell>
          <cell r="B2040" t="str">
            <v>Jan</v>
          </cell>
          <cell r="C2040" t="str">
            <v>TOCZEK</v>
          </cell>
          <cell r="D2040" t="str">
            <v>----</v>
          </cell>
        </row>
        <row r="2041">
          <cell r="A2041" t="str">
            <v>T4232</v>
          </cell>
          <cell r="B2041" t="str">
            <v>Klaudia</v>
          </cell>
          <cell r="C2041" t="str">
            <v>TOLKA</v>
          </cell>
          <cell r="D2041" t="str">
            <v>UKS 70 Płock</v>
          </cell>
        </row>
        <row r="2042">
          <cell r="A2042" t="str">
            <v>T5222</v>
          </cell>
          <cell r="B2042" t="str">
            <v>Miriam</v>
          </cell>
          <cell r="C2042" t="str">
            <v>TOMALA</v>
          </cell>
          <cell r="D2042" t="str">
            <v>UKS Unia Bieruń</v>
          </cell>
        </row>
        <row r="2043">
          <cell r="A2043" t="str">
            <v>T3347</v>
          </cell>
          <cell r="B2043" t="str">
            <v>Agata</v>
          </cell>
          <cell r="C2043" t="str">
            <v>TOMASZEWSKA</v>
          </cell>
          <cell r="D2043" t="str">
            <v>UKS Siódemka Świebodzin</v>
          </cell>
        </row>
        <row r="2044">
          <cell r="A2044" t="str">
            <v>T5138</v>
          </cell>
          <cell r="B2044" t="str">
            <v>Aleksandra</v>
          </cell>
          <cell r="C2044" t="str">
            <v>TOMASZEWSKA</v>
          </cell>
          <cell r="D2044" t="str">
            <v>UKS 70 Płock</v>
          </cell>
        </row>
        <row r="2045">
          <cell r="A2045" t="str">
            <v>T4874</v>
          </cell>
          <cell r="B2045" t="str">
            <v>Weronika</v>
          </cell>
          <cell r="C2045" t="str">
            <v>TOMASZEWSKA</v>
          </cell>
          <cell r="D2045" t="str">
            <v>MMKS Gdańsk</v>
          </cell>
        </row>
        <row r="2046">
          <cell r="A2046" t="str">
            <v>T3923</v>
          </cell>
          <cell r="B2046" t="str">
            <v>Paweł</v>
          </cell>
          <cell r="C2046" t="str">
            <v>TOMASZEWSKI</v>
          </cell>
          <cell r="D2046" t="str">
            <v>MKS Orlicz Suchedniów</v>
          </cell>
        </row>
        <row r="2047">
          <cell r="A2047" t="str">
            <v>T3924</v>
          </cell>
          <cell r="B2047" t="str">
            <v>Piotr</v>
          </cell>
          <cell r="C2047" t="str">
            <v>TOMASZEWSKI</v>
          </cell>
          <cell r="D2047" t="str">
            <v>MKS Orlicz Suchedniów</v>
          </cell>
        </row>
        <row r="2048">
          <cell r="A2048" t="str">
            <v>T4384</v>
          </cell>
          <cell r="B2048" t="str">
            <v>Agata</v>
          </cell>
          <cell r="C2048" t="str">
            <v>TOMCZAK</v>
          </cell>
          <cell r="D2048" t="str">
            <v>OTB Lotka Ostrów Wlkp.</v>
          </cell>
        </row>
        <row r="2049">
          <cell r="A2049" t="str">
            <v>T5150</v>
          </cell>
          <cell r="B2049" t="str">
            <v>Zofia</v>
          </cell>
          <cell r="C2049" t="str">
            <v>TOMCZAK</v>
          </cell>
          <cell r="D2049" t="str">
            <v>AZSWAT Warszawa</v>
          </cell>
        </row>
        <row r="2050">
          <cell r="A2050" t="str">
            <v>T1959</v>
          </cell>
          <cell r="B2050" t="str">
            <v>Izabela</v>
          </cell>
          <cell r="C2050" t="str">
            <v>TOMCZYK</v>
          </cell>
          <cell r="D2050" t="str">
            <v>MKS Stal Nowa Dęba</v>
          </cell>
        </row>
        <row r="2051">
          <cell r="A2051" t="str">
            <v>T5294</v>
          </cell>
          <cell r="B2051" t="str">
            <v>Klaudia</v>
          </cell>
          <cell r="C2051" t="str">
            <v>TOMCZYK</v>
          </cell>
          <cell r="D2051" t="str">
            <v>UKSB Volant Mielec</v>
          </cell>
        </row>
        <row r="2052">
          <cell r="A2052" t="str">
            <v>T5763</v>
          </cell>
          <cell r="B2052" t="str">
            <v>Zofia</v>
          </cell>
          <cell r="C2052" t="str">
            <v>TOMCZYK</v>
          </cell>
          <cell r="D2052" t="str">
            <v>MKS Stal Nowa Dęba</v>
          </cell>
        </row>
        <row r="2053">
          <cell r="A2053" t="str">
            <v>T1498</v>
          </cell>
          <cell r="B2053" t="str">
            <v>Mariusz</v>
          </cell>
          <cell r="C2053" t="str">
            <v>TOMECKI</v>
          </cell>
          <cell r="D2053" t="str">
            <v>AZSAGH Kraków</v>
          </cell>
        </row>
        <row r="2054">
          <cell r="A2054" t="str">
            <v>T2139</v>
          </cell>
          <cell r="B2054" t="str">
            <v>Przemysław</v>
          </cell>
          <cell r="C2054" t="str">
            <v>TOMECKI</v>
          </cell>
          <cell r="D2054" t="str">
            <v>AZSAGH Kraków</v>
          </cell>
        </row>
        <row r="2055">
          <cell r="A2055" t="str">
            <v>T3929</v>
          </cell>
          <cell r="B2055" t="str">
            <v>Oliwia</v>
          </cell>
          <cell r="C2055" t="str">
            <v>TOMPOROWSKA</v>
          </cell>
          <cell r="D2055" t="str">
            <v>MLKS Solec Kuj.</v>
          </cell>
        </row>
        <row r="2056">
          <cell r="A2056" t="str">
            <v>T4761</v>
          </cell>
          <cell r="B2056" t="str">
            <v>Oskar</v>
          </cell>
          <cell r="C2056" t="str">
            <v>TOMPOROWSKI</v>
          </cell>
          <cell r="D2056" t="str">
            <v>MLKS Solec Kuj.</v>
          </cell>
        </row>
        <row r="2057">
          <cell r="A2057" t="str">
            <v>T2945</v>
          </cell>
          <cell r="B2057" t="str">
            <v>Tomasz</v>
          </cell>
          <cell r="C2057" t="str">
            <v>TOMŻA</v>
          </cell>
          <cell r="D2057" t="str">
            <v>UKS Plesbad Pszczyna</v>
          </cell>
        </row>
        <row r="2058">
          <cell r="A2058" t="str">
            <v>T3173</v>
          </cell>
          <cell r="B2058" t="str">
            <v>Michał</v>
          </cell>
          <cell r="C2058" t="str">
            <v>TRACZ</v>
          </cell>
          <cell r="D2058" t="str">
            <v>MKS Garwolin</v>
          </cell>
        </row>
        <row r="2059">
          <cell r="A2059" t="str">
            <v>T5943</v>
          </cell>
          <cell r="B2059" t="str">
            <v>Paulina</v>
          </cell>
          <cell r="C2059" t="str">
            <v>TRAN MAY PHUONG</v>
          </cell>
          <cell r="D2059" t="str">
            <v>UKSB Milenium Warszawa</v>
          </cell>
        </row>
        <row r="2060">
          <cell r="A2060" t="str">
            <v>T3498</v>
          </cell>
          <cell r="B2060" t="str">
            <v>Agata</v>
          </cell>
          <cell r="C2060" t="str">
            <v>TRAWICKA</v>
          </cell>
          <cell r="D2060" t="str">
            <v>ULKS U-2 Lotka Bytów</v>
          </cell>
        </row>
        <row r="2061">
          <cell r="A2061" t="str">
            <v>T5801</v>
          </cell>
          <cell r="B2061" t="str">
            <v>Wiktor</v>
          </cell>
          <cell r="C2061" t="str">
            <v>TRECKI</v>
          </cell>
          <cell r="D2061" t="str">
            <v>UKS Unia Bieruń</v>
          </cell>
        </row>
        <row r="2062">
          <cell r="A2062" t="str">
            <v>T4990</v>
          </cell>
          <cell r="B2062" t="str">
            <v>Tomasz</v>
          </cell>
          <cell r="C2062" t="str">
            <v>TRĘBICKI</v>
          </cell>
          <cell r="D2062" t="str">
            <v>UKS Plesbad Pszczyna</v>
          </cell>
        </row>
        <row r="2063">
          <cell r="A2063" t="str">
            <v>T3692</v>
          </cell>
          <cell r="B2063" t="str">
            <v>Kacper</v>
          </cell>
          <cell r="C2063" t="str">
            <v>TROCHIM</v>
          </cell>
          <cell r="D2063" t="str">
            <v>UKS Hubal Białystok</v>
          </cell>
        </row>
        <row r="2064">
          <cell r="A2064" t="str">
            <v>T5090</v>
          </cell>
          <cell r="B2064" t="str">
            <v>Weronika</v>
          </cell>
          <cell r="C2064" t="str">
            <v>TROCHIM</v>
          </cell>
          <cell r="D2064" t="str">
            <v>UKS Hubal Białystok</v>
          </cell>
        </row>
        <row r="2065">
          <cell r="A2065" t="str">
            <v>T5806</v>
          </cell>
          <cell r="B2065" t="str">
            <v>Anna</v>
          </cell>
          <cell r="C2065" t="str">
            <v>TROCHOLEPSZA</v>
          </cell>
          <cell r="D2065" t="str">
            <v>UKS Iskra Babimost</v>
          </cell>
        </row>
        <row r="2066">
          <cell r="A2066" t="str">
            <v>T5056</v>
          </cell>
          <cell r="B2066" t="str">
            <v>Martyna</v>
          </cell>
          <cell r="C2066" t="str">
            <v>TROJNIAR</v>
          </cell>
          <cell r="D2066" t="str">
            <v>SKB Suwałki</v>
          </cell>
        </row>
        <row r="2067">
          <cell r="A2067" t="str">
            <v>T5673</v>
          </cell>
          <cell r="B2067" t="str">
            <v>Mariusz</v>
          </cell>
          <cell r="C2067" t="str">
            <v>TROSZAK</v>
          </cell>
          <cell r="D2067" t="str">
            <v>----</v>
          </cell>
        </row>
        <row r="2068">
          <cell r="A2068" t="str">
            <v>T4548</v>
          </cell>
          <cell r="B2068" t="str">
            <v>Żaklina</v>
          </cell>
          <cell r="C2068" t="str">
            <v>TRUN</v>
          </cell>
          <cell r="D2068" t="str">
            <v>MKB Lednik Miastko</v>
          </cell>
        </row>
        <row r="2069">
          <cell r="A2069" t="str">
            <v>T5969</v>
          </cell>
          <cell r="B2069" t="str">
            <v>Urszula</v>
          </cell>
          <cell r="C2069" t="str">
            <v>TRUSIŃSKA</v>
          </cell>
          <cell r="D2069" t="str">
            <v>WWL Badminton Club Marki</v>
          </cell>
        </row>
        <row r="2070">
          <cell r="A2070" t="str">
            <v>T5046</v>
          </cell>
          <cell r="B2070" t="str">
            <v>Jan</v>
          </cell>
          <cell r="C2070" t="str">
            <v>TRZCIELIŃSKI</v>
          </cell>
          <cell r="D2070" t="str">
            <v>OTB Lotka Ostrów Wlkp.</v>
          </cell>
        </row>
        <row r="2071">
          <cell r="A2071" t="str">
            <v>T4502</v>
          </cell>
          <cell r="B2071" t="str">
            <v>Agnieszka</v>
          </cell>
          <cell r="C2071" t="str">
            <v>TRZCIŃSKA</v>
          </cell>
          <cell r="D2071" t="str">
            <v>----</v>
          </cell>
        </row>
        <row r="2072">
          <cell r="A2072" t="str">
            <v>T 078</v>
          </cell>
          <cell r="B2072" t="str">
            <v>Artur</v>
          </cell>
          <cell r="C2072" t="str">
            <v>TUKENDORF</v>
          </cell>
          <cell r="D2072" t="str">
            <v>AZSAGH Kraków</v>
          </cell>
        </row>
        <row r="2073">
          <cell r="A2073" t="str">
            <v>T1486</v>
          </cell>
          <cell r="B2073" t="str">
            <v>Leopold</v>
          </cell>
          <cell r="C2073" t="str">
            <v>TUKENDORF</v>
          </cell>
          <cell r="D2073" t="str">
            <v>MKS Garwolin</v>
          </cell>
        </row>
        <row r="2074">
          <cell r="A2074" t="str">
            <v>T 055</v>
          </cell>
          <cell r="B2074" t="str">
            <v>Radosław</v>
          </cell>
          <cell r="C2074" t="str">
            <v>TUKENDORF</v>
          </cell>
          <cell r="D2074" t="str">
            <v>MKS Garwolin</v>
          </cell>
        </row>
        <row r="2075">
          <cell r="A2075" t="str">
            <v>T4732</v>
          </cell>
          <cell r="B2075" t="str">
            <v>Dominik</v>
          </cell>
          <cell r="C2075" t="str">
            <v>TUMIDAJSKI</v>
          </cell>
          <cell r="D2075" t="str">
            <v>UKS Orliki Ropica Polska</v>
          </cell>
        </row>
        <row r="2076">
          <cell r="A2076" t="str">
            <v>T5426</v>
          </cell>
          <cell r="B2076" t="str">
            <v>Mateusz</v>
          </cell>
          <cell r="C2076" t="str">
            <v>TUMULEC</v>
          </cell>
          <cell r="D2076" t="str">
            <v>MKS Orlicz Suchedniów</v>
          </cell>
        </row>
        <row r="2077">
          <cell r="A2077" t="str">
            <v>T4251</v>
          </cell>
          <cell r="B2077" t="str">
            <v>Błażej</v>
          </cell>
          <cell r="C2077" t="str">
            <v>TURBACZEWSKI</v>
          </cell>
          <cell r="D2077" t="str">
            <v>UKS 70 Płock</v>
          </cell>
        </row>
        <row r="2078">
          <cell r="A2078" t="str">
            <v>T4952</v>
          </cell>
          <cell r="B2078" t="str">
            <v>Andrzej</v>
          </cell>
          <cell r="C2078" t="str">
            <v>TUROWSKI</v>
          </cell>
          <cell r="D2078" t="str">
            <v>----</v>
          </cell>
        </row>
        <row r="2079">
          <cell r="A2079" t="str">
            <v>T5605</v>
          </cell>
          <cell r="B2079" t="str">
            <v>Bartosz</v>
          </cell>
          <cell r="C2079" t="str">
            <v>TURSKI</v>
          </cell>
          <cell r="D2079" t="str">
            <v>AZSAGH Kraków</v>
          </cell>
        </row>
        <row r="2080">
          <cell r="A2080" t="str">
            <v>T5552</v>
          </cell>
          <cell r="B2080" t="str">
            <v>Franciszek</v>
          </cell>
          <cell r="C2080" t="str">
            <v>TWARDOWSKI</v>
          </cell>
          <cell r="D2080" t="str">
            <v>AZSAGH Kraków</v>
          </cell>
        </row>
        <row r="2081">
          <cell r="A2081" t="str">
            <v>T5553</v>
          </cell>
          <cell r="B2081" t="str">
            <v>Kacper</v>
          </cell>
          <cell r="C2081" t="str">
            <v>TWARDOWSKI</v>
          </cell>
          <cell r="D2081" t="str">
            <v>AZSAGH Kraków</v>
          </cell>
        </row>
        <row r="2082">
          <cell r="A2082" t="str">
            <v>T5675</v>
          </cell>
          <cell r="B2082" t="str">
            <v>Dawid</v>
          </cell>
          <cell r="C2082" t="str">
            <v>TWERD</v>
          </cell>
          <cell r="D2082" t="str">
            <v>UKS Smecz Bogatynia</v>
          </cell>
        </row>
        <row r="2083">
          <cell r="A2083" t="str">
            <v>T5689</v>
          </cell>
          <cell r="B2083" t="str">
            <v>Jakub</v>
          </cell>
          <cell r="C2083" t="str">
            <v>TWERD</v>
          </cell>
          <cell r="D2083" t="str">
            <v>UKS Smecz Bogatynia</v>
          </cell>
        </row>
        <row r="2084">
          <cell r="A2084" t="str">
            <v>T5735</v>
          </cell>
          <cell r="B2084" t="str">
            <v>Filip</v>
          </cell>
          <cell r="C2084" t="str">
            <v>TWORUS</v>
          </cell>
          <cell r="D2084" t="str">
            <v>KSR Wolant Łódź</v>
          </cell>
        </row>
        <row r="2085">
          <cell r="A2085" t="str">
            <v>T5302</v>
          </cell>
          <cell r="B2085" t="str">
            <v>Jarosław</v>
          </cell>
          <cell r="C2085" t="str">
            <v>TYMIŃSKI</v>
          </cell>
          <cell r="D2085" t="str">
            <v>----</v>
          </cell>
        </row>
        <row r="2086">
          <cell r="A2086" t="str">
            <v>T4751</v>
          </cell>
          <cell r="B2086" t="str">
            <v>Kacper</v>
          </cell>
          <cell r="C2086" t="str">
            <v>TYRPA</v>
          </cell>
          <cell r="D2086" t="str">
            <v>UKSB Volant Mielec</v>
          </cell>
        </row>
        <row r="2087">
          <cell r="A2087" t="str">
            <v>T5751</v>
          </cell>
          <cell r="B2087" t="str">
            <v>Wiktoria</v>
          </cell>
          <cell r="C2087" t="str">
            <v>TYSZKO</v>
          </cell>
          <cell r="D2087" t="str">
            <v>UKS Kiko Zamość</v>
          </cell>
        </row>
        <row r="2088">
          <cell r="A2088" t="str">
            <v>U2808</v>
          </cell>
          <cell r="B2088" t="str">
            <v>Marcin</v>
          </cell>
          <cell r="C2088" t="str">
            <v>URAM</v>
          </cell>
          <cell r="D2088" t="str">
            <v>KS Chojnik Jelenia Góra</v>
          </cell>
        </row>
        <row r="2089">
          <cell r="A2089" t="str">
            <v>U1904</v>
          </cell>
          <cell r="B2089" t="str">
            <v>Przemysław</v>
          </cell>
          <cell r="C2089" t="str">
            <v>URBAN</v>
          </cell>
          <cell r="D2089" t="str">
            <v>UKS Orbitek Straszęcin</v>
          </cell>
        </row>
        <row r="2090">
          <cell r="A2090" t="str">
            <v>U5145</v>
          </cell>
          <cell r="B2090" t="str">
            <v>Maciej</v>
          </cell>
          <cell r="C2090" t="str">
            <v>URBANIAK</v>
          </cell>
          <cell r="D2090" t="str">
            <v>UKS Kopernik Słupca</v>
          </cell>
        </row>
        <row r="2091">
          <cell r="A2091" t="str">
            <v>U4604</v>
          </cell>
          <cell r="B2091" t="str">
            <v>Tomasz</v>
          </cell>
          <cell r="C2091" t="str">
            <v>URBANIK</v>
          </cell>
          <cell r="D2091" t="str">
            <v>AZSAGH Kraków</v>
          </cell>
        </row>
        <row r="2092">
          <cell r="A2092" t="str">
            <v>U5842</v>
          </cell>
          <cell r="B2092" t="str">
            <v>Nikol</v>
          </cell>
          <cell r="C2092" t="str">
            <v>URBANOWICZ</v>
          </cell>
          <cell r="D2092" t="str">
            <v>SLKS Tramp Orneta</v>
          </cell>
        </row>
        <row r="2093">
          <cell r="A2093" t="str">
            <v>U3832</v>
          </cell>
          <cell r="B2093" t="str">
            <v>Katarzyna</v>
          </cell>
          <cell r="C2093" t="str">
            <v>URBAŃSKA</v>
          </cell>
          <cell r="D2093" t="str">
            <v>UKS 70 Płock</v>
          </cell>
        </row>
        <row r="2094">
          <cell r="A2094" t="str">
            <v>U5354</v>
          </cell>
          <cell r="B2094" t="str">
            <v>Krystian</v>
          </cell>
          <cell r="C2094" t="str">
            <v>URBAŃSKI</v>
          </cell>
          <cell r="D2094" t="str">
            <v>UKS Kiko Zamość</v>
          </cell>
        </row>
        <row r="2095">
          <cell r="A2095" t="str">
            <v>U4307</v>
          </cell>
          <cell r="B2095" t="str">
            <v>Michał</v>
          </cell>
          <cell r="C2095" t="str">
            <v>USTIMOWICZ</v>
          </cell>
          <cell r="D2095" t="str">
            <v>LKS Technik Głubczyce</v>
          </cell>
        </row>
        <row r="2096">
          <cell r="A2096" t="str">
            <v>U4198</v>
          </cell>
          <cell r="B2096" t="str">
            <v>Karina</v>
          </cell>
          <cell r="C2096" t="str">
            <v>USZOK</v>
          </cell>
          <cell r="D2096" t="str">
            <v>UKS Unia Bieruń</v>
          </cell>
        </row>
        <row r="2097">
          <cell r="A2097" t="str">
            <v>W5681</v>
          </cell>
          <cell r="B2097" t="str">
            <v>Uladzimir</v>
          </cell>
          <cell r="C2097" t="str">
            <v>VARANTSOU</v>
          </cell>
          <cell r="D2097" t="str">
            <v>----</v>
          </cell>
        </row>
        <row r="2098">
          <cell r="A2098" t="str">
            <v>W5984</v>
          </cell>
          <cell r="B2098" t="str">
            <v>Sashina</v>
          </cell>
          <cell r="C2098" t="str">
            <v>VIGNESWARAN</v>
          </cell>
          <cell r="D2098" t="str">
            <v>SKB Suwałki</v>
          </cell>
        </row>
        <row r="2099">
          <cell r="A2099" t="str">
            <v>W4753</v>
          </cell>
          <cell r="B2099" t="str">
            <v>Natan</v>
          </cell>
          <cell r="C2099" t="str">
            <v>VOGT</v>
          </cell>
          <cell r="D2099" t="str">
            <v>MMKS Kędzierzyn-Koźle</v>
          </cell>
        </row>
        <row r="2100">
          <cell r="A2100" t="str">
            <v>W0158</v>
          </cell>
          <cell r="B2100" t="str">
            <v>Przemysław</v>
          </cell>
          <cell r="C2100" t="str">
            <v>WACHA</v>
          </cell>
          <cell r="D2100" t="str">
            <v>LKS Technik Głubczyce</v>
          </cell>
        </row>
        <row r="2101">
          <cell r="A2101" t="str">
            <v>W0782</v>
          </cell>
          <cell r="B2101" t="str">
            <v>Marek</v>
          </cell>
          <cell r="C2101" t="str">
            <v>WACHNIEWSKI</v>
          </cell>
          <cell r="D2101" t="str">
            <v>LKS Technik Głubczyce</v>
          </cell>
        </row>
        <row r="2102">
          <cell r="A2102" t="str">
            <v>W4946</v>
          </cell>
          <cell r="B2102" t="str">
            <v>Sonia</v>
          </cell>
          <cell r="C2102" t="str">
            <v>WACHOWSKA</v>
          </cell>
          <cell r="D2102" t="str">
            <v>STB Energia Lubliniec</v>
          </cell>
        </row>
        <row r="2103">
          <cell r="A2103" t="str">
            <v>W4270</v>
          </cell>
          <cell r="B2103" t="str">
            <v>Jędrzej</v>
          </cell>
          <cell r="C2103" t="str">
            <v>WACHOWSKI</v>
          </cell>
          <cell r="D2103" t="str">
            <v>STB Energia Lubliniec</v>
          </cell>
        </row>
        <row r="2104">
          <cell r="A2104" t="str">
            <v>W3903</v>
          </cell>
          <cell r="B2104" t="str">
            <v>Maciej</v>
          </cell>
          <cell r="C2104" t="str">
            <v>WADOWSKI</v>
          </cell>
          <cell r="D2104" t="str">
            <v>AZSAGH Kraków</v>
          </cell>
        </row>
        <row r="2105">
          <cell r="A2105" t="str">
            <v>W4804</v>
          </cell>
          <cell r="B2105" t="str">
            <v>Emilia</v>
          </cell>
          <cell r="C2105" t="str">
            <v>WAGNER</v>
          </cell>
          <cell r="D2105" t="str">
            <v>UKS Astra Wrocław</v>
          </cell>
        </row>
        <row r="2106">
          <cell r="A2106" t="str">
            <v>W4805</v>
          </cell>
          <cell r="B2106" t="str">
            <v>Maja</v>
          </cell>
          <cell r="C2106" t="str">
            <v>WAGNER</v>
          </cell>
          <cell r="D2106" t="str">
            <v>UKS Astra Wrocław</v>
          </cell>
        </row>
        <row r="2107">
          <cell r="A2107" t="str">
            <v>W5031</v>
          </cell>
          <cell r="B2107" t="str">
            <v>Eryk</v>
          </cell>
          <cell r="C2107" t="str">
            <v>WALA</v>
          </cell>
          <cell r="D2107" t="str">
            <v>UKS Unia Bieruń</v>
          </cell>
        </row>
        <row r="2108">
          <cell r="A2108" t="str">
            <v>W5077</v>
          </cell>
          <cell r="B2108" t="str">
            <v>Katarzyna</v>
          </cell>
          <cell r="C2108" t="str">
            <v>WALAS</v>
          </cell>
          <cell r="D2108" t="str">
            <v>UMKS Junis Szczucin</v>
          </cell>
        </row>
        <row r="2109">
          <cell r="A2109" t="str">
            <v>W4660</v>
          </cell>
          <cell r="B2109" t="str">
            <v>Radosław</v>
          </cell>
          <cell r="C2109" t="str">
            <v>WALAS</v>
          </cell>
          <cell r="D2109" t="str">
            <v>----</v>
          </cell>
        </row>
        <row r="2110">
          <cell r="A2110" t="str">
            <v>W0168</v>
          </cell>
          <cell r="B2110" t="str">
            <v>Aleksandra</v>
          </cell>
          <cell r="C2110" t="str">
            <v>WALASZEK</v>
          </cell>
          <cell r="D2110" t="str">
            <v>LKS Technik Głubczyce</v>
          </cell>
        </row>
        <row r="2111">
          <cell r="A2111" t="str">
            <v>W5047</v>
          </cell>
          <cell r="B2111" t="str">
            <v>Filip</v>
          </cell>
          <cell r="C2111" t="str">
            <v>WALCZAK</v>
          </cell>
          <cell r="D2111" t="str">
            <v>----</v>
          </cell>
        </row>
        <row r="2112">
          <cell r="A2112" t="str">
            <v>W 056</v>
          </cell>
          <cell r="B2112" t="str">
            <v>Krzysztof</v>
          </cell>
          <cell r="C2112" t="str">
            <v>WALENDA</v>
          </cell>
          <cell r="D2112" t="str">
            <v>AZSUW Warszawa</v>
          </cell>
        </row>
        <row r="2113">
          <cell r="A2113" t="str">
            <v>W2861</v>
          </cell>
          <cell r="B2113" t="str">
            <v>Michał</v>
          </cell>
          <cell r="C2113" t="str">
            <v>WALENTEK</v>
          </cell>
          <cell r="D2113" t="str">
            <v>BKS Kolejarz Częstochowa</v>
          </cell>
        </row>
        <row r="2114">
          <cell r="A2114" t="str">
            <v>W1698</v>
          </cell>
          <cell r="B2114" t="str">
            <v>Aneta</v>
          </cell>
          <cell r="C2114" t="str">
            <v>WALENTUKANIS</v>
          </cell>
          <cell r="D2114" t="str">
            <v>AZSUWM Olsztyn</v>
          </cell>
        </row>
        <row r="2115">
          <cell r="A2115" t="str">
            <v>W4941</v>
          </cell>
          <cell r="B2115" t="str">
            <v>Magdalena</v>
          </cell>
          <cell r="C2115" t="str">
            <v>WALENTYNOWICZ</v>
          </cell>
          <cell r="D2115" t="str">
            <v>LUKS Księżyno</v>
          </cell>
        </row>
        <row r="2116">
          <cell r="A2116" t="str">
            <v>W5876</v>
          </cell>
          <cell r="B2116" t="str">
            <v>Kacper</v>
          </cell>
          <cell r="C2116" t="str">
            <v>WALIGÓRA</v>
          </cell>
          <cell r="D2116" t="str">
            <v>UKS Smecz Milicz</v>
          </cell>
        </row>
        <row r="2117">
          <cell r="A2117" t="str">
            <v>W5393</v>
          </cell>
          <cell r="B2117" t="str">
            <v>Joanna</v>
          </cell>
          <cell r="C2117" t="str">
            <v>WAPNIARSKA</v>
          </cell>
          <cell r="D2117" t="str">
            <v>UKS Kiko Zamość</v>
          </cell>
        </row>
        <row r="2118">
          <cell r="A2118" t="str">
            <v>W2203</v>
          </cell>
          <cell r="B2118" t="str">
            <v>Krystian</v>
          </cell>
          <cell r="C2118" t="str">
            <v>WARCHOLAK</v>
          </cell>
          <cell r="D2118" t="str">
            <v>SKB Piast Słupsk</v>
          </cell>
        </row>
        <row r="2119">
          <cell r="A2119" t="str">
            <v>W2765</v>
          </cell>
          <cell r="B2119" t="str">
            <v>Justyna</v>
          </cell>
          <cell r="C2119" t="str">
            <v>WARCHULSKA</v>
          </cell>
          <cell r="D2119" t="str">
            <v>KKS Ruch Piotrków Tryb.</v>
          </cell>
        </row>
        <row r="2120">
          <cell r="A2120" t="str">
            <v>W3968</v>
          </cell>
          <cell r="B2120" t="str">
            <v>Arkadiusz</v>
          </cell>
          <cell r="C2120" t="str">
            <v>WARKOCZ</v>
          </cell>
          <cell r="D2120" t="str">
            <v>KS Stal Sulęcin</v>
          </cell>
        </row>
        <row r="2121">
          <cell r="A2121" t="str">
            <v>W3977</v>
          </cell>
          <cell r="B2121" t="str">
            <v>Elżbieta</v>
          </cell>
          <cell r="C2121" t="str">
            <v>WARKOCZ</v>
          </cell>
          <cell r="D2121" t="str">
            <v>KS Stal Sulęcin</v>
          </cell>
        </row>
        <row r="2122">
          <cell r="A2122" t="str">
            <v>W5707</v>
          </cell>
          <cell r="B2122" t="str">
            <v>Olaf</v>
          </cell>
          <cell r="C2122" t="str">
            <v>WARNECKI</v>
          </cell>
          <cell r="D2122" t="str">
            <v>----</v>
          </cell>
        </row>
        <row r="2123">
          <cell r="A2123" t="str">
            <v>W1764</v>
          </cell>
          <cell r="B2123" t="str">
            <v>Henryk</v>
          </cell>
          <cell r="C2123" t="str">
            <v>WARZECHA</v>
          </cell>
          <cell r="D2123" t="str">
            <v>----</v>
          </cell>
        </row>
        <row r="2124">
          <cell r="A2124" t="str">
            <v>W3612</v>
          </cell>
          <cell r="B2124" t="str">
            <v>Piotr</v>
          </cell>
          <cell r="C2124" t="str">
            <v>WARZYSZAK</v>
          </cell>
          <cell r="D2124" t="str">
            <v>UKS Ostrówek</v>
          </cell>
        </row>
        <row r="2125">
          <cell r="A2125" t="str">
            <v>W4976</v>
          </cell>
          <cell r="B2125" t="str">
            <v>Adrian</v>
          </cell>
          <cell r="C2125" t="str">
            <v>WASIK</v>
          </cell>
          <cell r="D2125" t="str">
            <v>UKS Junior Wrzosowa</v>
          </cell>
        </row>
        <row r="2126">
          <cell r="A2126" t="str">
            <v>W5539</v>
          </cell>
          <cell r="B2126" t="str">
            <v>Zuzanna</v>
          </cell>
          <cell r="C2126" t="str">
            <v>WASIK</v>
          </cell>
          <cell r="D2126" t="str">
            <v>UKS Junior Wrzosowa</v>
          </cell>
        </row>
        <row r="2127">
          <cell r="A2127" t="str">
            <v>W0440</v>
          </cell>
          <cell r="B2127" t="str">
            <v>Adrian</v>
          </cell>
          <cell r="C2127" t="str">
            <v>WASILEWSKI</v>
          </cell>
          <cell r="D2127" t="str">
            <v>AZSUWM Olsztyn</v>
          </cell>
        </row>
        <row r="2128">
          <cell r="A2128" t="str">
            <v>W5526</v>
          </cell>
          <cell r="B2128" t="str">
            <v>Filip</v>
          </cell>
          <cell r="C2128" t="str">
            <v>WASILEWSKI</v>
          </cell>
          <cell r="D2128" t="str">
            <v>SKB Suwałki</v>
          </cell>
        </row>
        <row r="2129">
          <cell r="A2129" t="str">
            <v>W5355</v>
          </cell>
          <cell r="B2129" t="str">
            <v>Michał</v>
          </cell>
          <cell r="C2129" t="str">
            <v>WASILEWSKI</v>
          </cell>
          <cell r="D2129" t="str">
            <v>UKS Kiko Zamość</v>
          </cell>
        </row>
        <row r="2130">
          <cell r="A2130" t="str">
            <v>W2914</v>
          </cell>
          <cell r="B2130" t="str">
            <v>Piotr</v>
          </cell>
          <cell r="C2130" t="str">
            <v>WASILUK</v>
          </cell>
          <cell r="D2130" t="str">
            <v>LUKS Badminton Choroszcz</v>
          </cell>
        </row>
        <row r="2131">
          <cell r="A2131" t="str">
            <v>W4999</v>
          </cell>
          <cell r="B2131" t="str">
            <v>Krystian</v>
          </cell>
          <cell r="C2131" t="str">
            <v>WASYNIAK</v>
          </cell>
          <cell r="D2131" t="str">
            <v>UKS Smecz Bogatynia</v>
          </cell>
        </row>
        <row r="2132">
          <cell r="A2132" t="str">
            <v>W5853</v>
          </cell>
          <cell r="B2132" t="str">
            <v>Marek</v>
          </cell>
          <cell r="C2132" t="str">
            <v>WASZKOWSKI</v>
          </cell>
          <cell r="D2132" t="str">
            <v>UKS Astra Wrocław</v>
          </cell>
        </row>
        <row r="2133">
          <cell r="A2133" t="str">
            <v>W5196</v>
          </cell>
          <cell r="B2133" t="str">
            <v>Mateusz</v>
          </cell>
          <cell r="C2133" t="str">
            <v>WAWRYK</v>
          </cell>
          <cell r="D2133" t="str">
            <v>UKS Kiko Zamość</v>
          </cell>
        </row>
        <row r="2134">
          <cell r="A2134" t="str">
            <v>W4583</v>
          </cell>
          <cell r="B2134" t="str">
            <v>Patrycja</v>
          </cell>
          <cell r="C2134" t="str">
            <v>WAWRZEŃCZYK</v>
          </cell>
          <cell r="D2134" t="str">
            <v>MKS Orlicz Suchedniów</v>
          </cell>
        </row>
        <row r="2135">
          <cell r="A2135" t="str">
            <v>W5682</v>
          </cell>
          <cell r="B2135" t="str">
            <v>Anna</v>
          </cell>
          <cell r="C2135" t="str">
            <v>WAWRZYNIAK</v>
          </cell>
          <cell r="D2135" t="str">
            <v>----</v>
          </cell>
        </row>
        <row r="2136">
          <cell r="A2136" t="str">
            <v>W4137</v>
          </cell>
          <cell r="B2136" t="str">
            <v>Jakub</v>
          </cell>
          <cell r="C2136" t="str">
            <v>WAWRZYNIAK</v>
          </cell>
          <cell r="D2136" t="str">
            <v>MMKS Kędzierzyn-Koźle</v>
          </cell>
        </row>
        <row r="2137">
          <cell r="A2137" t="str">
            <v>W5877</v>
          </cell>
          <cell r="B2137" t="str">
            <v>Odyseusz</v>
          </cell>
          <cell r="C2137" t="str">
            <v>WĄSIAK</v>
          </cell>
          <cell r="D2137" t="str">
            <v>UKS Smecz Milicz</v>
          </cell>
        </row>
        <row r="2138">
          <cell r="A2138" t="str">
            <v>W1199</v>
          </cell>
          <cell r="B2138" t="str">
            <v>Roman</v>
          </cell>
          <cell r="C2138" t="str">
            <v>WĄSOWICZ</v>
          </cell>
          <cell r="D2138" t="str">
            <v>----</v>
          </cell>
        </row>
        <row r="2139">
          <cell r="A2139" t="str">
            <v>W5855</v>
          </cell>
          <cell r="B2139" t="str">
            <v>Gabriel</v>
          </cell>
          <cell r="C2139" t="str">
            <v>WECHTA</v>
          </cell>
          <cell r="D2139" t="str">
            <v>UKS Astra Wrocław</v>
          </cell>
        </row>
        <row r="2140">
          <cell r="A2140" t="str">
            <v>W2555</v>
          </cell>
          <cell r="B2140" t="str">
            <v>Stefan</v>
          </cell>
          <cell r="C2140" t="str">
            <v>WEŁNIC</v>
          </cell>
          <cell r="D2140" t="str">
            <v>----</v>
          </cell>
        </row>
        <row r="2141">
          <cell r="A2141" t="str">
            <v>W4382</v>
          </cell>
          <cell r="B2141" t="str">
            <v>Kinga</v>
          </cell>
          <cell r="C2141" t="str">
            <v>WENDERSKA</v>
          </cell>
          <cell r="D2141" t="str">
            <v>OTB Lotka Ostrów Wlkp.</v>
          </cell>
        </row>
        <row r="2142">
          <cell r="A2142" t="str">
            <v>W5293</v>
          </cell>
          <cell r="B2142" t="str">
            <v>Patryk</v>
          </cell>
          <cell r="C2142" t="str">
            <v>WERESZYŃSKI</v>
          </cell>
          <cell r="D2142" t="str">
            <v>KS Masovia Płock</v>
          </cell>
        </row>
        <row r="2143">
          <cell r="A2143" t="str">
            <v>W5148</v>
          </cell>
          <cell r="B2143" t="str">
            <v>Jeremiasz</v>
          </cell>
          <cell r="C2143" t="str">
            <v>WESOŁEK</v>
          </cell>
          <cell r="D2143" t="str">
            <v>KSR Wolant Łódź</v>
          </cell>
        </row>
        <row r="2144">
          <cell r="A2144" t="str">
            <v>W2766</v>
          </cell>
          <cell r="B2144" t="str">
            <v>Katarzyna</v>
          </cell>
          <cell r="C2144" t="str">
            <v>WĘŻYK</v>
          </cell>
          <cell r="D2144" t="str">
            <v>KKS Ruch Piotrków Tryb.</v>
          </cell>
        </row>
        <row r="2145">
          <cell r="A2145" t="str">
            <v>W3744</v>
          </cell>
          <cell r="B2145" t="str">
            <v>Małgorzata</v>
          </cell>
          <cell r="C2145" t="str">
            <v>WICHOWSKA</v>
          </cell>
          <cell r="D2145" t="str">
            <v>KS Hubertus Zalesie Górne</v>
          </cell>
        </row>
        <row r="2146">
          <cell r="A2146" t="str">
            <v>W5695</v>
          </cell>
          <cell r="B2146" t="str">
            <v>Filip</v>
          </cell>
          <cell r="C2146" t="str">
            <v>WIECZOREK</v>
          </cell>
          <cell r="D2146" t="str">
            <v>UKS 2 Sobótka</v>
          </cell>
        </row>
        <row r="2147">
          <cell r="A2147" t="str">
            <v>W5845</v>
          </cell>
          <cell r="B2147" t="str">
            <v>Monika</v>
          </cell>
          <cell r="C2147" t="str">
            <v>WIECZOREK</v>
          </cell>
          <cell r="D2147" t="str">
            <v>UKS KSBad Kraków</v>
          </cell>
        </row>
        <row r="2148">
          <cell r="A2148" t="str">
            <v>W3657</v>
          </cell>
          <cell r="B2148" t="str">
            <v>Anna</v>
          </cell>
          <cell r="C2148" t="str">
            <v>WIERCIŃSKA</v>
          </cell>
          <cell r="D2148" t="str">
            <v>UKS 70 Płock</v>
          </cell>
        </row>
        <row r="2149">
          <cell r="A2149" t="str">
            <v>W3992</v>
          </cell>
          <cell r="B2149" t="str">
            <v>Paweł</v>
          </cell>
          <cell r="C2149" t="str">
            <v>WIERCIŃSKI</v>
          </cell>
          <cell r="D2149" t="str">
            <v>KKS Warmia Olsztyn</v>
          </cell>
        </row>
        <row r="2150">
          <cell r="A2150" t="str">
            <v>W4836</v>
          </cell>
          <cell r="B2150" t="str">
            <v>Witold</v>
          </cell>
          <cell r="C2150" t="str">
            <v>WIERSZIN</v>
          </cell>
          <cell r="D2150" t="str">
            <v>----</v>
          </cell>
        </row>
        <row r="2151">
          <cell r="A2151" t="str">
            <v>W4449</v>
          </cell>
          <cell r="B2151" t="str">
            <v>Maciej</v>
          </cell>
          <cell r="C2151" t="str">
            <v>WIERZBICKI</v>
          </cell>
          <cell r="D2151" t="str">
            <v>AZSWAT Warszawa</v>
          </cell>
        </row>
        <row r="2152">
          <cell r="A2152" t="str">
            <v>W4585</v>
          </cell>
          <cell r="B2152" t="str">
            <v>Maria</v>
          </cell>
          <cell r="C2152" t="str">
            <v>WIERZBIŃSKA</v>
          </cell>
          <cell r="D2152" t="str">
            <v>MKS Orlicz Suchedniów</v>
          </cell>
        </row>
        <row r="2153">
          <cell r="A2153" t="str">
            <v>W5635</v>
          </cell>
          <cell r="B2153" t="str">
            <v>Julia</v>
          </cell>
          <cell r="C2153" t="str">
            <v>WIETECKA</v>
          </cell>
          <cell r="D2153" t="str">
            <v>----</v>
          </cell>
        </row>
        <row r="2154">
          <cell r="A2154" t="str">
            <v>W5669</v>
          </cell>
          <cell r="B2154" t="str">
            <v>Jakub</v>
          </cell>
          <cell r="C2154" t="str">
            <v>WIĘCKOWSKI</v>
          </cell>
          <cell r="D2154" t="str">
            <v>LUKS Badminton Choroszcz</v>
          </cell>
        </row>
        <row r="2155">
          <cell r="A2155" t="str">
            <v>W4420</v>
          </cell>
          <cell r="B2155" t="str">
            <v>Hubert</v>
          </cell>
          <cell r="C2155" t="str">
            <v>WIĘCŁAW</v>
          </cell>
          <cell r="D2155" t="str">
            <v>OTB Lotka Ostrów Wlkp.</v>
          </cell>
        </row>
        <row r="2156">
          <cell r="A2156" t="str">
            <v>W2185</v>
          </cell>
          <cell r="B2156" t="str">
            <v>Aleksandra</v>
          </cell>
          <cell r="C2156" t="str">
            <v>WIKŁO</v>
          </cell>
          <cell r="D2156" t="str">
            <v>MKS Orlicz Suchedniów</v>
          </cell>
        </row>
        <row r="2157">
          <cell r="A2157" t="str">
            <v>W2897</v>
          </cell>
          <cell r="B2157" t="str">
            <v>Robert</v>
          </cell>
          <cell r="C2157" t="str">
            <v>WIKŁO</v>
          </cell>
          <cell r="D2157" t="str">
            <v>KS Masovia Płock</v>
          </cell>
        </row>
        <row r="2158">
          <cell r="A2158" t="str">
            <v>W1487</v>
          </cell>
          <cell r="B2158" t="str">
            <v>Stanisław</v>
          </cell>
          <cell r="C2158" t="str">
            <v>WIKŁO</v>
          </cell>
          <cell r="D2158" t="str">
            <v>----</v>
          </cell>
        </row>
        <row r="2159">
          <cell r="A2159" t="str">
            <v>W1930</v>
          </cell>
          <cell r="B2159" t="str">
            <v>Miłosz</v>
          </cell>
          <cell r="C2159" t="str">
            <v>WIKTORCZYK</v>
          </cell>
          <cell r="D2159" t="str">
            <v>UKS Plesbad Pszczyna</v>
          </cell>
        </row>
        <row r="2160">
          <cell r="A2160" t="str">
            <v>W5952</v>
          </cell>
          <cell r="B2160" t="str">
            <v>Małgorzata</v>
          </cell>
          <cell r="C2160" t="str">
            <v>WILCZAK</v>
          </cell>
          <cell r="D2160" t="str">
            <v>----</v>
          </cell>
        </row>
        <row r="2161">
          <cell r="A2161" t="str">
            <v>W4024</v>
          </cell>
          <cell r="B2161" t="str">
            <v>Jakub</v>
          </cell>
          <cell r="C2161" t="str">
            <v>WILCZEWSKI</v>
          </cell>
          <cell r="D2161" t="str">
            <v>UKS 70 Płock</v>
          </cell>
        </row>
        <row r="2162">
          <cell r="A2162" t="str">
            <v>W4322</v>
          </cell>
          <cell r="B2162" t="str">
            <v>Paulina</v>
          </cell>
          <cell r="C2162" t="str">
            <v>WILCZYŃSKA</v>
          </cell>
          <cell r="D2162" t="str">
            <v>UKS Orbitek Straszęcin</v>
          </cell>
        </row>
        <row r="2163">
          <cell r="A2163" t="str">
            <v>W0193</v>
          </cell>
          <cell r="B2163" t="str">
            <v>Sebastian</v>
          </cell>
          <cell r="C2163" t="str">
            <v>WILCZYŃSKI</v>
          </cell>
          <cell r="D2163" t="str">
            <v>----</v>
          </cell>
        </row>
        <row r="2164">
          <cell r="A2164" t="str">
            <v>W5396</v>
          </cell>
          <cell r="B2164" t="str">
            <v>Klaudia</v>
          </cell>
          <cell r="C2164" t="str">
            <v>WILK</v>
          </cell>
          <cell r="D2164" t="str">
            <v>UKS Jagiellonka Medyka</v>
          </cell>
        </row>
        <row r="2165">
          <cell r="A2165" t="str">
            <v>W5787</v>
          </cell>
          <cell r="B2165" t="str">
            <v>Mateusz</v>
          </cell>
          <cell r="C2165" t="str">
            <v>WILK</v>
          </cell>
          <cell r="D2165" t="str">
            <v>UKS Orbitek Straszęcin</v>
          </cell>
        </row>
        <row r="2166">
          <cell r="A2166" t="str">
            <v>W2424</v>
          </cell>
          <cell r="B2166" t="str">
            <v>Jakub</v>
          </cell>
          <cell r="C2166" t="str">
            <v>WILKOS</v>
          </cell>
          <cell r="D2166" t="str">
            <v>UKS Kiko Zamość</v>
          </cell>
        </row>
        <row r="2167">
          <cell r="A2167" t="str">
            <v>W2301</v>
          </cell>
          <cell r="B2167" t="str">
            <v>Wojciech</v>
          </cell>
          <cell r="C2167" t="str">
            <v>WILKOSZ</v>
          </cell>
          <cell r="D2167" t="str">
            <v>UKS Plesbad Pszczyna</v>
          </cell>
        </row>
        <row r="2168">
          <cell r="A2168" t="str">
            <v>W4002</v>
          </cell>
          <cell r="B2168" t="str">
            <v>Agnieszka</v>
          </cell>
          <cell r="C2168" t="str">
            <v>WILMONT</v>
          </cell>
          <cell r="D2168" t="str">
            <v>SKB Piast Słupsk</v>
          </cell>
        </row>
        <row r="2169">
          <cell r="A2169" t="str">
            <v>W3970</v>
          </cell>
          <cell r="B2169" t="str">
            <v>Eryk</v>
          </cell>
          <cell r="C2169" t="str">
            <v>WINTER</v>
          </cell>
          <cell r="D2169" t="str">
            <v>KS Stal Sulęcin</v>
          </cell>
        </row>
        <row r="2170">
          <cell r="A2170" t="str">
            <v>W5117</v>
          </cell>
          <cell r="B2170" t="str">
            <v>Hubert</v>
          </cell>
          <cell r="C2170" t="str">
            <v>WIOREK</v>
          </cell>
          <cell r="D2170" t="str">
            <v>UKS Kometa Sianów</v>
          </cell>
        </row>
        <row r="2171">
          <cell r="A2171" t="str">
            <v>W5981</v>
          </cell>
          <cell r="B2171" t="str">
            <v>Aleksandra</v>
          </cell>
          <cell r="C2171" t="str">
            <v>WIRZINKIEWICZ</v>
          </cell>
          <cell r="D2171" t="str">
            <v>KKS Warmia Olsztyn</v>
          </cell>
        </row>
        <row r="2172">
          <cell r="A2172" t="str">
            <v>W4847</v>
          </cell>
          <cell r="B2172" t="str">
            <v>Paweł</v>
          </cell>
          <cell r="C2172" t="str">
            <v>WIRZINKIEWICZ</v>
          </cell>
          <cell r="D2172" t="str">
            <v>KKS Warmia Olsztyn</v>
          </cell>
        </row>
        <row r="2173">
          <cell r="A2173" t="str">
            <v>W4281</v>
          </cell>
          <cell r="B2173" t="str">
            <v>Ida</v>
          </cell>
          <cell r="C2173" t="str">
            <v>WIŚNIEWSKA</v>
          </cell>
          <cell r="D2173" t="str">
            <v>----</v>
          </cell>
        </row>
        <row r="2174">
          <cell r="A2174" t="str">
            <v>W2256</v>
          </cell>
          <cell r="B2174" t="str">
            <v>Sylwia</v>
          </cell>
          <cell r="C2174" t="str">
            <v>WIŚNIEWSKA</v>
          </cell>
          <cell r="D2174" t="str">
            <v>UKS Ostrówek</v>
          </cell>
        </row>
        <row r="2175">
          <cell r="A2175" t="str">
            <v>W5023</v>
          </cell>
          <cell r="B2175" t="str">
            <v>Rafał</v>
          </cell>
          <cell r="C2175" t="str">
            <v>WIŚNIEWSKI</v>
          </cell>
          <cell r="D2175" t="str">
            <v>ULKS Łączna</v>
          </cell>
        </row>
        <row r="2176">
          <cell r="A2176" t="str">
            <v>W4067</v>
          </cell>
          <cell r="B2176" t="str">
            <v>Szymon</v>
          </cell>
          <cell r="C2176" t="str">
            <v>WIŚNIEWSKI</v>
          </cell>
          <cell r="D2176" t="str">
            <v>----</v>
          </cell>
        </row>
        <row r="2177">
          <cell r="A2177" t="str">
            <v>W2409</v>
          </cell>
          <cell r="B2177" t="str">
            <v>Magdalena</v>
          </cell>
          <cell r="C2177" t="str">
            <v>WITEK</v>
          </cell>
          <cell r="D2177" t="str">
            <v>MLKS Solec Kuj.</v>
          </cell>
        </row>
        <row r="2178">
          <cell r="A2178" t="str">
            <v>W5796</v>
          </cell>
          <cell r="B2178" t="str">
            <v>Przemysław</v>
          </cell>
          <cell r="C2178" t="str">
            <v>WITEK</v>
          </cell>
          <cell r="D2178" t="str">
            <v>KKS Warmia Olsztyn</v>
          </cell>
        </row>
        <row r="2179">
          <cell r="A2179" t="str">
            <v>W5388</v>
          </cell>
          <cell r="B2179" t="str">
            <v>Bartłomiej</v>
          </cell>
          <cell r="C2179" t="str">
            <v>WITKOWICZ</v>
          </cell>
          <cell r="D2179" t="str">
            <v>UKS Iskra Babimost</v>
          </cell>
        </row>
        <row r="2180">
          <cell r="A2180" t="str">
            <v>W2296</v>
          </cell>
          <cell r="B2180" t="str">
            <v>Piotr</v>
          </cell>
          <cell r="C2180" t="str">
            <v>WITKOWSKI</v>
          </cell>
          <cell r="D2180" t="str">
            <v>ŚKBad Harcownik Warszawa</v>
          </cell>
        </row>
        <row r="2181">
          <cell r="A2181" t="str">
            <v>W5659</v>
          </cell>
          <cell r="B2181" t="str">
            <v>Weronika</v>
          </cell>
          <cell r="C2181" t="str">
            <v>WITORZEŃĆ</v>
          </cell>
          <cell r="D2181" t="str">
            <v>LUKS Krokus Góralice</v>
          </cell>
        </row>
        <row r="2182">
          <cell r="A2182" t="str">
            <v>W4744</v>
          </cell>
          <cell r="B2182" t="str">
            <v>Natalia</v>
          </cell>
          <cell r="C2182" t="str">
            <v>WITULSKA</v>
          </cell>
          <cell r="D2182" t="str">
            <v>ZKB Maced Polanów</v>
          </cell>
        </row>
        <row r="2183">
          <cell r="A2183" t="str">
            <v>W4435</v>
          </cell>
          <cell r="B2183" t="str">
            <v>Karolina</v>
          </cell>
          <cell r="C2183" t="str">
            <v>WŁADZIŃSKA</v>
          </cell>
          <cell r="D2183" t="str">
            <v>----</v>
          </cell>
        </row>
        <row r="2184">
          <cell r="A2184" t="str">
            <v>W4277</v>
          </cell>
          <cell r="B2184" t="str">
            <v>Grzegorz</v>
          </cell>
          <cell r="C2184" t="str">
            <v>WŁODARCZYK</v>
          </cell>
          <cell r="D2184" t="str">
            <v>AZSOŚ Łódź</v>
          </cell>
        </row>
        <row r="2185">
          <cell r="A2185" t="str">
            <v>W5443</v>
          </cell>
          <cell r="B2185" t="str">
            <v>Natalia</v>
          </cell>
          <cell r="C2185" t="str">
            <v>WŁODARCZYK</v>
          </cell>
          <cell r="D2185" t="str">
            <v>KKS Ruch Piotrków Tryb.</v>
          </cell>
        </row>
        <row r="2186">
          <cell r="A2186" t="str">
            <v>W5014</v>
          </cell>
          <cell r="B2186" t="str">
            <v>Przemysław</v>
          </cell>
          <cell r="C2186" t="str">
            <v>WŁODEK</v>
          </cell>
          <cell r="D2186" t="str">
            <v>MKSKSOS Kraków</v>
          </cell>
        </row>
        <row r="2187">
          <cell r="A2187" t="str">
            <v>W4083</v>
          </cell>
          <cell r="B2187" t="str">
            <v>Agnieszka</v>
          </cell>
          <cell r="C2187" t="str">
            <v>WŁUDYKA</v>
          </cell>
          <cell r="D2187" t="str">
            <v>AZSWAT Warszawa</v>
          </cell>
        </row>
        <row r="2188">
          <cell r="A2188" t="str">
            <v>W3393</v>
          </cell>
          <cell r="B2188" t="str">
            <v>Aleksandra</v>
          </cell>
          <cell r="C2188" t="str">
            <v>WNUK</v>
          </cell>
          <cell r="D2188" t="str">
            <v>MKS Garwolin</v>
          </cell>
        </row>
        <row r="2189">
          <cell r="A2189" t="str">
            <v>W3545</v>
          </cell>
          <cell r="B2189" t="str">
            <v>Marcin</v>
          </cell>
          <cell r="C2189" t="str">
            <v>WNUK</v>
          </cell>
          <cell r="D2189" t="str">
            <v>MKS Orlicz Suchedniów</v>
          </cell>
        </row>
        <row r="2190">
          <cell r="A2190" t="str">
            <v>W5818</v>
          </cell>
          <cell r="B2190" t="str">
            <v>Victoria</v>
          </cell>
          <cell r="C2190" t="str">
            <v>WOJCIECHOWICZ</v>
          </cell>
          <cell r="D2190" t="str">
            <v>UKSB Milenium Warszawa</v>
          </cell>
        </row>
        <row r="2191">
          <cell r="A2191" t="str">
            <v>W0911</v>
          </cell>
          <cell r="B2191" t="str">
            <v>Marta</v>
          </cell>
          <cell r="C2191" t="str">
            <v>WOJCIECHOWSKA</v>
          </cell>
          <cell r="D2191" t="str">
            <v>SKB Piast Słupsk</v>
          </cell>
        </row>
        <row r="2192">
          <cell r="A2192" t="str">
            <v>W3398</v>
          </cell>
          <cell r="B2192" t="str">
            <v>Przemysław</v>
          </cell>
          <cell r="C2192" t="str">
            <v>WOJCIECHOWSKI</v>
          </cell>
          <cell r="D2192" t="str">
            <v>KKS Ruch Piotrków Tryb.</v>
          </cell>
        </row>
        <row r="2193">
          <cell r="A2193" t="str">
            <v>W5564</v>
          </cell>
          <cell r="B2193" t="str">
            <v>Magdalena</v>
          </cell>
          <cell r="C2193" t="str">
            <v>WOJNIAK</v>
          </cell>
          <cell r="D2193" t="str">
            <v>UKSOSIR Badminton Sławno</v>
          </cell>
        </row>
        <row r="2194">
          <cell r="A2194" t="str">
            <v>W4887</v>
          </cell>
          <cell r="B2194" t="str">
            <v>Ksawery</v>
          </cell>
          <cell r="C2194" t="str">
            <v>WOJTASZEK</v>
          </cell>
          <cell r="D2194" t="str">
            <v>KS Wesoła Warszawa</v>
          </cell>
        </row>
        <row r="2195">
          <cell r="A2195" t="str">
            <v>W0159</v>
          </cell>
          <cell r="B2195" t="str">
            <v>Agnieszka</v>
          </cell>
          <cell r="C2195" t="str">
            <v>WOJTKOWSKA</v>
          </cell>
          <cell r="D2195" t="str">
            <v>LKS Technik Głubczyce</v>
          </cell>
        </row>
        <row r="2196">
          <cell r="A2196" t="str">
            <v>W1340</v>
          </cell>
          <cell r="B2196" t="str">
            <v>Aneta</v>
          </cell>
          <cell r="C2196" t="str">
            <v>WOJTKOWSKA</v>
          </cell>
          <cell r="D2196" t="str">
            <v>LKS Technik Głubczyce</v>
          </cell>
        </row>
        <row r="2197">
          <cell r="A2197" t="str">
            <v>W4419</v>
          </cell>
          <cell r="B2197" t="str">
            <v>Zuzanna</v>
          </cell>
          <cell r="C2197" t="str">
            <v>WOJTYCZKA</v>
          </cell>
          <cell r="D2197" t="str">
            <v>OTB Lotka Ostrów Wlkp.</v>
          </cell>
        </row>
        <row r="2198">
          <cell r="A2198" t="str">
            <v>W5187</v>
          </cell>
          <cell r="B2198" t="str">
            <v>Kacper</v>
          </cell>
          <cell r="C2198" t="str">
            <v>WOJTYNA</v>
          </cell>
          <cell r="D2198" t="str">
            <v>UKS Kiko Zamość</v>
          </cell>
        </row>
        <row r="2199">
          <cell r="A2199" t="str">
            <v>W5341</v>
          </cell>
          <cell r="B2199" t="str">
            <v>Karol</v>
          </cell>
          <cell r="C2199" t="str">
            <v>WOJTYNA</v>
          </cell>
          <cell r="D2199" t="str">
            <v>UKS Kiko Zamość</v>
          </cell>
        </row>
        <row r="2200">
          <cell r="A2200" t="str">
            <v>W3805</v>
          </cell>
          <cell r="B2200" t="str">
            <v>Jan</v>
          </cell>
          <cell r="C2200" t="str">
            <v>WOLAŃCZYK</v>
          </cell>
          <cell r="D2200" t="str">
            <v>KS Match Point Ślęza</v>
          </cell>
        </row>
        <row r="2201">
          <cell r="A2201" t="str">
            <v>W1154</v>
          </cell>
          <cell r="B2201" t="str">
            <v>Waldemar</v>
          </cell>
          <cell r="C2201" t="str">
            <v>WOLAŃSKI</v>
          </cell>
          <cell r="D2201" t="str">
            <v>----</v>
          </cell>
        </row>
        <row r="2202">
          <cell r="A2202" t="str">
            <v>W4757</v>
          </cell>
          <cell r="B2202" t="str">
            <v>Norbert</v>
          </cell>
          <cell r="C2202" t="str">
            <v>WOLNIAK</v>
          </cell>
          <cell r="D2202" t="str">
            <v>MLKS Solec Kuj.</v>
          </cell>
        </row>
        <row r="2203">
          <cell r="A2203" t="str">
            <v>W5498</v>
          </cell>
          <cell r="B2203" t="str">
            <v>Szymon</v>
          </cell>
          <cell r="C2203" t="str">
            <v>WOLNIAK</v>
          </cell>
          <cell r="D2203" t="str">
            <v>MMKS Gdańsk</v>
          </cell>
        </row>
        <row r="2204">
          <cell r="A2204" t="str">
            <v>W4550</v>
          </cell>
          <cell r="B2204" t="str">
            <v>Magdalena</v>
          </cell>
          <cell r="C2204" t="str">
            <v>WOLSKA</v>
          </cell>
          <cell r="D2204" t="str">
            <v>MKB Lednik Miastko</v>
          </cell>
        </row>
        <row r="2205">
          <cell r="A2205" t="str">
            <v>W5939</v>
          </cell>
          <cell r="B2205" t="str">
            <v>Marcin</v>
          </cell>
          <cell r="C2205" t="str">
            <v>WOŁKOWICZ</v>
          </cell>
          <cell r="D2205" t="str">
            <v>MMKS Kędzierzyn-Koźle</v>
          </cell>
        </row>
        <row r="2206">
          <cell r="A2206" t="str">
            <v>W5569</v>
          </cell>
          <cell r="B2206" t="str">
            <v>Barbara</v>
          </cell>
          <cell r="C2206" t="str">
            <v>WOŁOSZYN</v>
          </cell>
          <cell r="D2206" t="str">
            <v>UKSB Volant Mielec</v>
          </cell>
        </row>
        <row r="2207">
          <cell r="A2207" t="str">
            <v>W5774</v>
          </cell>
          <cell r="B2207" t="str">
            <v>Bartłomiej</v>
          </cell>
          <cell r="C2207" t="str">
            <v>WOŹNIAK</v>
          </cell>
          <cell r="D2207" t="str">
            <v>UKS Kiko Zamość</v>
          </cell>
        </row>
        <row r="2208">
          <cell r="A2208" t="str">
            <v>W3645</v>
          </cell>
          <cell r="B2208" t="str">
            <v>Małgorzata</v>
          </cell>
          <cell r="C2208" t="str">
            <v>WOŹNIAK</v>
          </cell>
          <cell r="D2208" t="str">
            <v>----</v>
          </cell>
        </row>
        <row r="2209">
          <cell r="A2209" t="str">
            <v>W4768</v>
          </cell>
          <cell r="B2209" t="str">
            <v>Marcin</v>
          </cell>
          <cell r="C2209" t="str">
            <v>WOŹNIAK</v>
          </cell>
          <cell r="D2209" t="str">
            <v>UKS Feniks Kędzierzyn-Koźle</v>
          </cell>
        </row>
        <row r="2210">
          <cell r="A2210" t="str">
            <v>W5575</v>
          </cell>
          <cell r="B2210" t="str">
            <v>Aleksandra</v>
          </cell>
          <cell r="C2210" t="str">
            <v>WÓJCIAK</v>
          </cell>
          <cell r="D2210" t="str">
            <v>PMKS Chrobry Piotrowice</v>
          </cell>
        </row>
        <row r="2211">
          <cell r="A2211" t="str">
            <v>W5576</v>
          </cell>
          <cell r="B2211" t="str">
            <v>Angelika</v>
          </cell>
          <cell r="C2211" t="str">
            <v>WÓJCIK</v>
          </cell>
          <cell r="D2211" t="str">
            <v>PMKS Chrobry Piotrowice</v>
          </cell>
        </row>
        <row r="2212">
          <cell r="A2212" t="str">
            <v>W3644</v>
          </cell>
          <cell r="B2212" t="str">
            <v>Grzegorz</v>
          </cell>
          <cell r="C2212" t="str">
            <v>WÓJCIK</v>
          </cell>
          <cell r="D2212" t="str">
            <v>UKS Ząbkowice Dąbrowa Górn.</v>
          </cell>
        </row>
        <row r="2213">
          <cell r="A2213" t="str">
            <v>W 079</v>
          </cell>
          <cell r="B2213" t="str">
            <v>Katarzyna</v>
          </cell>
          <cell r="C2213" t="str">
            <v>WÓJCIK</v>
          </cell>
          <cell r="D2213" t="str">
            <v>AZSAGH Kraków</v>
          </cell>
        </row>
        <row r="2214">
          <cell r="A2214" t="str">
            <v>W5468</v>
          </cell>
          <cell r="B2214" t="str">
            <v>Klaudia</v>
          </cell>
          <cell r="C2214" t="str">
            <v>WÓJCIK</v>
          </cell>
          <cell r="D2214" t="str">
            <v>KS Chojnik Jelenia Góra</v>
          </cell>
        </row>
        <row r="2215">
          <cell r="A2215" t="str">
            <v>W5887</v>
          </cell>
          <cell r="B2215" t="str">
            <v>Maciej</v>
          </cell>
          <cell r="C2215" t="str">
            <v>WÓJCIK</v>
          </cell>
          <cell r="D2215" t="str">
            <v>UKS Smecz Milicz</v>
          </cell>
        </row>
        <row r="2216">
          <cell r="A2216" t="str">
            <v>W2731</v>
          </cell>
          <cell r="B2216" t="str">
            <v>Marta</v>
          </cell>
          <cell r="C2216" t="str">
            <v>WÓJCIK</v>
          </cell>
          <cell r="D2216" t="str">
            <v>BKS Kolejarz Częstochowa</v>
          </cell>
        </row>
        <row r="2217">
          <cell r="A2217" t="str">
            <v>W5485</v>
          </cell>
          <cell r="B2217" t="str">
            <v>Ryszard</v>
          </cell>
          <cell r="C2217" t="str">
            <v>WÓJCIK</v>
          </cell>
          <cell r="D2217" t="str">
            <v>----</v>
          </cell>
        </row>
        <row r="2218">
          <cell r="A2218" t="str">
            <v>W5654</v>
          </cell>
          <cell r="B2218" t="str">
            <v>Weronika</v>
          </cell>
          <cell r="C2218" t="str">
            <v>WÓJCIK</v>
          </cell>
          <cell r="D2218" t="str">
            <v>PMKS Chrobry Piotrowice</v>
          </cell>
        </row>
        <row r="2219">
          <cell r="A2219" t="str">
            <v>W5274</v>
          </cell>
          <cell r="B2219" t="str">
            <v>Mateusz</v>
          </cell>
          <cell r="C2219" t="str">
            <v>WRĘGA</v>
          </cell>
          <cell r="D2219" t="str">
            <v>PMKS Chrobry Piotrowice</v>
          </cell>
        </row>
        <row r="2220">
          <cell r="A2220" t="str">
            <v>W5546</v>
          </cell>
          <cell r="B2220" t="str">
            <v>Mateusz</v>
          </cell>
          <cell r="C2220" t="str">
            <v>WRONA</v>
          </cell>
          <cell r="D2220" t="str">
            <v>AZSAGH Kraków</v>
          </cell>
        </row>
        <row r="2221">
          <cell r="A2221" t="str">
            <v>W5903</v>
          </cell>
          <cell r="B2221" t="str">
            <v>Aleksandra</v>
          </cell>
          <cell r="C2221" t="str">
            <v>WROŃSKA</v>
          </cell>
          <cell r="D2221" t="str">
            <v>BKS Kolejarz Katowice</v>
          </cell>
        </row>
        <row r="2222">
          <cell r="A2222" t="str">
            <v>W5902</v>
          </cell>
          <cell r="B2222" t="str">
            <v>Katarzyna</v>
          </cell>
          <cell r="C2222" t="str">
            <v>WROŃSKA</v>
          </cell>
          <cell r="D2222" t="str">
            <v>BKS Kolejarz Katowice</v>
          </cell>
        </row>
        <row r="2223">
          <cell r="A2223" t="str">
            <v>W5300</v>
          </cell>
          <cell r="B2223" t="str">
            <v>Marta</v>
          </cell>
          <cell r="C2223" t="str">
            <v>WROŃSKA</v>
          </cell>
          <cell r="D2223" t="str">
            <v>UKS KSBad Kraków</v>
          </cell>
        </row>
        <row r="2224">
          <cell r="A2224" t="str">
            <v>W5846</v>
          </cell>
          <cell r="B2224" t="str">
            <v>Karol</v>
          </cell>
          <cell r="C2224" t="str">
            <v>WRÓBEL</v>
          </cell>
          <cell r="D2224" t="str">
            <v>UKS KSBad Kraków</v>
          </cell>
        </row>
        <row r="2225">
          <cell r="A2225" t="str">
            <v>W5930</v>
          </cell>
          <cell r="B2225" t="str">
            <v>Martyna</v>
          </cell>
          <cell r="C2225" t="str">
            <v>WRÓBEL</v>
          </cell>
          <cell r="D2225" t="str">
            <v>Górnik Łęczna SA</v>
          </cell>
        </row>
        <row r="2226">
          <cell r="A2226" t="str">
            <v>W4701</v>
          </cell>
          <cell r="B2226" t="str">
            <v>Radosław</v>
          </cell>
          <cell r="C2226" t="str">
            <v>WRÓBEL</v>
          </cell>
          <cell r="D2226" t="str">
            <v>KB Vol-Trick Kępno</v>
          </cell>
        </row>
        <row r="2227">
          <cell r="A2227" t="str">
            <v>W4835</v>
          </cell>
          <cell r="B2227" t="str">
            <v>Roman</v>
          </cell>
          <cell r="C2227" t="str">
            <v>WRÓBEL</v>
          </cell>
          <cell r="D2227" t="str">
            <v>----</v>
          </cell>
        </row>
        <row r="2228">
          <cell r="A2228" t="str">
            <v>W5152</v>
          </cell>
          <cell r="B2228" t="str">
            <v>Mikołaj</v>
          </cell>
          <cell r="C2228" t="str">
            <v>WRZALIK</v>
          </cell>
          <cell r="D2228" t="str">
            <v>KS Match Point Ślęza</v>
          </cell>
        </row>
        <row r="2229">
          <cell r="A2229" t="str">
            <v>W2077</v>
          </cell>
          <cell r="B2229" t="str">
            <v>Magdalena</v>
          </cell>
          <cell r="C2229" t="str">
            <v>WRZEŚNIEWSKA</v>
          </cell>
          <cell r="D2229" t="str">
            <v>PTS Puszczykowo</v>
          </cell>
        </row>
        <row r="2230">
          <cell r="A2230" t="str">
            <v>W3960</v>
          </cell>
          <cell r="B2230" t="str">
            <v>Justyna</v>
          </cell>
          <cell r="C2230" t="str">
            <v>WUDARSKA</v>
          </cell>
          <cell r="D2230" t="str">
            <v>UKS Iskra Sarbice</v>
          </cell>
        </row>
        <row r="2231">
          <cell r="A2231" t="str">
            <v>W5473</v>
          </cell>
          <cell r="B2231" t="str">
            <v>Paulina</v>
          </cell>
          <cell r="C2231" t="str">
            <v>WUDARSKA</v>
          </cell>
          <cell r="D2231" t="str">
            <v>UKS Iskra Sarbice</v>
          </cell>
        </row>
        <row r="2232">
          <cell r="A2232" t="str">
            <v>W3961</v>
          </cell>
          <cell r="B2232" t="str">
            <v>Adam</v>
          </cell>
          <cell r="C2232" t="str">
            <v>WUDARSKI</v>
          </cell>
          <cell r="D2232" t="str">
            <v>UKS Iskra Sarbice</v>
          </cell>
        </row>
        <row r="2233">
          <cell r="A2233" t="str">
            <v>W4049</v>
          </cell>
          <cell r="B2233" t="str">
            <v>Kamil</v>
          </cell>
          <cell r="C2233" t="str">
            <v>WUDARSKI</v>
          </cell>
          <cell r="D2233" t="str">
            <v>UKS Iskra Sarbice</v>
          </cell>
        </row>
        <row r="2234">
          <cell r="A2234" t="str">
            <v>W4651</v>
          </cell>
          <cell r="B2234" t="str">
            <v>Mateusz</v>
          </cell>
          <cell r="C2234" t="str">
            <v>WUDARSKI</v>
          </cell>
          <cell r="D2234" t="str">
            <v>UKS Iskra Sarbice</v>
          </cell>
        </row>
        <row r="2235">
          <cell r="A2235" t="str">
            <v>W4650</v>
          </cell>
          <cell r="B2235" t="str">
            <v>Sebastian</v>
          </cell>
          <cell r="C2235" t="str">
            <v>WUDARSKI</v>
          </cell>
          <cell r="D2235" t="str">
            <v>UKS Iskra Sarbice</v>
          </cell>
        </row>
        <row r="2236">
          <cell r="A2236" t="str">
            <v>W3962</v>
          </cell>
          <cell r="B2236" t="str">
            <v>Sławomir</v>
          </cell>
          <cell r="C2236" t="str">
            <v>WUDARSKI</v>
          </cell>
          <cell r="D2236" t="str">
            <v>UKS Iskra Sarbice</v>
          </cell>
        </row>
        <row r="2237">
          <cell r="A2237" t="str">
            <v>W4090</v>
          </cell>
          <cell r="B2237" t="str">
            <v>Magdalena</v>
          </cell>
          <cell r="C2237" t="str">
            <v>WYCHOWANIEC</v>
          </cell>
          <cell r="D2237" t="str">
            <v>MKS Orlicz Suchedniów</v>
          </cell>
        </row>
        <row r="2238">
          <cell r="A2238" t="str">
            <v>W4429</v>
          </cell>
          <cell r="B2238" t="str">
            <v>Bartłomiej</v>
          </cell>
          <cell r="C2238" t="str">
            <v>WYCISZKIEWICZ</v>
          </cell>
          <cell r="D2238" t="str">
            <v>UKSOSIR Badminton Sławno</v>
          </cell>
        </row>
        <row r="2239">
          <cell r="A2239" t="str">
            <v>W3360</v>
          </cell>
          <cell r="B2239" t="str">
            <v>Janusz</v>
          </cell>
          <cell r="C2239" t="str">
            <v>WYCZAŁKOWSKI</v>
          </cell>
          <cell r="D2239" t="str">
            <v>----</v>
          </cell>
        </row>
        <row r="2240">
          <cell r="A2240" t="str">
            <v>W5936</v>
          </cell>
          <cell r="B2240" t="str">
            <v>Kamil</v>
          </cell>
          <cell r="C2240" t="str">
            <v>WYDERKA</v>
          </cell>
          <cell r="D2240" t="str">
            <v>UKS MixTeam Tarnowiec</v>
          </cell>
        </row>
        <row r="2241">
          <cell r="A2241" t="str">
            <v>W3849</v>
          </cell>
          <cell r="B2241" t="str">
            <v>Jakub</v>
          </cell>
          <cell r="C2241" t="str">
            <v>WYDRA</v>
          </cell>
          <cell r="D2241" t="str">
            <v>MUKS 5 Chełm</v>
          </cell>
        </row>
        <row r="2242">
          <cell r="A2242" t="str">
            <v>W4745</v>
          </cell>
          <cell r="B2242" t="str">
            <v>Szymon</v>
          </cell>
          <cell r="C2242" t="str">
            <v>WYDRA</v>
          </cell>
          <cell r="D2242" t="str">
            <v>MUKS 5 Chełm</v>
          </cell>
        </row>
        <row r="2243">
          <cell r="A2243" t="str">
            <v>W5544</v>
          </cell>
          <cell r="B2243" t="str">
            <v>Tomasz</v>
          </cell>
          <cell r="C2243" t="str">
            <v>WYDRO</v>
          </cell>
          <cell r="D2243" t="str">
            <v>UKSB Volant Mielec</v>
          </cell>
        </row>
        <row r="2244">
          <cell r="A2244" t="str">
            <v>W4743</v>
          </cell>
          <cell r="B2244" t="str">
            <v>Aleksandra</v>
          </cell>
          <cell r="C2244" t="str">
            <v>WYHADAŃCZUK</v>
          </cell>
          <cell r="D2244" t="str">
            <v>MUKS 5 Chełm</v>
          </cell>
        </row>
        <row r="2245">
          <cell r="A2245" t="str">
            <v>W3789</v>
          </cell>
          <cell r="B2245" t="str">
            <v>Aleksandra</v>
          </cell>
          <cell r="C2245" t="str">
            <v>WYROBEK</v>
          </cell>
          <cell r="D2245" t="str">
            <v>UKS Plesbad Pszczyna</v>
          </cell>
        </row>
        <row r="2246">
          <cell r="A2246" t="str">
            <v>W4663</v>
          </cell>
          <cell r="B2246" t="str">
            <v>Jan</v>
          </cell>
          <cell r="C2246" t="str">
            <v>WYRZYKOWSKI</v>
          </cell>
          <cell r="D2246" t="str">
            <v>----</v>
          </cell>
        </row>
        <row r="2247">
          <cell r="A2247" t="str">
            <v>W4073</v>
          </cell>
          <cell r="B2247" t="str">
            <v>Damian</v>
          </cell>
          <cell r="C2247" t="str">
            <v>WYSOKIŃSKI</v>
          </cell>
          <cell r="D2247" t="str">
            <v>KS Wesoła Warszawa</v>
          </cell>
        </row>
        <row r="2248">
          <cell r="A2248" t="str">
            <v>W5158</v>
          </cell>
          <cell r="B2248" t="str">
            <v>Konrad</v>
          </cell>
          <cell r="C2248" t="str">
            <v>WYSOKIŃSKI</v>
          </cell>
          <cell r="D2248" t="str">
            <v>KS Wesoła Warszawa</v>
          </cell>
        </row>
        <row r="2249">
          <cell r="A2249" t="str">
            <v>W4982</v>
          </cell>
          <cell r="B2249" t="str">
            <v>Julia</v>
          </cell>
          <cell r="C2249" t="str">
            <v>WYSOWSKA</v>
          </cell>
          <cell r="D2249" t="str">
            <v>----</v>
          </cell>
        </row>
        <row r="2250">
          <cell r="A2250" t="str">
            <v>W4894</v>
          </cell>
          <cell r="B2250" t="str">
            <v>Olga</v>
          </cell>
          <cell r="C2250" t="str">
            <v>WYSZKOWSKA</v>
          </cell>
          <cell r="D2250" t="str">
            <v>KS Wesoła Warszawa</v>
          </cell>
        </row>
        <row r="2251">
          <cell r="A2251" t="str">
            <v>W4657</v>
          </cell>
          <cell r="B2251" t="str">
            <v>Aleksander</v>
          </cell>
          <cell r="C2251" t="str">
            <v>WYŻYKOWSKI</v>
          </cell>
          <cell r="D2251" t="str">
            <v>KS Hubertus Zalesie Górne</v>
          </cell>
        </row>
        <row r="2252">
          <cell r="A2252" t="str">
            <v>W5766</v>
          </cell>
          <cell r="B2252" t="str">
            <v>Paulina</v>
          </cell>
          <cell r="C2252" t="str">
            <v>WZOREK</v>
          </cell>
          <cell r="D2252" t="str">
            <v>UKS Lotka Łódź</v>
          </cell>
        </row>
        <row r="2253">
          <cell r="A2253" t="str">
            <v>Z5679</v>
          </cell>
          <cell r="B2253" t="str">
            <v>Jakub</v>
          </cell>
          <cell r="C2253" t="str">
            <v>ZABOREK</v>
          </cell>
          <cell r="D2253" t="str">
            <v>UKS Smecz Bogatynia</v>
          </cell>
        </row>
        <row r="2254">
          <cell r="A2254" t="str">
            <v>Z2359</v>
          </cell>
          <cell r="B2254" t="str">
            <v>Wojciech</v>
          </cell>
          <cell r="C2254" t="str">
            <v>ZABOROWSKI</v>
          </cell>
          <cell r="D2254" t="str">
            <v>SKB Suwałki</v>
          </cell>
        </row>
        <row r="2255">
          <cell r="A2255" t="str">
            <v>Z5133</v>
          </cell>
          <cell r="B2255" t="str">
            <v>Eryk</v>
          </cell>
          <cell r="C2255" t="str">
            <v>ZACHARCZYK</v>
          </cell>
          <cell r="D2255" t="str">
            <v>KS Stal Sulęcin</v>
          </cell>
        </row>
        <row r="2256">
          <cell r="A2256" t="str">
            <v>Z1090</v>
          </cell>
          <cell r="B2256" t="str">
            <v>Lech</v>
          </cell>
          <cell r="C2256" t="str">
            <v>ZACHARZEWSKI</v>
          </cell>
          <cell r="D2256" t="str">
            <v>----</v>
          </cell>
        </row>
        <row r="2257">
          <cell r="A2257" t="str">
            <v>Z1414</v>
          </cell>
          <cell r="B2257" t="str">
            <v>Michał</v>
          </cell>
          <cell r="C2257" t="str">
            <v>ZACHEWICZ</v>
          </cell>
          <cell r="D2257" t="str">
            <v>AZSUW Warszawa</v>
          </cell>
        </row>
        <row r="2258">
          <cell r="A2258" t="str">
            <v>Z4607</v>
          </cell>
          <cell r="B2258" t="str">
            <v>Emilia</v>
          </cell>
          <cell r="C2258" t="str">
            <v>ZACKIEWICZ</v>
          </cell>
          <cell r="D2258" t="str">
            <v>SKB Suwałki</v>
          </cell>
        </row>
        <row r="2259">
          <cell r="A2259" t="str">
            <v>Z4329</v>
          </cell>
          <cell r="B2259" t="str">
            <v>Cezary</v>
          </cell>
          <cell r="C2259" t="str">
            <v>ZADARKO</v>
          </cell>
          <cell r="D2259" t="str">
            <v>SKB Suwałki</v>
          </cell>
        </row>
        <row r="2260">
          <cell r="A2260" t="str">
            <v>Z4330</v>
          </cell>
          <cell r="B2260" t="str">
            <v>Jacek</v>
          </cell>
          <cell r="C2260" t="str">
            <v>ZADARKO</v>
          </cell>
          <cell r="D2260" t="str">
            <v>SKB Suwałki</v>
          </cell>
        </row>
        <row r="2261">
          <cell r="A2261" t="str">
            <v>Z4582</v>
          </cell>
          <cell r="B2261" t="str">
            <v>Klaudia</v>
          </cell>
          <cell r="C2261" t="str">
            <v>ZAGAJEWSKA</v>
          </cell>
          <cell r="D2261" t="str">
            <v>OTB Lotka Ostrów Wlkp.</v>
          </cell>
        </row>
        <row r="2262">
          <cell r="A2262" t="str">
            <v>Z5595</v>
          </cell>
          <cell r="B2262" t="str">
            <v>Magdalena</v>
          </cell>
          <cell r="C2262" t="str">
            <v>ZAJĄC</v>
          </cell>
          <cell r="D2262" t="str">
            <v>STB Energia Lubliniec</v>
          </cell>
        </row>
        <row r="2263">
          <cell r="A2263" t="str">
            <v>Z2872</v>
          </cell>
          <cell r="B2263" t="str">
            <v>Alesja</v>
          </cell>
          <cell r="C2263" t="str">
            <v>ZAJTSEVA</v>
          </cell>
          <cell r="D2263" t="str">
            <v>UKS Hubal Białystok</v>
          </cell>
        </row>
        <row r="2264">
          <cell r="A2264" t="str">
            <v>Z5528</v>
          </cell>
          <cell r="B2264" t="str">
            <v>Gabriela</v>
          </cell>
          <cell r="C2264" t="str">
            <v>ZAKRZEWSKA</v>
          </cell>
          <cell r="D2264" t="str">
            <v>SKB Suwałki</v>
          </cell>
        </row>
        <row r="2265">
          <cell r="A2265" t="str">
            <v>Z0271</v>
          </cell>
          <cell r="B2265" t="str">
            <v>Michał</v>
          </cell>
          <cell r="C2265" t="str">
            <v>ZAKRZEWSKI</v>
          </cell>
          <cell r="D2265" t="str">
            <v>UKSB Milenium Warszawa</v>
          </cell>
        </row>
        <row r="2266">
          <cell r="A2266" t="str">
            <v>Z3166</v>
          </cell>
          <cell r="B2266" t="str">
            <v>Bartosz</v>
          </cell>
          <cell r="C2266" t="str">
            <v>ZALEWSKI</v>
          </cell>
          <cell r="D2266" t="str">
            <v>UKS Hubal Białystok</v>
          </cell>
        </row>
        <row r="2267">
          <cell r="A2267" t="str">
            <v>Z5450</v>
          </cell>
          <cell r="B2267" t="str">
            <v>Zuzanna</v>
          </cell>
          <cell r="C2267" t="str">
            <v>ZAŁĘCZNA</v>
          </cell>
          <cell r="D2267" t="str">
            <v>KKS Ruch Piotrków Tryb.</v>
          </cell>
        </row>
        <row r="2268">
          <cell r="A2268" t="str">
            <v>Z0392</v>
          </cell>
          <cell r="B2268" t="str">
            <v>Adam</v>
          </cell>
          <cell r="C2268" t="str">
            <v>ZAŁĘSKI</v>
          </cell>
          <cell r="D2268" t="str">
            <v>UKSB Milenium Warszawa</v>
          </cell>
        </row>
        <row r="2269">
          <cell r="A2269" t="str">
            <v>Z4806</v>
          </cell>
          <cell r="B2269" t="str">
            <v>Katarzyna</v>
          </cell>
          <cell r="C2269" t="str">
            <v>ZAŁUSKA</v>
          </cell>
          <cell r="D2269" t="str">
            <v>UKS Astra Wrocław</v>
          </cell>
        </row>
        <row r="2270">
          <cell r="A2270" t="str">
            <v>Z5817</v>
          </cell>
          <cell r="B2270" t="str">
            <v>Hubert</v>
          </cell>
          <cell r="C2270" t="str">
            <v>ZANIEWSKI</v>
          </cell>
          <cell r="D2270" t="str">
            <v>UKSB Milenium Warszawa</v>
          </cell>
        </row>
        <row r="2271">
          <cell r="A2271" t="str">
            <v>Z4041</v>
          </cell>
          <cell r="B2271" t="str">
            <v>Wiktoria</v>
          </cell>
          <cell r="C2271" t="str">
            <v>ZAPORA</v>
          </cell>
          <cell r="D2271" t="str">
            <v>UKS Kiko Zamość</v>
          </cell>
        </row>
        <row r="2272">
          <cell r="A2272" t="str">
            <v>Z4881</v>
          </cell>
          <cell r="B2272" t="str">
            <v>Eliza</v>
          </cell>
          <cell r="C2272" t="str">
            <v>ZARZYCKA</v>
          </cell>
          <cell r="D2272" t="str">
            <v>UKS Smecz Bogatynia</v>
          </cell>
        </row>
        <row r="2273">
          <cell r="A2273" t="str">
            <v>Z5192</v>
          </cell>
          <cell r="B2273" t="str">
            <v>Izabela</v>
          </cell>
          <cell r="C2273" t="str">
            <v>ZARZYCKA</v>
          </cell>
          <cell r="D2273" t="str">
            <v>UKS Kiko Zamość</v>
          </cell>
        </row>
        <row r="2274">
          <cell r="A2274" t="str">
            <v>Z5577</v>
          </cell>
          <cell r="B2274" t="str">
            <v>Jan</v>
          </cell>
          <cell r="C2274" t="str">
            <v>ZASADA</v>
          </cell>
          <cell r="D2274" t="str">
            <v>PMKS Chrobry Piotrowice</v>
          </cell>
        </row>
        <row r="2275">
          <cell r="A2275" t="str">
            <v>Z5578</v>
          </cell>
          <cell r="B2275" t="str">
            <v>Julia</v>
          </cell>
          <cell r="C2275" t="str">
            <v>ZASADA</v>
          </cell>
          <cell r="D2275" t="str">
            <v>PMKS Chrobry Piotrowice</v>
          </cell>
        </row>
        <row r="2276">
          <cell r="A2276" t="str">
            <v>Z5146</v>
          </cell>
          <cell r="B2276" t="str">
            <v>Robert</v>
          </cell>
          <cell r="C2276" t="str">
            <v>ZATYLNY</v>
          </cell>
          <cell r="D2276" t="str">
            <v>UKS Kopernik Słupca</v>
          </cell>
        </row>
        <row r="2277">
          <cell r="A2277" t="str">
            <v>Z2523</v>
          </cell>
          <cell r="B2277" t="str">
            <v>Justyna</v>
          </cell>
          <cell r="C2277" t="str">
            <v>ZAUCHA</v>
          </cell>
          <cell r="D2277" t="str">
            <v>UKS Orbitek Straszęcin</v>
          </cell>
        </row>
        <row r="2278">
          <cell r="A2278" t="str">
            <v>Z3080</v>
          </cell>
          <cell r="B2278" t="str">
            <v>Konrad</v>
          </cell>
          <cell r="C2278" t="str">
            <v>ZAUCHA</v>
          </cell>
          <cell r="D2278" t="str">
            <v>UKS Orbitek Straszęcin</v>
          </cell>
        </row>
        <row r="2279">
          <cell r="A2279" t="str">
            <v>Z2524</v>
          </cell>
          <cell r="B2279" t="str">
            <v>Michał</v>
          </cell>
          <cell r="C2279" t="str">
            <v>ZAUCHA</v>
          </cell>
          <cell r="D2279" t="str">
            <v>UKS Sokół Ropczyce</v>
          </cell>
        </row>
        <row r="2280">
          <cell r="A2280" t="str">
            <v>Z5181</v>
          </cell>
          <cell r="B2280" t="str">
            <v>Anna</v>
          </cell>
          <cell r="C2280" t="str">
            <v>ZAWADA</v>
          </cell>
          <cell r="D2280" t="str">
            <v>UKS Kiko Zamość</v>
          </cell>
        </row>
        <row r="2281">
          <cell r="A2281" t="str">
            <v>Z4433</v>
          </cell>
          <cell r="B2281" t="str">
            <v>Karol</v>
          </cell>
          <cell r="C2281" t="str">
            <v>ZAWALSKI</v>
          </cell>
          <cell r="D2281" t="str">
            <v>UKS Aktywna Piątka Przemyśl</v>
          </cell>
        </row>
        <row r="2282">
          <cell r="A2282" t="str">
            <v>Z4276</v>
          </cell>
          <cell r="B2282" t="str">
            <v>Piotr</v>
          </cell>
          <cell r="C2282" t="str">
            <v>ZAWIRSKI</v>
          </cell>
          <cell r="D2282" t="str">
            <v>AZSOŚ Łódź</v>
          </cell>
        </row>
        <row r="2283">
          <cell r="A2283" t="str">
            <v>Z2266</v>
          </cell>
          <cell r="B2283" t="str">
            <v>Jacek</v>
          </cell>
          <cell r="C2283" t="str">
            <v>ZBRÓG</v>
          </cell>
          <cell r="D2283" t="str">
            <v>----</v>
          </cell>
        </row>
        <row r="2284">
          <cell r="A2284" t="str">
            <v>Z5522</v>
          </cell>
          <cell r="B2284" t="str">
            <v>Krzysztof</v>
          </cell>
          <cell r="C2284" t="str">
            <v>ZDANCEWICZ</v>
          </cell>
          <cell r="D2284" t="str">
            <v>SKB Suwałki</v>
          </cell>
        </row>
        <row r="2285">
          <cell r="A2285" t="str">
            <v>Z5538</v>
          </cell>
          <cell r="B2285" t="str">
            <v>Magdalena</v>
          </cell>
          <cell r="C2285" t="str">
            <v>ZDANCEWICZ</v>
          </cell>
          <cell r="D2285" t="str">
            <v>SKB Suwałki</v>
          </cell>
        </row>
        <row r="2286">
          <cell r="A2286" t="str">
            <v>Z5524</v>
          </cell>
          <cell r="B2286" t="str">
            <v>Zofia</v>
          </cell>
          <cell r="C2286" t="str">
            <v>ZDANCEWICZ</v>
          </cell>
          <cell r="D2286" t="str">
            <v>SKB Suwałki</v>
          </cell>
        </row>
        <row r="2287">
          <cell r="A2287" t="str">
            <v>Z5808</v>
          </cell>
          <cell r="B2287" t="str">
            <v>Jakub</v>
          </cell>
          <cell r="C2287" t="str">
            <v>ZDROJEWSKI</v>
          </cell>
          <cell r="D2287" t="str">
            <v>AZSUW Warszawa</v>
          </cell>
        </row>
        <row r="2288">
          <cell r="A2288" t="str">
            <v>Z5364</v>
          </cell>
          <cell r="B2288" t="str">
            <v>Bartłomiej</v>
          </cell>
          <cell r="C2288" t="str">
            <v>ZDZIEBKO</v>
          </cell>
          <cell r="D2288" t="str">
            <v>PMKS Chrobry Piotrowice</v>
          </cell>
        </row>
        <row r="2289">
          <cell r="A2289" t="str">
            <v>Z4400</v>
          </cell>
          <cell r="B2289" t="str">
            <v>Anna</v>
          </cell>
          <cell r="C2289" t="str">
            <v>ZDZIENNICKA</v>
          </cell>
          <cell r="D2289" t="str">
            <v>UKS Siódemka Świebodzin</v>
          </cell>
        </row>
        <row r="2290">
          <cell r="A2290" t="str">
            <v>Z3349</v>
          </cell>
          <cell r="B2290" t="str">
            <v>Karolina</v>
          </cell>
          <cell r="C2290" t="str">
            <v>ZDZIENNICKA</v>
          </cell>
          <cell r="D2290" t="str">
            <v>UKS Siódemka Świebodzin</v>
          </cell>
        </row>
        <row r="2291">
          <cell r="A2291" t="str">
            <v>Z3350</v>
          </cell>
          <cell r="B2291" t="str">
            <v>Magdalena</v>
          </cell>
          <cell r="C2291" t="str">
            <v>ZDZIENNICKA</v>
          </cell>
          <cell r="D2291" t="str">
            <v>UKS Siódemka Świebodzin</v>
          </cell>
        </row>
        <row r="2292">
          <cell r="A2292" t="str">
            <v>Z5373</v>
          </cell>
          <cell r="B2292" t="str">
            <v>Paweł</v>
          </cell>
          <cell r="C2292" t="str">
            <v>ZEMANEK</v>
          </cell>
          <cell r="D2292" t="str">
            <v>----</v>
          </cell>
        </row>
        <row r="2293">
          <cell r="A2293" t="str">
            <v>Z5418</v>
          </cell>
          <cell r="B2293" t="str">
            <v>Piotr</v>
          </cell>
          <cell r="C2293" t="str">
            <v>ZEMANEK</v>
          </cell>
          <cell r="D2293" t="str">
            <v>----</v>
          </cell>
        </row>
        <row r="2294">
          <cell r="A2294" t="str">
            <v>Z4883</v>
          </cell>
          <cell r="B2294" t="str">
            <v>Jakub</v>
          </cell>
          <cell r="C2294" t="str">
            <v>ZEMANKIEWICZ</v>
          </cell>
          <cell r="D2294" t="str">
            <v>UKS Smecz Bogatynia</v>
          </cell>
        </row>
        <row r="2295">
          <cell r="A2295" t="str">
            <v>Z5844</v>
          </cell>
          <cell r="B2295" t="str">
            <v>Agata</v>
          </cell>
          <cell r="C2295" t="str">
            <v>ZĘGOTA</v>
          </cell>
          <cell r="D2295" t="str">
            <v>SLKS Tramp Orneta</v>
          </cell>
        </row>
        <row r="2296">
          <cell r="A2296" t="str">
            <v>Z2991</v>
          </cell>
          <cell r="B2296" t="str">
            <v>Paula</v>
          </cell>
          <cell r="C2296" t="str">
            <v>ZGANIACZ</v>
          </cell>
          <cell r="D2296" t="str">
            <v>AZSWAT Warszawa</v>
          </cell>
        </row>
        <row r="2297">
          <cell r="A2297" t="str">
            <v>Z5136</v>
          </cell>
          <cell r="B2297" t="str">
            <v>Wiktor</v>
          </cell>
          <cell r="C2297" t="str">
            <v>ZGLIŃSKI</v>
          </cell>
          <cell r="D2297" t="str">
            <v>KS Masovia Płock</v>
          </cell>
        </row>
        <row r="2298">
          <cell r="A2298" t="str">
            <v>Z5289</v>
          </cell>
          <cell r="B2298" t="str">
            <v>Dariusz</v>
          </cell>
          <cell r="C2298" t="str">
            <v>ZGORZAŁEK</v>
          </cell>
          <cell r="D2298" t="str">
            <v>----</v>
          </cell>
        </row>
        <row r="2299">
          <cell r="A2299" t="str">
            <v>Z4269</v>
          </cell>
          <cell r="B2299" t="str">
            <v>Dawid</v>
          </cell>
          <cell r="C2299" t="str">
            <v>ZIARNIAK</v>
          </cell>
          <cell r="D2299" t="str">
            <v>STB Energia Lubliniec</v>
          </cell>
        </row>
        <row r="2300">
          <cell r="A2300" t="str">
            <v>Z5978</v>
          </cell>
          <cell r="B2300" t="str">
            <v>Aleksander</v>
          </cell>
          <cell r="C2300" t="str">
            <v>ZIELENIEWSKI</v>
          </cell>
          <cell r="D2300" t="str">
            <v>UKS Badminton Stare Babice</v>
          </cell>
        </row>
        <row r="2301">
          <cell r="A2301" t="str">
            <v>Z3354</v>
          </cell>
          <cell r="B2301" t="str">
            <v>Anna</v>
          </cell>
          <cell r="C2301" t="str">
            <v>ZIELIŃSKA</v>
          </cell>
          <cell r="D2301" t="str">
            <v>AZSWAT Warszawa</v>
          </cell>
        </row>
        <row r="2302">
          <cell r="A2302" t="str">
            <v>Z4525</v>
          </cell>
          <cell r="B2302" t="str">
            <v>Karolina</v>
          </cell>
          <cell r="C2302" t="str">
            <v>ZIELIŃSKA</v>
          </cell>
          <cell r="D2302" t="str">
            <v>ŚKBad Harcownik Warszawa</v>
          </cell>
        </row>
        <row r="2303">
          <cell r="A2303" t="str">
            <v>Z5318</v>
          </cell>
          <cell r="B2303" t="str">
            <v>Kornelia</v>
          </cell>
          <cell r="C2303" t="str">
            <v>ZIELIŃSKA</v>
          </cell>
          <cell r="D2303" t="str">
            <v>SKB Suwałki</v>
          </cell>
        </row>
        <row r="2304">
          <cell r="A2304" t="str">
            <v>Z4775</v>
          </cell>
          <cell r="B2304" t="str">
            <v>Urszula</v>
          </cell>
          <cell r="C2304" t="str">
            <v>ZIELIŃSKA</v>
          </cell>
          <cell r="D2304" t="str">
            <v>----</v>
          </cell>
        </row>
        <row r="2305">
          <cell r="A2305" t="str">
            <v>Z4617</v>
          </cell>
          <cell r="B2305" t="str">
            <v>Klaudia</v>
          </cell>
          <cell r="C2305" t="str">
            <v>ZIELNIK</v>
          </cell>
          <cell r="D2305" t="str">
            <v>SLKS Tramp Orneta</v>
          </cell>
        </row>
        <row r="2306">
          <cell r="A2306" t="str">
            <v>Z5502</v>
          </cell>
          <cell r="B2306" t="str">
            <v>Aleksandra</v>
          </cell>
          <cell r="C2306" t="str">
            <v>ZIEMIAŃSKA</v>
          </cell>
          <cell r="D2306" t="str">
            <v>ZKB Maced Polanów</v>
          </cell>
        </row>
        <row r="2307">
          <cell r="A2307" t="str">
            <v>Z4822</v>
          </cell>
          <cell r="B2307" t="str">
            <v>Julia</v>
          </cell>
          <cell r="C2307" t="str">
            <v>ZIEMIŃSKA</v>
          </cell>
          <cell r="D2307" t="str">
            <v>UKS Kiko Zamość</v>
          </cell>
        </row>
        <row r="2308">
          <cell r="A2308" t="str">
            <v>Z3852</v>
          </cell>
          <cell r="B2308" t="str">
            <v>Mateusz</v>
          </cell>
          <cell r="C2308" t="str">
            <v>ZIEMŁA</v>
          </cell>
          <cell r="D2308" t="str">
            <v>KS Hubertus Zalesie Górne</v>
          </cell>
        </row>
        <row r="2309">
          <cell r="A2309" t="str">
            <v>Z3408</v>
          </cell>
          <cell r="B2309" t="str">
            <v>Zenon</v>
          </cell>
          <cell r="C2309" t="str">
            <v>ZIENKOWICZ</v>
          </cell>
          <cell r="D2309" t="str">
            <v>----</v>
          </cell>
        </row>
        <row r="2310">
          <cell r="A2310" t="str">
            <v>Z0180</v>
          </cell>
          <cell r="B2310" t="str">
            <v>Dariusz</v>
          </cell>
          <cell r="C2310" t="str">
            <v>ZIĘBA</v>
          </cell>
          <cell r="D2310" t="str">
            <v>LUKS Badminton Choroszcz</v>
          </cell>
        </row>
        <row r="2311">
          <cell r="A2311" t="str">
            <v>Z4461</v>
          </cell>
          <cell r="B2311" t="str">
            <v>Katarzyna</v>
          </cell>
          <cell r="C2311" t="str">
            <v>ZIĘBA</v>
          </cell>
          <cell r="D2311" t="str">
            <v>MKS Orlicz Suchedniów</v>
          </cell>
        </row>
        <row r="2312">
          <cell r="A2312" t="str">
            <v>Z5021</v>
          </cell>
          <cell r="B2312" t="str">
            <v>Mateusz</v>
          </cell>
          <cell r="C2312" t="str">
            <v>ZIĘBA</v>
          </cell>
          <cell r="D2312" t="str">
            <v>MKS Orlicz Suchedniów</v>
          </cell>
        </row>
        <row r="2313">
          <cell r="A2313" t="str">
            <v>Z0652</v>
          </cell>
          <cell r="B2313" t="str">
            <v>Nadieżda</v>
          </cell>
          <cell r="C2313" t="str">
            <v>ZIĘBA</v>
          </cell>
          <cell r="D2313" t="str">
            <v>UKS Hubal Białystok</v>
          </cell>
        </row>
        <row r="2314">
          <cell r="A2314" t="str">
            <v>Z2604</v>
          </cell>
          <cell r="B2314" t="str">
            <v>Dominik</v>
          </cell>
          <cell r="C2314" t="str">
            <v>ZIĘTEK</v>
          </cell>
          <cell r="D2314" t="str">
            <v>MLKS Solec Kuj.</v>
          </cell>
        </row>
        <row r="2315">
          <cell r="A2315" t="str">
            <v>Z5988</v>
          </cell>
          <cell r="B2315" t="str">
            <v>Daria</v>
          </cell>
          <cell r="C2315" t="str">
            <v>ZIMNOL</v>
          </cell>
          <cell r="D2315" t="str">
            <v>UKS Plesbad Pszczyna</v>
          </cell>
        </row>
        <row r="2316">
          <cell r="A2316" t="str">
            <v>Z4412</v>
          </cell>
          <cell r="B2316" t="str">
            <v>Łukasz</v>
          </cell>
          <cell r="C2316" t="str">
            <v>ZIMOWSKI</v>
          </cell>
          <cell r="D2316" t="str">
            <v>UKS Badmin Gorlice</v>
          </cell>
        </row>
        <row r="2317">
          <cell r="A2317" t="str">
            <v>Z1475</v>
          </cell>
          <cell r="B2317" t="str">
            <v>Czesław</v>
          </cell>
          <cell r="C2317" t="str">
            <v>ZIOBRO</v>
          </cell>
          <cell r="D2317" t="str">
            <v>----</v>
          </cell>
        </row>
        <row r="2318">
          <cell r="A2318" t="str">
            <v>Z3838</v>
          </cell>
          <cell r="B2318" t="str">
            <v>Jakub</v>
          </cell>
          <cell r="C2318" t="str">
            <v>ZMUDA</v>
          </cell>
          <cell r="D2318" t="str">
            <v>UKS Orkan Przeźmierowo</v>
          </cell>
        </row>
        <row r="2319">
          <cell r="A2319" t="str">
            <v>Z3839</v>
          </cell>
          <cell r="B2319" t="str">
            <v>Maksymilian</v>
          </cell>
          <cell r="C2319" t="str">
            <v>ZMUDA</v>
          </cell>
          <cell r="D2319" t="str">
            <v>UKS Orkan Przeźmierowo</v>
          </cell>
        </row>
        <row r="2320">
          <cell r="A2320" t="str">
            <v>Z5400</v>
          </cell>
          <cell r="B2320" t="str">
            <v>Aleksandra</v>
          </cell>
          <cell r="C2320" t="str">
            <v>ZUCHNIARZ</v>
          </cell>
          <cell r="D2320" t="str">
            <v>PMKS Chrobry Piotrowice</v>
          </cell>
        </row>
        <row r="2321">
          <cell r="A2321" t="str">
            <v>Z4671</v>
          </cell>
          <cell r="B2321" t="str">
            <v>Michał</v>
          </cell>
          <cell r="C2321" t="str">
            <v>ZUCHOWSKI</v>
          </cell>
          <cell r="D2321" t="str">
            <v>OTB Lotka Ostrów Wlkp.</v>
          </cell>
        </row>
        <row r="2322">
          <cell r="A2322" t="str">
            <v>Z3158</v>
          </cell>
          <cell r="B2322" t="str">
            <v>Aleksandra</v>
          </cell>
          <cell r="C2322" t="str">
            <v>ZWIERZCHOWSKA</v>
          </cell>
          <cell r="D2322" t="str">
            <v>UKSB Milenium Warszawa</v>
          </cell>
        </row>
        <row r="2323">
          <cell r="A2323" t="str">
            <v>Z4312</v>
          </cell>
          <cell r="B2323" t="str">
            <v>Łukasz</v>
          </cell>
          <cell r="C2323" t="str">
            <v>ZWIERZCHOWSKI</v>
          </cell>
          <cell r="D2323" t="str">
            <v>UKSB Milenium Warszawa</v>
          </cell>
        </row>
        <row r="2324">
          <cell r="A2324" t="str">
            <v>Z5775</v>
          </cell>
          <cell r="B2324" t="str">
            <v>Kacper</v>
          </cell>
          <cell r="C2324" t="str">
            <v>ZWOLAN</v>
          </cell>
          <cell r="D2324" t="str">
            <v>UKS Kiko Zamość</v>
          </cell>
        </row>
        <row r="2325">
          <cell r="A2325" t="str">
            <v>Z3682</v>
          </cell>
          <cell r="B2325" t="str">
            <v>Katarzyna</v>
          </cell>
          <cell r="C2325" t="str">
            <v>ZYSK</v>
          </cell>
          <cell r="D2325" t="str">
            <v>UKS Kopernik Słupca</v>
          </cell>
        </row>
        <row r="2326">
          <cell r="A2326" t="str">
            <v>Z5935</v>
          </cell>
          <cell r="B2326" t="str">
            <v>Małgorzata</v>
          </cell>
          <cell r="C2326" t="str">
            <v>ZYWERT</v>
          </cell>
          <cell r="D2326" t="str">
            <v>UKS Plesbad Pszczyna</v>
          </cell>
        </row>
        <row r="2327">
          <cell r="A2327" t="str">
            <v>Ż4627</v>
          </cell>
          <cell r="B2327" t="str">
            <v>Wiktor</v>
          </cell>
          <cell r="C2327" t="str">
            <v>ŻABIŃSKI</v>
          </cell>
          <cell r="D2327" t="str">
            <v>UKS 70 Płock</v>
          </cell>
        </row>
        <row r="2328">
          <cell r="A2328" t="str">
            <v>Ż5859</v>
          </cell>
          <cell r="B2328" t="str">
            <v>Piotr</v>
          </cell>
          <cell r="C2328" t="str">
            <v>ŻAK</v>
          </cell>
          <cell r="D2328" t="str">
            <v>----</v>
          </cell>
        </row>
        <row r="2329">
          <cell r="A2329" t="str">
            <v>Ż3184</v>
          </cell>
          <cell r="B2329" t="str">
            <v>Klaudia</v>
          </cell>
          <cell r="C2329" t="str">
            <v>ŻALEJKO</v>
          </cell>
          <cell r="D2329" t="str">
            <v>UKS Kometa Sianów</v>
          </cell>
        </row>
        <row r="2330">
          <cell r="A2330" t="str">
            <v>Ż5885</v>
          </cell>
          <cell r="B2330" t="str">
            <v>Alicja</v>
          </cell>
          <cell r="C2330" t="str">
            <v>ŻARCZYŃSKA</v>
          </cell>
          <cell r="D2330" t="str">
            <v>UKS Smecz Milicz</v>
          </cell>
        </row>
        <row r="2331">
          <cell r="A2331" t="str">
            <v>Ż5308</v>
          </cell>
          <cell r="B2331" t="str">
            <v>Dagobert</v>
          </cell>
          <cell r="C2331" t="str">
            <v>ŻARCZYŃSKI</v>
          </cell>
          <cell r="D2331" t="str">
            <v>UKS Smecz Milicz</v>
          </cell>
        </row>
        <row r="2332">
          <cell r="A2332" t="str">
            <v>Ż5216</v>
          </cell>
          <cell r="B2332" t="str">
            <v>Patryk</v>
          </cell>
          <cell r="C2332" t="str">
            <v>ŻEGARSKI</v>
          </cell>
          <cell r="D2332" t="str">
            <v>SKB Suwałki</v>
          </cell>
        </row>
        <row r="2333">
          <cell r="A2333" t="str">
            <v>Ż3369</v>
          </cell>
          <cell r="B2333" t="str">
            <v>Mariusz</v>
          </cell>
          <cell r="C2333" t="str">
            <v>ŻEREK</v>
          </cell>
          <cell r="D2333" t="str">
            <v>KKS Ruch Piotrków Tryb.</v>
          </cell>
        </row>
        <row r="2334">
          <cell r="A2334" t="str">
            <v>Ż4490</v>
          </cell>
          <cell r="B2334" t="str">
            <v>Martyna</v>
          </cell>
          <cell r="C2334" t="str">
            <v>ŻMIJEWSKA</v>
          </cell>
          <cell r="D2334" t="str">
            <v>UKS Dwójka Wesoła</v>
          </cell>
        </row>
        <row r="2335">
          <cell r="A2335" t="str">
            <v>Ż4858</v>
          </cell>
          <cell r="B2335" t="str">
            <v>Dawid</v>
          </cell>
          <cell r="C2335" t="str">
            <v>ŻMÓJDZIN</v>
          </cell>
          <cell r="D2335" t="str">
            <v>UKS Hubal Białystok</v>
          </cell>
        </row>
        <row r="2336">
          <cell r="A2336" t="str">
            <v>Ż1449</v>
          </cell>
          <cell r="B2336" t="str">
            <v>Maciej</v>
          </cell>
          <cell r="C2336" t="str">
            <v>ŻMUDZIŃSKI</v>
          </cell>
          <cell r="D2336" t="str">
            <v>----</v>
          </cell>
        </row>
        <row r="2337">
          <cell r="A2337" t="str">
            <v>Ż0811</v>
          </cell>
          <cell r="B2337" t="str">
            <v>Piotr</v>
          </cell>
          <cell r="C2337" t="str">
            <v>ŻOŁĄDEK</v>
          </cell>
          <cell r="D2337" t="str">
            <v>SKB Piast Słupsk</v>
          </cell>
        </row>
        <row r="2338">
          <cell r="A2338" t="str">
            <v>Ż2552</v>
          </cell>
          <cell r="B2338" t="str">
            <v>Jan</v>
          </cell>
          <cell r="C2338" t="str">
            <v>ŻÓRAWIŃSKI</v>
          </cell>
          <cell r="D2338" t="str">
            <v>----</v>
          </cell>
        </row>
        <row r="2339">
          <cell r="A2339" t="str">
            <v>Ż4352</v>
          </cell>
          <cell r="B2339" t="str">
            <v>Filip</v>
          </cell>
          <cell r="C2339" t="str">
            <v>ŻUBER</v>
          </cell>
          <cell r="D2339" t="str">
            <v>----</v>
          </cell>
        </row>
        <row r="2340">
          <cell r="A2340" t="str">
            <v>Ż5193</v>
          </cell>
          <cell r="B2340" t="str">
            <v>Natalia</v>
          </cell>
          <cell r="C2340" t="str">
            <v>ŻUJEWSKA</v>
          </cell>
          <cell r="D2340" t="str">
            <v>UKS Kiko Zamość</v>
          </cell>
        </row>
        <row r="2341">
          <cell r="A2341" t="str">
            <v>Ż5247</v>
          </cell>
          <cell r="B2341" t="str">
            <v>Magdalena</v>
          </cell>
          <cell r="C2341" t="str">
            <v>ŻUK</v>
          </cell>
          <cell r="D2341" t="str">
            <v>UKS Kiko Zamość</v>
          </cell>
        </row>
        <row r="2342">
          <cell r="A2342" t="str">
            <v>Ż5592</v>
          </cell>
          <cell r="B2342" t="str">
            <v>Nina</v>
          </cell>
          <cell r="C2342" t="str">
            <v>ŻWAN</v>
          </cell>
          <cell r="D2342" t="str">
            <v>UTS Akro-Bad Warszawa</v>
          </cell>
        </row>
        <row r="2343">
          <cell r="A2343" t="str">
            <v>Ż5010</v>
          </cell>
          <cell r="B2343" t="str">
            <v>Karolina</v>
          </cell>
          <cell r="C2343" t="str">
            <v>ŻYGADŁO</v>
          </cell>
          <cell r="D2343" t="str">
            <v>MMKS Kędzierzyn-Koźle</v>
          </cell>
        </row>
        <row r="2344">
          <cell r="A2344" t="str">
            <v>X01</v>
          </cell>
          <cell r="B2344" t="str">
            <v>Sofija</v>
          </cell>
          <cell r="C2344" t="str">
            <v>ORLOVAITE</v>
          </cell>
          <cell r="D2344" t="str">
            <v>Litwa</v>
          </cell>
          <cell r="E2344">
            <v>36161</v>
          </cell>
        </row>
        <row r="2345">
          <cell r="A2345" t="str">
            <v>X02</v>
          </cell>
          <cell r="B2345" t="str">
            <v>Matas</v>
          </cell>
          <cell r="C2345" t="str">
            <v>GELZINIS</v>
          </cell>
          <cell r="D2345" t="str">
            <v>Litwa</v>
          </cell>
          <cell r="E2345">
            <v>36526</v>
          </cell>
        </row>
        <row r="2346">
          <cell r="A2346" t="str">
            <v>X03</v>
          </cell>
          <cell r="B2346" t="str">
            <v>Ugne</v>
          </cell>
          <cell r="C2346" t="str">
            <v>MASILIONYTE</v>
          </cell>
          <cell r="D2346" t="str">
            <v>Litwa</v>
          </cell>
          <cell r="E2346">
            <v>36161</v>
          </cell>
        </row>
        <row r="2347">
          <cell r="A2347" t="str">
            <v>X04</v>
          </cell>
          <cell r="B2347" t="str">
            <v xml:space="preserve">Mantes </v>
          </cell>
          <cell r="C2347" t="str">
            <v>MAULE</v>
          </cell>
          <cell r="D2347" t="str">
            <v>Litwa</v>
          </cell>
          <cell r="E2347">
            <v>36161</v>
          </cell>
        </row>
        <row r="2348">
          <cell r="A2348" t="str">
            <v>X05</v>
          </cell>
          <cell r="B2348" t="str">
            <v xml:space="preserve">Alesia </v>
          </cell>
          <cell r="C2348" t="str">
            <v>KRAMCHANINA</v>
          </cell>
          <cell r="D2348" t="str">
            <v>Białoruś</v>
          </cell>
          <cell r="E2348">
            <v>36892</v>
          </cell>
        </row>
        <row r="2349">
          <cell r="A2349" t="str">
            <v>X06</v>
          </cell>
          <cell r="B2349" t="str">
            <v>Uliana</v>
          </cell>
          <cell r="C2349" t="str">
            <v>ZACHROVA</v>
          </cell>
          <cell r="D2349" t="str">
            <v>Brześć Białoruś</v>
          </cell>
          <cell r="E2349">
            <v>36161</v>
          </cell>
        </row>
        <row r="2350">
          <cell r="A2350" t="str">
            <v>X07</v>
          </cell>
          <cell r="B2350" t="str">
            <v>Ania</v>
          </cell>
          <cell r="C2350" t="str">
            <v>BONDARIENKA</v>
          </cell>
          <cell r="D2350" t="str">
            <v>Brześć Białoruś</v>
          </cell>
          <cell r="E2350">
            <v>36161</v>
          </cell>
        </row>
        <row r="2351">
          <cell r="A2351" t="str">
            <v>X08</v>
          </cell>
          <cell r="B2351" t="str">
            <v>Ilia</v>
          </cell>
          <cell r="C2351" t="str">
            <v>LARUSIN</v>
          </cell>
          <cell r="D2351" t="str">
            <v>Brześć Białoruś</v>
          </cell>
          <cell r="E2351">
            <v>37124</v>
          </cell>
        </row>
        <row r="2352">
          <cell r="A2352" t="str">
            <v>X09</v>
          </cell>
          <cell r="B2352" t="str">
            <v>Mariana</v>
          </cell>
          <cell r="C2352" t="str">
            <v>VERBITSKA</v>
          </cell>
          <cell r="D2352" t="str">
            <v>Brześć Białoruś</v>
          </cell>
          <cell r="E2352">
            <v>35556</v>
          </cell>
        </row>
        <row r="2353">
          <cell r="A2353" t="str">
            <v>X10</v>
          </cell>
          <cell r="B2353" t="str">
            <v>Dmitry</v>
          </cell>
          <cell r="C2353" t="str">
            <v>KUSIMITSKI</v>
          </cell>
          <cell r="D2353" t="str">
            <v>Brześć Białoruś</v>
          </cell>
          <cell r="E2353">
            <v>35556</v>
          </cell>
        </row>
        <row r="2354">
          <cell r="A2354" t="str">
            <v>X11</v>
          </cell>
          <cell r="B2354" t="str">
            <v>Pavel</v>
          </cell>
          <cell r="C2354" t="str">
            <v>SUGAEV</v>
          </cell>
          <cell r="D2354" t="str">
            <v>Brześć Białoruś</v>
          </cell>
          <cell r="E2354">
            <v>35556</v>
          </cell>
        </row>
        <row r="2355">
          <cell r="A2355" t="str">
            <v>N5960</v>
          </cell>
          <cell r="B2355" t="str">
            <v>Andrzej</v>
          </cell>
          <cell r="C2355" t="str">
            <v>NICZYPORUK</v>
          </cell>
          <cell r="D2355" t="str">
            <v>AZSUW Warszawa</v>
          </cell>
          <cell r="E2355">
            <v>37622</v>
          </cell>
        </row>
        <row r="2356">
          <cell r="A2356" t="str">
            <v>G5951</v>
          </cell>
          <cell r="B2356" t="str">
            <v>Laura</v>
          </cell>
          <cell r="C2356" t="str">
            <v>GRONKIEWICZ</v>
          </cell>
          <cell r="D2356" t="str">
            <v>KS Masovia Płock</v>
          </cell>
          <cell r="E2356">
            <v>37124</v>
          </cell>
        </row>
        <row r="2357">
          <cell r="A2357" t="str">
            <v>K5950</v>
          </cell>
          <cell r="B2357" t="str">
            <v xml:space="preserve">Olga </v>
          </cell>
          <cell r="C2357" t="str">
            <v>KRZEMIŃSKA</v>
          </cell>
          <cell r="D2357" t="str">
            <v>KS Masovia Płock</v>
          </cell>
          <cell r="E2357">
            <v>37124</v>
          </cell>
        </row>
        <row r="2358">
          <cell r="A2358" t="str">
            <v>X12</v>
          </cell>
          <cell r="B2358" t="str">
            <v>Katsiaryna</v>
          </cell>
          <cell r="C2358" t="str">
            <v>ZABLOTSKAYA</v>
          </cell>
          <cell r="D2358" t="str">
            <v>Mińsk Białoruś</v>
          </cell>
          <cell r="E2358">
            <v>36161</v>
          </cell>
        </row>
        <row r="2359">
          <cell r="A2359" t="str">
            <v>X13</v>
          </cell>
          <cell r="B2359" t="str">
            <v>Ylija</v>
          </cell>
          <cell r="C2359" t="str">
            <v>BITSOUKOVA</v>
          </cell>
          <cell r="D2359" t="str">
            <v>Mińsk Białoruś</v>
          </cell>
          <cell r="E2359">
            <v>36161</v>
          </cell>
        </row>
        <row r="2360">
          <cell r="A2360" t="str">
            <v>X14</v>
          </cell>
          <cell r="B2360" t="str">
            <v xml:space="preserve">Yana </v>
          </cell>
          <cell r="C2360" t="str">
            <v>ZDROK</v>
          </cell>
          <cell r="D2360" t="str">
            <v>Mińsk Białoruś</v>
          </cell>
          <cell r="E2360">
            <v>36161</v>
          </cell>
        </row>
        <row r="2361">
          <cell r="A2361" t="str">
            <v>X15</v>
          </cell>
          <cell r="B2361" t="str">
            <v>Ilya</v>
          </cell>
          <cell r="C2361" t="str">
            <v>SHCHARBENKA</v>
          </cell>
          <cell r="D2361" t="str">
            <v>Mińsk Białoruś</v>
          </cell>
          <cell r="E2361">
            <v>36161</v>
          </cell>
        </row>
        <row r="2362">
          <cell r="A2362" t="str">
            <v>X16</v>
          </cell>
          <cell r="B2362" t="str">
            <v>Yelizaveta</v>
          </cell>
          <cell r="C2362" t="str">
            <v>KAMINSKAYA</v>
          </cell>
          <cell r="D2362" t="str">
            <v>Mińsk Białoruś</v>
          </cell>
          <cell r="E2362">
            <v>37124</v>
          </cell>
        </row>
        <row r="2363">
          <cell r="A2363" t="str">
            <v>X17</v>
          </cell>
          <cell r="B2363" t="str">
            <v>Tatiana</v>
          </cell>
          <cell r="C2363" t="str">
            <v>BANDARENKA</v>
          </cell>
          <cell r="D2363" t="str">
            <v>Mińsk Białoruś</v>
          </cell>
          <cell r="E2363">
            <v>37124</v>
          </cell>
        </row>
        <row r="2364">
          <cell r="A2364" t="str">
            <v>X18</v>
          </cell>
          <cell r="B2364" t="str">
            <v>Veranika</v>
          </cell>
          <cell r="C2364" t="str">
            <v>TARUSAVA</v>
          </cell>
          <cell r="D2364" t="str">
            <v>Mińsk Białoruś</v>
          </cell>
          <cell r="E2364">
            <v>37854</v>
          </cell>
        </row>
        <row r="2365">
          <cell r="A2365" t="str">
            <v>X19</v>
          </cell>
          <cell r="B2365" t="str">
            <v>Oleksandra</v>
          </cell>
          <cell r="C2365" t="str">
            <v>LUGOVYKH</v>
          </cell>
          <cell r="D2365" t="str">
            <v>Vinnica Ukraina</v>
          </cell>
          <cell r="E2365">
            <v>35556</v>
          </cell>
        </row>
        <row r="2366">
          <cell r="A2366" t="str">
            <v>X20</v>
          </cell>
          <cell r="B2366" t="str">
            <v>Inna</v>
          </cell>
          <cell r="C2366" t="str">
            <v>SEBOVA</v>
          </cell>
          <cell r="D2366" t="str">
            <v>Vinnica Ukraina</v>
          </cell>
          <cell r="E2366">
            <v>35556</v>
          </cell>
        </row>
        <row r="2367">
          <cell r="A2367" t="str">
            <v>X21</v>
          </cell>
          <cell r="B2367" t="str">
            <v>Tetiana</v>
          </cell>
          <cell r="C2367" t="str">
            <v>ABRAMOVA</v>
          </cell>
          <cell r="D2367" t="str">
            <v>Vinnica Ukraina</v>
          </cell>
          <cell r="E2367">
            <v>36161</v>
          </cell>
        </row>
        <row r="2368">
          <cell r="A2368" t="str">
            <v>X22</v>
          </cell>
          <cell r="B2368" t="str">
            <v>Elyzaveta</v>
          </cell>
          <cell r="C2368" t="str">
            <v>NIKOLAEVA</v>
          </cell>
          <cell r="D2368" t="str">
            <v>Vinnica Ukraina</v>
          </cell>
          <cell r="E2368">
            <v>36161</v>
          </cell>
        </row>
        <row r="2369">
          <cell r="A2369" t="str">
            <v>X23</v>
          </cell>
          <cell r="B2369" t="str">
            <v>Bogdan</v>
          </cell>
          <cell r="C2369" t="str">
            <v>BRYCHUK</v>
          </cell>
          <cell r="D2369" t="str">
            <v>Vinnica Ukraina</v>
          </cell>
          <cell r="E2369">
            <v>36161</v>
          </cell>
        </row>
        <row r="2370">
          <cell r="A2370" t="str">
            <v>X24</v>
          </cell>
          <cell r="B2370" t="str">
            <v xml:space="preserve">Anna </v>
          </cell>
          <cell r="C2370" t="str">
            <v>POLISCHUK</v>
          </cell>
          <cell r="D2370" t="str">
            <v>Lwów Ukraina</v>
          </cell>
          <cell r="E2370">
            <v>36161</v>
          </cell>
        </row>
        <row r="2371">
          <cell r="A2371" t="str">
            <v>X25</v>
          </cell>
          <cell r="B2371" t="str">
            <v xml:space="preserve">Yana </v>
          </cell>
          <cell r="C2371" t="str">
            <v>HALYTSKA</v>
          </cell>
          <cell r="D2371" t="str">
            <v>Vinnica Ukraina</v>
          </cell>
          <cell r="E2371">
            <v>37124</v>
          </cell>
        </row>
        <row r="2372">
          <cell r="A2372" t="str">
            <v>X26</v>
          </cell>
          <cell r="B2372" t="str">
            <v>Igor</v>
          </cell>
          <cell r="C2372" t="str">
            <v>SENICHKYN</v>
          </cell>
          <cell r="D2372" t="str">
            <v>Vinnica Ukraina</v>
          </cell>
          <cell r="E2372">
            <v>37124</v>
          </cell>
        </row>
        <row r="2373">
          <cell r="A2373" t="str">
            <v>X27</v>
          </cell>
          <cell r="B2373" t="str">
            <v>Viktoria</v>
          </cell>
          <cell r="C2373" t="str">
            <v>PONOMARENKO</v>
          </cell>
          <cell r="D2373" t="str">
            <v>Vinnica Ukraina</v>
          </cell>
          <cell r="E2373">
            <v>37622</v>
          </cell>
        </row>
        <row r="2374">
          <cell r="A2374" t="str">
            <v>X28</v>
          </cell>
          <cell r="B2374" t="str">
            <v>Yulia</v>
          </cell>
          <cell r="C2374" t="str">
            <v>BAYAROUSKAYA</v>
          </cell>
          <cell r="D2374" t="str">
            <v>Białoruś</v>
          </cell>
          <cell r="E2374">
            <v>35891</v>
          </cell>
        </row>
        <row r="2375">
          <cell r="A2375" t="str">
            <v>X29</v>
          </cell>
          <cell r="B2375" t="str">
            <v>Anastasiya</v>
          </cell>
          <cell r="C2375" t="str">
            <v>KHOMICH</v>
          </cell>
          <cell r="D2375" t="str">
            <v>Białoruś</v>
          </cell>
          <cell r="E2375">
            <v>37444</v>
          </cell>
        </row>
        <row r="2376">
          <cell r="A2376" t="str">
            <v>X30</v>
          </cell>
          <cell r="B2376" t="str">
            <v>Lizaveta</v>
          </cell>
          <cell r="C2376" t="str">
            <v>BAYAROUSKAYA</v>
          </cell>
          <cell r="D2376" t="str">
            <v>Białoruś</v>
          </cell>
          <cell r="E2376">
            <v>37444</v>
          </cell>
        </row>
        <row r="2377">
          <cell r="A2377" t="str">
            <v>X31</v>
          </cell>
          <cell r="B2377" t="str">
            <v>Kseniya</v>
          </cell>
          <cell r="C2377" t="str">
            <v>MATYSIK</v>
          </cell>
          <cell r="D2377" t="str">
            <v>Białoruś</v>
          </cell>
          <cell r="E2377">
            <v>37444</v>
          </cell>
        </row>
        <row r="2378">
          <cell r="A2378" t="str">
            <v>X32</v>
          </cell>
          <cell r="B2378" t="str">
            <v>Anastsiya</v>
          </cell>
          <cell r="C2378" t="str">
            <v>TAMASHEUSKAYA</v>
          </cell>
          <cell r="D2378" t="str">
            <v>Białoruś</v>
          </cell>
          <cell r="E2378">
            <v>37444</v>
          </cell>
        </row>
        <row r="2379">
          <cell r="A2379" t="str">
            <v>X33</v>
          </cell>
          <cell r="B2379" t="str">
            <v>Kseniya</v>
          </cell>
          <cell r="C2379" t="str">
            <v>YAROSHUK</v>
          </cell>
          <cell r="D2379" t="str">
            <v>Białoruś</v>
          </cell>
          <cell r="E2379">
            <v>37444</v>
          </cell>
        </row>
        <row r="2380">
          <cell r="A2380" t="str">
            <v>X34</v>
          </cell>
          <cell r="B2380" t="str">
            <v>Marina</v>
          </cell>
          <cell r="C2380" t="str">
            <v>YANBAYEVA</v>
          </cell>
          <cell r="D2380" t="str">
            <v>Białoruś</v>
          </cell>
          <cell r="E2380">
            <v>37987</v>
          </cell>
        </row>
        <row r="2381">
          <cell r="A2381" t="str">
            <v>X35</v>
          </cell>
          <cell r="B2381" t="str">
            <v>Hanna</v>
          </cell>
          <cell r="C2381" t="str">
            <v>ABRAMAVA</v>
          </cell>
          <cell r="D2381" t="str">
            <v>Białoruś</v>
          </cell>
          <cell r="E2381">
            <v>37622</v>
          </cell>
        </row>
        <row r="2382">
          <cell r="A2382" t="str">
            <v>X36</v>
          </cell>
          <cell r="B2382" t="str">
            <v>Aliaksndra</v>
          </cell>
          <cell r="C2382" t="str">
            <v>PILIPTSEVICH</v>
          </cell>
          <cell r="D2382" t="str">
            <v>Białoruś</v>
          </cell>
          <cell r="E2382">
            <v>37987</v>
          </cell>
        </row>
        <row r="2383">
          <cell r="A2383" t="str">
            <v>X37</v>
          </cell>
          <cell r="B2383" t="str">
            <v>Anastasiya</v>
          </cell>
          <cell r="C2383" t="str">
            <v>POPAR</v>
          </cell>
          <cell r="D2383" t="str">
            <v>Białoruś</v>
          </cell>
          <cell r="E2383">
            <v>37622</v>
          </cell>
        </row>
        <row r="2384">
          <cell r="A2384" t="str">
            <v>W5952</v>
          </cell>
          <cell r="B2384" t="str">
            <v>Małgorzata</v>
          </cell>
          <cell r="C2384" t="str">
            <v>WILCZAK</v>
          </cell>
          <cell r="D2384" t="str">
            <v>----</v>
          </cell>
          <cell r="E2384">
            <v>37124</v>
          </cell>
        </row>
        <row r="2385">
          <cell r="A2385" t="str">
            <v>X38</v>
          </cell>
          <cell r="B2385" t="str">
            <v>Tatiana</v>
          </cell>
          <cell r="C2385" t="str">
            <v>LEMA</v>
          </cell>
          <cell r="D2385" t="str">
            <v>Lwów Ukraina</v>
          </cell>
          <cell r="E2385">
            <v>35195</v>
          </cell>
        </row>
        <row r="2386">
          <cell r="A2386" t="str">
            <v>X39</v>
          </cell>
          <cell r="B2386" t="str">
            <v>Adam</v>
          </cell>
          <cell r="C2386" t="str">
            <v xml:space="preserve">Šářec </v>
          </cell>
          <cell r="D2386" t="str">
            <v>Slavoj Cesky Tesin</v>
          </cell>
          <cell r="E2386">
            <v>35556</v>
          </cell>
        </row>
        <row r="2387">
          <cell r="A2387" t="str">
            <v>X40</v>
          </cell>
          <cell r="B2387" t="str">
            <v>Wojciech</v>
          </cell>
          <cell r="C2387" t="str">
            <v xml:space="preserve">Mendrek </v>
          </cell>
          <cell r="D2387" t="str">
            <v>Slavoj Cesky Tesin</v>
          </cell>
          <cell r="E2387">
            <v>35556</v>
          </cell>
        </row>
        <row r="2388">
          <cell r="A2388" t="str">
            <v>X41</v>
          </cell>
          <cell r="B2388" t="str">
            <v>Marek</v>
          </cell>
          <cell r="C2388" t="str">
            <v xml:space="preserve">Kufa </v>
          </cell>
          <cell r="D2388" t="str">
            <v>Slavoj Cesky Tesin</v>
          </cell>
          <cell r="E2388">
            <v>36161</v>
          </cell>
        </row>
        <row r="2389">
          <cell r="A2389" t="str">
            <v>X42</v>
          </cell>
          <cell r="B2389" t="str">
            <v>Karolina</v>
          </cell>
          <cell r="C2389" t="str">
            <v xml:space="preserve">Grygierová </v>
          </cell>
          <cell r="D2389" t="str">
            <v>Slavoj Cesky Tesin</v>
          </cell>
          <cell r="E2389">
            <v>35556</v>
          </cell>
        </row>
        <row r="2390">
          <cell r="A2390" t="str">
            <v>X43</v>
          </cell>
          <cell r="B2390" t="str">
            <v>Marta</v>
          </cell>
          <cell r="C2390" t="str">
            <v>PROSTAK</v>
          </cell>
          <cell r="D2390" t="str">
            <v>Lwów Ukraina</v>
          </cell>
          <cell r="E2390">
            <v>37096</v>
          </cell>
        </row>
        <row r="2391">
          <cell r="A2391" t="str">
            <v>X44</v>
          </cell>
          <cell r="B2391" t="str">
            <v>Myroslav</v>
          </cell>
          <cell r="C2391" t="str">
            <v>KLYUCHOVSKYY</v>
          </cell>
          <cell r="D2391" t="str">
            <v>Lwów Ukraina</v>
          </cell>
          <cell r="E2391">
            <v>37984</v>
          </cell>
        </row>
        <row r="2392">
          <cell r="A2392" t="str">
            <v>X45</v>
          </cell>
          <cell r="B2392" t="str">
            <v>Marietta</v>
          </cell>
          <cell r="C2392" t="str">
            <v>KAZIMIERCZAK</v>
          </cell>
          <cell r="D2392" t="str">
            <v>UKS Korona Pabianice</v>
          </cell>
          <cell r="E2392">
            <v>37987</v>
          </cell>
        </row>
        <row r="2393">
          <cell r="A2393" t="str">
            <v>X46</v>
          </cell>
          <cell r="B2393" t="str">
            <v xml:space="preserve">Julia </v>
          </cell>
          <cell r="C2393" t="str">
            <v>GRENDA</v>
          </cell>
          <cell r="D2393" t="str">
            <v>UKS Korona Pabianice</v>
          </cell>
          <cell r="E2393">
            <v>37987</v>
          </cell>
        </row>
        <row r="2394">
          <cell r="A2394" t="str">
            <v>X47</v>
          </cell>
          <cell r="B2394" t="str">
            <v>Jan</v>
          </cell>
          <cell r="C2394" t="str">
            <v>Hrabiec</v>
          </cell>
          <cell r="D2394" t="str">
            <v>Slavoj Cesky Tesin</v>
          </cell>
          <cell r="E2394">
            <v>37124</v>
          </cell>
        </row>
        <row r="2395">
          <cell r="A2395" t="str">
            <v>X48</v>
          </cell>
          <cell r="B2395" t="str">
            <v>Tom</v>
          </cell>
          <cell r="C2395" t="str">
            <v xml:space="preserve">Kůr </v>
          </cell>
          <cell r="D2395" t="str">
            <v>Slavoj Cesky Tesin</v>
          </cell>
          <cell r="E2395">
            <v>37124</v>
          </cell>
        </row>
        <row r="2396">
          <cell r="A2396" t="str">
            <v>X49</v>
          </cell>
          <cell r="B2396" t="str">
            <v>Tomas</v>
          </cell>
          <cell r="C2396" t="str">
            <v xml:space="preserve">Miksa </v>
          </cell>
          <cell r="D2396" t="str">
            <v>Slavoj Cesky Tesin</v>
          </cell>
          <cell r="E2396">
            <v>37124</v>
          </cell>
        </row>
        <row r="2397">
          <cell r="A2397" t="str">
            <v>X50</v>
          </cell>
          <cell r="B2397" t="str">
            <v>Sara</v>
          </cell>
          <cell r="C2397" t="str">
            <v xml:space="preserve">Skoupilová </v>
          </cell>
          <cell r="D2397" t="str">
            <v>Slavoj Cesky Tesin</v>
          </cell>
          <cell r="E2397">
            <v>37124</v>
          </cell>
        </row>
        <row r="2398">
          <cell r="A2398" t="str">
            <v>X52</v>
          </cell>
          <cell r="B2398" t="str">
            <v xml:space="preserve">Nikola </v>
          </cell>
          <cell r="C2398" t="str">
            <v>NOWIŃSKA</v>
          </cell>
          <cell r="D2398" t="str">
            <v>UKS Korona Pabianice</v>
          </cell>
          <cell r="E2398">
            <v>37987</v>
          </cell>
        </row>
        <row r="2399">
          <cell r="A2399" t="str">
            <v>X53</v>
          </cell>
          <cell r="B2399" t="str">
            <v>Kacper</v>
          </cell>
          <cell r="C2399" t="str">
            <v>KRAWCZYK</v>
          </cell>
          <cell r="D2399" t="str">
            <v>UKS Korona Pabianice</v>
          </cell>
          <cell r="E2399">
            <v>37987</v>
          </cell>
        </row>
        <row r="2400">
          <cell r="A2400" t="str">
            <v>X54</v>
          </cell>
          <cell r="B2400" t="str">
            <v>Adrian</v>
          </cell>
          <cell r="C2400" t="str">
            <v>KRAWCZYK</v>
          </cell>
          <cell r="D2400" t="str">
            <v>UKS Korona Pabianice</v>
          </cell>
          <cell r="E2400">
            <v>37987</v>
          </cell>
        </row>
        <row r="2401">
          <cell r="A2401" t="str">
            <v>R5590</v>
          </cell>
          <cell r="B2401" t="str">
            <v xml:space="preserve">Julia </v>
          </cell>
          <cell r="C2401" t="str">
            <v>RUSZKOWSKA</v>
          </cell>
          <cell r="D2401" t="str">
            <v>SRKS Wolant Łódź</v>
          </cell>
          <cell r="E2401">
            <v>36161</v>
          </cell>
        </row>
        <row r="2402">
          <cell r="A2402" t="str">
            <v>K5975</v>
          </cell>
          <cell r="B2402" t="str">
            <v>Izabela</v>
          </cell>
          <cell r="C2402" t="str">
            <v>KAMOLA</v>
          </cell>
          <cell r="D2402" t="str">
            <v>UKS Badninton Babice Stare</v>
          </cell>
          <cell r="E2402">
            <v>37987</v>
          </cell>
        </row>
        <row r="2403">
          <cell r="A2403" t="str">
            <v>S5976</v>
          </cell>
          <cell r="B2403" t="str">
            <v xml:space="preserve">Andrzej </v>
          </cell>
          <cell r="C2403" t="str">
            <v>SZCZEPANEK</v>
          </cell>
          <cell r="D2403" t="str">
            <v>UKS Badninton Babice Stare</v>
          </cell>
          <cell r="E2403">
            <v>37987</v>
          </cell>
        </row>
        <row r="2404">
          <cell r="A2404" t="str">
            <v>X57</v>
          </cell>
          <cell r="B2404" t="str">
            <v>Yuliya</v>
          </cell>
          <cell r="C2404" t="str">
            <v>PRACH</v>
          </cell>
          <cell r="D2404" t="str">
            <v>Vinnica Ukraina</v>
          </cell>
          <cell r="E2404">
            <v>34700</v>
          </cell>
        </row>
        <row r="2405">
          <cell r="A2405" t="str">
            <v>X56</v>
          </cell>
          <cell r="B2405" t="str">
            <v>Artem</v>
          </cell>
          <cell r="C2405" t="str">
            <v>TKACHUK</v>
          </cell>
          <cell r="D2405" t="str">
            <v>Vinnica Ukraina</v>
          </cell>
          <cell r="E2405">
            <v>35431</v>
          </cell>
        </row>
        <row r="2406">
          <cell r="A2406" t="str">
            <v>K5949</v>
          </cell>
          <cell r="B2406" t="str">
            <v xml:space="preserve">Joanna </v>
          </cell>
          <cell r="C2406" t="str">
            <v>KLIMCZAK</v>
          </cell>
          <cell r="D2406" t="str">
            <v>UKS Korona Pabianice</v>
          </cell>
          <cell r="E2406">
            <v>36161</v>
          </cell>
        </row>
        <row r="2407">
          <cell r="A2407" t="str">
            <v>X58</v>
          </cell>
          <cell r="B2407" t="str">
            <v>Marta</v>
          </cell>
          <cell r="C2407" t="str">
            <v>DOLNIAK</v>
          </cell>
          <cell r="D2407" t="str">
            <v>SKSR Wolant Łódź</v>
          </cell>
          <cell r="E2407">
            <v>37987</v>
          </cell>
        </row>
        <row r="2408">
          <cell r="A2408" t="str">
            <v>X59</v>
          </cell>
          <cell r="B2408" t="str">
            <v>Gabriela</v>
          </cell>
          <cell r="C2408" t="str">
            <v>CZARNECKA</v>
          </cell>
          <cell r="D2408" t="str">
            <v>SKSR Wolant Łódź</v>
          </cell>
          <cell r="E2408">
            <v>37987</v>
          </cell>
        </row>
        <row r="2409">
          <cell r="A2409" t="str">
            <v>X60</v>
          </cell>
          <cell r="B2409" t="str">
            <v xml:space="preserve">Julia </v>
          </cell>
          <cell r="C2409" t="str">
            <v>RACHOWSKA</v>
          </cell>
          <cell r="D2409" t="str">
            <v>SKSR Wolant Łódź</v>
          </cell>
          <cell r="E2409">
            <v>37987</v>
          </cell>
        </row>
        <row r="2410">
          <cell r="A2410" t="str">
            <v>X61</v>
          </cell>
          <cell r="B2410" t="str">
            <v>Oleg</v>
          </cell>
          <cell r="C2410" t="str">
            <v>KONEV</v>
          </cell>
          <cell r="D2410" t="str">
            <v>Vinnica Ukraina</v>
          </cell>
          <cell r="E2410">
            <v>37987</v>
          </cell>
        </row>
        <row r="2411">
          <cell r="A2411" t="str">
            <v>X62</v>
          </cell>
          <cell r="B2411" t="str">
            <v>Ilya</v>
          </cell>
          <cell r="C2411" t="str">
            <v>SOLONOVICH</v>
          </cell>
          <cell r="D2411" t="str">
            <v>Brześć 2 Białoruś</v>
          </cell>
          <cell r="E2411">
            <v>36161</v>
          </cell>
        </row>
        <row r="2412">
          <cell r="A2412" t="str">
            <v>X63</v>
          </cell>
          <cell r="B2412" t="str">
            <v xml:space="preserve">Anna </v>
          </cell>
          <cell r="C2412" t="str">
            <v>KRAMCHANINA</v>
          </cell>
          <cell r="D2412" t="str">
            <v>Brześć 2 Białoruś</v>
          </cell>
          <cell r="E2412">
            <v>36393</v>
          </cell>
        </row>
        <row r="2413">
          <cell r="A2413" t="str">
            <v>X64</v>
          </cell>
          <cell r="B2413" t="str">
            <v>Ulyana</v>
          </cell>
          <cell r="C2413" t="str">
            <v>VOLSKAYA</v>
          </cell>
          <cell r="D2413" t="str">
            <v>Brześć 2 Białoruś</v>
          </cell>
          <cell r="E2413">
            <v>37622</v>
          </cell>
        </row>
        <row r="2414">
          <cell r="A2414" t="str">
            <v>X65</v>
          </cell>
          <cell r="B2414" t="str">
            <v>Veronika</v>
          </cell>
          <cell r="C2414" t="str">
            <v>STANKEVICH</v>
          </cell>
          <cell r="D2414" t="str">
            <v>Brześć 2 Białoruś</v>
          </cell>
          <cell r="E2414">
            <v>38718</v>
          </cell>
        </row>
        <row r="2415">
          <cell r="A2415" t="str">
            <v>X66</v>
          </cell>
          <cell r="B2415" t="str">
            <v>Maksim</v>
          </cell>
          <cell r="C2415" t="str">
            <v>SLIBA</v>
          </cell>
          <cell r="D2415" t="str">
            <v>Brześć 2 Białoruś</v>
          </cell>
          <cell r="E2415">
            <v>37622</v>
          </cell>
        </row>
        <row r="2416">
          <cell r="A2416" t="str">
            <v>X67</v>
          </cell>
          <cell r="B2416" t="str">
            <v>Katerina</v>
          </cell>
          <cell r="C2416" t="str">
            <v>BORYSOV</v>
          </cell>
          <cell r="D2416" t="str">
            <v>Rosja</v>
          </cell>
          <cell r="E2416">
            <v>35796</v>
          </cell>
        </row>
        <row r="2417">
          <cell r="A2417" t="str">
            <v>X68</v>
          </cell>
          <cell r="B2417" t="str">
            <v>Dmitry</v>
          </cell>
          <cell r="C2417" t="str">
            <v>LARUSIN</v>
          </cell>
          <cell r="D2417" t="str">
            <v>Brześć Białoruś</v>
          </cell>
          <cell r="E2417">
            <v>36393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sheetName val="plan gier"/>
      <sheetName val="gry"/>
      <sheetName val="grup-puch"/>
      <sheetName val="puch"/>
      <sheetName val="tabelki"/>
      <sheetName val="drabinki"/>
      <sheetName val="sędziowie"/>
      <sheetName val="zawodnicy"/>
      <sheetName val="1"/>
      <sheetName val="2"/>
      <sheetName val="3"/>
      <sheetName val="4"/>
      <sheetName val="5"/>
      <sheetName val="6"/>
      <sheetName val="7"/>
      <sheetName val="8"/>
      <sheetName val="9"/>
      <sheetName val="10"/>
      <sheetName val="Moduł1"/>
      <sheetName val="Moduł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sheetName val="plan gier"/>
      <sheetName val="gry"/>
      <sheetName val="grup-puch"/>
      <sheetName val="puch"/>
      <sheetName val="tabelki"/>
      <sheetName val="drabinki"/>
      <sheetName val="sędziowie"/>
      <sheetName val="zawodnicy"/>
      <sheetName val="1"/>
      <sheetName val="2"/>
      <sheetName val="3"/>
      <sheetName val="4"/>
      <sheetName val="5"/>
      <sheetName val="6"/>
      <sheetName val="7"/>
      <sheetName val="8"/>
      <sheetName val="9"/>
      <sheetName val="10"/>
      <sheetName val="Moduł1"/>
      <sheetName val="Moduł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5">
    <pageSetUpPr fitToPage="1"/>
  </sheetPr>
  <dimension ref="A1:BL884"/>
  <sheetViews>
    <sheetView topLeftCell="Q856" zoomScale="80" zoomScaleNormal="80" workbookViewId="0">
      <selection activeCell="T893" sqref="T893"/>
    </sheetView>
  </sheetViews>
  <sheetFormatPr defaultRowHeight="11.45" customHeight="1" x14ac:dyDescent="0.2"/>
  <cols>
    <col min="1" max="1" width="2.33203125" style="1" customWidth="1"/>
    <col min="2" max="2" width="6.83203125" style="2" customWidth="1"/>
    <col min="3" max="3" width="9.33203125" style="2"/>
    <col min="4" max="4" width="7.33203125" style="2" customWidth="1"/>
    <col min="5" max="5" width="9.33203125" style="2"/>
    <col min="6" max="6" width="6.83203125" style="2" customWidth="1"/>
    <col min="7" max="7" width="9.33203125" style="2"/>
    <col min="8" max="8" width="15.33203125" style="2" customWidth="1"/>
    <col min="9" max="9" width="19.6640625" style="2" customWidth="1"/>
    <col min="10" max="11" width="6.6640625" style="11" customWidth="1"/>
    <col min="12" max="12" width="10.83203125" style="11" customWidth="1"/>
    <col min="13" max="13" width="20.83203125" style="2" customWidth="1"/>
    <col min="14" max="14" width="20.5" style="14" bestFit="1" customWidth="1"/>
    <col min="15" max="15" width="4.33203125" style="11" bestFit="1" customWidth="1"/>
    <col min="16" max="16" width="4" style="11" customWidth="1"/>
    <col min="17" max="17" width="11.1640625" style="5" customWidth="1"/>
    <col min="18" max="18" width="6" style="5" customWidth="1"/>
    <col min="19" max="19" width="5.6640625" style="5" customWidth="1"/>
    <col min="20" max="20" width="3.6640625" style="5" bestFit="1" customWidth="1"/>
    <col min="21" max="21" width="3.5" style="5" bestFit="1" customWidth="1"/>
    <col min="22" max="22" width="55.83203125" style="5" customWidth="1"/>
    <col min="23" max="23" width="6" style="5" customWidth="1"/>
    <col min="24" max="29" width="6.83203125" style="5" customWidth="1"/>
    <col min="30" max="30" width="7.83203125" style="5" bestFit="1" customWidth="1"/>
    <col min="31" max="31" width="7.83203125" style="5" customWidth="1"/>
    <col min="32" max="32" width="7.83203125" style="19" customWidth="1"/>
    <col min="33" max="33" width="4.1640625" style="19" customWidth="1"/>
    <col min="34" max="45" width="2.1640625" style="19" customWidth="1"/>
    <col min="46" max="47" width="2.33203125" style="19" customWidth="1"/>
    <col min="48" max="53" width="2.1640625" style="19" customWidth="1"/>
    <col min="54" max="55" width="3.83203125" style="19" customWidth="1"/>
    <col min="56" max="61" width="2.1640625" style="19" customWidth="1"/>
    <col min="62" max="62" width="8.1640625" style="19" customWidth="1"/>
    <col min="63" max="63" width="11.33203125" style="20" customWidth="1"/>
    <col min="64" max="64" width="13.33203125" style="2" bestFit="1" customWidth="1"/>
    <col min="65" max="65" width="15.33203125" style="2" customWidth="1"/>
    <col min="66" max="16384" width="9.33203125" style="2"/>
  </cols>
  <sheetData>
    <row r="1" spans="1:64" ht="12" customHeight="1" x14ac:dyDescent="0.2">
      <c r="J1" s="3"/>
      <c r="K1" s="3"/>
      <c r="L1" s="3"/>
      <c r="N1" s="4"/>
      <c r="O1" s="3"/>
      <c r="P1" s="3"/>
      <c r="R1" s="6"/>
      <c r="S1" s="6"/>
      <c r="T1" s="289" t="str">
        <f>IF(ISBLANK([2]dane!$D$2),"",[2]dane!$D$2)</f>
        <v>XIII MAZOVIA JUNIOR CUP</v>
      </c>
      <c r="U1" s="289"/>
      <c r="V1" s="289"/>
      <c r="W1" s="289"/>
      <c r="X1" s="289"/>
      <c r="Y1" s="289"/>
      <c r="Z1" s="289"/>
      <c r="AA1" s="289"/>
      <c r="AB1" s="289"/>
      <c r="AC1" s="289"/>
      <c r="AD1" s="289"/>
      <c r="AE1" s="6"/>
      <c r="AF1" s="6"/>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8"/>
    </row>
    <row r="2" spans="1:64" ht="12" customHeight="1" x14ac:dyDescent="0.2">
      <c r="J2" s="3"/>
      <c r="K2" s="3"/>
      <c r="L2" s="3"/>
      <c r="N2" s="4"/>
      <c r="O2" s="3"/>
      <c r="P2" s="3"/>
      <c r="R2" s="6"/>
      <c r="S2" s="6"/>
      <c r="T2" s="289" t="str">
        <f>IF(ISBLANK([2]dane!$D$3),"",[2]dane!$D$3)</f>
        <v>Płońsk, 25-27.10.2013</v>
      </c>
      <c r="U2" s="289"/>
      <c r="V2" s="289"/>
      <c r="W2" s="289"/>
      <c r="X2" s="289"/>
      <c r="Y2" s="289"/>
      <c r="Z2" s="289"/>
      <c r="AA2" s="289"/>
      <c r="AB2" s="289"/>
      <c r="AC2" s="289"/>
      <c r="AD2" s="289"/>
      <c r="AE2" s="6"/>
      <c r="AF2" s="6"/>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8"/>
    </row>
    <row r="3" spans="1:64" s="10" customFormat="1" ht="11.45" customHeight="1" x14ac:dyDescent="0.2">
      <c r="A3" s="9"/>
      <c r="J3" s="11"/>
      <c r="K3" s="11"/>
      <c r="L3" s="11"/>
      <c r="N3" s="12"/>
      <c r="O3" s="11"/>
      <c r="P3" s="11"/>
      <c r="R3" s="13"/>
      <c r="S3" s="13"/>
      <c r="T3" s="6"/>
      <c r="U3" s="6"/>
      <c r="V3" s="6"/>
      <c r="W3" s="6"/>
      <c r="X3" s="6"/>
      <c r="Y3" s="6"/>
      <c r="Z3" s="6"/>
      <c r="AA3" s="6"/>
      <c r="AB3" s="6"/>
      <c r="AC3" s="6"/>
      <c r="AD3" s="6"/>
      <c r="AE3" s="6"/>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5"/>
    </row>
    <row r="4" spans="1:64" ht="11.45" customHeight="1" x14ac:dyDescent="0.2">
      <c r="M4" s="16"/>
      <c r="N4" s="17" t="s">
        <v>0</v>
      </c>
      <c r="R4" s="18"/>
      <c r="S4" s="18"/>
      <c r="T4" s="277" t="str">
        <f>"Gra "&amp;N4</f>
        <v>Gra pojedyncza kobiet J</v>
      </c>
      <c r="U4" s="277"/>
      <c r="V4" s="277"/>
      <c r="W4" s="277"/>
      <c r="X4" s="277"/>
      <c r="Y4" s="277"/>
      <c r="Z4" s="277"/>
      <c r="AA4" s="277"/>
      <c r="AB4" s="277"/>
      <c r="AC4" s="277"/>
      <c r="AD4" s="277"/>
      <c r="AE4" s="18"/>
    </row>
    <row r="5" spans="1:64" ht="11.45" customHeight="1" thickBot="1" x14ac:dyDescent="0.25"/>
    <row r="6" spans="1:64" ht="11.45" customHeight="1" thickBot="1" x14ac:dyDescent="0.25">
      <c r="N6" s="11"/>
      <c r="O6" s="21">
        <v>1</v>
      </c>
      <c r="Q6" s="277" t="str">
        <f>"Grupa "&amp;O6&amp;"."</f>
        <v>Grupa 1.</v>
      </c>
      <c r="R6" s="277"/>
      <c r="S6" s="277"/>
      <c r="T6" s="22" t="s">
        <v>1</v>
      </c>
      <c r="U6" s="278" t="s">
        <v>2</v>
      </c>
      <c r="V6" s="279"/>
      <c r="W6" s="280"/>
      <c r="X6" s="22">
        <v>1</v>
      </c>
      <c r="Y6" s="23">
        <v>2</v>
      </c>
      <c r="Z6" s="24">
        <v>3</v>
      </c>
      <c r="AA6" s="25" t="s">
        <v>3</v>
      </c>
      <c r="AB6" s="26" t="s">
        <v>4</v>
      </c>
      <c r="AC6" s="26" t="s">
        <v>5</v>
      </c>
      <c r="AD6" s="27" t="s">
        <v>6</v>
      </c>
      <c r="AE6" s="2"/>
      <c r="AF6" s="12"/>
      <c r="AG6" s="12"/>
      <c r="BK6" s="19"/>
      <c r="BL6" s="20"/>
    </row>
    <row r="7" spans="1:64" ht="11.45" customHeight="1" x14ac:dyDescent="0.2">
      <c r="J7" s="28"/>
      <c r="K7" s="28"/>
      <c r="L7" s="28"/>
      <c r="N7" s="29" t="s">
        <v>0</v>
      </c>
      <c r="Q7" s="274" t="s">
        <v>7</v>
      </c>
      <c r="R7" s="274"/>
      <c r="S7" s="275" t="s">
        <v>8</v>
      </c>
      <c r="T7" s="276">
        <v>1</v>
      </c>
      <c r="U7" s="244" t="str">
        <f>IF(AND(N8&lt;&gt;"",N9&lt;&gt;""),CONCATENATE(VLOOKUP(N8,[2]zawodnicy!$A$1:$E$65536,1,FALSE)," ",VLOOKUP(N8,[2]zawodnicy!$A$1:$E$65536,2,FALSE)," ",VLOOKUP(N8,[2]zawodnicy!$A$1:$E$65536,3,FALSE)," - ",VLOOKUP(N8,[2]zawodnicy!$A$1:$E$65536,4,FALSE)),"")</f>
        <v/>
      </c>
      <c r="V7" s="245"/>
      <c r="W7" s="246"/>
      <c r="X7" s="30"/>
      <c r="Y7" s="31" t="str">
        <f>IF(SUM(AO12:AP12)=0,"",AO12&amp;":"&amp;AP12)</f>
        <v>21:18</v>
      </c>
      <c r="Z7" s="32" t="str">
        <f>IF(SUM(AO10:AP10)=0,"",AO10&amp;":"&amp;AP10)</f>
        <v>21:10</v>
      </c>
      <c r="AA7" s="270" t="str">
        <f>IF(SUM(AY10:BB10)=0,"",BE10&amp;":"&amp;BF10)</f>
        <v>103:69</v>
      </c>
      <c r="AB7" s="271" t="str">
        <f>IF(SUM(AY10:BB10)=0,"",BG10&amp;":"&amp;BH10)</f>
        <v>4:1</v>
      </c>
      <c r="AC7" s="271" t="str">
        <f>IF(SUM(AY10:BB10)=0,"",BI10&amp;":"&amp;BJ10)</f>
        <v>2:0</v>
      </c>
      <c r="AD7" s="272">
        <f>IF(SUM(BI10:BI12)&gt;0,BK10,"")</f>
        <v>1</v>
      </c>
      <c r="AE7" s="2"/>
      <c r="AF7" s="12"/>
      <c r="AG7" s="12"/>
      <c r="AH7" s="14"/>
      <c r="AI7" s="273" t="s">
        <v>9</v>
      </c>
      <c r="AJ7" s="273"/>
      <c r="AK7" s="273"/>
      <c r="AL7" s="273"/>
      <c r="AM7" s="273"/>
      <c r="AN7" s="273"/>
      <c r="AO7" s="273" t="s">
        <v>10</v>
      </c>
      <c r="AP7" s="273"/>
      <c r="AQ7" s="273"/>
      <c r="AR7" s="273"/>
      <c r="AS7" s="273"/>
      <c r="AT7" s="273"/>
      <c r="BK7" s="19"/>
      <c r="BL7" s="20"/>
    </row>
    <row r="8" spans="1:64" ht="11.45" customHeight="1" thickBot="1" x14ac:dyDescent="0.25">
      <c r="I8" s="2" t="str">
        <f>"1"&amp;O6&amp;N7</f>
        <v>11pojedyncza kobiet J</v>
      </c>
      <c r="J8" s="10" t="str">
        <f>IF(AD7="","",IF(AD7=1,N8,IF(AD10=1,N11,IF(AD13=1,N14,""))))</f>
        <v>J2971</v>
      </c>
      <c r="K8" s="10">
        <f>IF(AD7="","",IF(AD7=1,N9,IF(AD10=1,N12,IF(AD13=1,N15,""))))</f>
        <v>0</v>
      </c>
      <c r="L8" s="10"/>
      <c r="N8" s="33" t="s">
        <v>11</v>
      </c>
      <c r="O8" s="34">
        <f>IF(O6&gt;0,(O6&amp;1)*1,"")</f>
        <v>11</v>
      </c>
      <c r="Q8" s="274"/>
      <c r="R8" s="274"/>
      <c r="S8" s="275"/>
      <c r="T8" s="242"/>
      <c r="U8" s="244" t="str">
        <f>IF(AND(N8&lt;&gt;"",N9=""),CONCATENATE(VLOOKUP(N8,[2]zawodnicy!$A$1:$E$65536,1,FALSE)," ",VLOOKUP(N8,[2]zawodnicy!$A$1:$E$65536,2,FALSE)," ",VLOOKUP(N8,[2]zawodnicy!$A$1:$E$65536,3,FALSE)," - ",VLOOKUP(N8,[2]zawodnicy!$A$1:$E$65536,4,FALSE)),"")</f>
        <v>J2971 Karolina JANOWSKA - UKS Hubal Białystok</v>
      </c>
      <c r="V8" s="245"/>
      <c r="W8" s="246"/>
      <c r="X8" s="35"/>
      <c r="Y8" s="36" t="str">
        <f>IF(SUM(AQ12:AR12)=0,"",AQ12&amp;":"&amp;AR12)</f>
        <v>19:21</v>
      </c>
      <c r="Z8" s="37" t="str">
        <f>IF(SUM(AQ10:AR10)=0,"",AQ10&amp;":"&amp;AR10)</f>
        <v>21:11</v>
      </c>
      <c r="AA8" s="248"/>
      <c r="AB8" s="251"/>
      <c r="AC8" s="251"/>
      <c r="AD8" s="254"/>
      <c r="AE8" s="2"/>
      <c r="AF8" s="12"/>
      <c r="AG8" s="12"/>
      <c r="AH8" s="14"/>
      <c r="BE8" s="19">
        <f>SUM(BE10:BE12)</f>
        <v>241</v>
      </c>
      <c r="BF8" s="19">
        <f>SUM(BF10:BF12)</f>
        <v>241</v>
      </c>
      <c r="BG8" s="19">
        <f>SUM(BG10:BG12)</f>
        <v>7</v>
      </c>
      <c r="BH8" s="19">
        <f>SUM(BH10:BH12)</f>
        <v>7</v>
      </c>
      <c r="BK8" s="19"/>
      <c r="BL8" s="20"/>
    </row>
    <row r="9" spans="1:64" ht="11.45" customHeight="1" thickBot="1" x14ac:dyDescent="0.25">
      <c r="J9" s="10"/>
      <c r="K9" s="28"/>
      <c r="L9" s="28"/>
      <c r="N9" s="38"/>
      <c r="O9" s="28"/>
      <c r="P9" s="28"/>
      <c r="Q9" s="274"/>
      <c r="R9" s="274"/>
      <c r="S9" s="275"/>
      <c r="T9" s="261"/>
      <c r="U9" s="265" t="str">
        <f>IF(N9&lt;&gt;"",CONCATENATE(VLOOKUP(N9,[2]zawodnicy!$A$1:$E$65536,1,FALSE)," ",VLOOKUP(N9,[2]zawodnicy!$A$1:$E$65536,2,FALSE)," ",VLOOKUP(N9,[2]zawodnicy!$A$1:$E$65536,3,FALSE)," - ",VLOOKUP(N9,[2]zawodnicy!$A$1:$E$65536,4,FALSE)),"")</f>
        <v/>
      </c>
      <c r="V9" s="266"/>
      <c r="W9" s="267"/>
      <c r="X9" s="35"/>
      <c r="Y9" s="39" t="str">
        <f>IF(SUM(AS12:AT12)=0,"",AS12&amp;":"&amp;AT12)</f>
        <v>21:9</v>
      </c>
      <c r="Z9" s="40" t="str">
        <f>IF(SUM(AS10:AT10)=0,"",AS10&amp;":"&amp;AT10)</f>
        <v/>
      </c>
      <c r="AA9" s="262"/>
      <c r="AB9" s="263"/>
      <c r="AC9" s="263"/>
      <c r="AD9" s="264"/>
      <c r="AE9" s="2"/>
      <c r="AF9" s="12"/>
      <c r="AG9" s="12"/>
      <c r="AH9" s="14"/>
      <c r="AI9" s="259" t="s">
        <v>12</v>
      </c>
      <c r="AJ9" s="269"/>
      <c r="AK9" s="268" t="s">
        <v>13</v>
      </c>
      <c r="AL9" s="269"/>
      <c r="AM9" s="268" t="s">
        <v>14</v>
      </c>
      <c r="AN9" s="260"/>
      <c r="AO9" s="259" t="s">
        <v>12</v>
      </c>
      <c r="AP9" s="269"/>
      <c r="AQ9" s="268" t="s">
        <v>13</v>
      </c>
      <c r="AR9" s="269"/>
      <c r="AS9" s="268" t="s">
        <v>14</v>
      </c>
      <c r="AT9" s="269"/>
      <c r="AU9" s="12"/>
      <c r="AV9" s="12"/>
      <c r="AW9" s="259">
        <v>1</v>
      </c>
      <c r="AX9" s="269"/>
      <c r="AY9" s="268">
        <v>2</v>
      </c>
      <c r="AZ9" s="269"/>
      <c r="BA9" s="268">
        <v>3</v>
      </c>
      <c r="BB9" s="260"/>
      <c r="BE9" s="259" t="s">
        <v>3</v>
      </c>
      <c r="BF9" s="260"/>
      <c r="BG9" s="259" t="s">
        <v>4</v>
      </c>
      <c r="BH9" s="260"/>
      <c r="BI9" s="259" t="s">
        <v>5</v>
      </c>
      <c r="BJ9" s="260"/>
      <c r="BK9" s="41" t="s">
        <v>6</v>
      </c>
      <c r="BL9" s="20"/>
    </row>
    <row r="10" spans="1:64" ht="11.45" customHeight="1" x14ac:dyDescent="0.2">
      <c r="A10" s="19">
        <f>S10</f>
        <v>54</v>
      </c>
      <c r="B10" s="2" t="str">
        <f>IF(N8="","",N8)</f>
        <v>J2971</v>
      </c>
      <c r="C10" s="2" t="str">
        <f>IF(N9="","",N9)</f>
        <v/>
      </c>
      <c r="D10" s="2" t="str">
        <f>IF(N14="","",N14)</f>
        <v>Ł4427</v>
      </c>
      <c r="E10" s="2" t="str">
        <f>IF(N15="","",N15)</f>
        <v/>
      </c>
      <c r="I10" s="2" t="str">
        <f>"2"&amp;O6&amp;N7</f>
        <v>21pojedyncza kobiet J</v>
      </c>
      <c r="J10" s="10" t="str">
        <f>IF(AD10="","",IF(AD7=2,N8,IF(AD10=2,N11,IF(AD13=2,N14,""))))</f>
        <v>Ł4427</v>
      </c>
      <c r="K10" s="10">
        <f>IF(AD10="","",IF(AD7=2,N9,IF(AD10=2,N12,IF(AD13=2,N15,""))))</f>
        <v>0</v>
      </c>
      <c r="M10" s="42" t="str">
        <f>N7</f>
        <v>pojedyncza kobiet J</v>
      </c>
      <c r="O10" s="28"/>
      <c r="P10" s="28"/>
      <c r="Q10" s="43" t="str">
        <f>IF(AU10&gt;0,"",IF(A10=0,"",IF(VLOOKUP(A10,'[2]plan gier'!A$1:S$65536,19,FALSE)="","",VLOOKUP(A10,'[2]plan gier'!A$1:S$65536,19,FALSE))))</f>
        <v/>
      </c>
      <c r="R10" s="44" t="s">
        <v>15</v>
      </c>
      <c r="S10" s="45">
        <v>54</v>
      </c>
      <c r="T10" s="241">
        <v>2</v>
      </c>
      <c r="U10" s="244" t="str">
        <f>IF(AND(N11&lt;&gt;"",N12&lt;&gt;""),CONCATENATE(VLOOKUP(N11,[2]zawodnicy!$A$1:$E$65536,1,FALSE)," ",VLOOKUP(N11,[2]zawodnicy!$A$1:$E$65536,2,FALSE)," ",VLOOKUP(N11,[2]zawodnicy!$A$1:$E$65536,3,FALSE)," - ",VLOOKUP(N11,[2]zawodnicy!$A$1:$E$65536,4,FALSE)),"")</f>
        <v/>
      </c>
      <c r="V10" s="245"/>
      <c r="W10" s="246"/>
      <c r="X10" s="46" t="str">
        <f>IF(SUM(AO12:AP12)=0,"",AP12&amp;":"&amp;AO12)</f>
        <v>18:21</v>
      </c>
      <c r="Y10" s="47"/>
      <c r="Z10" s="48" t="str">
        <f>IF(SUM(AO11:AP11)=0,"",AO11&amp;":"&amp;AP11)</f>
        <v>13:21</v>
      </c>
      <c r="AA10" s="247" t="str">
        <f>IF(SUM(AW11:AX11,BA11:BB11)=0,"",BE11&amp;":"&amp;BF11)</f>
        <v>75:103</v>
      </c>
      <c r="AB10" s="250" t="str">
        <f>IF(SUM(AW11:AX11,BA11:BB11)=0,"",BG11&amp;":"&amp;BH11)</f>
        <v>1:4</v>
      </c>
      <c r="AC10" s="250" t="str">
        <f>IF(SUM(AW11:AX11,BA11:BB11)=0,"",BI11&amp;":"&amp;BJ11)</f>
        <v>0:2</v>
      </c>
      <c r="AD10" s="253">
        <f>IF(SUM(BI10:BI12)&gt;0,BK11,"")</f>
        <v>3</v>
      </c>
      <c r="AE10" s="2"/>
      <c r="AF10" s="12"/>
      <c r="AG10" s="12"/>
      <c r="AH10" s="44" t="s">
        <v>15</v>
      </c>
      <c r="AI10" s="49">
        <f>IF(ISBLANK(S10),"",VLOOKUP(S10,'[2]plan gier'!$X$1:$AN$65536,12,FALSE))</f>
        <v>21</v>
      </c>
      <c r="AJ10" s="50">
        <f>IF(ISBLANK(S10),"",VLOOKUP(S10,'[2]plan gier'!$X$1:$AN$65536,13,FALSE))</f>
        <v>10</v>
      </c>
      <c r="AK10" s="50">
        <f>IF(ISBLANK(S10),"",VLOOKUP(S10,'[2]plan gier'!$X$1:$AN$65536,14,FALSE))</f>
        <v>21</v>
      </c>
      <c r="AL10" s="50">
        <f>IF(ISBLANK(S10),"",VLOOKUP(S10,'[2]plan gier'!$X$1:$AN$65536,15,FALSE))</f>
        <v>11</v>
      </c>
      <c r="AM10" s="50">
        <f>IF(ISBLANK(S10),"",VLOOKUP(S10,'[2]plan gier'!$X$1:$AN$65536,16,FALSE))</f>
        <v>0</v>
      </c>
      <c r="AN10" s="50">
        <f>IF(ISBLANK(S10),"",VLOOKUP(S10,'[2]plan gier'!$X$1:$AN$65536,17,FALSE))</f>
        <v>0</v>
      </c>
      <c r="AO10" s="51">
        <f t="shared" ref="AO10:AT12" si="0">IF(AI10="",0,AI10)</f>
        <v>21</v>
      </c>
      <c r="AP10" s="52">
        <f t="shared" si="0"/>
        <v>10</v>
      </c>
      <c r="AQ10" s="53">
        <f t="shared" si="0"/>
        <v>21</v>
      </c>
      <c r="AR10" s="52">
        <f t="shared" si="0"/>
        <v>11</v>
      </c>
      <c r="AS10" s="53">
        <f t="shared" si="0"/>
        <v>0</v>
      </c>
      <c r="AT10" s="52">
        <f t="shared" si="0"/>
        <v>0</v>
      </c>
      <c r="AU10" s="54">
        <f>SUM(AO10:AT10)</f>
        <v>63</v>
      </c>
      <c r="AV10" s="13">
        <v>1</v>
      </c>
      <c r="AW10" s="55"/>
      <c r="AX10" s="56"/>
      <c r="AY10" s="50">
        <f>IF(AI12&gt;AJ12,1,0)+IF(AK12&gt;AL12,1,0)+IF(AM12&gt;AN12,1,0)</f>
        <v>2</v>
      </c>
      <c r="AZ10" s="50">
        <f>AW11</f>
        <v>1</v>
      </c>
      <c r="BA10" s="50">
        <f>IF(AI10&gt;AJ10,1,0)+IF(AK10&gt;AL10,1,0)+IF(AM10&gt;AN10,1,0)</f>
        <v>2</v>
      </c>
      <c r="BB10" s="57">
        <f>AW12</f>
        <v>0</v>
      </c>
      <c r="BE10" s="49">
        <f>AO10+AQ10+AS10+AO12+AQ12+AS12</f>
        <v>103</v>
      </c>
      <c r="BF10" s="57">
        <f>AP10+AR10+AT10+AP12+AR12+AT12</f>
        <v>69</v>
      </c>
      <c r="BG10" s="49">
        <f>AY10+BA10</f>
        <v>4</v>
      </c>
      <c r="BH10" s="57">
        <f>AZ10+BB10</f>
        <v>1</v>
      </c>
      <c r="BI10" s="49">
        <f>IF(AY10&gt;AZ10,1,0)+IF(BA10&gt;BB10,1,0)</f>
        <v>2</v>
      </c>
      <c r="BJ10" s="58">
        <f>IF(AZ10&gt;AY10,1,0)+IF(BB10&gt;BA10,1,0)</f>
        <v>0</v>
      </c>
      <c r="BK10" s="59">
        <f>IF(BI10+BJ10=0,"",IF(BL10=MAX(BL10:BL12),1,IF(BL10=MIN(BL10:BL12),3,2)))</f>
        <v>1</v>
      </c>
      <c r="BL10" s="60">
        <f>IF(BI10+BJ10&lt;&gt;0,BI10+1+(BG10-BH10)/100+(BE10-BF10)/100000+(BE10/BF10)/1000000,0)</f>
        <v>3.0303414927536232</v>
      </c>
    </row>
    <row r="11" spans="1:64" ht="11.45" customHeight="1" x14ac:dyDescent="0.2">
      <c r="A11" s="19">
        <f>S11</f>
        <v>119</v>
      </c>
      <c r="B11" s="2" t="str">
        <f>IF(N11="","",N11)</f>
        <v>B3564</v>
      </c>
      <c r="C11" s="2" t="str">
        <f>IF(N12="","",N12)</f>
        <v/>
      </c>
      <c r="D11" s="2" t="str">
        <f>IF(N14="","",N14)</f>
        <v>Ł4427</v>
      </c>
      <c r="E11" s="2" t="str">
        <f>IF(N15="","",N15)</f>
        <v/>
      </c>
      <c r="J11" s="10"/>
      <c r="K11" s="19"/>
      <c r="M11" s="42" t="str">
        <f>N7</f>
        <v>pojedyncza kobiet J</v>
      </c>
      <c r="N11" s="33" t="s">
        <v>16</v>
      </c>
      <c r="O11" s="34">
        <f>IF(O6&gt;0,(O6&amp;2)*1,"")</f>
        <v>12</v>
      </c>
      <c r="Q11" s="43" t="str">
        <f>IF(AU11&gt;0,"",IF(A11=0,"",IF(VLOOKUP(A11,'[2]plan gier'!A$1:S$65536,19,FALSE)="","",VLOOKUP(A11,'[2]plan gier'!A$1:S$65536,19,FALSE))))</f>
        <v/>
      </c>
      <c r="R11" s="44" t="s">
        <v>17</v>
      </c>
      <c r="S11" s="45">
        <v>119</v>
      </c>
      <c r="T11" s="242"/>
      <c r="U11" s="244" t="str">
        <f>IF(AND(N11&lt;&gt;"",N12=""),CONCATENATE(VLOOKUP(N11,[2]zawodnicy!$A$1:$E$65536,1,FALSE)," ",VLOOKUP(N11,[2]zawodnicy!$A$1:$E$65536,2,FALSE)," ",VLOOKUP(N11,[2]zawodnicy!$A$1:$E$65536,3,FALSE)," - ",VLOOKUP(N11,[2]zawodnicy!$A$1:$E$65536,4,FALSE)),"")</f>
        <v>B3564 Kinga BARNA - UKS 2 Sobótka</v>
      </c>
      <c r="V11" s="245"/>
      <c r="W11" s="246"/>
      <c r="X11" s="61" t="str">
        <f>IF(SUM(AQ12:AR12)=0,"",AR12&amp;":"&amp;AQ12)</f>
        <v>21:19</v>
      </c>
      <c r="Y11" s="62"/>
      <c r="Z11" s="37" t="str">
        <f>IF(SUM(AQ11:AR11)=0,"",AQ11&amp;":"&amp;AR11)</f>
        <v>14:21</v>
      </c>
      <c r="AA11" s="248"/>
      <c r="AB11" s="251"/>
      <c r="AC11" s="251"/>
      <c r="AD11" s="254"/>
      <c r="AE11" s="2"/>
      <c r="AF11" s="12"/>
      <c r="AG11" s="12"/>
      <c r="AH11" s="44" t="s">
        <v>17</v>
      </c>
      <c r="AI11" s="63">
        <f>IF(ISBLANK(S11),"",VLOOKUP(S11,'[2]plan gier'!$X$1:$AN$65536,12,FALSE))</f>
        <v>13</v>
      </c>
      <c r="AJ11" s="64">
        <f>IF(ISBLANK(S11),"",VLOOKUP(S11,'[2]plan gier'!$X$1:$AN$65536,13,FALSE))</f>
        <v>21</v>
      </c>
      <c r="AK11" s="64">
        <f>IF(ISBLANK(S11),"",VLOOKUP(S11,'[2]plan gier'!$X$1:$AN$65536,14,FALSE))</f>
        <v>14</v>
      </c>
      <c r="AL11" s="64">
        <f>IF(ISBLANK(S11),"",VLOOKUP(S11,'[2]plan gier'!$X$1:$AN$65536,15,FALSE))</f>
        <v>21</v>
      </c>
      <c r="AM11" s="64">
        <f>IF(ISBLANK(S11),"",VLOOKUP(S11,'[2]plan gier'!$X$1:$AN$65536,16,FALSE))</f>
        <v>0</v>
      </c>
      <c r="AN11" s="64">
        <f>IF(ISBLANK(S11),"",VLOOKUP(S11,'[2]plan gier'!$X$1:$AN$65536,17,FALSE))</f>
        <v>0</v>
      </c>
      <c r="AO11" s="65">
        <f t="shared" si="0"/>
        <v>13</v>
      </c>
      <c r="AP11" s="64">
        <f t="shared" si="0"/>
        <v>21</v>
      </c>
      <c r="AQ11" s="66">
        <f t="shared" si="0"/>
        <v>14</v>
      </c>
      <c r="AR11" s="64">
        <f t="shared" si="0"/>
        <v>21</v>
      </c>
      <c r="AS11" s="66">
        <f t="shared" si="0"/>
        <v>0</v>
      </c>
      <c r="AT11" s="64">
        <f t="shared" si="0"/>
        <v>0</v>
      </c>
      <c r="AU11" s="54">
        <f>SUM(AO11:AT11)</f>
        <v>69</v>
      </c>
      <c r="AV11" s="13">
        <v>2</v>
      </c>
      <c r="AW11" s="63">
        <f>IF(AI12&lt;AJ12,1,0)+IF(AK12&lt;AL12,1,0)+IF(AM12&lt;AN12,1,0)</f>
        <v>1</v>
      </c>
      <c r="AX11" s="64">
        <f>AY10</f>
        <v>2</v>
      </c>
      <c r="AY11" s="67"/>
      <c r="AZ11" s="68"/>
      <c r="BA11" s="64">
        <f>IF(AI11&gt;AJ11,1,0)+IF(AK11&gt;AL11,1,0)+IF(AM11&gt;AN11,1,0)</f>
        <v>0</v>
      </c>
      <c r="BB11" s="69">
        <f>AY12</f>
        <v>2</v>
      </c>
      <c r="BE11" s="63">
        <f>AO11+AQ11+AS11+AP12+AR12+AT12</f>
        <v>75</v>
      </c>
      <c r="BF11" s="69">
        <f>AP11+AR11+AT11+AO12+AQ12+AS12</f>
        <v>103</v>
      </c>
      <c r="BG11" s="63">
        <f>AW11+BA11</f>
        <v>1</v>
      </c>
      <c r="BH11" s="69">
        <f>AX11+BB11</f>
        <v>4</v>
      </c>
      <c r="BI11" s="63">
        <f>IF(AW11&gt;AX11,1,0)+IF(BA11&gt;BB11,1,0)</f>
        <v>0</v>
      </c>
      <c r="BJ11" s="70">
        <f>IF(AX11&gt;AW11,1,0)+IF(BB11&gt;BA11,1,0)</f>
        <v>2</v>
      </c>
      <c r="BK11" s="71">
        <f>IF(BI11+BJ11=0,"",IF(BL11=MAX(BL10:BL12),1,IF(BL11=MIN(BL10:BL12),3,2)))</f>
        <v>3</v>
      </c>
      <c r="BL11" s="60">
        <f>IF(BI11+BJ11&lt;&gt;0,BI11+1+(BG11-BH11)/100+(BE11-BF11)/100000+(BE11/BF11)/1000000,0)</f>
        <v>0.96972072815533983</v>
      </c>
    </row>
    <row r="12" spans="1:64" ht="11.45" customHeight="1" thickBot="1" x14ac:dyDescent="0.25">
      <c r="A12" s="19">
        <f>S12</f>
        <v>184</v>
      </c>
      <c r="B12" s="2" t="str">
        <f>IF(N8="","",N8)</f>
        <v>J2971</v>
      </c>
      <c r="C12" s="2" t="str">
        <f>IF(N9="","",N9)</f>
        <v/>
      </c>
      <c r="D12" s="2" t="str">
        <f>IF(N11="","",N11)</f>
        <v>B3564</v>
      </c>
      <c r="E12" s="2" t="str">
        <f>IF(N12="","",N12)</f>
        <v/>
      </c>
      <c r="I12" s="2" t="str">
        <f>"3"&amp;O6&amp;N7</f>
        <v>31pojedyncza kobiet J</v>
      </c>
      <c r="J12" s="10" t="str">
        <f>IF(AD13="","",IF(AD7=3,N8,IF(AD10=3,N11,IF(AD13=3,N14,""))))</f>
        <v>B3564</v>
      </c>
      <c r="K12" s="10">
        <f>IF(AD13="","",IF(AD7=3,N9,IF(AD10=3,N12,IF(AD13=3,N15,""))))</f>
        <v>0</v>
      </c>
      <c r="M12" s="42" t="str">
        <f>N7</f>
        <v>pojedyncza kobiet J</v>
      </c>
      <c r="N12" s="38"/>
      <c r="O12" s="28"/>
      <c r="P12" s="28"/>
      <c r="Q12" s="43" t="str">
        <f>IF(AU12&gt;0,"",IF(A12=0,"",IF(VLOOKUP(A12,'[2]plan gier'!A$1:S$65536,19,FALSE)="","",VLOOKUP(A12,'[2]plan gier'!A$1:S$65536,19,FALSE))))</f>
        <v/>
      </c>
      <c r="R12" s="72" t="s">
        <v>18</v>
      </c>
      <c r="S12" s="45">
        <v>184</v>
      </c>
      <c r="T12" s="261"/>
      <c r="U12" s="265" t="str">
        <f>IF(N12&lt;&gt;"",CONCATENATE(VLOOKUP(N12,[2]zawodnicy!$A$1:$E$65536,1,FALSE)," ",VLOOKUP(N12,[2]zawodnicy!$A$1:$E$65536,2,FALSE)," ",VLOOKUP(N12,[2]zawodnicy!$A$1:$E$65536,3,FALSE)," - ",VLOOKUP(N12,[2]zawodnicy!$A$1:$E$65536,4,FALSE)),"")</f>
        <v/>
      </c>
      <c r="V12" s="266"/>
      <c r="W12" s="267"/>
      <c r="X12" s="73" t="str">
        <f>IF(SUM(AS12:AT12)=0,"",AT12&amp;":"&amp;AS12)</f>
        <v>9:21</v>
      </c>
      <c r="Y12" s="62"/>
      <c r="Z12" s="40" t="str">
        <f>IF(SUM(AS11:AT11)=0,"",AS11&amp;":"&amp;AT11)</f>
        <v/>
      </c>
      <c r="AA12" s="262"/>
      <c r="AB12" s="263"/>
      <c r="AC12" s="263"/>
      <c r="AD12" s="264"/>
      <c r="AE12" s="2"/>
      <c r="AF12" s="12"/>
      <c r="AG12" s="12"/>
      <c r="AH12" s="72" t="s">
        <v>18</v>
      </c>
      <c r="AI12" s="74">
        <f>IF(ISBLANK(S12),"",VLOOKUP(S12,'[2]plan gier'!$X$1:$AN$65536,12,FALSE))</f>
        <v>21</v>
      </c>
      <c r="AJ12" s="75">
        <f>IF(ISBLANK(S12),"",VLOOKUP(S12,'[2]plan gier'!$X$1:$AN$65536,13,FALSE))</f>
        <v>18</v>
      </c>
      <c r="AK12" s="75">
        <f>IF(ISBLANK(S12),"",VLOOKUP(S12,'[2]plan gier'!$X$1:$AN$65536,14,FALSE))</f>
        <v>19</v>
      </c>
      <c r="AL12" s="75">
        <f>IF(ISBLANK(S12),"",VLOOKUP(S12,'[2]plan gier'!$X$1:$AN$65536,15,FALSE))</f>
        <v>21</v>
      </c>
      <c r="AM12" s="75">
        <f>IF(ISBLANK(S12),"",VLOOKUP(S12,'[2]plan gier'!$X$1:$AN$65536,16,FALSE))</f>
        <v>21</v>
      </c>
      <c r="AN12" s="75">
        <f>IF(ISBLANK(S12),"",VLOOKUP(S12,'[2]plan gier'!$X$1:$AN$65536,17,FALSE))</f>
        <v>9</v>
      </c>
      <c r="AO12" s="76">
        <f t="shared" si="0"/>
        <v>21</v>
      </c>
      <c r="AP12" s="75">
        <f t="shared" si="0"/>
        <v>18</v>
      </c>
      <c r="AQ12" s="77">
        <f t="shared" si="0"/>
        <v>19</v>
      </c>
      <c r="AR12" s="75">
        <f t="shared" si="0"/>
        <v>21</v>
      </c>
      <c r="AS12" s="77">
        <f t="shared" si="0"/>
        <v>21</v>
      </c>
      <c r="AT12" s="75">
        <f t="shared" si="0"/>
        <v>9</v>
      </c>
      <c r="AU12" s="54">
        <f>SUM(AO12:AT12)</f>
        <v>109</v>
      </c>
      <c r="AV12" s="13">
        <v>3</v>
      </c>
      <c r="AW12" s="74">
        <f>IF(AI10&lt;AJ10,1,0)+IF(AK10&lt;AL10,1,0)+IF(AM10&lt;AN10,1,0)</f>
        <v>0</v>
      </c>
      <c r="AX12" s="75">
        <f>BA10</f>
        <v>2</v>
      </c>
      <c r="AY12" s="75">
        <f>IF(AI11&lt;AJ11,1,0)+IF(AK11&lt;AL11,1,0)+IF(AM11&lt;AN11,1,0)</f>
        <v>2</v>
      </c>
      <c r="AZ12" s="75">
        <f>BA11</f>
        <v>0</v>
      </c>
      <c r="BA12" s="78"/>
      <c r="BB12" s="79"/>
      <c r="BE12" s="74">
        <f>AP10+AR10+AT10+AP11+AR11+AT11</f>
        <v>63</v>
      </c>
      <c r="BF12" s="80">
        <f>AO10+AQ10+AS10+AO11+AQ11+AS11</f>
        <v>69</v>
      </c>
      <c r="BG12" s="74">
        <f>AW12+AY12</f>
        <v>2</v>
      </c>
      <c r="BH12" s="80">
        <f>AX12+AZ12</f>
        <v>2</v>
      </c>
      <c r="BI12" s="74">
        <f>IF(AW12&gt;AX12,1,0)+IF(AY12&gt;AZ12,1,0)</f>
        <v>1</v>
      </c>
      <c r="BJ12" s="81">
        <f>IF(AX12&gt;AW12,1,0)+IF(AZ12&gt;AY12,1,0)</f>
        <v>1</v>
      </c>
      <c r="BK12" s="82">
        <f>IF(BI12+BJ12=0,"",IF(BL12=MAX(BL10:BL12),1,IF(BL12=MIN(BL10:BL12),3,2)))</f>
        <v>2</v>
      </c>
      <c r="BL12" s="60">
        <f>IF(BI12+BJ12&lt;&gt;0,BI12+1+(BG12-BH12)/100+(BE12-BF12)/100000+(BE12/BF12)/1000000,0)</f>
        <v>1.9999409130434782</v>
      </c>
    </row>
    <row r="13" spans="1:64" ht="11.45" customHeight="1" x14ac:dyDescent="0.2">
      <c r="A13" s="2"/>
      <c r="J13" s="28"/>
      <c r="K13" s="28"/>
      <c r="L13" s="28"/>
      <c r="O13" s="28"/>
      <c r="P13" s="28"/>
      <c r="Q13" s="2"/>
      <c r="R13" s="2"/>
      <c r="S13" s="2"/>
      <c r="T13" s="241">
        <v>3</v>
      </c>
      <c r="U13" s="244" t="str">
        <f>IF(AND(N14&lt;&gt;"",N15&lt;&gt;""),CONCATENATE(VLOOKUP(N14,[2]zawodnicy!$A$1:$E$65536,1,FALSE)," ",VLOOKUP(N14,[2]zawodnicy!$A$1:$E$65536,2,FALSE)," ",VLOOKUP(N14,[2]zawodnicy!$A$1:$E$65536,3,FALSE)," - ",VLOOKUP(N14,[2]zawodnicy!$A$1:$E$65536,4,FALSE)),"")</f>
        <v/>
      </c>
      <c r="V13" s="245"/>
      <c r="W13" s="246"/>
      <c r="X13" s="46" t="str">
        <f>IF(SUM(AO10:AP10)=0,"",AP10&amp;":"&amp;AO10)</f>
        <v>10:21</v>
      </c>
      <c r="Y13" s="83" t="str">
        <f>IF(SUM(AO11:AP11)=0,"",AP11&amp;":"&amp;AO11)</f>
        <v>21:13</v>
      </c>
      <c r="Z13" s="84"/>
      <c r="AA13" s="247" t="str">
        <f>IF(SUM(AW12:AZ12)=0,"",BE12&amp;":"&amp;BF12)</f>
        <v>63:69</v>
      </c>
      <c r="AB13" s="250" t="str">
        <f>IF(SUM(AW12:AZ12)=0,"",BG12&amp;":"&amp;BH12)</f>
        <v>2:2</v>
      </c>
      <c r="AC13" s="250" t="str">
        <f>IF(SUM(AW12:AZ12)=0,"",BI12&amp;":"&amp;BJ12)</f>
        <v>1:1</v>
      </c>
      <c r="AD13" s="253">
        <f>IF(SUM(BI10:BI12)&gt;0,BK12,"")</f>
        <v>2</v>
      </c>
      <c r="AE13" s="2"/>
      <c r="AF13" s="12"/>
      <c r="AG13" s="12"/>
      <c r="BE13" s="19">
        <f>SUM(BE10:BE12)</f>
        <v>241</v>
      </c>
      <c r="BF13" s="19">
        <f>SUM(BF10:BF12)</f>
        <v>241</v>
      </c>
      <c r="BG13" s="19">
        <f>SUM(BG10:BG12)</f>
        <v>7</v>
      </c>
      <c r="BH13" s="19">
        <f>SUM(BH10:BH12)</f>
        <v>7</v>
      </c>
      <c r="BK13" s="19"/>
      <c r="BL13" s="20"/>
    </row>
    <row r="14" spans="1:64" ht="11.45" customHeight="1" x14ac:dyDescent="0.2">
      <c r="A14" s="19"/>
      <c r="J14" s="19"/>
      <c r="K14" s="19"/>
      <c r="L14" s="19"/>
      <c r="N14" s="33" t="s">
        <v>19</v>
      </c>
      <c r="O14" s="34">
        <f>IF(O6&gt;0,(O6&amp;3)*1,"")</f>
        <v>13</v>
      </c>
      <c r="Q14" s="85"/>
      <c r="R14" s="85"/>
      <c r="S14" s="85"/>
      <c r="T14" s="242"/>
      <c r="U14" s="244" t="str">
        <f>IF(AND(N14&lt;&gt;"",N15=""),CONCATENATE(VLOOKUP(N14,[2]zawodnicy!$A$1:$E$65536,1,FALSE)," ",VLOOKUP(N14,[2]zawodnicy!$A$1:$E$65536,2,FALSE)," ",VLOOKUP(N14,[2]zawodnicy!$A$1:$E$65536,3,FALSE)," - ",VLOOKUP(N14,[2]zawodnicy!$A$1:$E$65536,4,FALSE)),"")</f>
        <v>Ł4427 Magda ŁUKASIAK - MKS Orlicz Suchedniów</v>
      </c>
      <c r="V14" s="245"/>
      <c r="W14" s="246"/>
      <c r="X14" s="61" t="str">
        <f>IF(SUM(AQ10:AR10)=0,"",AR10&amp;":"&amp;AQ10)</f>
        <v>11:21</v>
      </c>
      <c r="Y14" s="36" t="str">
        <f>IF(SUM(AQ11:AR11)=0,"",AR11&amp;":"&amp;AQ11)</f>
        <v>21:14</v>
      </c>
      <c r="Z14" s="86"/>
      <c r="AA14" s="248"/>
      <c r="AB14" s="251"/>
      <c r="AC14" s="251"/>
      <c r="AD14" s="254"/>
      <c r="AE14" s="2"/>
      <c r="AF14" s="12"/>
      <c r="AG14" s="1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row>
    <row r="15" spans="1:64" ht="11.45" customHeight="1" thickBot="1" x14ac:dyDescent="0.25">
      <c r="A15" s="2"/>
      <c r="J15" s="28"/>
      <c r="K15" s="28"/>
      <c r="L15" s="28"/>
      <c r="N15" s="38"/>
      <c r="O15" s="28"/>
      <c r="P15" s="28"/>
      <c r="Q15" s="2"/>
      <c r="R15" s="2"/>
      <c r="S15" s="2"/>
      <c r="T15" s="243"/>
      <c r="U15" s="256" t="str">
        <f>IF(N15&lt;&gt;"",CONCATENATE(VLOOKUP(N15,[2]zawodnicy!$A$1:$E$65536,1,FALSE)," ",VLOOKUP(N15,[2]zawodnicy!$A$1:$E$65536,2,FALSE)," ",VLOOKUP(N15,[2]zawodnicy!$A$1:$E$65536,3,FALSE)," - ",VLOOKUP(N15,[2]zawodnicy!$A$1:$E$65536,4,FALSE)),"")</f>
        <v/>
      </c>
      <c r="V15" s="257"/>
      <c r="W15" s="258"/>
      <c r="X15" s="87" t="str">
        <f>IF(SUM(AS10:AT10)=0,"",AT10&amp;":"&amp;AS10)</f>
        <v/>
      </c>
      <c r="Y15" s="88" t="str">
        <f>IF(SUM(AS11:AT11)=0,"",AT11&amp;":"&amp;AS11)</f>
        <v/>
      </c>
      <c r="Z15" s="89"/>
      <c r="AA15" s="249"/>
      <c r="AB15" s="252"/>
      <c r="AC15" s="252"/>
      <c r="AD15" s="255"/>
      <c r="AE15" s="10"/>
      <c r="AF15" s="12"/>
      <c r="AG15" s="1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row>
    <row r="16" spans="1:64" s="19" customFormat="1" ht="5.0999999999999996" customHeight="1" thickBot="1" x14ac:dyDescent="0.25">
      <c r="M16" s="90"/>
      <c r="O16" s="90"/>
      <c r="P16" s="90"/>
      <c r="Q16" s="91"/>
      <c r="R16" s="91"/>
      <c r="S16" s="91"/>
      <c r="T16" s="91"/>
      <c r="U16" s="5"/>
      <c r="V16" s="5"/>
      <c r="W16" s="5"/>
      <c r="AA16" s="92"/>
      <c r="AB16" s="91"/>
      <c r="AC16" s="91"/>
      <c r="AD16" s="91"/>
      <c r="AE16" s="91"/>
      <c r="AF16" s="91"/>
      <c r="AI16" s="93"/>
      <c r="AJ16" s="94"/>
      <c r="AK16" s="94"/>
    </row>
    <row r="17" spans="1:64" ht="11.45" customHeight="1" thickBot="1" x14ac:dyDescent="0.25">
      <c r="N17" s="11"/>
      <c r="O17" s="21">
        <v>2</v>
      </c>
      <c r="Q17" s="277" t="str">
        <f>"Grupa "&amp;O17&amp;"."</f>
        <v>Grupa 2.</v>
      </c>
      <c r="R17" s="277"/>
      <c r="S17" s="277"/>
      <c r="T17" s="22" t="s">
        <v>1</v>
      </c>
      <c r="U17" s="278" t="s">
        <v>2</v>
      </c>
      <c r="V17" s="279"/>
      <c r="W17" s="280"/>
      <c r="X17" s="22">
        <v>1</v>
      </c>
      <c r="Y17" s="23">
        <v>2</v>
      </c>
      <c r="Z17" s="24">
        <v>3</v>
      </c>
      <c r="AA17" s="25" t="s">
        <v>3</v>
      </c>
      <c r="AB17" s="26" t="s">
        <v>4</v>
      </c>
      <c r="AC17" s="26" t="s">
        <v>5</v>
      </c>
      <c r="AD17" s="27" t="s">
        <v>6</v>
      </c>
      <c r="AE17" s="2"/>
      <c r="AF17" s="12"/>
      <c r="AG17" s="12"/>
      <c r="BK17" s="19"/>
      <c r="BL17" s="20"/>
    </row>
    <row r="18" spans="1:64" ht="11.45" customHeight="1" x14ac:dyDescent="0.2">
      <c r="J18" s="28"/>
      <c r="K18" s="28"/>
      <c r="L18" s="28"/>
      <c r="N18" s="29" t="s">
        <v>0</v>
      </c>
      <c r="Q18" s="274" t="s">
        <v>7</v>
      </c>
      <c r="R18" s="274"/>
      <c r="S18" s="275" t="s">
        <v>8</v>
      </c>
      <c r="T18" s="276">
        <v>1</v>
      </c>
      <c r="U18" s="244" t="str">
        <f>IF(AND(N19&lt;&gt;"",N20&lt;&gt;""),CONCATENATE(VLOOKUP(N19,[2]zawodnicy!$A$1:$E$65536,1,FALSE)," ",VLOOKUP(N19,[2]zawodnicy!$A$1:$E$65536,2,FALSE)," ",VLOOKUP(N19,[2]zawodnicy!$A$1:$E$65536,3,FALSE)," - ",VLOOKUP(N19,[2]zawodnicy!$A$1:$E$65536,4,FALSE)),"")</f>
        <v/>
      </c>
      <c r="V18" s="245"/>
      <c r="W18" s="246"/>
      <c r="X18" s="30"/>
      <c r="Y18" s="31" t="str">
        <f>IF(SUM(AO23:AP23)=0,"",AO23&amp;":"&amp;AP23)</f>
        <v>21:10</v>
      </c>
      <c r="Z18" s="32" t="str">
        <f>IF(SUM(AO21:AP21)=0,"",AO21&amp;":"&amp;AP21)</f>
        <v>21:18</v>
      </c>
      <c r="AA18" s="270" t="str">
        <f>IF(SUM(AY21:BB21)=0,"",BE21&amp;":"&amp;BF21)</f>
        <v>85:66</v>
      </c>
      <c r="AB18" s="271" t="str">
        <f>IF(SUM(AY21:BB21)=0,"",BG21&amp;":"&amp;BH21)</f>
        <v>4:0</v>
      </c>
      <c r="AC18" s="271" t="str">
        <f>IF(SUM(AY21:BB21)=0,"",BI21&amp;":"&amp;BJ21)</f>
        <v>2:0</v>
      </c>
      <c r="AD18" s="272">
        <f>IF(SUM(BI21:BI23)&gt;0,BK21,"")</f>
        <v>1</v>
      </c>
      <c r="AE18" s="2"/>
      <c r="AF18" s="12"/>
      <c r="AG18" s="12"/>
      <c r="AH18" s="14"/>
      <c r="AI18" s="273" t="s">
        <v>9</v>
      </c>
      <c r="AJ18" s="273"/>
      <c r="AK18" s="273"/>
      <c r="AL18" s="273"/>
      <c r="AM18" s="273"/>
      <c r="AN18" s="273"/>
      <c r="AO18" s="273" t="s">
        <v>10</v>
      </c>
      <c r="AP18" s="273"/>
      <c r="AQ18" s="273"/>
      <c r="AR18" s="273"/>
      <c r="AS18" s="273"/>
      <c r="AT18" s="273"/>
      <c r="BK18" s="19"/>
      <c r="BL18" s="20"/>
    </row>
    <row r="19" spans="1:64" ht="11.45" customHeight="1" thickBot="1" x14ac:dyDescent="0.25">
      <c r="I19" s="2" t="str">
        <f>"1"&amp;O17&amp;N18</f>
        <v>12pojedyncza kobiet J</v>
      </c>
      <c r="J19" s="10" t="str">
        <f>IF(AD18="","",IF(AD18=1,N19,IF(AD21=1,N22,IF(AD24=1,N25,""))))</f>
        <v>M3309</v>
      </c>
      <c r="K19" s="10">
        <f>IF(AD18="","",IF(AD18=1,N20,IF(AD21=1,N23,IF(AD24=1,N26,""))))</f>
        <v>0</v>
      </c>
      <c r="L19" s="10"/>
      <c r="N19" s="33" t="s">
        <v>20</v>
      </c>
      <c r="O19" s="34">
        <f>IF(O17&gt;0,(O17&amp;1)*1,"")</f>
        <v>21</v>
      </c>
      <c r="Q19" s="274"/>
      <c r="R19" s="274"/>
      <c r="S19" s="275"/>
      <c r="T19" s="242"/>
      <c r="U19" s="244" t="str">
        <f>IF(AND(N19&lt;&gt;"",N20=""),CONCATENATE(VLOOKUP(N19,[2]zawodnicy!$A$1:$E$65536,1,FALSE)," ",VLOOKUP(N19,[2]zawodnicy!$A$1:$E$65536,2,FALSE)," ",VLOOKUP(N19,[2]zawodnicy!$A$1:$E$65536,3,FALSE)," - ",VLOOKUP(N19,[2]zawodnicy!$A$1:$E$65536,4,FALSE)),"")</f>
        <v>M3309 Edyta MIETŁA - MKS Spartakus Niepołomice</v>
      </c>
      <c r="V19" s="245"/>
      <c r="W19" s="246"/>
      <c r="X19" s="35"/>
      <c r="Y19" s="36" t="str">
        <f>IF(SUM(AQ23:AR23)=0,"",AQ23&amp;":"&amp;AR23)</f>
        <v>21:18</v>
      </c>
      <c r="Z19" s="37" t="str">
        <f>IF(SUM(AQ21:AR21)=0,"",AQ21&amp;":"&amp;AR21)</f>
        <v>22:20</v>
      </c>
      <c r="AA19" s="248"/>
      <c r="AB19" s="251"/>
      <c r="AC19" s="251"/>
      <c r="AD19" s="254"/>
      <c r="AE19" s="2"/>
      <c r="AF19" s="12"/>
      <c r="AG19" s="12"/>
      <c r="AH19" s="14"/>
      <c r="BE19" s="19">
        <f>SUM(BE21:BE23)</f>
        <v>225</v>
      </c>
      <c r="BF19" s="19">
        <f>SUM(BF21:BF23)</f>
        <v>225</v>
      </c>
      <c r="BG19" s="19">
        <f>SUM(BG21:BG23)</f>
        <v>6</v>
      </c>
      <c r="BH19" s="19">
        <f>SUM(BH21:BH23)</f>
        <v>6</v>
      </c>
      <c r="BK19" s="19"/>
      <c r="BL19" s="20"/>
    </row>
    <row r="20" spans="1:64" ht="11.45" customHeight="1" thickBot="1" x14ac:dyDescent="0.25">
      <c r="J20" s="10"/>
      <c r="K20" s="28"/>
      <c r="L20" s="28"/>
      <c r="N20" s="38"/>
      <c r="O20" s="28"/>
      <c r="P20" s="28"/>
      <c r="Q20" s="274"/>
      <c r="R20" s="274"/>
      <c r="S20" s="275"/>
      <c r="T20" s="261"/>
      <c r="U20" s="265" t="str">
        <f>IF(N20&lt;&gt;"",CONCATENATE(VLOOKUP(N20,[2]zawodnicy!$A$1:$E$65536,1,FALSE)," ",VLOOKUP(N20,[2]zawodnicy!$A$1:$E$65536,2,FALSE)," ",VLOOKUP(N20,[2]zawodnicy!$A$1:$E$65536,3,FALSE)," - ",VLOOKUP(N20,[2]zawodnicy!$A$1:$E$65536,4,FALSE)),"")</f>
        <v/>
      </c>
      <c r="V20" s="266"/>
      <c r="W20" s="267"/>
      <c r="X20" s="35"/>
      <c r="Y20" s="39" t="str">
        <f>IF(SUM(AS23:AT23)=0,"",AS23&amp;":"&amp;AT23)</f>
        <v/>
      </c>
      <c r="Z20" s="40" t="str">
        <f>IF(SUM(AS21:AT21)=0,"",AS21&amp;":"&amp;AT21)</f>
        <v/>
      </c>
      <c r="AA20" s="262"/>
      <c r="AB20" s="263"/>
      <c r="AC20" s="263"/>
      <c r="AD20" s="264"/>
      <c r="AE20" s="2"/>
      <c r="AF20" s="12"/>
      <c r="AG20" s="12"/>
      <c r="AH20" s="14"/>
      <c r="AI20" s="259" t="s">
        <v>12</v>
      </c>
      <c r="AJ20" s="269"/>
      <c r="AK20" s="268" t="s">
        <v>13</v>
      </c>
      <c r="AL20" s="269"/>
      <c r="AM20" s="268" t="s">
        <v>14</v>
      </c>
      <c r="AN20" s="260"/>
      <c r="AO20" s="259" t="s">
        <v>12</v>
      </c>
      <c r="AP20" s="269"/>
      <c r="AQ20" s="268" t="s">
        <v>13</v>
      </c>
      <c r="AR20" s="269"/>
      <c r="AS20" s="268" t="s">
        <v>14</v>
      </c>
      <c r="AT20" s="269"/>
      <c r="AU20" s="12"/>
      <c r="AV20" s="12"/>
      <c r="AW20" s="259">
        <v>1</v>
      </c>
      <c r="AX20" s="269"/>
      <c r="AY20" s="268">
        <v>2</v>
      </c>
      <c r="AZ20" s="269"/>
      <c r="BA20" s="268">
        <v>3</v>
      </c>
      <c r="BB20" s="260"/>
      <c r="BE20" s="259" t="s">
        <v>3</v>
      </c>
      <c r="BF20" s="260"/>
      <c r="BG20" s="259" t="s">
        <v>4</v>
      </c>
      <c r="BH20" s="260"/>
      <c r="BI20" s="259" t="s">
        <v>5</v>
      </c>
      <c r="BJ20" s="260"/>
      <c r="BK20" s="41" t="s">
        <v>6</v>
      </c>
      <c r="BL20" s="20"/>
    </row>
    <row r="21" spans="1:64" ht="11.45" customHeight="1" x14ac:dyDescent="0.2">
      <c r="A21" s="19">
        <f>S21</f>
        <v>55</v>
      </c>
      <c r="B21" s="2" t="str">
        <f>IF(N19="","",N19)</f>
        <v>M3309</v>
      </c>
      <c r="C21" s="2" t="str">
        <f>IF(N20="","",N20)</f>
        <v/>
      </c>
      <c r="D21" s="2" t="str">
        <f>IF(N25="","",N25)</f>
        <v>K3351</v>
      </c>
      <c r="E21" s="2" t="str">
        <f>IF(N26="","",N26)</f>
        <v/>
      </c>
      <c r="I21" s="2" t="str">
        <f>"2"&amp;O17&amp;N18</f>
        <v>22pojedyncza kobiet J</v>
      </c>
      <c r="J21" s="10" t="str">
        <f>IF(AD21="","",IF(AD18=2,N19,IF(AD21=2,N22,IF(AD24=2,N25,""))))</f>
        <v>K3351</v>
      </c>
      <c r="K21" s="10">
        <f>IF(AD21="","",IF(AD18=2,N20,IF(AD21=2,N23,IF(AD24=2,N26,""))))</f>
        <v>0</v>
      </c>
      <c r="M21" s="42" t="str">
        <f>N18</f>
        <v>pojedyncza kobiet J</v>
      </c>
      <c r="O21" s="28"/>
      <c r="P21" s="28"/>
      <c r="Q21" s="43" t="str">
        <f>IF(AU21&gt;0,"",IF(A21=0,"",IF(VLOOKUP(A21,'[2]plan gier'!A$1:S$65536,19,FALSE)="","",VLOOKUP(A21,'[2]plan gier'!A$1:S$65536,19,FALSE))))</f>
        <v/>
      </c>
      <c r="R21" s="44" t="s">
        <v>15</v>
      </c>
      <c r="S21" s="45">
        <v>55</v>
      </c>
      <c r="T21" s="241">
        <v>2</v>
      </c>
      <c r="U21" s="244" t="str">
        <f>IF(AND(N22&lt;&gt;"",N23&lt;&gt;""),CONCATENATE(VLOOKUP(N22,[2]zawodnicy!$A$1:$E$65536,1,FALSE)," ",VLOOKUP(N22,[2]zawodnicy!$A$1:$E$65536,2,FALSE)," ",VLOOKUP(N22,[2]zawodnicy!$A$1:$E$65536,3,FALSE)," - ",VLOOKUP(N22,[2]zawodnicy!$A$1:$E$65536,4,FALSE)),"")</f>
        <v/>
      </c>
      <c r="V21" s="245"/>
      <c r="W21" s="246"/>
      <c r="X21" s="46" t="str">
        <f>IF(SUM(AO23:AP23)=0,"",AP23&amp;":"&amp;AO23)</f>
        <v>10:21</v>
      </c>
      <c r="Y21" s="47"/>
      <c r="Z21" s="48" t="str">
        <f>IF(SUM(AO22:AP22)=0,"",AO22&amp;":"&amp;AP22)</f>
        <v>16:21</v>
      </c>
      <c r="AA21" s="247" t="str">
        <f>IF(SUM(AW22:AX22,BA22:BB22)=0,"",BE22&amp;":"&amp;BF22)</f>
        <v>60:84</v>
      </c>
      <c r="AB21" s="250" t="str">
        <f>IF(SUM(AW22:AX22,BA22:BB22)=0,"",BG22&amp;":"&amp;BH22)</f>
        <v>0:4</v>
      </c>
      <c r="AC21" s="250" t="str">
        <f>IF(SUM(AW22:AX22,BA22:BB22)=0,"",BI22&amp;":"&amp;BJ22)</f>
        <v>0:2</v>
      </c>
      <c r="AD21" s="253">
        <f>IF(SUM(BI21:BI23)&gt;0,BK22,"")</f>
        <v>3</v>
      </c>
      <c r="AE21" s="2"/>
      <c r="AF21" s="12"/>
      <c r="AG21" s="12"/>
      <c r="AH21" s="44" t="s">
        <v>15</v>
      </c>
      <c r="AI21" s="49">
        <f>IF(ISBLANK(S21),"",VLOOKUP(S21,'[2]plan gier'!$X$1:$AN$65536,12,FALSE))</f>
        <v>21</v>
      </c>
      <c r="AJ21" s="50">
        <f>IF(ISBLANK(S21),"",VLOOKUP(S21,'[2]plan gier'!$X$1:$AN$65536,13,FALSE))</f>
        <v>18</v>
      </c>
      <c r="AK21" s="50">
        <f>IF(ISBLANK(S21),"",VLOOKUP(S21,'[2]plan gier'!$X$1:$AN$65536,14,FALSE))</f>
        <v>22</v>
      </c>
      <c r="AL21" s="50">
        <f>IF(ISBLANK(S21),"",VLOOKUP(S21,'[2]plan gier'!$X$1:$AN$65536,15,FALSE))</f>
        <v>20</v>
      </c>
      <c r="AM21" s="50">
        <f>IF(ISBLANK(S21),"",VLOOKUP(S21,'[2]plan gier'!$X$1:$AN$65536,16,FALSE))</f>
        <v>0</v>
      </c>
      <c r="AN21" s="50">
        <f>IF(ISBLANK(S21),"",VLOOKUP(S21,'[2]plan gier'!$X$1:$AN$65536,17,FALSE))</f>
        <v>0</v>
      </c>
      <c r="AO21" s="51">
        <f t="shared" ref="AO21:AT23" si="1">IF(AI21="",0,AI21)</f>
        <v>21</v>
      </c>
      <c r="AP21" s="52">
        <f t="shared" si="1"/>
        <v>18</v>
      </c>
      <c r="AQ21" s="53">
        <f t="shared" si="1"/>
        <v>22</v>
      </c>
      <c r="AR21" s="52">
        <f t="shared" si="1"/>
        <v>20</v>
      </c>
      <c r="AS21" s="53">
        <f t="shared" si="1"/>
        <v>0</v>
      </c>
      <c r="AT21" s="52">
        <f t="shared" si="1"/>
        <v>0</v>
      </c>
      <c r="AU21" s="54">
        <f>SUM(AO21:AT21)</f>
        <v>81</v>
      </c>
      <c r="AV21" s="13">
        <v>1</v>
      </c>
      <c r="AW21" s="55"/>
      <c r="AX21" s="56"/>
      <c r="AY21" s="50">
        <f>IF(AI23&gt;AJ23,1,0)+IF(AK23&gt;AL23,1,0)+IF(AM23&gt;AN23,1,0)</f>
        <v>2</v>
      </c>
      <c r="AZ21" s="50">
        <f>AW22</f>
        <v>0</v>
      </c>
      <c r="BA21" s="50">
        <f>IF(AI21&gt;AJ21,1,0)+IF(AK21&gt;AL21,1,0)+IF(AM21&gt;AN21,1,0)</f>
        <v>2</v>
      </c>
      <c r="BB21" s="57">
        <f>AW23</f>
        <v>0</v>
      </c>
      <c r="BE21" s="49">
        <f>AO21+AQ21+AS21+AO23+AQ23+AS23</f>
        <v>85</v>
      </c>
      <c r="BF21" s="57">
        <f>AP21+AR21+AT21+AP23+AR23+AT23</f>
        <v>66</v>
      </c>
      <c r="BG21" s="49">
        <f>AY21+BA21</f>
        <v>4</v>
      </c>
      <c r="BH21" s="57">
        <f>AZ21+BB21</f>
        <v>0</v>
      </c>
      <c r="BI21" s="49">
        <f>IF(AY21&gt;AZ21,1,0)+IF(BA21&gt;BB21,1,0)</f>
        <v>2</v>
      </c>
      <c r="BJ21" s="58">
        <f>IF(AZ21&gt;AY21,1,0)+IF(BB21&gt;BA21,1,0)</f>
        <v>0</v>
      </c>
      <c r="BK21" s="59">
        <f>IF(BI21+BJ21=0,"",IF(BL21=MAX(BL21:BL23),1,IF(BL21=MIN(BL21:BL23),3,2)))</f>
        <v>1</v>
      </c>
      <c r="BL21" s="60">
        <f>IF(BI21+BJ21&lt;&gt;0,BI21+1+(BG21-BH21)/100+(BE21-BF21)/100000+(BE21/BF21)/1000000,0)</f>
        <v>3.040191287878788</v>
      </c>
    </row>
    <row r="22" spans="1:64" ht="11.45" customHeight="1" x14ac:dyDescent="0.2">
      <c r="A22" s="19">
        <f>S22</f>
        <v>120</v>
      </c>
      <c r="B22" s="2" t="str">
        <f>IF(N22="","",N22)</f>
        <v>K3151</v>
      </c>
      <c r="C22" s="2" t="str">
        <f>IF(N23="","",N23)</f>
        <v/>
      </c>
      <c r="D22" s="2" t="str">
        <f>IF(N25="","",N25)</f>
        <v>K3351</v>
      </c>
      <c r="E22" s="2" t="str">
        <f>IF(N26="","",N26)</f>
        <v/>
      </c>
      <c r="J22" s="10"/>
      <c r="K22" s="19"/>
      <c r="M22" s="42" t="str">
        <f>N18</f>
        <v>pojedyncza kobiet J</v>
      </c>
      <c r="N22" s="33" t="s">
        <v>21</v>
      </c>
      <c r="O22" s="34">
        <f>IF(O17&gt;0,(O17&amp;2)*1,"")</f>
        <v>22</v>
      </c>
      <c r="Q22" s="43" t="str">
        <f>IF(AU22&gt;0,"",IF(A22=0,"",IF(VLOOKUP(A22,'[2]plan gier'!A$1:S$65536,19,FALSE)="","",VLOOKUP(A22,'[2]plan gier'!A$1:S$65536,19,FALSE))))</f>
        <v/>
      </c>
      <c r="R22" s="44" t="s">
        <v>17</v>
      </c>
      <c r="S22" s="45">
        <v>120</v>
      </c>
      <c r="T22" s="242"/>
      <c r="U22" s="244" t="str">
        <f>IF(AND(N22&lt;&gt;"",N23=""),CONCATENATE(VLOOKUP(N22,[2]zawodnicy!$A$1:$E$65536,1,FALSE)," ",VLOOKUP(N22,[2]zawodnicy!$A$1:$E$65536,2,FALSE)," ",VLOOKUP(N22,[2]zawodnicy!$A$1:$E$65536,3,FALSE)," - ",VLOOKUP(N22,[2]zawodnicy!$A$1:$E$65536,4,FALSE)),"")</f>
        <v>K3151 Maria KOPYT - UKSB Milenium Warszawa</v>
      </c>
      <c r="V22" s="245"/>
      <c r="W22" s="246"/>
      <c r="X22" s="61" t="str">
        <f>IF(SUM(AQ23:AR23)=0,"",AR23&amp;":"&amp;AQ23)</f>
        <v>18:21</v>
      </c>
      <c r="Y22" s="62"/>
      <c r="Z22" s="37" t="str">
        <f>IF(SUM(AQ22:AR22)=0,"",AQ22&amp;":"&amp;AR22)</f>
        <v>16:21</v>
      </c>
      <c r="AA22" s="248"/>
      <c r="AB22" s="251"/>
      <c r="AC22" s="251"/>
      <c r="AD22" s="254"/>
      <c r="AE22" s="2"/>
      <c r="AF22" s="12"/>
      <c r="AG22" s="12"/>
      <c r="AH22" s="44" t="s">
        <v>17</v>
      </c>
      <c r="AI22" s="63">
        <f>IF(ISBLANK(S22),"",VLOOKUP(S22,'[2]plan gier'!$X$1:$AN$65536,12,FALSE))</f>
        <v>16</v>
      </c>
      <c r="AJ22" s="64">
        <f>IF(ISBLANK(S22),"",VLOOKUP(S22,'[2]plan gier'!$X$1:$AN$65536,13,FALSE))</f>
        <v>21</v>
      </c>
      <c r="AK22" s="64">
        <f>IF(ISBLANK(S22),"",VLOOKUP(S22,'[2]plan gier'!$X$1:$AN$65536,14,FALSE))</f>
        <v>16</v>
      </c>
      <c r="AL22" s="64">
        <f>IF(ISBLANK(S22),"",VLOOKUP(S22,'[2]plan gier'!$X$1:$AN$65536,15,FALSE))</f>
        <v>21</v>
      </c>
      <c r="AM22" s="64">
        <f>IF(ISBLANK(S22),"",VLOOKUP(S22,'[2]plan gier'!$X$1:$AN$65536,16,FALSE))</f>
        <v>0</v>
      </c>
      <c r="AN22" s="64">
        <f>IF(ISBLANK(S22),"",VLOOKUP(S22,'[2]plan gier'!$X$1:$AN$65536,17,FALSE))</f>
        <v>0</v>
      </c>
      <c r="AO22" s="65">
        <f t="shared" si="1"/>
        <v>16</v>
      </c>
      <c r="AP22" s="64">
        <f t="shared" si="1"/>
        <v>21</v>
      </c>
      <c r="AQ22" s="66">
        <f t="shared" si="1"/>
        <v>16</v>
      </c>
      <c r="AR22" s="64">
        <f t="shared" si="1"/>
        <v>21</v>
      </c>
      <c r="AS22" s="66">
        <f t="shared" si="1"/>
        <v>0</v>
      </c>
      <c r="AT22" s="64">
        <f t="shared" si="1"/>
        <v>0</v>
      </c>
      <c r="AU22" s="54">
        <f>SUM(AO22:AT22)</f>
        <v>74</v>
      </c>
      <c r="AV22" s="13">
        <v>2</v>
      </c>
      <c r="AW22" s="63">
        <f>IF(AI23&lt;AJ23,1,0)+IF(AK23&lt;AL23,1,0)+IF(AM23&lt;AN23,1,0)</f>
        <v>0</v>
      </c>
      <c r="AX22" s="64">
        <f>AY21</f>
        <v>2</v>
      </c>
      <c r="AY22" s="67"/>
      <c r="AZ22" s="68"/>
      <c r="BA22" s="64">
        <f>IF(AI22&gt;AJ22,1,0)+IF(AK22&gt;AL22,1,0)+IF(AM22&gt;AN22,1,0)</f>
        <v>0</v>
      </c>
      <c r="BB22" s="69">
        <f>AY23</f>
        <v>2</v>
      </c>
      <c r="BE22" s="63">
        <f>AO22+AQ22+AS22+AP23+AR23+AT23</f>
        <v>60</v>
      </c>
      <c r="BF22" s="69">
        <f>AP22+AR22+AT22+AO23+AQ23+AS23</f>
        <v>84</v>
      </c>
      <c r="BG22" s="63">
        <f>AW22+BA22</f>
        <v>0</v>
      </c>
      <c r="BH22" s="69">
        <f>AX22+BB22</f>
        <v>4</v>
      </c>
      <c r="BI22" s="63">
        <f>IF(AW22&gt;AX22,1,0)+IF(BA22&gt;BB22,1,0)</f>
        <v>0</v>
      </c>
      <c r="BJ22" s="70">
        <f>IF(AX22&gt;AW22,1,0)+IF(BB22&gt;BA22,1,0)</f>
        <v>2</v>
      </c>
      <c r="BK22" s="71">
        <f>IF(BI22+BJ22=0,"",IF(BL22=MAX(BL21:BL23),1,IF(BL22=MIN(BL21:BL23),3,2)))</f>
        <v>3</v>
      </c>
      <c r="BL22" s="60">
        <f>IF(BI22+BJ22&lt;&gt;0,BI22+1+(BG22-BH22)/100+(BE22-BF22)/100000+(BE22/BF22)/1000000,0)</f>
        <v>0.95976071428571419</v>
      </c>
    </row>
    <row r="23" spans="1:64" ht="11.45" customHeight="1" thickBot="1" x14ac:dyDescent="0.25">
      <c r="A23" s="19">
        <f>S23</f>
        <v>185</v>
      </c>
      <c r="B23" s="2" t="str">
        <f>IF(N19="","",N19)</f>
        <v>M3309</v>
      </c>
      <c r="C23" s="2" t="str">
        <f>IF(N20="","",N20)</f>
        <v/>
      </c>
      <c r="D23" s="2" t="str">
        <f>IF(N22="","",N22)</f>
        <v>K3151</v>
      </c>
      <c r="E23" s="2" t="str">
        <f>IF(N23="","",N23)</f>
        <v/>
      </c>
      <c r="I23" s="2" t="str">
        <f>"3"&amp;O17&amp;N18</f>
        <v>32pojedyncza kobiet J</v>
      </c>
      <c r="J23" s="10" t="str">
        <f>IF(AD24="","",IF(AD18=3,N19,IF(AD21=3,N22,IF(AD24=3,N25,""))))</f>
        <v>K3151</v>
      </c>
      <c r="K23" s="10">
        <f>IF(AD24="","",IF(AD18=3,N20,IF(AD21=3,N23,IF(AD24=3,N26,""))))</f>
        <v>0</v>
      </c>
      <c r="M23" s="42" t="str">
        <f>N18</f>
        <v>pojedyncza kobiet J</v>
      </c>
      <c r="N23" s="38"/>
      <c r="O23" s="28"/>
      <c r="P23" s="28"/>
      <c r="Q23" s="43" t="str">
        <f>IF(AU23&gt;0,"",IF(A23=0,"",IF(VLOOKUP(A23,'[2]plan gier'!A$1:S$65536,19,FALSE)="","",VLOOKUP(A23,'[2]plan gier'!A$1:S$65536,19,FALSE))))</f>
        <v/>
      </c>
      <c r="R23" s="72" t="s">
        <v>18</v>
      </c>
      <c r="S23" s="45">
        <v>185</v>
      </c>
      <c r="T23" s="261"/>
      <c r="U23" s="265" t="str">
        <f>IF(N23&lt;&gt;"",CONCATENATE(VLOOKUP(N23,[2]zawodnicy!$A$1:$E$65536,1,FALSE)," ",VLOOKUP(N23,[2]zawodnicy!$A$1:$E$65536,2,FALSE)," ",VLOOKUP(N23,[2]zawodnicy!$A$1:$E$65536,3,FALSE)," - ",VLOOKUP(N23,[2]zawodnicy!$A$1:$E$65536,4,FALSE)),"")</f>
        <v/>
      </c>
      <c r="V23" s="266"/>
      <c r="W23" s="267"/>
      <c r="X23" s="73" t="str">
        <f>IF(SUM(AS23:AT23)=0,"",AT23&amp;":"&amp;AS23)</f>
        <v/>
      </c>
      <c r="Y23" s="62"/>
      <c r="Z23" s="40" t="str">
        <f>IF(SUM(AS22:AT22)=0,"",AS22&amp;":"&amp;AT22)</f>
        <v/>
      </c>
      <c r="AA23" s="262"/>
      <c r="AB23" s="263"/>
      <c r="AC23" s="263"/>
      <c r="AD23" s="264"/>
      <c r="AE23" s="2"/>
      <c r="AF23" s="12"/>
      <c r="AG23" s="12"/>
      <c r="AH23" s="72" t="s">
        <v>18</v>
      </c>
      <c r="AI23" s="74">
        <f>IF(ISBLANK(S23),"",VLOOKUP(S23,'[2]plan gier'!$X$1:$AN$65536,12,FALSE))</f>
        <v>21</v>
      </c>
      <c r="AJ23" s="75">
        <f>IF(ISBLANK(S23),"",VLOOKUP(S23,'[2]plan gier'!$X$1:$AN$65536,13,FALSE))</f>
        <v>10</v>
      </c>
      <c r="AK23" s="75">
        <f>IF(ISBLANK(S23),"",VLOOKUP(S23,'[2]plan gier'!$X$1:$AN$65536,14,FALSE))</f>
        <v>21</v>
      </c>
      <c r="AL23" s="75">
        <f>IF(ISBLANK(S23),"",VLOOKUP(S23,'[2]plan gier'!$X$1:$AN$65536,15,FALSE))</f>
        <v>18</v>
      </c>
      <c r="AM23" s="75">
        <f>IF(ISBLANK(S23),"",VLOOKUP(S23,'[2]plan gier'!$X$1:$AN$65536,16,FALSE))</f>
        <v>0</v>
      </c>
      <c r="AN23" s="75">
        <f>IF(ISBLANK(S23),"",VLOOKUP(S23,'[2]plan gier'!$X$1:$AN$65536,17,FALSE))</f>
        <v>0</v>
      </c>
      <c r="AO23" s="76">
        <f t="shared" si="1"/>
        <v>21</v>
      </c>
      <c r="AP23" s="75">
        <f t="shared" si="1"/>
        <v>10</v>
      </c>
      <c r="AQ23" s="77">
        <f t="shared" si="1"/>
        <v>21</v>
      </c>
      <c r="AR23" s="75">
        <f t="shared" si="1"/>
        <v>18</v>
      </c>
      <c r="AS23" s="77">
        <f t="shared" si="1"/>
        <v>0</v>
      </c>
      <c r="AT23" s="75">
        <f t="shared" si="1"/>
        <v>0</v>
      </c>
      <c r="AU23" s="54">
        <f>SUM(AO23:AT23)</f>
        <v>70</v>
      </c>
      <c r="AV23" s="13">
        <v>3</v>
      </c>
      <c r="AW23" s="74">
        <f>IF(AI21&lt;AJ21,1,0)+IF(AK21&lt;AL21,1,0)+IF(AM21&lt;AN21,1,0)</f>
        <v>0</v>
      </c>
      <c r="AX23" s="75">
        <f>BA21</f>
        <v>2</v>
      </c>
      <c r="AY23" s="75">
        <f>IF(AI22&lt;AJ22,1,0)+IF(AK22&lt;AL22,1,0)+IF(AM22&lt;AN22,1,0)</f>
        <v>2</v>
      </c>
      <c r="AZ23" s="75">
        <f>BA22</f>
        <v>0</v>
      </c>
      <c r="BA23" s="78"/>
      <c r="BB23" s="79"/>
      <c r="BE23" s="74">
        <f>AP21+AR21+AT21+AP22+AR22+AT22</f>
        <v>80</v>
      </c>
      <c r="BF23" s="80">
        <f>AO21+AQ21+AS21+AO22+AQ22+AS22</f>
        <v>75</v>
      </c>
      <c r="BG23" s="74">
        <f>AW23+AY23</f>
        <v>2</v>
      </c>
      <c r="BH23" s="80">
        <f>AX23+AZ23</f>
        <v>2</v>
      </c>
      <c r="BI23" s="74">
        <f>IF(AW23&gt;AX23,1,0)+IF(AY23&gt;AZ23,1,0)</f>
        <v>1</v>
      </c>
      <c r="BJ23" s="81">
        <f>IF(AX23&gt;AW23,1,0)+IF(AZ23&gt;AY23,1,0)</f>
        <v>1</v>
      </c>
      <c r="BK23" s="82">
        <f>IF(BI23+BJ23=0,"",IF(BL23=MAX(BL21:BL23),1,IF(BL23=MIN(BL21:BL23),3,2)))</f>
        <v>2</v>
      </c>
      <c r="BL23" s="60">
        <f>IF(BI23+BJ23&lt;&gt;0,BI23+1+(BG23-BH23)/100+(BE23-BF23)/100000+(BE23/BF23)/1000000,0)</f>
        <v>2.0000510666666664</v>
      </c>
    </row>
    <row r="24" spans="1:64" ht="11.45" customHeight="1" x14ac:dyDescent="0.2">
      <c r="A24" s="2"/>
      <c r="J24" s="28"/>
      <c r="K24" s="28"/>
      <c r="L24" s="28"/>
      <c r="O24" s="28"/>
      <c r="P24" s="28"/>
      <c r="Q24" s="2"/>
      <c r="R24" s="2"/>
      <c r="S24" s="2"/>
      <c r="T24" s="241">
        <v>3</v>
      </c>
      <c r="U24" s="244" t="str">
        <f>IF(AND(N25&lt;&gt;"",N26&lt;&gt;""),CONCATENATE(VLOOKUP(N25,[2]zawodnicy!$A$1:$E$65536,1,FALSE)," ",VLOOKUP(N25,[2]zawodnicy!$A$1:$E$65536,2,FALSE)," ",VLOOKUP(N25,[2]zawodnicy!$A$1:$E$65536,3,FALSE)," - ",VLOOKUP(N25,[2]zawodnicy!$A$1:$E$65536,4,FALSE)),"")</f>
        <v/>
      </c>
      <c r="V24" s="245"/>
      <c r="W24" s="246"/>
      <c r="X24" s="46" t="str">
        <f>IF(SUM(AO21:AP21)=0,"",AP21&amp;":"&amp;AO21)</f>
        <v>18:21</v>
      </c>
      <c r="Y24" s="83" t="str">
        <f>IF(SUM(AO22:AP22)=0,"",AP22&amp;":"&amp;AO22)</f>
        <v>21:16</v>
      </c>
      <c r="Z24" s="84"/>
      <c r="AA24" s="247" t="str">
        <f>IF(SUM(AW23:AZ23)=0,"",BE23&amp;":"&amp;BF23)</f>
        <v>80:75</v>
      </c>
      <c r="AB24" s="250" t="str">
        <f>IF(SUM(AW23:AZ23)=0,"",BG23&amp;":"&amp;BH23)</f>
        <v>2:2</v>
      </c>
      <c r="AC24" s="250" t="str">
        <f>IF(SUM(AW23:AZ23)=0,"",BI23&amp;":"&amp;BJ23)</f>
        <v>1:1</v>
      </c>
      <c r="AD24" s="253">
        <f>IF(SUM(BI21:BI23)&gt;0,BK23,"")</f>
        <v>2</v>
      </c>
      <c r="AE24" s="2"/>
      <c r="AF24" s="12"/>
      <c r="AG24" s="12"/>
      <c r="BE24" s="19">
        <f>SUM(BE21:BE23)</f>
        <v>225</v>
      </c>
      <c r="BF24" s="19">
        <f>SUM(BF21:BF23)</f>
        <v>225</v>
      </c>
      <c r="BG24" s="19">
        <f>SUM(BG21:BG23)</f>
        <v>6</v>
      </c>
      <c r="BH24" s="19">
        <f>SUM(BH21:BH23)</f>
        <v>6</v>
      </c>
      <c r="BK24" s="19"/>
      <c r="BL24" s="20"/>
    </row>
    <row r="25" spans="1:64" ht="11.45" customHeight="1" x14ac:dyDescent="0.2">
      <c r="A25" s="19"/>
      <c r="J25" s="19"/>
      <c r="K25" s="19"/>
      <c r="L25" s="19"/>
      <c r="N25" s="33" t="s">
        <v>22</v>
      </c>
      <c r="O25" s="34">
        <f>IF(O17&gt;0,(O17&amp;3)*1,"")</f>
        <v>23</v>
      </c>
      <c r="Q25" s="85"/>
      <c r="R25" s="85"/>
      <c r="S25" s="85"/>
      <c r="T25" s="242"/>
      <c r="U25" s="244" t="str">
        <f>IF(AND(N25&lt;&gt;"",N26=""),CONCATENATE(VLOOKUP(N25,[2]zawodnicy!$A$1:$E$65536,1,FALSE)," ",VLOOKUP(N25,[2]zawodnicy!$A$1:$E$65536,2,FALSE)," ",VLOOKUP(N25,[2]zawodnicy!$A$1:$E$65536,3,FALSE)," - ",VLOOKUP(N25,[2]zawodnicy!$A$1:$E$65536,4,FALSE)),"")</f>
        <v>K3351 Paulina KACZOROWSKA - KS Chojnik Jelenia Góra</v>
      </c>
      <c r="V25" s="245"/>
      <c r="W25" s="246"/>
      <c r="X25" s="61" t="str">
        <f>IF(SUM(AQ21:AR21)=0,"",AR21&amp;":"&amp;AQ21)</f>
        <v>20:22</v>
      </c>
      <c r="Y25" s="36" t="str">
        <f>IF(SUM(AQ22:AR22)=0,"",AR22&amp;":"&amp;AQ22)</f>
        <v>21:16</v>
      </c>
      <c r="Z25" s="86"/>
      <c r="AA25" s="248"/>
      <c r="AB25" s="251"/>
      <c r="AC25" s="251"/>
      <c r="AD25" s="254"/>
      <c r="AE25" s="2"/>
      <c r="AF25" s="12"/>
      <c r="AG25" s="1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row>
    <row r="26" spans="1:64" ht="11.45" customHeight="1" thickBot="1" x14ac:dyDescent="0.25">
      <c r="A26" s="2"/>
      <c r="J26" s="28"/>
      <c r="K26" s="28"/>
      <c r="L26" s="28"/>
      <c r="N26" s="38"/>
      <c r="O26" s="28"/>
      <c r="P26" s="28"/>
      <c r="Q26" s="2"/>
      <c r="R26" s="2"/>
      <c r="S26" s="2"/>
      <c r="T26" s="243"/>
      <c r="U26" s="256" t="str">
        <f>IF(N26&lt;&gt;"",CONCATENATE(VLOOKUP(N26,[2]zawodnicy!$A$1:$E$65536,1,FALSE)," ",VLOOKUP(N26,[2]zawodnicy!$A$1:$E$65536,2,FALSE)," ",VLOOKUP(N26,[2]zawodnicy!$A$1:$E$65536,3,FALSE)," - ",VLOOKUP(N26,[2]zawodnicy!$A$1:$E$65536,4,FALSE)),"")</f>
        <v/>
      </c>
      <c r="V26" s="257"/>
      <c r="W26" s="258"/>
      <c r="X26" s="87" t="str">
        <f>IF(SUM(AS21:AT21)=0,"",AT21&amp;":"&amp;AS21)</f>
        <v/>
      </c>
      <c r="Y26" s="88" t="str">
        <f>IF(SUM(AS22:AT22)=0,"",AT22&amp;":"&amp;AS22)</f>
        <v/>
      </c>
      <c r="Z26" s="89"/>
      <c r="AA26" s="249"/>
      <c r="AB26" s="252"/>
      <c r="AC26" s="252"/>
      <c r="AD26" s="255"/>
      <c r="AE26" s="10"/>
      <c r="AF26" s="12"/>
      <c r="AG26" s="1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row>
    <row r="27" spans="1:64" s="19" customFormat="1" ht="5.0999999999999996" customHeight="1" thickBot="1" x14ac:dyDescent="0.25">
      <c r="M27" s="90"/>
      <c r="O27" s="90"/>
      <c r="P27" s="90"/>
      <c r="Q27" s="91"/>
      <c r="R27" s="91"/>
      <c r="S27" s="91"/>
      <c r="T27" s="91"/>
      <c r="U27" s="5"/>
      <c r="V27" s="5"/>
      <c r="W27" s="5"/>
      <c r="AA27" s="92"/>
      <c r="AB27" s="91"/>
      <c r="AC27" s="91"/>
      <c r="AD27" s="91"/>
      <c r="AE27" s="91"/>
      <c r="AF27" s="91"/>
      <c r="AI27" s="93"/>
      <c r="AJ27" s="94"/>
      <c r="AK27" s="94"/>
    </row>
    <row r="28" spans="1:64" ht="11.45" customHeight="1" thickBot="1" x14ac:dyDescent="0.25">
      <c r="N28" s="11"/>
      <c r="O28" s="21">
        <v>3</v>
      </c>
      <c r="Q28" s="277" t="str">
        <f>"Grupa "&amp;O28&amp;"."</f>
        <v>Grupa 3.</v>
      </c>
      <c r="R28" s="277"/>
      <c r="S28" s="277"/>
      <c r="T28" s="22" t="s">
        <v>1</v>
      </c>
      <c r="U28" s="278" t="s">
        <v>2</v>
      </c>
      <c r="V28" s="279"/>
      <c r="W28" s="280"/>
      <c r="X28" s="22">
        <v>1</v>
      </c>
      <c r="Y28" s="23">
        <v>2</v>
      </c>
      <c r="Z28" s="24">
        <v>3</v>
      </c>
      <c r="AA28" s="25" t="s">
        <v>3</v>
      </c>
      <c r="AB28" s="26" t="s">
        <v>4</v>
      </c>
      <c r="AC28" s="26" t="s">
        <v>5</v>
      </c>
      <c r="AD28" s="27" t="s">
        <v>6</v>
      </c>
      <c r="AE28" s="2"/>
      <c r="AF28" s="12"/>
      <c r="AG28" s="12"/>
      <c r="BK28" s="19"/>
      <c r="BL28" s="20"/>
    </row>
    <row r="29" spans="1:64" ht="11.45" customHeight="1" x14ac:dyDescent="0.2">
      <c r="J29" s="28"/>
      <c r="K29" s="28"/>
      <c r="L29" s="28"/>
      <c r="N29" s="29" t="s">
        <v>0</v>
      </c>
      <c r="Q29" s="274" t="s">
        <v>7</v>
      </c>
      <c r="R29" s="274"/>
      <c r="S29" s="275" t="s">
        <v>8</v>
      </c>
      <c r="T29" s="276">
        <v>1</v>
      </c>
      <c r="U29" s="244" t="str">
        <f>IF(AND(N30&lt;&gt;"",N31&lt;&gt;""),CONCATENATE(VLOOKUP(N30,[2]zawodnicy!$A$1:$E$65536,1,FALSE)," ",VLOOKUP(N30,[2]zawodnicy!$A$1:$E$65536,2,FALSE)," ",VLOOKUP(N30,[2]zawodnicy!$A$1:$E$65536,3,FALSE)," - ",VLOOKUP(N30,[2]zawodnicy!$A$1:$E$65536,4,FALSE)),"")</f>
        <v/>
      </c>
      <c r="V29" s="245"/>
      <c r="W29" s="246"/>
      <c r="X29" s="30"/>
      <c r="Y29" s="31" t="str">
        <f>IF(SUM(AO34:AP34)=0,"",AO34&amp;":"&amp;AP34)</f>
        <v>21:3</v>
      </c>
      <c r="Z29" s="32" t="str">
        <f>IF(SUM(AO32:AP32)=0,"",AO32&amp;":"&amp;AP32)</f>
        <v>21:14</v>
      </c>
      <c r="AA29" s="270" t="str">
        <f>IF(SUM(AY32:BB32)=0,"",BE32&amp;":"&amp;BF32)</f>
        <v>84:33</v>
      </c>
      <c r="AB29" s="271" t="str">
        <f>IF(SUM(AY32:BB32)=0,"",BG32&amp;":"&amp;BH32)</f>
        <v>4:0</v>
      </c>
      <c r="AC29" s="271" t="str">
        <f>IF(SUM(AY32:BB32)=0,"",BI32&amp;":"&amp;BJ32)</f>
        <v>2:0</v>
      </c>
      <c r="AD29" s="272">
        <f>IF(SUM(BI32:BI34)&gt;0,BK32,"")</f>
        <v>1</v>
      </c>
      <c r="AE29" s="2"/>
      <c r="AF29" s="12"/>
      <c r="AG29" s="12"/>
      <c r="AH29" s="14"/>
      <c r="AI29" s="273" t="s">
        <v>9</v>
      </c>
      <c r="AJ29" s="273"/>
      <c r="AK29" s="273"/>
      <c r="AL29" s="273"/>
      <c r="AM29" s="273"/>
      <c r="AN29" s="273"/>
      <c r="AO29" s="273" t="s">
        <v>10</v>
      </c>
      <c r="AP29" s="273"/>
      <c r="AQ29" s="273"/>
      <c r="AR29" s="273"/>
      <c r="AS29" s="273"/>
      <c r="AT29" s="273"/>
      <c r="BK29" s="19"/>
      <c r="BL29" s="20"/>
    </row>
    <row r="30" spans="1:64" ht="11.45" customHeight="1" thickBot="1" x14ac:dyDescent="0.25">
      <c r="I30" s="2" t="str">
        <f>"1"&amp;O28&amp;N29</f>
        <v>13pojedyncza kobiet J</v>
      </c>
      <c r="J30" s="10" t="str">
        <f>IF(AD29="","",IF(AD29=1,N30,IF(AD32=1,N33,IF(AD35=1,N36,""))))</f>
        <v>K3863</v>
      </c>
      <c r="K30" s="10">
        <f>IF(AD29="","",IF(AD29=1,N31,IF(AD32=1,N34,IF(AD35=1,N37,""))))</f>
        <v>0</v>
      </c>
      <c r="L30" s="10"/>
      <c r="N30" s="33" t="s">
        <v>23</v>
      </c>
      <c r="O30" s="34">
        <f>IF(O28&gt;0,(O28&amp;1)*1,"")</f>
        <v>31</v>
      </c>
      <c r="Q30" s="274"/>
      <c r="R30" s="274"/>
      <c r="S30" s="275"/>
      <c r="T30" s="242"/>
      <c r="U30" s="244" t="str">
        <f>IF(AND(N30&lt;&gt;"",N31=""),CONCATENATE(VLOOKUP(N30,[2]zawodnicy!$A$1:$E$65536,1,FALSE)," ",VLOOKUP(N30,[2]zawodnicy!$A$1:$E$65536,2,FALSE)," ",VLOOKUP(N30,[2]zawodnicy!$A$1:$E$65536,3,FALSE)," - ",VLOOKUP(N30,[2]zawodnicy!$A$1:$E$65536,4,FALSE)),"")</f>
        <v>K3863 Katarzyna KUTACHA - UKS Start Widełka</v>
      </c>
      <c r="V30" s="245"/>
      <c r="W30" s="246"/>
      <c r="X30" s="35"/>
      <c r="Y30" s="36" t="str">
        <f>IF(SUM(AQ34:AR34)=0,"",AQ34&amp;":"&amp;AR34)</f>
        <v>21:2</v>
      </c>
      <c r="Z30" s="37" t="str">
        <f>IF(SUM(AQ32:AR32)=0,"",AQ32&amp;":"&amp;AR32)</f>
        <v>21:14</v>
      </c>
      <c r="AA30" s="248"/>
      <c r="AB30" s="251"/>
      <c r="AC30" s="251"/>
      <c r="AD30" s="254"/>
      <c r="AE30" s="2"/>
      <c r="AF30" s="12"/>
      <c r="AG30" s="12"/>
      <c r="AH30" s="14"/>
      <c r="BE30" s="19">
        <f>SUM(BE32:BE34)</f>
        <v>178</v>
      </c>
      <c r="BF30" s="19">
        <f>SUM(BF32:BF34)</f>
        <v>178</v>
      </c>
      <c r="BG30" s="19">
        <f>SUM(BG32:BG34)</f>
        <v>6</v>
      </c>
      <c r="BH30" s="19">
        <f>SUM(BH32:BH34)</f>
        <v>6</v>
      </c>
      <c r="BK30" s="19"/>
      <c r="BL30" s="20"/>
    </row>
    <row r="31" spans="1:64" ht="11.45" customHeight="1" thickBot="1" x14ac:dyDescent="0.25">
      <c r="J31" s="10"/>
      <c r="K31" s="28"/>
      <c r="L31" s="28"/>
      <c r="N31" s="38"/>
      <c r="O31" s="28"/>
      <c r="P31" s="28"/>
      <c r="Q31" s="274"/>
      <c r="R31" s="274"/>
      <c r="S31" s="275"/>
      <c r="T31" s="261"/>
      <c r="U31" s="265" t="str">
        <f>IF(N31&lt;&gt;"",CONCATENATE(VLOOKUP(N31,[2]zawodnicy!$A$1:$E$65536,1,FALSE)," ",VLOOKUP(N31,[2]zawodnicy!$A$1:$E$65536,2,FALSE)," ",VLOOKUP(N31,[2]zawodnicy!$A$1:$E$65536,3,FALSE)," - ",VLOOKUP(N31,[2]zawodnicy!$A$1:$E$65536,4,FALSE)),"")</f>
        <v/>
      </c>
      <c r="V31" s="266"/>
      <c r="W31" s="267"/>
      <c r="X31" s="35"/>
      <c r="Y31" s="39" t="str">
        <f>IF(SUM(AS34:AT34)=0,"",AS34&amp;":"&amp;AT34)</f>
        <v/>
      </c>
      <c r="Z31" s="40" t="str">
        <f>IF(SUM(AS32:AT32)=0,"",AS32&amp;":"&amp;AT32)</f>
        <v/>
      </c>
      <c r="AA31" s="262"/>
      <c r="AB31" s="263"/>
      <c r="AC31" s="263"/>
      <c r="AD31" s="264"/>
      <c r="AE31" s="2"/>
      <c r="AF31" s="12"/>
      <c r="AG31" s="12"/>
      <c r="AH31" s="14"/>
      <c r="AI31" s="259" t="s">
        <v>12</v>
      </c>
      <c r="AJ31" s="269"/>
      <c r="AK31" s="268" t="s">
        <v>13</v>
      </c>
      <c r="AL31" s="269"/>
      <c r="AM31" s="268" t="s">
        <v>14</v>
      </c>
      <c r="AN31" s="260"/>
      <c r="AO31" s="259" t="s">
        <v>12</v>
      </c>
      <c r="AP31" s="269"/>
      <c r="AQ31" s="268" t="s">
        <v>13</v>
      </c>
      <c r="AR31" s="269"/>
      <c r="AS31" s="268" t="s">
        <v>14</v>
      </c>
      <c r="AT31" s="269"/>
      <c r="AU31" s="12"/>
      <c r="AV31" s="12"/>
      <c r="AW31" s="259">
        <v>1</v>
      </c>
      <c r="AX31" s="269"/>
      <c r="AY31" s="268">
        <v>2</v>
      </c>
      <c r="AZ31" s="269"/>
      <c r="BA31" s="268">
        <v>3</v>
      </c>
      <c r="BB31" s="260"/>
      <c r="BE31" s="259" t="s">
        <v>3</v>
      </c>
      <c r="BF31" s="260"/>
      <c r="BG31" s="259" t="s">
        <v>4</v>
      </c>
      <c r="BH31" s="260"/>
      <c r="BI31" s="259" t="s">
        <v>5</v>
      </c>
      <c r="BJ31" s="260"/>
      <c r="BK31" s="41" t="s">
        <v>6</v>
      </c>
      <c r="BL31" s="20"/>
    </row>
    <row r="32" spans="1:64" ht="11.45" customHeight="1" x14ac:dyDescent="0.2">
      <c r="A32" s="19">
        <f>S32</f>
        <v>56</v>
      </c>
      <c r="B32" s="2" t="str">
        <f>IF(N30="","",N30)</f>
        <v>K3863</v>
      </c>
      <c r="C32" s="2" t="str">
        <f>IF(N31="","",N31)</f>
        <v/>
      </c>
      <c r="D32" s="2" t="str">
        <f>IF(N36="","",N36)</f>
        <v>P3283</v>
      </c>
      <c r="E32" s="2" t="str">
        <f>IF(N37="","",N37)</f>
        <v/>
      </c>
      <c r="I32" s="2" t="str">
        <f>"2"&amp;O28&amp;N29</f>
        <v>23pojedyncza kobiet J</v>
      </c>
      <c r="J32" s="10" t="str">
        <f>IF(AD32="","",IF(AD29=2,N30,IF(AD32=2,N33,IF(AD35=2,N36,""))))</f>
        <v>P3283</v>
      </c>
      <c r="K32" s="10">
        <f>IF(AD32="","",IF(AD29=2,N31,IF(AD32=2,N34,IF(AD35=2,N37,""))))</f>
        <v>0</v>
      </c>
      <c r="M32" s="42" t="str">
        <f>N29</f>
        <v>pojedyncza kobiet J</v>
      </c>
      <c r="O32" s="28"/>
      <c r="P32" s="28"/>
      <c r="Q32" s="43" t="str">
        <f>IF(AU32&gt;0,"",IF(A32=0,"",IF(VLOOKUP(A32,'[2]plan gier'!A$1:S$65536,19,FALSE)="","",VLOOKUP(A32,'[2]plan gier'!A$1:S$65536,19,FALSE))))</f>
        <v/>
      </c>
      <c r="R32" s="44" t="s">
        <v>15</v>
      </c>
      <c r="S32" s="45">
        <v>56</v>
      </c>
      <c r="T32" s="241">
        <v>2</v>
      </c>
      <c r="U32" s="244" t="str">
        <f>IF(AND(N33&lt;&gt;"",N34&lt;&gt;""),CONCATENATE(VLOOKUP(N33,[2]zawodnicy!$A$1:$E$65536,1,FALSE)," ",VLOOKUP(N33,[2]zawodnicy!$A$1:$E$65536,2,FALSE)," ",VLOOKUP(N33,[2]zawodnicy!$A$1:$E$65536,3,FALSE)," - ",VLOOKUP(N33,[2]zawodnicy!$A$1:$E$65536,4,FALSE)),"")</f>
        <v/>
      </c>
      <c r="V32" s="245"/>
      <c r="W32" s="246"/>
      <c r="X32" s="46" t="str">
        <f>IF(SUM(AO34:AP34)=0,"",AP34&amp;":"&amp;AO34)</f>
        <v>3:21</v>
      </c>
      <c r="Y32" s="47"/>
      <c r="Z32" s="48" t="str">
        <f>IF(SUM(AO33:AP33)=0,"",AO33&amp;":"&amp;AP33)</f>
        <v>10:21</v>
      </c>
      <c r="AA32" s="247" t="str">
        <f>IF(SUM(AW33:AX33,BA33:BB33)=0,"",BE33&amp;":"&amp;BF33)</f>
        <v>24:84</v>
      </c>
      <c r="AB32" s="250" t="str">
        <f>IF(SUM(AW33:AX33,BA33:BB33)=0,"",BG33&amp;":"&amp;BH33)</f>
        <v>0:4</v>
      </c>
      <c r="AC32" s="250" t="str">
        <f>IF(SUM(AW33:AX33,BA33:BB33)=0,"",BI33&amp;":"&amp;BJ33)</f>
        <v>0:2</v>
      </c>
      <c r="AD32" s="253">
        <f>IF(SUM(BI32:BI34)&gt;0,BK33,"")</f>
        <v>3</v>
      </c>
      <c r="AE32" s="2"/>
      <c r="AF32" s="12"/>
      <c r="AG32" s="12"/>
      <c r="AH32" s="44" t="s">
        <v>15</v>
      </c>
      <c r="AI32" s="49">
        <f>IF(ISBLANK(S32),"",VLOOKUP(S32,'[2]plan gier'!$X$1:$AN$65536,12,FALSE))</f>
        <v>21</v>
      </c>
      <c r="AJ32" s="50">
        <f>IF(ISBLANK(S32),"",VLOOKUP(S32,'[2]plan gier'!$X$1:$AN$65536,13,FALSE))</f>
        <v>14</v>
      </c>
      <c r="AK32" s="50">
        <f>IF(ISBLANK(S32),"",VLOOKUP(S32,'[2]plan gier'!$X$1:$AN$65536,14,FALSE))</f>
        <v>21</v>
      </c>
      <c r="AL32" s="50">
        <f>IF(ISBLANK(S32),"",VLOOKUP(S32,'[2]plan gier'!$X$1:$AN$65536,15,FALSE))</f>
        <v>14</v>
      </c>
      <c r="AM32" s="50">
        <f>IF(ISBLANK(S32),"",VLOOKUP(S32,'[2]plan gier'!$X$1:$AN$65536,16,FALSE))</f>
        <v>0</v>
      </c>
      <c r="AN32" s="50">
        <f>IF(ISBLANK(S32),"",VLOOKUP(S32,'[2]plan gier'!$X$1:$AN$65536,17,FALSE))</f>
        <v>0</v>
      </c>
      <c r="AO32" s="51">
        <f t="shared" ref="AO32:AT34" si="2">IF(AI32="",0,AI32)</f>
        <v>21</v>
      </c>
      <c r="AP32" s="52">
        <f t="shared" si="2"/>
        <v>14</v>
      </c>
      <c r="AQ32" s="53">
        <f t="shared" si="2"/>
        <v>21</v>
      </c>
      <c r="AR32" s="52">
        <f t="shared" si="2"/>
        <v>14</v>
      </c>
      <c r="AS32" s="53">
        <f t="shared" si="2"/>
        <v>0</v>
      </c>
      <c r="AT32" s="52">
        <f t="shared" si="2"/>
        <v>0</v>
      </c>
      <c r="AU32" s="54">
        <f>SUM(AO32:AT32)</f>
        <v>70</v>
      </c>
      <c r="AV32" s="13">
        <v>1</v>
      </c>
      <c r="AW32" s="55"/>
      <c r="AX32" s="56"/>
      <c r="AY32" s="50">
        <f>IF(AI34&gt;AJ34,1,0)+IF(AK34&gt;AL34,1,0)+IF(AM34&gt;AN34,1,0)</f>
        <v>2</v>
      </c>
      <c r="AZ32" s="50">
        <f>AW33</f>
        <v>0</v>
      </c>
      <c r="BA32" s="50">
        <f>IF(AI32&gt;AJ32,1,0)+IF(AK32&gt;AL32,1,0)+IF(AM32&gt;AN32,1,0)</f>
        <v>2</v>
      </c>
      <c r="BB32" s="57">
        <f>AW34</f>
        <v>0</v>
      </c>
      <c r="BE32" s="49">
        <f>AO32+AQ32+AS32+AO34+AQ34+AS34</f>
        <v>84</v>
      </c>
      <c r="BF32" s="57">
        <f>AP32+AR32+AT32+AP34+AR34+AT34</f>
        <v>33</v>
      </c>
      <c r="BG32" s="49">
        <f>AY32+BA32</f>
        <v>4</v>
      </c>
      <c r="BH32" s="57">
        <f>AZ32+BB32</f>
        <v>0</v>
      </c>
      <c r="BI32" s="49">
        <f>IF(AY32&gt;AZ32,1,0)+IF(BA32&gt;BB32,1,0)</f>
        <v>2</v>
      </c>
      <c r="BJ32" s="58">
        <f>IF(AZ32&gt;AY32,1,0)+IF(BB32&gt;BA32,1,0)</f>
        <v>0</v>
      </c>
      <c r="BK32" s="59">
        <f>IF(BI32+BJ32=0,"",IF(BL32=MAX(BL32:BL34),1,IF(BL32=MIN(BL32:BL34),3,2)))</f>
        <v>1</v>
      </c>
      <c r="BL32" s="60">
        <f>IF(BI32+BJ32&lt;&gt;0,BI32+1+(BG32-BH32)/100+(BE32-BF32)/100000+(BE32/BF32)/1000000,0)</f>
        <v>3.0405125454545452</v>
      </c>
    </row>
    <row r="33" spans="1:64" ht="11.45" customHeight="1" x14ac:dyDescent="0.2">
      <c r="A33" s="19">
        <f>S33</f>
        <v>121</v>
      </c>
      <c r="B33" s="2" t="str">
        <f>IF(N33="","",N33)</f>
        <v>X57</v>
      </c>
      <c r="C33" s="2" t="str">
        <f>IF(N34="","",N34)</f>
        <v/>
      </c>
      <c r="D33" s="2" t="str">
        <f>IF(N36="","",N36)</f>
        <v>P3283</v>
      </c>
      <c r="E33" s="2" t="str">
        <f>IF(N37="","",N37)</f>
        <v/>
      </c>
      <c r="J33" s="10"/>
      <c r="K33" s="19"/>
      <c r="M33" s="42" t="str">
        <f>N29</f>
        <v>pojedyncza kobiet J</v>
      </c>
      <c r="N33" s="33" t="s">
        <v>24</v>
      </c>
      <c r="O33" s="34">
        <f>IF(O28&gt;0,(O28&amp;2)*1,"")</f>
        <v>32</v>
      </c>
      <c r="Q33" s="43" t="str">
        <f>IF(AU33&gt;0,"",IF(A33=0,"",IF(VLOOKUP(A33,'[2]plan gier'!A$1:S$65536,19,FALSE)="","",VLOOKUP(A33,'[2]plan gier'!A$1:S$65536,19,FALSE))))</f>
        <v/>
      </c>
      <c r="R33" s="44" t="s">
        <v>17</v>
      </c>
      <c r="S33" s="45">
        <v>121</v>
      </c>
      <c r="T33" s="242"/>
      <c r="U33" s="244" t="str">
        <f>IF(AND(N33&lt;&gt;"",N34=""),CONCATENATE(VLOOKUP(N33,[2]zawodnicy!$A$1:$E$65536,1,FALSE)," ",VLOOKUP(N33,[2]zawodnicy!$A$1:$E$65536,2,FALSE)," ",VLOOKUP(N33,[2]zawodnicy!$A$1:$E$65536,3,FALSE)," - ",VLOOKUP(N33,[2]zawodnicy!$A$1:$E$65536,4,FALSE)),"")</f>
        <v>X57 Yuliya PRACH - Vinnica Ukraina</v>
      </c>
      <c r="V33" s="245"/>
      <c r="W33" s="246"/>
      <c r="X33" s="61" t="str">
        <f>IF(SUM(AQ34:AR34)=0,"",AR34&amp;":"&amp;AQ34)</f>
        <v>2:21</v>
      </c>
      <c r="Y33" s="62"/>
      <c r="Z33" s="37" t="str">
        <f>IF(SUM(AQ33:AR33)=0,"",AQ33&amp;":"&amp;AR33)</f>
        <v>9:21</v>
      </c>
      <c r="AA33" s="248"/>
      <c r="AB33" s="251"/>
      <c r="AC33" s="251"/>
      <c r="AD33" s="254"/>
      <c r="AE33" s="2"/>
      <c r="AF33" s="12"/>
      <c r="AG33" s="12"/>
      <c r="AH33" s="44" t="s">
        <v>17</v>
      </c>
      <c r="AI33" s="63">
        <f>IF(ISBLANK(S33),"",VLOOKUP(S33,'[2]plan gier'!$X$1:$AN$65536,12,FALSE))</f>
        <v>10</v>
      </c>
      <c r="AJ33" s="64">
        <f>IF(ISBLANK(S33),"",VLOOKUP(S33,'[2]plan gier'!$X$1:$AN$65536,13,FALSE))</f>
        <v>21</v>
      </c>
      <c r="AK33" s="64">
        <f>IF(ISBLANK(S33),"",VLOOKUP(S33,'[2]plan gier'!$X$1:$AN$65536,14,FALSE))</f>
        <v>9</v>
      </c>
      <c r="AL33" s="64">
        <f>IF(ISBLANK(S33),"",VLOOKUP(S33,'[2]plan gier'!$X$1:$AN$65536,15,FALSE))</f>
        <v>21</v>
      </c>
      <c r="AM33" s="64">
        <f>IF(ISBLANK(S33),"",VLOOKUP(S33,'[2]plan gier'!$X$1:$AN$65536,16,FALSE))</f>
        <v>0</v>
      </c>
      <c r="AN33" s="64">
        <f>IF(ISBLANK(S33),"",VLOOKUP(S33,'[2]plan gier'!$X$1:$AN$65536,17,FALSE))</f>
        <v>0</v>
      </c>
      <c r="AO33" s="65">
        <f t="shared" si="2"/>
        <v>10</v>
      </c>
      <c r="AP33" s="64">
        <f t="shared" si="2"/>
        <v>21</v>
      </c>
      <c r="AQ33" s="66">
        <f t="shared" si="2"/>
        <v>9</v>
      </c>
      <c r="AR33" s="64">
        <f t="shared" si="2"/>
        <v>21</v>
      </c>
      <c r="AS33" s="66">
        <f t="shared" si="2"/>
        <v>0</v>
      </c>
      <c r="AT33" s="64">
        <f t="shared" si="2"/>
        <v>0</v>
      </c>
      <c r="AU33" s="54">
        <f>SUM(AO33:AT33)</f>
        <v>61</v>
      </c>
      <c r="AV33" s="13">
        <v>2</v>
      </c>
      <c r="AW33" s="63">
        <f>IF(AI34&lt;AJ34,1,0)+IF(AK34&lt;AL34,1,0)+IF(AM34&lt;AN34,1,0)</f>
        <v>0</v>
      </c>
      <c r="AX33" s="64">
        <f>AY32</f>
        <v>2</v>
      </c>
      <c r="AY33" s="67"/>
      <c r="AZ33" s="68"/>
      <c r="BA33" s="64">
        <f>IF(AI33&gt;AJ33,1,0)+IF(AK33&gt;AL33,1,0)+IF(AM33&gt;AN33,1,0)</f>
        <v>0</v>
      </c>
      <c r="BB33" s="69">
        <f>AY34</f>
        <v>2</v>
      </c>
      <c r="BE33" s="63">
        <f>AO33+AQ33+AS33+AP34+AR34+AT34</f>
        <v>24</v>
      </c>
      <c r="BF33" s="69">
        <f>AP33+AR33+AT33+AO34+AQ34+AS34</f>
        <v>84</v>
      </c>
      <c r="BG33" s="63">
        <f>AW33+BA33</f>
        <v>0</v>
      </c>
      <c r="BH33" s="69">
        <f>AX33+BB33</f>
        <v>4</v>
      </c>
      <c r="BI33" s="63">
        <f>IF(AW33&gt;AX33,1,0)+IF(BA33&gt;BB33,1,0)</f>
        <v>0</v>
      </c>
      <c r="BJ33" s="70">
        <f>IF(AX33&gt;AW33,1,0)+IF(BB33&gt;BA33,1,0)</f>
        <v>2</v>
      </c>
      <c r="BK33" s="71">
        <f>IF(BI33+BJ33=0,"",IF(BL33=MAX(BL32:BL34),1,IF(BL33=MIN(BL32:BL34),3,2)))</f>
        <v>3</v>
      </c>
      <c r="BL33" s="60">
        <f>IF(BI33+BJ33&lt;&gt;0,BI33+1+(BG33-BH33)/100+(BE33-BF33)/100000+(BE33/BF33)/1000000,0)</f>
        <v>0.95940028571428559</v>
      </c>
    </row>
    <row r="34" spans="1:64" ht="11.45" customHeight="1" thickBot="1" x14ac:dyDescent="0.25">
      <c r="A34" s="19">
        <f>S34</f>
        <v>186</v>
      </c>
      <c r="B34" s="2" t="str">
        <f>IF(N30="","",N30)</f>
        <v>K3863</v>
      </c>
      <c r="C34" s="2" t="str">
        <f>IF(N31="","",N31)</f>
        <v/>
      </c>
      <c r="D34" s="2" t="str">
        <f>IF(N33="","",N33)</f>
        <v>X57</v>
      </c>
      <c r="E34" s="2" t="str">
        <f>IF(N34="","",N34)</f>
        <v/>
      </c>
      <c r="I34" s="2" t="str">
        <f>"3"&amp;O28&amp;N29</f>
        <v>33pojedyncza kobiet J</v>
      </c>
      <c r="J34" s="10" t="str">
        <f>IF(AD35="","",IF(AD29=3,N30,IF(AD32=3,N33,IF(AD35=3,N36,""))))</f>
        <v>X57</v>
      </c>
      <c r="K34" s="10">
        <f>IF(AD35="","",IF(AD29=3,N31,IF(AD32=3,N34,IF(AD35=3,N37,""))))</f>
        <v>0</v>
      </c>
      <c r="M34" s="42" t="str">
        <f>N29</f>
        <v>pojedyncza kobiet J</v>
      </c>
      <c r="N34" s="38"/>
      <c r="O34" s="28"/>
      <c r="P34" s="28"/>
      <c r="Q34" s="43" t="str">
        <f>IF(AU34&gt;0,"",IF(A34=0,"",IF(VLOOKUP(A34,'[2]plan gier'!A$1:S$65536,19,FALSE)="","",VLOOKUP(A34,'[2]plan gier'!A$1:S$65536,19,FALSE))))</f>
        <v/>
      </c>
      <c r="R34" s="72" t="s">
        <v>18</v>
      </c>
      <c r="S34" s="45">
        <v>186</v>
      </c>
      <c r="T34" s="261"/>
      <c r="U34" s="265" t="str">
        <f>IF(N34&lt;&gt;"",CONCATENATE(VLOOKUP(N34,[2]zawodnicy!$A$1:$E$65536,1,FALSE)," ",VLOOKUP(N34,[2]zawodnicy!$A$1:$E$65536,2,FALSE)," ",VLOOKUP(N34,[2]zawodnicy!$A$1:$E$65536,3,FALSE)," - ",VLOOKUP(N34,[2]zawodnicy!$A$1:$E$65536,4,FALSE)),"")</f>
        <v/>
      </c>
      <c r="V34" s="266"/>
      <c r="W34" s="267"/>
      <c r="X34" s="73" t="str">
        <f>IF(SUM(AS34:AT34)=0,"",AT34&amp;":"&amp;AS34)</f>
        <v/>
      </c>
      <c r="Y34" s="62"/>
      <c r="Z34" s="40" t="str">
        <f>IF(SUM(AS33:AT33)=0,"",AS33&amp;":"&amp;AT33)</f>
        <v/>
      </c>
      <c r="AA34" s="262"/>
      <c r="AB34" s="263"/>
      <c r="AC34" s="263"/>
      <c r="AD34" s="264"/>
      <c r="AE34" s="2"/>
      <c r="AF34" s="12"/>
      <c r="AG34" s="12"/>
      <c r="AH34" s="72" t="s">
        <v>18</v>
      </c>
      <c r="AI34" s="74">
        <f>IF(ISBLANK(S34),"",VLOOKUP(S34,'[2]plan gier'!$X$1:$AN$65536,12,FALSE))</f>
        <v>21</v>
      </c>
      <c r="AJ34" s="75">
        <f>IF(ISBLANK(S34),"",VLOOKUP(S34,'[2]plan gier'!$X$1:$AN$65536,13,FALSE))</f>
        <v>3</v>
      </c>
      <c r="AK34" s="75">
        <f>IF(ISBLANK(S34),"",VLOOKUP(S34,'[2]plan gier'!$X$1:$AN$65536,14,FALSE))</f>
        <v>21</v>
      </c>
      <c r="AL34" s="75">
        <f>IF(ISBLANK(S34),"",VLOOKUP(S34,'[2]plan gier'!$X$1:$AN$65536,15,FALSE))</f>
        <v>2</v>
      </c>
      <c r="AM34" s="75">
        <f>IF(ISBLANK(S34),"",VLOOKUP(S34,'[2]plan gier'!$X$1:$AN$65536,16,FALSE))</f>
        <v>0</v>
      </c>
      <c r="AN34" s="75">
        <f>IF(ISBLANK(S34),"",VLOOKUP(S34,'[2]plan gier'!$X$1:$AN$65536,17,FALSE))</f>
        <v>0</v>
      </c>
      <c r="AO34" s="76">
        <f t="shared" si="2"/>
        <v>21</v>
      </c>
      <c r="AP34" s="75">
        <f t="shared" si="2"/>
        <v>3</v>
      </c>
      <c r="AQ34" s="77">
        <f t="shared" si="2"/>
        <v>21</v>
      </c>
      <c r="AR34" s="75">
        <f t="shared" si="2"/>
        <v>2</v>
      </c>
      <c r="AS34" s="77">
        <f t="shared" si="2"/>
        <v>0</v>
      </c>
      <c r="AT34" s="75">
        <f t="shared" si="2"/>
        <v>0</v>
      </c>
      <c r="AU34" s="54">
        <f>SUM(AO34:AT34)</f>
        <v>47</v>
      </c>
      <c r="AV34" s="13">
        <v>3</v>
      </c>
      <c r="AW34" s="74">
        <f>IF(AI32&lt;AJ32,1,0)+IF(AK32&lt;AL32,1,0)+IF(AM32&lt;AN32,1,0)</f>
        <v>0</v>
      </c>
      <c r="AX34" s="75">
        <f>BA32</f>
        <v>2</v>
      </c>
      <c r="AY34" s="75">
        <f>IF(AI33&lt;AJ33,1,0)+IF(AK33&lt;AL33,1,0)+IF(AM33&lt;AN33,1,0)</f>
        <v>2</v>
      </c>
      <c r="AZ34" s="75">
        <f>BA33</f>
        <v>0</v>
      </c>
      <c r="BA34" s="78"/>
      <c r="BB34" s="79"/>
      <c r="BE34" s="74">
        <f>AP32+AR32+AT32+AP33+AR33+AT33</f>
        <v>70</v>
      </c>
      <c r="BF34" s="80">
        <f>AO32+AQ32+AS32+AO33+AQ33+AS33</f>
        <v>61</v>
      </c>
      <c r="BG34" s="74">
        <f>AW34+AY34</f>
        <v>2</v>
      </c>
      <c r="BH34" s="80">
        <f>AX34+AZ34</f>
        <v>2</v>
      </c>
      <c r="BI34" s="74">
        <f>IF(AW34&gt;AX34,1,0)+IF(AY34&gt;AZ34,1,0)</f>
        <v>1</v>
      </c>
      <c r="BJ34" s="81">
        <f>IF(AX34&gt;AW34,1,0)+IF(AZ34&gt;AY34,1,0)</f>
        <v>1</v>
      </c>
      <c r="BK34" s="82">
        <f>IF(BI34+BJ34=0,"",IF(BL34=MAX(BL32:BL34),1,IF(BL34=MIN(BL32:BL34),3,2)))</f>
        <v>2</v>
      </c>
      <c r="BL34" s="60">
        <f>IF(BI34+BJ34&lt;&gt;0,BI34+1+(BG34-BH34)/100+(BE34-BF34)/100000+(BE34/BF34)/1000000,0)</f>
        <v>2.0000911475409837</v>
      </c>
    </row>
    <row r="35" spans="1:64" ht="11.45" customHeight="1" x14ac:dyDescent="0.2">
      <c r="A35" s="2"/>
      <c r="J35" s="28"/>
      <c r="K35" s="28"/>
      <c r="L35" s="28"/>
      <c r="O35" s="28"/>
      <c r="P35" s="28"/>
      <c r="Q35" s="2"/>
      <c r="R35" s="2"/>
      <c r="S35" s="2"/>
      <c r="T35" s="241">
        <v>3</v>
      </c>
      <c r="U35" s="244" t="str">
        <f>IF(AND(N36&lt;&gt;"",N37&lt;&gt;""),CONCATENATE(VLOOKUP(N36,[2]zawodnicy!$A$1:$E$65536,1,FALSE)," ",VLOOKUP(N36,[2]zawodnicy!$A$1:$E$65536,2,FALSE)," ",VLOOKUP(N36,[2]zawodnicy!$A$1:$E$65536,3,FALSE)," - ",VLOOKUP(N36,[2]zawodnicy!$A$1:$E$65536,4,FALSE)),"")</f>
        <v/>
      </c>
      <c r="V35" s="245"/>
      <c r="W35" s="246"/>
      <c r="X35" s="46" t="str">
        <f>IF(SUM(AO32:AP32)=0,"",AP32&amp;":"&amp;AO32)</f>
        <v>14:21</v>
      </c>
      <c r="Y35" s="83" t="str">
        <f>IF(SUM(AO33:AP33)=0,"",AP33&amp;":"&amp;AO33)</f>
        <v>21:10</v>
      </c>
      <c r="Z35" s="84"/>
      <c r="AA35" s="247" t="str">
        <f>IF(SUM(AW34:AZ34)=0,"",BE34&amp;":"&amp;BF34)</f>
        <v>70:61</v>
      </c>
      <c r="AB35" s="250" t="str">
        <f>IF(SUM(AW34:AZ34)=0,"",BG34&amp;":"&amp;BH34)</f>
        <v>2:2</v>
      </c>
      <c r="AC35" s="250" t="str">
        <f>IF(SUM(AW34:AZ34)=0,"",BI34&amp;":"&amp;BJ34)</f>
        <v>1:1</v>
      </c>
      <c r="AD35" s="253">
        <f>IF(SUM(BI32:BI34)&gt;0,BK34,"")</f>
        <v>2</v>
      </c>
      <c r="AE35" s="2"/>
      <c r="AF35" s="12"/>
      <c r="AG35" s="12"/>
      <c r="BE35" s="19">
        <f>SUM(BE32:BE34)</f>
        <v>178</v>
      </c>
      <c r="BF35" s="19">
        <f>SUM(BF32:BF34)</f>
        <v>178</v>
      </c>
      <c r="BG35" s="19">
        <f>SUM(BG32:BG34)</f>
        <v>6</v>
      </c>
      <c r="BH35" s="19">
        <f>SUM(BH32:BH34)</f>
        <v>6</v>
      </c>
      <c r="BK35" s="19"/>
      <c r="BL35" s="20"/>
    </row>
    <row r="36" spans="1:64" ht="11.45" customHeight="1" x14ac:dyDescent="0.2">
      <c r="A36" s="19"/>
      <c r="J36" s="19"/>
      <c r="K36" s="19"/>
      <c r="L36" s="19"/>
      <c r="N36" s="33" t="s">
        <v>25</v>
      </c>
      <c r="O36" s="34">
        <f>IF(O28&gt;0,(O28&amp;3)*1,"")</f>
        <v>33</v>
      </c>
      <c r="Q36" s="85"/>
      <c r="R36" s="85"/>
      <c r="S36" s="85"/>
      <c r="T36" s="242"/>
      <c r="U36" s="244" t="str">
        <f>IF(AND(N36&lt;&gt;"",N37=""),CONCATENATE(VLOOKUP(N36,[2]zawodnicy!$A$1:$E$65536,1,FALSE)," ",VLOOKUP(N36,[2]zawodnicy!$A$1:$E$65536,2,FALSE)," ",VLOOKUP(N36,[2]zawodnicy!$A$1:$E$65536,3,FALSE)," - ",VLOOKUP(N36,[2]zawodnicy!$A$1:$E$65536,4,FALSE)),"")</f>
        <v>P3283 Magdalena POPRZECZKO - UKS Badminton Stare Babice</v>
      </c>
      <c r="V36" s="245"/>
      <c r="W36" s="246"/>
      <c r="X36" s="61" t="str">
        <f>IF(SUM(AQ32:AR32)=0,"",AR32&amp;":"&amp;AQ32)</f>
        <v>14:21</v>
      </c>
      <c r="Y36" s="36" t="str">
        <f>IF(SUM(AQ33:AR33)=0,"",AR33&amp;":"&amp;AQ33)</f>
        <v>21:9</v>
      </c>
      <c r="Z36" s="86"/>
      <c r="AA36" s="248"/>
      <c r="AB36" s="251"/>
      <c r="AC36" s="251"/>
      <c r="AD36" s="254"/>
      <c r="AE36" s="2"/>
      <c r="AF36" s="12"/>
      <c r="AG36" s="1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row>
    <row r="37" spans="1:64" ht="11.45" customHeight="1" thickBot="1" x14ac:dyDescent="0.25">
      <c r="A37" s="2"/>
      <c r="J37" s="28"/>
      <c r="K37" s="28"/>
      <c r="L37" s="28"/>
      <c r="N37" s="38"/>
      <c r="O37" s="28"/>
      <c r="P37" s="28"/>
      <c r="Q37" s="2"/>
      <c r="R37" s="2"/>
      <c r="S37" s="2"/>
      <c r="T37" s="243"/>
      <c r="U37" s="256" t="str">
        <f>IF(N37&lt;&gt;"",CONCATENATE(VLOOKUP(N37,[2]zawodnicy!$A$1:$E$65536,1,FALSE)," ",VLOOKUP(N37,[2]zawodnicy!$A$1:$E$65536,2,FALSE)," ",VLOOKUP(N37,[2]zawodnicy!$A$1:$E$65536,3,FALSE)," - ",VLOOKUP(N37,[2]zawodnicy!$A$1:$E$65536,4,FALSE)),"")</f>
        <v/>
      </c>
      <c r="V37" s="257"/>
      <c r="W37" s="258"/>
      <c r="X37" s="87" t="str">
        <f>IF(SUM(AS32:AT32)=0,"",AT32&amp;":"&amp;AS32)</f>
        <v/>
      </c>
      <c r="Y37" s="88" t="str">
        <f>IF(SUM(AS33:AT33)=0,"",AT33&amp;":"&amp;AS33)</f>
        <v/>
      </c>
      <c r="Z37" s="89"/>
      <c r="AA37" s="249"/>
      <c r="AB37" s="252"/>
      <c r="AC37" s="252"/>
      <c r="AD37" s="255"/>
      <c r="AE37" s="10"/>
      <c r="AF37" s="12"/>
      <c r="AG37" s="1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row>
    <row r="38" spans="1:64" s="19" customFormat="1" ht="5.0999999999999996" customHeight="1" thickBot="1" x14ac:dyDescent="0.25">
      <c r="M38" s="90"/>
      <c r="O38" s="90"/>
      <c r="P38" s="90"/>
      <c r="Q38" s="91"/>
      <c r="R38" s="91"/>
      <c r="S38" s="91"/>
      <c r="T38" s="91"/>
      <c r="U38" s="5"/>
      <c r="V38" s="5"/>
      <c r="W38" s="5"/>
      <c r="AA38" s="92"/>
      <c r="AB38" s="91"/>
      <c r="AC38" s="91"/>
      <c r="AD38" s="91"/>
      <c r="AE38" s="91"/>
      <c r="AF38" s="91"/>
      <c r="AI38" s="93"/>
      <c r="AJ38" s="94"/>
      <c r="AK38" s="94"/>
    </row>
    <row r="39" spans="1:64" ht="11.45" customHeight="1" thickBot="1" x14ac:dyDescent="0.25">
      <c r="N39" s="11"/>
      <c r="O39" s="21">
        <v>4</v>
      </c>
      <c r="Q39" s="277" t="str">
        <f>"Grupa "&amp;O39&amp;"."</f>
        <v>Grupa 4.</v>
      </c>
      <c r="R39" s="277"/>
      <c r="S39" s="277"/>
      <c r="T39" s="22" t="s">
        <v>1</v>
      </c>
      <c r="U39" s="278" t="s">
        <v>2</v>
      </c>
      <c r="V39" s="279"/>
      <c r="W39" s="280"/>
      <c r="X39" s="22">
        <v>1</v>
      </c>
      <c r="Y39" s="23">
        <v>2</v>
      </c>
      <c r="Z39" s="24">
        <v>3</v>
      </c>
      <c r="AA39" s="25" t="s">
        <v>3</v>
      </c>
      <c r="AB39" s="26" t="s">
        <v>4</v>
      </c>
      <c r="AC39" s="26" t="s">
        <v>5</v>
      </c>
      <c r="AD39" s="27" t="s">
        <v>6</v>
      </c>
      <c r="AE39" s="2"/>
      <c r="AF39" s="12"/>
      <c r="AG39" s="12"/>
      <c r="BK39" s="19"/>
      <c r="BL39" s="20"/>
    </row>
    <row r="40" spans="1:64" ht="11.45" customHeight="1" x14ac:dyDescent="0.2">
      <c r="J40" s="28"/>
      <c r="K40" s="28"/>
      <c r="L40" s="28"/>
      <c r="N40" s="29" t="s">
        <v>0</v>
      </c>
      <c r="Q40" s="274" t="s">
        <v>7</v>
      </c>
      <c r="R40" s="274"/>
      <c r="S40" s="275" t="s">
        <v>8</v>
      </c>
      <c r="T40" s="276">
        <v>1</v>
      </c>
      <c r="U40" s="244" t="str">
        <f>IF(AND(N41&lt;&gt;"",N42&lt;&gt;""),CONCATENATE(VLOOKUP(N41,[2]zawodnicy!$A$1:$E$65536,1,FALSE)," ",VLOOKUP(N41,[2]zawodnicy!$A$1:$E$65536,2,FALSE)," ",VLOOKUP(N41,[2]zawodnicy!$A$1:$E$65536,3,FALSE)," - ",VLOOKUP(N41,[2]zawodnicy!$A$1:$E$65536,4,FALSE)),"")</f>
        <v/>
      </c>
      <c r="V40" s="245"/>
      <c r="W40" s="246"/>
      <c r="X40" s="30"/>
      <c r="Y40" s="31" t="str">
        <f>IF(SUM(AO45:AP45)=0,"",AO45&amp;":"&amp;AP45)</f>
        <v>6:21</v>
      </c>
      <c r="Z40" s="32" t="str">
        <f>IF(SUM(AO43:AP43)=0,"",AO43&amp;":"&amp;AP43)</f>
        <v>9:21</v>
      </c>
      <c r="AA40" s="270" t="str">
        <f>IF(SUM(AY43:BB43)=0,"",BE43&amp;":"&amp;BF43)</f>
        <v>39:84</v>
      </c>
      <c r="AB40" s="271" t="str">
        <f>IF(SUM(AY43:BB43)=0,"",BG43&amp;":"&amp;BH43)</f>
        <v>0:4</v>
      </c>
      <c r="AC40" s="271" t="str">
        <f>IF(SUM(AY43:BB43)=0,"",BI43&amp;":"&amp;BJ43)</f>
        <v>0:2</v>
      </c>
      <c r="AD40" s="272">
        <f>IF(SUM(BI43:BI45)&gt;0,BK43,"")</f>
        <v>3</v>
      </c>
      <c r="AE40" s="2"/>
      <c r="AF40" s="12"/>
      <c r="AG40" s="12"/>
      <c r="AH40" s="14"/>
      <c r="AI40" s="273" t="s">
        <v>9</v>
      </c>
      <c r="AJ40" s="273"/>
      <c r="AK40" s="273"/>
      <c r="AL40" s="273"/>
      <c r="AM40" s="273"/>
      <c r="AN40" s="273"/>
      <c r="AO40" s="273" t="s">
        <v>10</v>
      </c>
      <c r="AP40" s="273"/>
      <c r="AQ40" s="273"/>
      <c r="AR40" s="273"/>
      <c r="AS40" s="273"/>
      <c r="AT40" s="273"/>
      <c r="BK40" s="19"/>
      <c r="BL40" s="20"/>
    </row>
    <row r="41" spans="1:64" ht="11.45" customHeight="1" thickBot="1" x14ac:dyDescent="0.25">
      <c r="I41" s="2" t="str">
        <f>"1"&amp;O39&amp;N40</f>
        <v>14pojedyncza kobiet J</v>
      </c>
      <c r="J41" s="10" t="str">
        <f>IF(AD40="","",IF(AD40=1,N41,IF(AD43=1,N44,IF(AD46=1,N47,""))))</f>
        <v>X38</v>
      </c>
      <c r="K41" s="10">
        <f>IF(AD40="","",IF(AD40=1,N42,IF(AD43=1,N45,IF(AD46=1,N48,""))))</f>
        <v>0</v>
      </c>
      <c r="L41" s="10"/>
      <c r="N41" s="33" t="s">
        <v>26</v>
      </c>
      <c r="O41" s="34">
        <f>IF(O39&gt;0,(O39&amp;1)*1,"")</f>
        <v>41</v>
      </c>
      <c r="Q41" s="274"/>
      <c r="R41" s="274"/>
      <c r="S41" s="275"/>
      <c r="T41" s="242"/>
      <c r="U41" s="244" t="str">
        <f>IF(AND(N41&lt;&gt;"",N42=""),CONCATENATE(VLOOKUP(N41,[2]zawodnicy!$A$1:$E$65536,1,FALSE)," ",VLOOKUP(N41,[2]zawodnicy!$A$1:$E$65536,2,FALSE)," ",VLOOKUP(N41,[2]zawodnicy!$A$1:$E$65536,3,FALSE)," - ",VLOOKUP(N41,[2]zawodnicy!$A$1:$E$65536,4,FALSE)),"")</f>
        <v>G3560 Daria GUJSKA - UKS Kiko Zamość</v>
      </c>
      <c r="V41" s="245"/>
      <c r="W41" s="246"/>
      <c r="X41" s="35"/>
      <c r="Y41" s="36" t="str">
        <f>IF(SUM(AQ45:AR45)=0,"",AQ45&amp;":"&amp;AR45)</f>
        <v>7:21</v>
      </c>
      <c r="Z41" s="37" t="str">
        <f>IF(SUM(AQ43:AR43)=0,"",AQ43&amp;":"&amp;AR43)</f>
        <v>17:21</v>
      </c>
      <c r="AA41" s="248"/>
      <c r="AB41" s="251"/>
      <c r="AC41" s="251"/>
      <c r="AD41" s="254"/>
      <c r="AE41" s="2"/>
      <c r="AF41" s="12"/>
      <c r="AG41" s="12"/>
      <c r="AH41" s="14"/>
      <c r="BE41" s="19">
        <f>SUM(BE43:BE45)</f>
        <v>197</v>
      </c>
      <c r="BF41" s="19">
        <f>SUM(BF43:BF45)</f>
        <v>197</v>
      </c>
      <c r="BG41" s="19">
        <f>SUM(BG43:BG45)</f>
        <v>6</v>
      </c>
      <c r="BH41" s="19">
        <f>SUM(BH43:BH45)</f>
        <v>6</v>
      </c>
      <c r="BK41" s="19"/>
      <c r="BL41" s="20"/>
    </row>
    <row r="42" spans="1:64" ht="11.45" customHeight="1" thickBot="1" x14ac:dyDescent="0.25">
      <c r="J42" s="10"/>
      <c r="K42" s="28"/>
      <c r="L42" s="28"/>
      <c r="N42" s="38"/>
      <c r="O42" s="28"/>
      <c r="P42" s="28"/>
      <c r="Q42" s="274"/>
      <c r="R42" s="274"/>
      <c r="S42" s="275"/>
      <c r="T42" s="261"/>
      <c r="U42" s="265" t="str">
        <f>IF(N42&lt;&gt;"",CONCATENATE(VLOOKUP(N42,[2]zawodnicy!$A$1:$E$65536,1,FALSE)," ",VLOOKUP(N42,[2]zawodnicy!$A$1:$E$65536,2,FALSE)," ",VLOOKUP(N42,[2]zawodnicy!$A$1:$E$65536,3,FALSE)," - ",VLOOKUP(N42,[2]zawodnicy!$A$1:$E$65536,4,FALSE)),"")</f>
        <v/>
      </c>
      <c r="V42" s="266"/>
      <c r="W42" s="267"/>
      <c r="X42" s="35"/>
      <c r="Y42" s="39" t="str">
        <f>IF(SUM(AS45:AT45)=0,"",AS45&amp;":"&amp;AT45)</f>
        <v/>
      </c>
      <c r="Z42" s="40" t="str">
        <f>IF(SUM(AS43:AT43)=0,"",AS43&amp;":"&amp;AT43)</f>
        <v/>
      </c>
      <c r="AA42" s="262"/>
      <c r="AB42" s="263"/>
      <c r="AC42" s="263"/>
      <c r="AD42" s="264"/>
      <c r="AE42" s="2"/>
      <c r="AF42" s="12"/>
      <c r="AG42" s="12"/>
      <c r="AH42" s="14"/>
      <c r="AI42" s="259" t="s">
        <v>12</v>
      </c>
      <c r="AJ42" s="269"/>
      <c r="AK42" s="268" t="s">
        <v>13</v>
      </c>
      <c r="AL42" s="269"/>
      <c r="AM42" s="268" t="s">
        <v>14</v>
      </c>
      <c r="AN42" s="260"/>
      <c r="AO42" s="259" t="s">
        <v>12</v>
      </c>
      <c r="AP42" s="269"/>
      <c r="AQ42" s="268" t="s">
        <v>13</v>
      </c>
      <c r="AR42" s="269"/>
      <c r="AS42" s="268" t="s">
        <v>14</v>
      </c>
      <c r="AT42" s="269"/>
      <c r="AU42" s="12"/>
      <c r="AV42" s="12"/>
      <c r="AW42" s="259">
        <v>1</v>
      </c>
      <c r="AX42" s="269"/>
      <c r="AY42" s="268">
        <v>2</v>
      </c>
      <c r="AZ42" s="269"/>
      <c r="BA42" s="268">
        <v>3</v>
      </c>
      <c r="BB42" s="260"/>
      <c r="BE42" s="259" t="s">
        <v>3</v>
      </c>
      <c r="BF42" s="260"/>
      <c r="BG42" s="259" t="s">
        <v>4</v>
      </c>
      <c r="BH42" s="260"/>
      <c r="BI42" s="259" t="s">
        <v>5</v>
      </c>
      <c r="BJ42" s="260"/>
      <c r="BK42" s="41" t="s">
        <v>6</v>
      </c>
      <c r="BL42" s="20"/>
    </row>
    <row r="43" spans="1:64" ht="11.45" customHeight="1" x14ac:dyDescent="0.2">
      <c r="A43" s="19">
        <f>S43</f>
        <v>57</v>
      </c>
      <c r="B43" s="2" t="str">
        <f>IF(N41="","",N41)</f>
        <v>G3560</v>
      </c>
      <c r="C43" s="2" t="str">
        <f>IF(N42="","",N42)</f>
        <v/>
      </c>
      <c r="D43" s="2" t="str">
        <f>IF(N47="","",N47)</f>
        <v>W3960</v>
      </c>
      <c r="E43" s="2" t="str">
        <f>IF(N48="","",N48)</f>
        <v/>
      </c>
      <c r="I43" s="2" t="str">
        <f>"2"&amp;O39&amp;N40</f>
        <v>24pojedyncza kobiet J</v>
      </c>
      <c r="J43" s="10" t="str">
        <f>IF(AD43="","",IF(AD40=2,N41,IF(AD43=2,N44,IF(AD46=2,N47,""))))</f>
        <v>W3960</v>
      </c>
      <c r="K43" s="10">
        <f>IF(AD43="","",IF(AD40=2,N42,IF(AD43=2,N45,IF(AD46=2,N48,""))))</f>
        <v>0</v>
      </c>
      <c r="M43" s="42" t="str">
        <f>N40</f>
        <v>pojedyncza kobiet J</v>
      </c>
      <c r="O43" s="28"/>
      <c r="P43" s="28"/>
      <c r="Q43" s="43" t="str">
        <f>IF(AU43&gt;0,"",IF(A43=0,"",IF(VLOOKUP(A43,'[2]plan gier'!A$1:S$65536,19,FALSE)="","",VLOOKUP(A43,'[2]plan gier'!A$1:S$65536,19,FALSE))))</f>
        <v/>
      </c>
      <c r="R43" s="44" t="s">
        <v>15</v>
      </c>
      <c r="S43" s="45">
        <v>57</v>
      </c>
      <c r="T43" s="241">
        <v>2</v>
      </c>
      <c r="U43" s="244" t="str">
        <f>IF(AND(N44&lt;&gt;"",N45&lt;&gt;""),CONCATENATE(VLOOKUP(N44,[2]zawodnicy!$A$1:$E$65536,1,FALSE)," ",VLOOKUP(N44,[2]zawodnicy!$A$1:$E$65536,2,FALSE)," ",VLOOKUP(N44,[2]zawodnicy!$A$1:$E$65536,3,FALSE)," - ",VLOOKUP(N44,[2]zawodnicy!$A$1:$E$65536,4,FALSE)),"")</f>
        <v/>
      </c>
      <c r="V43" s="245"/>
      <c r="W43" s="246"/>
      <c r="X43" s="46" t="str">
        <f>IF(SUM(AO45:AP45)=0,"",AP45&amp;":"&amp;AO45)</f>
        <v>21:6</v>
      </c>
      <c r="Y43" s="47"/>
      <c r="Z43" s="48" t="str">
        <f>IF(SUM(AO44:AP44)=0,"",AO44&amp;":"&amp;AP44)</f>
        <v>21:15</v>
      </c>
      <c r="AA43" s="247" t="str">
        <f>IF(SUM(AW44:AX44,BA44:BB44)=0,"",BE44&amp;":"&amp;BF44)</f>
        <v>84:45</v>
      </c>
      <c r="AB43" s="250" t="str">
        <f>IF(SUM(AW44:AX44,BA44:BB44)=0,"",BG44&amp;":"&amp;BH44)</f>
        <v>4:0</v>
      </c>
      <c r="AC43" s="250" t="str">
        <f>IF(SUM(AW44:AX44,BA44:BB44)=0,"",BI44&amp;":"&amp;BJ44)</f>
        <v>2:0</v>
      </c>
      <c r="AD43" s="253">
        <f>IF(SUM(BI43:BI45)&gt;0,BK44,"")</f>
        <v>1</v>
      </c>
      <c r="AE43" s="2"/>
      <c r="AF43" s="12"/>
      <c r="AG43" s="12"/>
      <c r="AH43" s="44" t="s">
        <v>15</v>
      </c>
      <c r="AI43" s="49">
        <f>IF(ISBLANK(S43),"",VLOOKUP(S43,'[2]plan gier'!$X$1:$AN$65536,12,FALSE))</f>
        <v>9</v>
      </c>
      <c r="AJ43" s="50">
        <f>IF(ISBLANK(S43),"",VLOOKUP(S43,'[2]plan gier'!$X$1:$AN$65536,13,FALSE))</f>
        <v>21</v>
      </c>
      <c r="AK43" s="50">
        <f>IF(ISBLANK(S43),"",VLOOKUP(S43,'[2]plan gier'!$X$1:$AN$65536,14,FALSE))</f>
        <v>17</v>
      </c>
      <c r="AL43" s="50">
        <f>IF(ISBLANK(S43),"",VLOOKUP(S43,'[2]plan gier'!$X$1:$AN$65536,15,FALSE))</f>
        <v>21</v>
      </c>
      <c r="AM43" s="50">
        <f>IF(ISBLANK(S43),"",VLOOKUP(S43,'[2]plan gier'!$X$1:$AN$65536,16,FALSE))</f>
        <v>0</v>
      </c>
      <c r="AN43" s="50">
        <f>IF(ISBLANK(S43),"",VLOOKUP(S43,'[2]plan gier'!$X$1:$AN$65536,17,FALSE))</f>
        <v>0</v>
      </c>
      <c r="AO43" s="51">
        <f t="shared" ref="AO43:AT45" si="3">IF(AI43="",0,AI43)</f>
        <v>9</v>
      </c>
      <c r="AP43" s="52">
        <f t="shared" si="3"/>
        <v>21</v>
      </c>
      <c r="AQ43" s="53">
        <f t="shared" si="3"/>
        <v>17</v>
      </c>
      <c r="AR43" s="52">
        <f t="shared" si="3"/>
        <v>21</v>
      </c>
      <c r="AS43" s="53">
        <f t="shared" si="3"/>
        <v>0</v>
      </c>
      <c r="AT43" s="52">
        <f t="shared" si="3"/>
        <v>0</v>
      </c>
      <c r="AU43" s="54">
        <f>SUM(AO43:AT43)</f>
        <v>68</v>
      </c>
      <c r="AV43" s="13">
        <v>1</v>
      </c>
      <c r="AW43" s="55"/>
      <c r="AX43" s="56"/>
      <c r="AY43" s="50">
        <f>IF(AI45&gt;AJ45,1,0)+IF(AK45&gt;AL45,1,0)+IF(AM45&gt;AN45,1,0)</f>
        <v>0</v>
      </c>
      <c r="AZ43" s="50">
        <f>AW44</f>
        <v>2</v>
      </c>
      <c r="BA43" s="50">
        <f>IF(AI43&gt;AJ43,1,0)+IF(AK43&gt;AL43,1,0)+IF(AM43&gt;AN43,1,0)</f>
        <v>0</v>
      </c>
      <c r="BB43" s="57">
        <f>AW45</f>
        <v>2</v>
      </c>
      <c r="BE43" s="49">
        <f>AO43+AQ43+AS43+AO45+AQ45+AS45</f>
        <v>39</v>
      </c>
      <c r="BF43" s="57">
        <f>AP43+AR43+AT43+AP45+AR45+AT45</f>
        <v>84</v>
      </c>
      <c r="BG43" s="49">
        <f>AY43+BA43</f>
        <v>0</v>
      </c>
      <c r="BH43" s="57">
        <f>AZ43+BB43</f>
        <v>4</v>
      </c>
      <c r="BI43" s="49">
        <f>IF(AY43&gt;AZ43,1,0)+IF(BA43&gt;BB43,1,0)</f>
        <v>0</v>
      </c>
      <c r="BJ43" s="58">
        <f>IF(AZ43&gt;AY43,1,0)+IF(BB43&gt;BA43,1,0)</f>
        <v>2</v>
      </c>
      <c r="BK43" s="59">
        <f>IF(BI43+BJ43=0,"",IF(BL43=MAX(BL43:BL45),1,IF(BL43=MIN(BL43:BL45),3,2)))</f>
        <v>3</v>
      </c>
      <c r="BL43" s="60">
        <f>IF(BI43+BJ43&lt;&gt;0,BI43+1+(BG43-BH43)/100+(BE43-BF43)/100000+(BE43/BF43)/1000000,0)</f>
        <v>0.95955046428571433</v>
      </c>
    </row>
    <row r="44" spans="1:64" ht="11.45" customHeight="1" x14ac:dyDescent="0.2">
      <c r="A44" s="19">
        <f>S44</f>
        <v>122</v>
      </c>
      <c r="B44" s="2" t="str">
        <f>IF(N44="","",N44)</f>
        <v>X38</v>
      </c>
      <c r="C44" s="2" t="str">
        <f>IF(N45="","",N45)</f>
        <v/>
      </c>
      <c r="D44" s="2" t="str">
        <f>IF(N47="","",N47)</f>
        <v>W3960</v>
      </c>
      <c r="E44" s="2" t="str">
        <f>IF(N48="","",N48)</f>
        <v/>
      </c>
      <c r="J44" s="10"/>
      <c r="K44" s="19"/>
      <c r="M44" s="42" t="str">
        <f>N40</f>
        <v>pojedyncza kobiet J</v>
      </c>
      <c r="N44" s="33" t="s">
        <v>27</v>
      </c>
      <c r="O44" s="34">
        <f>IF(O39&gt;0,(O39&amp;2)*1,"")</f>
        <v>42</v>
      </c>
      <c r="Q44" s="43" t="str">
        <f>IF(AU44&gt;0,"",IF(A44=0,"",IF(VLOOKUP(A44,'[2]plan gier'!A$1:S$65536,19,FALSE)="","",VLOOKUP(A44,'[2]plan gier'!A$1:S$65536,19,FALSE))))</f>
        <v/>
      </c>
      <c r="R44" s="44" t="s">
        <v>17</v>
      </c>
      <c r="S44" s="45">
        <v>122</v>
      </c>
      <c r="T44" s="242"/>
      <c r="U44" s="244" t="str">
        <f>IF(AND(N44&lt;&gt;"",N45=""),CONCATENATE(VLOOKUP(N44,[2]zawodnicy!$A$1:$E$65536,1,FALSE)," ",VLOOKUP(N44,[2]zawodnicy!$A$1:$E$65536,2,FALSE)," ",VLOOKUP(N44,[2]zawodnicy!$A$1:$E$65536,3,FALSE)," - ",VLOOKUP(N44,[2]zawodnicy!$A$1:$E$65536,4,FALSE)),"")</f>
        <v>X38 Tatiana LEMA - Lwów Ukraina</v>
      </c>
      <c r="V44" s="245"/>
      <c r="W44" s="246"/>
      <c r="X44" s="61" t="str">
        <f>IF(SUM(AQ45:AR45)=0,"",AR45&amp;":"&amp;AQ45)</f>
        <v>21:7</v>
      </c>
      <c r="Y44" s="62"/>
      <c r="Z44" s="37" t="str">
        <f>IF(SUM(AQ44:AR44)=0,"",AQ44&amp;":"&amp;AR44)</f>
        <v>21:17</v>
      </c>
      <c r="AA44" s="248"/>
      <c r="AB44" s="251"/>
      <c r="AC44" s="251"/>
      <c r="AD44" s="254"/>
      <c r="AE44" s="2"/>
      <c r="AF44" s="12"/>
      <c r="AG44" s="12"/>
      <c r="AH44" s="44" t="s">
        <v>17</v>
      </c>
      <c r="AI44" s="63">
        <f>IF(ISBLANK(S44),"",VLOOKUP(S44,'[2]plan gier'!$X$1:$AN$65536,12,FALSE))</f>
        <v>21</v>
      </c>
      <c r="AJ44" s="64">
        <f>IF(ISBLANK(S44),"",VLOOKUP(S44,'[2]plan gier'!$X$1:$AN$65536,13,FALSE))</f>
        <v>15</v>
      </c>
      <c r="AK44" s="64">
        <f>IF(ISBLANK(S44),"",VLOOKUP(S44,'[2]plan gier'!$X$1:$AN$65536,14,FALSE))</f>
        <v>21</v>
      </c>
      <c r="AL44" s="64">
        <f>IF(ISBLANK(S44),"",VLOOKUP(S44,'[2]plan gier'!$X$1:$AN$65536,15,FALSE))</f>
        <v>17</v>
      </c>
      <c r="AM44" s="64">
        <f>IF(ISBLANK(S44),"",VLOOKUP(S44,'[2]plan gier'!$X$1:$AN$65536,16,FALSE))</f>
        <v>0</v>
      </c>
      <c r="AN44" s="64">
        <f>IF(ISBLANK(S44),"",VLOOKUP(S44,'[2]plan gier'!$X$1:$AN$65536,17,FALSE))</f>
        <v>0</v>
      </c>
      <c r="AO44" s="65">
        <f t="shared" si="3"/>
        <v>21</v>
      </c>
      <c r="AP44" s="64">
        <f t="shared" si="3"/>
        <v>15</v>
      </c>
      <c r="AQ44" s="66">
        <f t="shared" si="3"/>
        <v>21</v>
      </c>
      <c r="AR44" s="64">
        <f t="shared" si="3"/>
        <v>17</v>
      </c>
      <c r="AS44" s="66">
        <f t="shared" si="3"/>
        <v>0</v>
      </c>
      <c r="AT44" s="64">
        <f t="shared" si="3"/>
        <v>0</v>
      </c>
      <c r="AU44" s="54">
        <f>SUM(AO44:AT44)</f>
        <v>74</v>
      </c>
      <c r="AV44" s="13">
        <v>2</v>
      </c>
      <c r="AW44" s="63">
        <f>IF(AI45&lt;AJ45,1,0)+IF(AK45&lt;AL45,1,0)+IF(AM45&lt;AN45,1,0)</f>
        <v>2</v>
      </c>
      <c r="AX44" s="64">
        <f>AY43</f>
        <v>0</v>
      </c>
      <c r="AY44" s="67"/>
      <c r="AZ44" s="68"/>
      <c r="BA44" s="64">
        <f>IF(AI44&gt;AJ44,1,0)+IF(AK44&gt;AL44,1,0)+IF(AM44&gt;AN44,1,0)</f>
        <v>2</v>
      </c>
      <c r="BB44" s="69">
        <f>AY45</f>
        <v>0</v>
      </c>
      <c r="BE44" s="63">
        <f>AO44+AQ44+AS44+AP45+AR45+AT45</f>
        <v>84</v>
      </c>
      <c r="BF44" s="69">
        <f>AP44+AR44+AT44+AO45+AQ45+AS45</f>
        <v>45</v>
      </c>
      <c r="BG44" s="63">
        <f>AW44+BA44</f>
        <v>4</v>
      </c>
      <c r="BH44" s="69">
        <f>AX44+BB44</f>
        <v>0</v>
      </c>
      <c r="BI44" s="63">
        <f>IF(AW44&gt;AX44,1,0)+IF(BA44&gt;BB44,1,0)</f>
        <v>2</v>
      </c>
      <c r="BJ44" s="70">
        <f>IF(AX44&gt;AW44,1,0)+IF(BB44&gt;BA44,1,0)</f>
        <v>0</v>
      </c>
      <c r="BK44" s="71">
        <f>IF(BI44+BJ44=0,"",IF(BL44=MAX(BL43:BL45),1,IF(BL44=MIN(BL43:BL45),3,2)))</f>
        <v>1</v>
      </c>
      <c r="BL44" s="60">
        <f>IF(BI44+BJ44&lt;&gt;0,BI44+1+(BG44-BH44)/100+(BE44-BF44)/100000+(BE44/BF44)/1000000,0)</f>
        <v>3.0403918666666665</v>
      </c>
    </row>
    <row r="45" spans="1:64" ht="11.45" customHeight="1" thickBot="1" x14ac:dyDescent="0.25">
      <c r="A45" s="19">
        <f>S45</f>
        <v>187</v>
      </c>
      <c r="B45" s="2" t="str">
        <f>IF(N41="","",N41)</f>
        <v>G3560</v>
      </c>
      <c r="C45" s="2" t="str">
        <f>IF(N42="","",N42)</f>
        <v/>
      </c>
      <c r="D45" s="2" t="str">
        <f>IF(N44="","",N44)</f>
        <v>X38</v>
      </c>
      <c r="E45" s="2" t="str">
        <f>IF(N45="","",N45)</f>
        <v/>
      </c>
      <c r="I45" s="2" t="str">
        <f>"3"&amp;O39&amp;N40</f>
        <v>34pojedyncza kobiet J</v>
      </c>
      <c r="J45" s="10" t="str">
        <f>IF(AD46="","",IF(AD40=3,N41,IF(AD43=3,N44,IF(AD46=3,N47,""))))</f>
        <v>G3560</v>
      </c>
      <c r="K45" s="10">
        <f>IF(AD46="","",IF(AD40=3,N42,IF(AD43=3,N45,IF(AD46=3,N48,""))))</f>
        <v>0</v>
      </c>
      <c r="M45" s="42" t="str">
        <f>N40</f>
        <v>pojedyncza kobiet J</v>
      </c>
      <c r="N45" s="38"/>
      <c r="O45" s="28"/>
      <c r="P45" s="28"/>
      <c r="Q45" s="43" t="str">
        <f>IF(AU45&gt;0,"",IF(A45=0,"",IF(VLOOKUP(A45,'[2]plan gier'!A$1:S$65536,19,FALSE)="","",VLOOKUP(A45,'[2]plan gier'!A$1:S$65536,19,FALSE))))</f>
        <v/>
      </c>
      <c r="R45" s="72" t="s">
        <v>18</v>
      </c>
      <c r="S45" s="45">
        <v>187</v>
      </c>
      <c r="T45" s="261"/>
      <c r="U45" s="265" t="str">
        <f>IF(N45&lt;&gt;"",CONCATENATE(VLOOKUP(N45,[2]zawodnicy!$A$1:$E$65536,1,FALSE)," ",VLOOKUP(N45,[2]zawodnicy!$A$1:$E$65536,2,FALSE)," ",VLOOKUP(N45,[2]zawodnicy!$A$1:$E$65536,3,FALSE)," - ",VLOOKUP(N45,[2]zawodnicy!$A$1:$E$65536,4,FALSE)),"")</f>
        <v/>
      </c>
      <c r="V45" s="266"/>
      <c r="W45" s="267"/>
      <c r="X45" s="73" t="str">
        <f>IF(SUM(AS45:AT45)=0,"",AT45&amp;":"&amp;AS45)</f>
        <v/>
      </c>
      <c r="Y45" s="62"/>
      <c r="Z45" s="40" t="str">
        <f>IF(SUM(AS44:AT44)=0,"",AS44&amp;":"&amp;AT44)</f>
        <v/>
      </c>
      <c r="AA45" s="262"/>
      <c r="AB45" s="263"/>
      <c r="AC45" s="263"/>
      <c r="AD45" s="264"/>
      <c r="AE45" s="2"/>
      <c r="AF45" s="12"/>
      <c r="AG45" s="12"/>
      <c r="AH45" s="72" t="s">
        <v>18</v>
      </c>
      <c r="AI45" s="74">
        <f>IF(ISBLANK(S45),"",VLOOKUP(S45,'[2]plan gier'!$X$1:$AN$65536,12,FALSE))</f>
        <v>6</v>
      </c>
      <c r="AJ45" s="75">
        <f>IF(ISBLANK(S45),"",VLOOKUP(S45,'[2]plan gier'!$X$1:$AN$65536,13,FALSE))</f>
        <v>21</v>
      </c>
      <c r="AK45" s="75">
        <f>IF(ISBLANK(S45),"",VLOOKUP(S45,'[2]plan gier'!$X$1:$AN$65536,14,FALSE))</f>
        <v>7</v>
      </c>
      <c r="AL45" s="75">
        <f>IF(ISBLANK(S45),"",VLOOKUP(S45,'[2]plan gier'!$X$1:$AN$65536,15,FALSE))</f>
        <v>21</v>
      </c>
      <c r="AM45" s="75">
        <f>IF(ISBLANK(S45),"",VLOOKUP(S45,'[2]plan gier'!$X$1:$AN$65536,16,FALSE))</f>
        <v>0</v>
      </c>
      <c r="AN45" s="75">
        <f>IF(ISBLANK(S45),"",VLOOKUP(S45,'[2]plan gier'!$X$1:$AN$65536,17,FALSE))</f>
        <v>0</v>
      </c>
      <c r="AO45" s="76">
        <f t="shared" si="3"/>
        <v>6</v>
      </c>
      <c r="AP45" s="75">
        <f t="shared" si="3"/>
        <v>21</v>
      </c>
      <c r="AQ45" s="77">
        <f t="shared" si="3"/>
        <v>7</v>
      </c>
      <c r="AR45" s="75">
        <f t="shared" si="3"/>
        <v>21</v>
      </c>
      <c r="AS45" s="77">
        <f t="shared" si="3"/>
        <v>0</v>
      </c>
      <c r="AT45" s="75">
        <f t="shared" si="3"/>
        <v>0</v>
      </c>
      <c r="AU45" s="54">
        <f>SUM(AO45:AT45)</f>
        <v>55</v>
      </c>
      <c r="AV45" s="13">
        <v>3</v>
      </c>
      <c r="AW45" s="74">
        <f>IF(AI43&lt;AJ43,1,0)+IF(AK43&lt;AL43,1,0)+IF(AM43&lt;AN43,1,0)</f>
        <v>2</v>
      </c>
      <c r="AX45" s="75">
        <f>BA43</f>
        <v>0</v>
      </c>
      <c r="AY45" s="75">
        <f>IF(AI44&lt;AJ44,1,0)+IF(AK44&lt;AL44,1,0)+IF(AM44&lt;AN44,1,0)</f>
        <v>0</v>
      </c>
      <c r="AZ45" s="75">
        <f>BA44</f>
        <v>2</v>
      </c>
      <c r="BA45" s="78"/>
      <c r="BB45" s="79"/>
      <c r="BE45" s="74">
        <f>AP43+AR43+AT43+AP44+AR44+AT44</f>
        <v>74</v>
      </c>
      <c r="BF45" s="80">
        <f>AO43+AQ43+AS43+AO44+AQ44+AS44</f>
        <v>68</v>
      </c>
      <c r="BG45" s="74">
        <f>AW45+AY45</f>
        <v>2</v>
      </c>
      <c r="BH45" s="80">
        <f>AX45+AZ45</f>
        <v>2</v>
      </c>
      <c r="BI45" s="74">
        <f>IF(AW45&gt;AX45,1,0)+IF(AY45&gt;AZ45,1,0)</f>
        <v>1</v>
      </c>
      <c r="BJ45" s="81">
        <f>IF(AX45&gt;AW45,1,0)+IF(AZ45&gt;AY45,1,0)</f>
        <v>1</v>
      </c>
      <c r="BK45" s="82">
        <f>IF(BI45+BJ45=0,"",IF(BL45=MAX(BL43:BL45),1,IF(BL45=MIN(BL43:BL45),3,2)))</f>
        <v>2</v>
      </c>
      <c r="BL45" s="60">
        <f>IF(BI45+BJ45&lt;&gt;0,BI45+1+(BG45-BH45)/100+(BE45-BF45)/100000+(BE45/BF45)/1000000,0)</f>
        <v>2.0000610882352943</v>
      </c>
    </row>
    <row r="46" spans="1:64" ht="11.45" customHeight="1" x14ac:dyDescent="0.2">
      <c r="A46" s="2"/>
      <c r="J46" s="28"/>
      <c r="K46" s="28"/>
      <c r="L46" s="28"/>
      <c r="O46" s="28"/>
      <c r="P46" s="28"/>
      <c r="Q46" s="2"/>
      <c r="R46" s="2"/>
      <c r="S46" s="2"/>
      <c r="T46" s="241">
        <v>3</v>
      </c>
      <c r="U46" s="244" t="str">
        <f>IF(AND(N47&lt;&gt;"",N48&lt;&gt;""),CONCATENATE(VLOOKUP(N47,[2]zawodnicy!$A$1:$E$65536,1,FALSE)," ",VLOOKUP(N47,[2]zawodnicy!$A$1:$E$65536,2,FALSE)," ",VLOOKUP(N47,[2]zawodnicy!$A$1:$E$65536,3,FALSE)," - ",VLOOKUP(N47,[2]zawodnicy!$A$1:$E$65536,4,FALSE)),"")</f>
        <v/>
      </c>
      <c r="V46" s="245"/>
      <c r="W46" s="246"/>
      <c r="X46" s="46" t="str">
        <f>IF(SUM(AO43:AP43)=0,"",AP43&amp;":"&amp;AO43)</f>
        <v>21:9</v>
      </c>
      <c r="Y46" s="83" t="str">
        <f>IF(SUM(AO44:AP44)=0,"",AP44&amp;":"&amp;AO44)</f>
        <v>15:21</v>
      </c>
      <c r="Z46" s="84"/>
      <c r="AA46" s="247" t="str">
        <f>IF(SUM(AW45:AZ45)=0,"",BE45&amp;":"&amp;BF45)</f>
        <v>74:68</v>
      </c>
      <c r="AB46" s="250" t="str">
        <f>IF(SUM(AW45:AZ45)=0,"",BG45&amp;":"&amp;BH45)</f>
        <v>2:2</v>
      </c>
      <c r="AC46" s="250" t="str">
        <f>IF(SUM(AW45:AZ45)=0,"",BI45&amp;":"&amp;BJ45)</f>
        <v>1:1</v>
      </c>
      <c r="AD46" s="253">
        <f>IF(SUM(BI43:BI45)&gt;0,BK45,"")</f>
        <v>2</v>
      </c>
      <c r="AE46" s="2"/>
      <c r="AF46" s="12"/>
      <c r="AG46" s="12"/>
      <c r="BE46" s="19">
        <f>SUM(BE43:BE45)</f>
        <v>197</v>
      </c>
      <c r="BF46" s="19">
        <f>SUM(BF43:BF45)</f>
        <v>197</v>
      </c>
      <c r="BG46" s="19">
        <f>SUM(BG43:BG45)</f>
        <v>6</v>
      </c>
      <c r="BH46" s="19">
        <f>SUM(BH43:BH45)</f>
        <v>6</v>
      </c>
      <c r="BK46" s="19"/>
      <c r="BL46" s="20"/>
    </row>
    <row r="47" spans="1:64" ht="11.45" customHeight="1" x14ac:dyDescent="0.2">
      <c r="A47" s="19"/>
      <c r="J47" s="19"/>
      <c r="K47" s="19"/>
      <c r="L47" s="19"/>
      <c r="N47" s="33" t="s">
        <v>28</v>
      </c>
      <c r="O47" s="34">
        <f>IF(O39&gt;0,(O39&amp;3)*1,"")</f>
        <v>43</v>
      </c>
      <c r="Q47" s="85"/>
      <c r="R47" s="85"/>
      <c r="S47" s="85"/>
      <c r="T47" s="242"/>
      <c r="U47" s="244" t="str">
        <f>IF(AND(N47&lt;&gt;"",N48=""),CONCATENATE(VLOOKUP(N47,[2]zawodnicy!$A$1:$E$65536,1,FALSE)," ",VLOOKUP(N47,[2]zawodnicy!$A$1:$E$65536,2,FALSE)," ",VLOOKUP(N47,[2]zawodnicy!$A$1:$E$65536,3,FALSE)," - ",VLOOKUP(N47,[2]zawodnicy!$A$1:$E$65536,4,FALSE)),"")</f>
        <v>W3960 Justyna WUDARSKA - UKS Iskra Sarbice</v>
      </c>
      <c r="V47" s="245"/>
      <c r="W47" s="246"/>
      <c r="X47" s="61" t="str">
        <f>IF(SUM(AQ43:AR43)=0,"",AR43&amp;":"&amp;AQ43)</f>
        <v>21:17</v>
      </c>
      <c r="Y47" s="36" t="str">
        <f>IF(SUM(AQ44:AR44)=0,"",AR44&amp;":"&amp;AQ44)</f>
        <v>17:21</v>
      </c>
      <c r="Z47" s="86"/>
      <c r="AA47" s="248"/>
      <c r="AB47" s="251"/>
      <c r="AC47" s="251"/>
      <c r="AD47" s="254"/>
      <c r="AE47" s="2"/>
      <c r="AF47" s="12"/>
      <c r="AG47" s="1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row>
    <row r="48" spans="1:64" ht="11.45" customHeight="1" thickBot="1" x14ac:dyDescent="0.25">
      <c r="A48" s="2"/>
      <c r="J48" s="28"/>
      <c r="K48" s="28"/>
      <c r="L48" s="28"/>
      <c r="N48" s="38"/>
      <c r="O48" s="28"/>
      <c r="P48" s="28"/>
      <c r="Q48" s="2"/>
      <c r="R48" s="2"/>
      <c r="S48" s="2"/>
      <c r="T48" s="243"/>
      <c r="U48" s="256" t="str">
        <f>IF(N48&lt;&gt;"",CONCATENATE(VLOOKUP(N48,[2]zawodnicy!$A$1:$E$65536,1,FALSE)," ",VLOOKUP(N48,[2]zawodnicy!$A$1:$E$65536,2,FALSE)," ",VLOOKUP(N48,[2]zawodnicy!$A$1:$E$65536,3,FALSE)," - ",VLOOKUP(N48,[2]zawodnicy!$A$1:$E$65536,4,FALSE)),"")</f>
        <v/>
      </c>
      <c r="V48" s="257"/>
      <c r="W48" s="258"/>
      <c r="X48" s="87" t="str">
        <f>IF(SUM(AS43:AT43)=0,"",AT43&amp;":"&amp;AS43)</f>
        <v/>
      </c>
      <c r="Y48" s="88" t="str">
        <f>IF(SUM(AS44:AT44)=0,"",AT44&amp;":"&amp;AS44)</f>
        <v/>
      </c>
      <c r="Z48" s="89"/>
      <c r="AA48" s="249"/>
      <c r="AB48" s="252"/>
      <c r="AC48" s="252"/>
      <c r="AD48" s="255"/>
      <c r="AE48" s="10"/>
      <c r="AF48" s="12"/>
      <c r="AG48" s="1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row>
    <row r="49" spans="1:64" s="19" customFormat="1" ht="5.0999999999999996" customHeight="1" thickBot="1" x14ac:dyDescent="0.25">
      <c r="M49" s="90"/>
      <c r="O49" s="90"/>
      <c r="P49" s="90"/>
      <c r="Q49" s="91"/>
      <c r="R49" s="91"/>
      <c r="S49" s="91"/>
      <c r="T49" s="91"/>
      <c r="U49" s="5"/>
      <c r="V49" s="5"/>
      <c r="W49" s="5"/>
      <c r="AA49" s="92"/>
      <c r="AB49" s="91"/>
      <c r="AC49" s="91"/>
      <c r="AD49" s="91"/>
      <c r="AE49" s="91"/>
      <c r="AF49" s="91"/>
      <c r="AI49" s="93"/>
      <c r="AJ49" s="94"/>
      <c r="AK49" s="94"/>
    </row>
    <row r="50" spans="1:64" ht="11.45" customHeight="1" thickBot="1" x14ac:dyDescent="0.25">
      <c r="N50" s="11"/>
      <c r="O50" s="21">
        <v>5</v>
      </c>
      <c r="Q50" s="277" t="str">
        <f>"Grupa "&amp;O50&amp;"."</f>
        <v>Grupa 5.</v>
      </c>
      <c r="R50" s="277"/>
      <c r="S50" s="277"/>
      <c r="T50" s="22" t="s">
        <v>1</v>
      </c>
      <c r="U50" s="278" t="s">
        <v>2</v>
      </c>
      <c r="V50" s="279"/>
      <c r="W50" s="280"/>
      <c r="X50" s="22">
        <v>1</v>
      </c>
      <c r="Y50" s="23">
        <v>2</v>
      </c>
      <c r="Z50" s="24">
        <v>3</v>
      </c>
      <c r="AA50" s="25" t="s">
        <v>3</v>
      </c>
      <c r="AB50" s="26" t="s">
        <v>4</v>
      </c>
      <c r="AC50" s="26" t="s">
        <v>5</v>
      </c>
      <c r="AD50" s="27" t="s">
        <v>6</v>
      </c>
      <c r="AE50" s="2"/>
      <c r="AF50" s="12"/>
      <c r="AG50" s="12"/>
      <c r="BK50" s="19"/>
      <c r="BL50" s="20"/>
    </row>
    <row r="51" spans="1:64" ht="11.45" customHeight="1" x14ac:dyDescent="0.2">
      <c r="J51" s="28"/>
      <c r="K51" s="28"/>
      <c r="L51" s="28"/>
      <c r="N51" s="29" t="s">
        <v>0</v>
      </c>
      <c r="Q51" s="274" t="s">
        <v>7</v>
      </c>
      <c r="R51" s="274"/>
      <c r="S51" s="275" t="s">
        <v>8</v>
      </c>
      <c r="T51" s="276">
        <v>1</v>
      </c>
      <c r="U51" s="244" t="str">
        <f>IF(AND(N52&lt;&gt;"",N53&lt;&gt;""),CONCATENATE(VLOOKUP(N52,[2]zawodnicy!$A$1:$E$65536,1,FALSE)," ",VLOOKUP(N52,[2]zawodnicy!$A$1:$E$65536,2,FALSE)," ",VLOOKUP(N52,[2]zawodnicy!$A$1:$E$65536,3,FALSE)," - ",VLOOKUP(N52,[2]zawodnicy!$A$1:$E$65536,4,FALSE)),"")</f>
        <v/>
      </c>
      <c r="V51" s="245"/>
      <c r="W51" s="246"/>
      <c r="X51" s="30"/>
      <c r="Y51" s="31" t="str">
        <f>IF(SUM(AO56:AP56)=0,"",AO56&amp;":"&amp;AP56)</f>
        <v>13:21</v>
      </c>
      <c r="Z51" s="32" t="str">
        <f>IF(SUM(AO54:AP54)=0,"",AO54&amp;":"&amp;AP54)</f>
        <v>29:30</v>
      </c>
      <c r="AA51" s="270" t="str">
        <f>IF(SUM(AY54:BB54)=0,"",BE54&amp;":"&amp;BF54)</f>
        <v>102:121</v>
      </c>
      <c r="AB51" s="271" t="str">
        <f>IF(SUM(AY54:BB54)=0,"",BG54&amp;":"&amp;BH54)</f>
        <v>1:4</v>
      </c>
      <c r="AC51" s="271" t="str">
        <f>IF(SUM(AY54:BB54)=0,"",BI54&amp;":"&amp;BJ54)</f>
        <v>0:2</v>
      </c>
      <c r="AD51" s="272">
        <f>IF(SUM(BI54:BI56)&gt;0,BK54,"")</f>
        <v>3</v>
      </c>
      <c r="AE51" s="2"/>
      <c r="AF51" s="12"/>
      <c r="AG51" s="12"/>
      <c r="AH51" s="14"/>
      <c r="AI51" s="273" t="s">
        <v>9</v>
      </c>
      <c r="AJ51" s="273"/>
      <c r="AK51" s="273"/>
      <c r="AL51" s="273"/>
      <c r="AM51" s="273"/>
      <c r="AN51" s="273"/>
      <c r="AO51" s="273" t="s">
        <v>10</v>
      </c>
      <c r="AP51" s="273"/>
      <c r="AQ51" s="273"/>
      <c r="AR51" s="273"/>
      <c r="AS51" s="273"/>
      <c r="AT51" s="273"/>
      <c r="BK51" s="19"/>
      <c r="BL51" s="20"/>
    </row>
    <row r="52" spans="1:64" ht="11.45" customHeight="1" thickBot="1" x14ac:dyDescent="0.25">
      <c r="I52" s="2" t="str">
        <f>"1"&amp;O50&amp;N51</f>
        <v>15pojedyncza kobiet J</v>
      </c>
      <c r="J52" s="10" t="str">
        <f>IF(AD51="","",IF(AD51=1,N52,IF(AD54=1,N55,IF(AD57=1,N58,""))))</f>
        <v>P2838</v>
      </c>
      <c r="K52" s="10">
        <f>IF(AD51="","",IF(AD51=1,N53,IF(AD54=1,N56,IF(AD57=1,N59,""))))</f>
        <v>0</v>
      </c>
      <c r="L52" s="10"/>
      <c r="N52" s="33" t="s">
        <v>29</v>
      </c>
      <c r="O52" s="34">
        <f>IF(O50&gt;0,(O50&amp;1)*1,"")</f>
        <v>51</v>
      </c>
      <c r="Q52" s="274"/>
      <c r="R52" s="274"/>
      <c r="S52" s="275"/>
      <c r="T52" s="242"/>
      <c r="U52" s="244" t="str">
        <f>IF(AND(N52&lt;&gt;"",N53=""),CONCATENATE(VLOOKUP(N52,[2]zawodnicy!$A$1:$E$65536,1,FALSE)," ",VLOOKUP(N52,[2]zawodnicy!$A$1:$E$65536,2,FALSE)," ",VLOOKUP(N52,[2]zawodnicy!$A$1:$E$65536,3,FALSE)," - ",VLOOKUP(N52,[2]zawodnicy!$A$1:$E$65536,4,FALSE)),"")</f>
        <v>R3364 Kinga ROGALSKA - UKS 2 Sobótka</v>
      </c>
      <c r="V52" s="245"/>
      <c r="W52" s="246"/>
      <c r="X52" s="35"/>
      <c r="Y52" s="36" t="str">
        <f>IF(SUM(AQ56:AR56)=0,"",AQ56&amp;":"&amp;AR56)</f>
        <v>21:19</v>
      </c>
      <c r="Z52" s="37" t="str">
        <f>IF(SUM(AQ54:AR54)=0,"",AQ54&amp;":"&amp;AR54)</f>
        <v>29:30</v>
      </c>
      <c r="AA52" s="248"/>
      <c r="AB52" s="251"/>
      <c r="AC52" s="251"/>
      <c r="AD52" s="254"/>
      <c r="AE52" s="2"/>
      <c r="AF52" s="12"/>
      <c r="AG52" s="12"/>
      <c r="AH52" s="14"/>
      <c r="BE52" s="19">
        <f>SUM(BE54:BE56)</f>
        <v>320</v>
      </c>
      <c r="BF52" s="19">
        <f>SUM(BF54:BF56)</f>
        <v>320</v>
      </c>
      <c r="BG52" s="19">
        <f>SUM(BG54:BG56)</f>
        <v>8</v>
      </c>
      <c r="BH52" s="19">
        <f>SUM(BH54:BH56)</f>
        <v>8</v>
      </c>
      <c r="BK52" s="19"/>
      <c r="BL52" s="20"/>
    </row>
    <row r="53" spans="1:64" ht="11.45" customHeight="1" thickBot="1" x14ac:dyDescent="0.25">
      <c r="J53" s="10"/>
      <c r="K53" s="28"/>
      <c r="L53" s="28"/>
      <c r="N53" s="38"/>
      <c r="O53" s="28"/>
      <c r="P53" s="28"/>
      <c r="Q53" s="274"/>
      <c r="R53" s="274"/>
      <c r="S53" s="275"/>
      <c r="T53" s="261"/>
      <c r="U53" s="265" t="str">
        <f>IF(N53&lt;&gt;"",CONCATENATE(VLOOKUP(N53,[2]zawodnicy!$A$1:$E$65536,1,FALSE)," ",VLOOKUP(N53,[2]zawodnicy!$A$1:$E$65536,2,FALSE)," ",VLOOKUP(N53,[2]zawodnicy!$A$1:$E$65536,3,FALSE)," - ",VLOOKUP(N53,[2]zawodnicy!$A$1:$E$65536,4,FALSE)),"")</f>
        <v/>
      </c>
      <c r="V53" s="266"/>
      <c r="W53" s="267"/>
      <c r="X53" s="35"/>
      <c r="Y53" s="39" t="str">
        <f>IF(SUM(AS56:AT56)=0,"",AS56&amp;":"&amp;AT56)</f>
        <v>10:21</v>
      </c>
      <c r="Z53" s="40" t="str">
        <f>IF(SUM(AS54:AT54)=0,"",AS54&amp;":"&amp;AT54)</f>
        <v/>
      </c>
      <c r="AA53" s="262"/>
      <c r="AB53" s="263"/>
      <c r="AC53" s="263"/>
      <c r="AD53" s="264"/>
      <c r="AE53" s="2"/>
      <c r="AF53" s="12"/>
      <c r="AG53" s="12"/>
      <c r="AH53" s="14"/>
      <c r="AI53" s="259" t="s">
        <v>12</v>
      </c>
      <c r="AJ53" s="269"/>
      <c r="AK53" s="268" t="s">
        <v>13</v>
      </c>
      <c r="AL53" s="269"/>
      <c r="AM53" s="268" t="s">
        <v>14</v>
      </c>
      <c r="AN53" s="260"/>
      <c r="AO53" s="259" t="s">
        <v>12</v>
      </c>
      <c r="AP53" s="269"/>
      <c r="AQ53" s="268" t="s">
        <v>13</v>
      </c>
      <c r="AR53" s="269"/>
      <c r="AS53" s="268" t="s">
        <v>14</v>
      </c>
      <c r="AT53" s="269"/>
      <c r="AU53" s="12"/>
      <c r="AV53" s="12"/>
      <c r="AW53" s="259">
        <v>1</v>
      </c>
      <c r="AX53" s="269"/>
      <c r="AY53" s="268">
        <v>2</v>
      </c>
      <c r="AZ53" s="269"/>
      <c r="BA53" s="268">
        <v>3</v>
      </c>
      <c r="BB53" s="260"/>
      <c r="BE53" s="259" t="s">
        <v>3</v>
      </c>
      <c r="BF53" s="260"/>
      <c r="BG53" s="259" t="s">
        <v>4</v>
      </c>
      <c r="BH53" s="260"/>
      <c r="BI53" s="259" t="s">
        <v>5</v>
      </c>
      <c r="BJ53" s="260"/>
      <c r="BK53" s="41" t="s">
        <v>6</v>
      </c>
      <c r="BL53" s="20"/>
    </row>
    <row r="54" spans="1:64" ht="11.45" customHeight="1" x14ac:dyDescent="0.2">
      <c r="A54" s="19">
        <f>S54</f>
        <v>58</v>
      </c>
      <c r="B54" s="2" t="str">
        <f>IF(N52="","",N52)</f>
        <v>R3364</v>
      </c>
      <c r="C54" s="2" t="str">
        <f>IF(N53="","",N53)</f>
        <v/>
      </c>
      <c r="D54" s="2" t="str">
        <f>IF(N58="","",N58)</f>
        <v>G2661</v>
      </c>
      <c r="E54" s="2" t="str">
        <f>IF(N59="","",N59)</f>
        <v/>
      </c>
      <c r="I54" s="2" t="str">
        <f>"2"&amp;O50&amp;N51</f>
        <v>25pojedyncza kobiet J</v>
      </c>
      <c r="J54" s="10" t="str">
        <f>IF(AD54="","",IF(AD51=2,N52,IF(AD54=2,N55,IF(AD57=2,N58,""))))</f>
        <v>G2661</v>
      </c>
      <c r="K54" s="10">
        <f>IF(AD54="","",IF(AD51=2,N53,IF(AD54=2,N56,IF(AD57=2,N59,""))))</f>
        <v>0</v>
      </c>
      <c r="M54" s="42" t="str">
        <f>N51</f>
        <v>pojedyncza kobiet J</v>
      </c>
      <c r="O54" s="28"/>
      <c r="P54" s="28"/>
      <c r="Q54" s="43" t="str">
        <f>IF(AU54&gt;0,"",IF(A54=0,"",IF(VLOOKUP(A54,'[2]plan gier'!A$1:S$65536,19,FALSE)="","",VLOOKUP(A54,'[2]plan gier'!A$1:S$65536,19,FALSE))))</f>
        <v/>
      </c>
      <c r="R54" s="44" t="s">
        <v>15</v>
      </c>
      <c r="S54" s="45">
        <v>58</v>
      </c>
      <c r="T54" s="241">
        <v>2</v>
      </c>
      <c r="U54" s="244" t="str">
        <f>IF(AND(N55&lt;&gt;"",N56&lt;&gt;""),CONCATENATE(VLOOKUP(N55,[2]zawodnicy!$A$1:$E$65536,1,FALSE)," ",VLOOKUP(N55,[2]zawodnicy!$A$1:$E$65536,2,FALSE)," ",VLOOKUP(N55,[2]zawodnicy!$A$1:$E$65536,3,FALSE)," - ",VLOOKUP(N55,[2]zawodnicy!$A$1:$E$65536,4,FALSE)),"")</f>
        <v/>
      </c>
      <c r="V54" s="245"/>
      <c r="W54" s="246"/>
      <c r="X54" s="46" t="str">
        <f>IF(SUM(AO56:AP56)=0,"",AP56&amp;":"&amp;AO56)</f>
        <v>21:13</v>
      </c>
      <c r="Y54" s="47"/>
      <c r="Z54" s="48" t="str">
        <f>IF(SUM(AO55:AP55)=0,"",AO55&amp;":"&amp;AP55)</f>
        <v>21:3</v>
      </c>
      <c r="AA54" s="247" t="str">
        <f>IF(SUM(AW55:AX55,BA55:BB55)=0,"",BE55&amp;":"&amp;BF55)</f>
        <v>121:81</v>
      </c>
      <c r="AB54" s="250" t="str">
        <f>IF(SUM(AW55:AX55,BA55:BB55)=0,"",BG55&amp;":"&amp;BH55)</f>
        <v>4:2</v>
      </c>
      <c r="AC54" s="250" t="str">
        <f>IF(SUM(AW55:AX55,BA55:BB55)=0,"",BI55&amp;":"&amp;BJ55)</f>
        <v>2:0</v>
      </c>
      <c r="AD54" s="253">
        <f>IF(SUM(BI54:BI56)&gt;0,BK55,"")</f>
        <v>1</v>
      </c>
      <c r="AE54" s="2"/>
      <c r="AF54" s="12"/>
      <c r="AG54" s="12"/>
      <c r="AH54" s="44" t="s">
        <v>15</v>
      </c>
      <c r="AI54" s="49">
        <f>IF(ISBLANK(S54),"",VLOOKUP(S54,'[2]plan gier'!$X$1:$AN$65536,12,FALSE))</f>
        <v>29</v>
      </c>
      <c r="AJ54" s="50">
        <f>IF(ISBLANK(S54),"",VLOOKUP(S54,'[2]plan gier'!$X$1:$AN$65536,13,FALSE))</f>
        <v>30</v>
      </c>
      <c r="AK54" s="50">
        <f>IF(ISBLANK(S54),"",VLOOKUP(S54,'[2]plan gier'!$X$1:$AN$65536,14,FALSE))</f>
        <v>29</v>
      </c>
      <c r="AL54" s="50">
        <f>IF(ISBLANK(S54),"",VLOOKUP(S54,'[2]plan gier'!$X$1:$AN$65536,15,FALSE))</f>
        <v>30</v>
      </c>
      <c r="AM54" s="50">
        <f>IF(ISBLANK(S54),"",VLOOKUP(S54,'[2]plan gier'!$X$1:$AN$65536,16,FALSE))</f>
        <v>0</v>
      </c>
      <c r="AN54" s="50">
        <f>IF(ISBLANK(S54),"",VLOOKUP(S54,'[2]plan gier'!$X$1:$AN$65536,17,FALSE))</f>
        <v>0</v>
      </c>
      <c r="AO54" s="51">
        <f t="shared" ref="AO54:AT56" si="4">IF(AI54="",0,AI54)</f>
        <v>29</v>
      </c>
      <c r="AP54" s="52">
        <f t="shared" si="4"/>
        <v>30</v>
      </c>
      <c r="AQ54" s="53">
        <f t="shared" si="4"/>
        <v>29</v>
      </c>
      <c r="AR54" s="52">
        <f t="shared" si="4"/>
        <v>30</v>
      </c>
      <c r="AS54" s="53">
        <f t="shared" si="4"/>
        <v>0</v>
      </c>
      <c r="AT54" s="52">
        <f t="shared" si="4"/>
        <v>0</v>
      </c>
      <c r="AU54" s="54">
        <f>SUM(AO54:AT54)</f>
        <v>118</v>
      </c>
      <c r="AV54" s="13">
        <v>1</v>
      </c>
      <c r="AW54" s="55"/>
      <c r="AX54" s="56"/>
      <c r="AY54" s="50">
        <f>IF(AI56&gt;AJ56,1,0)+IF(AK56&gt;AL56,1,0)+IF(AM56&gt;AN56,1,0)</f>
        <v>1</v>
      </c>
      <c r="AZ54" s="50">
        <f>AW55</f>
        <v>2</v>
      </c>
      <c r="BA54" s="50">
        <f>IF(AI54&gt;AJ54,1,0)+IF(AK54&gt;AL54,1,0)+IF(AM54&gt;AN54,1,0)</f>
        <v>0</v>
      </c>
      <c r="BB54" s="57">
        <f>AW56</f>
        <v>2</v>
      </c>
      <c r="BE54" s="49">
        <f>AO54+AQ54+AS54+AO56+AQ56+AS56</f>
        <v>102</v>
      </c>
      <c r="BF54" s="57">
        <f>AP54+AR54+AT54+AP56+AR56+AT56</f>
        <v>121</v>
      </c>
      <c r="BG54" s="49">
        <f>AY54+BA54</f>
        <v>1</v>
      </c>
      <c r="BH54" s="57">
        <f>AZ54+BB54</f>
        <v>4</v>
      </c>
      <c r="BI54" s="49">
        <f>IF(AY54&gt;AZ54,1,0)+IF(BA54&gt;BB54,1,0)</f>
        <v>0</v>
      </c>
      <c r="BJ54" s="58">
        <f>IF(AZ54&gt;AY54,1,0)+IF(BB54&gt;BA54,1,0)</f>
        <v>2</v>
      </c>
      <c r="BK54" s="59">
        <f>IF(BI54+BJ54=0,"",IF(BL54=MAX(BL54:BL56),1,IF(BL54=MIN(BL54:BL56),3,2)))</f>
        <v>3</v>
      </c>
      <c r="BL54" s="60">
        <f>IF(BI54+BJ54&lt;&gt;0,BI54+1+(BG54-BH54)/100+(BE54-BF54)/100000+(BE54/BF54)/1000000,0)</f>
        <v>0.96981084297520659</v>
      </c>
    </row>
    <row r="55" spans="1:64" ht="11.45" customHeight="1" x14ac:dyDescent="0.2">
      <c r="A55" s="19">
        <f>S55</f>
        <v>123</v>
      </c>
      <c r="B55" s="2" t="str">
        <f>IF(N55="","",N55)</f>
        <v>P2838</v>
      </c>
      <c r="C55" s="2" t="str">
        <f>IF(N56="","",N56)</f>
        <v/>
      </c>
      <c r="D55" s="2" t="str">
        <f>IF(N58="","",N58)</f>
        <v>G2661</v>
      </c>
      <c r="E55" s="2" t="str">
        <f>IF(N59="","",N59)</f>
        <v/>
      </c>
      <c r="J55" s="10"/>
      <c r="K55" s="19"/>
      <c r="M55" s="42" t="str">
        <f>N51</f>
        <v>pojedyncza kobiet J</v>
      </c>
      <c r="N55" s="33" t="s">
        <v>30</v>
      </c>
      <c r="O55" s="34">
        <f>IF(O50&gt;0,(O50&amp;2)*1,"")</f>
        <v>52</v>
      </c>
      <c r="Q55" s="43" t="str">
        <f>IF(AU55&gt;0,"",IF(A55=0,"",IF(VLOOKUP(A55,'[2]plan gier'!A$1:S$65536,19,FALSE)="","",VLOOKUP(A55,'[2]plan gier'!A$1:S$65536,19,FALSE))))</f>
        <v/>
      </c>
      <c r="R55" s="44" t="s">
        <v>17</v>
      </c>
      <c r="S55" s="45">
        <v>123</v>
      </c>
      <c r="T55" s="242"/>
      <c r="U55" s="244" t="str">
        <f>IF(AND(N55&lt;&gt;"",N56=""),CONCATENATE(VLOOKUP(N55,[2]zawodnicy!$A$1:$E$65536,1,FALSE)," ",VLOOKUP(N55,[2]zawodnicy!$A$1:$E$65536,2,FALSE)," ",VLOOKUP(N55,[2]zawodnicy!$A$1:$E$65536,3,FALSE)," - ",VLOOKUP(N55,[2]zawodnicy!$A$1:$E$65536,4,FALSE)),"")</f>
        <v>P2838 Aleksandra PAPRZYCKA - MKB Lednik Miastko</v>
      </c>
      <c r="V55" s="245"/>
      <c r="W55" s="246"/>
      <c r="X55" s="61" t="str">
        <f>IF(SUM(AQ56:AR56)=0,"",AR56&amp;":"&amp;AQ56)</f>
        <v>19:21</v>
      </c>
      <c r="Y55" s="62"/>
      <c r="Z55" s="37" t="str">
        <f>IF(SUM(AQ55:AR55)=0,"",AQ55&amp;":"&amp;AR55)</f>
        <v>18:21</v>
      </c>
      <c r="AA55" s="248"/>
      <c r="AB55" s="251"/>
      <c r="AC55" s="251"/>
      <c r="AD55" s="254"/>
      <c r="AE55" s="2"/>
      <c r="AF55" s="12"/>
      <c r="AG55" s="12"/>
      <c r="AH55" s="44" t="s">
        <v>17</v>
      </c>
      <c r="AI55" s="63">
        <f>IF(ISBLANK(S55),"",VLOOKUP(S55,'[2]plan gier'!$X$1:$AN$65536,12,FALSE))</f>
        <v>21</v>
      </c>
      <c r="AJ55" s="64">
        <f>IF(ISBLANK(S55),"",VLOOKUP(S55,'[2]plan gier'!$X$1:$AN$65536,13,FALSE))</f>
        <v>3</v>
      </c>
      <c r="AK55" s="64">
        <f>IF(ISBLANK(S55),"",VLOOKUP(S55,'[2]plan gier'!$X$1:$AN$65536,14,FALSE))</f>
        <v>18</v>
      </c>
      <c r="AL55" s="64">
        <f>IF(ISBLANK(S55),"",VLOOKUP(S55,'[2]plan gier'!$X$1:$AN$65536,15,FALSE))</f>
        <v>21</v>
      </c>
      <c r="AM55" s="64">
        <f>IF(ISBLANK(S55),"",VLOOKUP(S55,'[2]plan gier'!$X$1:$AN$65536,16,FALSE))</f>
        <v>21</v>
      </c>
      <c r="AN55" s="64">
        <f>IF(ISBLANK(S55),"",VLOOKUP(S55,'[2]plan gier'!$X$1:$AN$65536,17,FALSE))</f>
        <v>13</v>
      </c>
      <c r="AO55" s="65">
        <f t="shared" si="4"/>
        <v>21</v>
      </c>
      <c r="AP55" s="64">
        <f t="shared" si="4"/>
        <v>3</v>
      </c>
      <c r="AQ55" s="66">
        <f t="shared" si="4"/>
        <v>18</v>
      </c>
      <c r="AR55" s="64">
        <f t="shared" si="4"/>
        <v>21</v>
      </c>
      <c r="AS55" s="66">
        <f t="shared" si="4"/>
        <v>21</v>
      </c>
      <c r="AT55" s="64">
        <f t="shared" si="4"/>
        <v>13</v>
      </c>
      <c r="AU55" s="54">
        <f>SUM(AO55:AT55)</f>
        <v>97</v>
      </c>
      <c r="AV55" s="13">
        <v>2</v>
      </c>
      <c r="AW55" s="63">
        <f>IF(AI56&lt;AJ56,1,0)+IF(AK56&lt;AL56,1,0)+IF(AM56&lt;AN56,1,0)</f>
        <v>2</v>
      </c>
      <c r="AX55" s="64">
        <f>AY54</f>
        <v>1</v>
      </c>
      <c r="AY55" s="67"/>
      <c r="AZ55" s="68"/>
      <c r="BA55" s="64">
        <f>IF(AI55&gt;AJ55,1,0)+IF(AK55&gt;AL55,1,0)+IF(AM55&gt;AN55,1,0)</f>
        <v>2</v>
      </c>
      <c r="BB55" s="69">
        <f>AY56</f>
        <v>1</v>
      </c>
      <c r="BE55" s="63">
        <f>AO55+AQ55+AS55+AP56+AR56+AT56</f>
        <v>121</v>
      </c>
      <c r="BF55" s="69">
        <f>AP55+AR55+AT55+AO56+AQ56+AS56</f>
        <v>81</v>
      </c>
      <c r="BG55" s="63">
        <f>AW55+BA55</f>
        <v>4</v>
      </c>
      <c r="BH55" s="69">
        <f>AX55+BB55</f>
        <v>2</v>
      </c>
      <c r="BI55" s="63">
        <f>IF(AW55&gt;AX55,1,0)+IF(BA55&gt;BB55,1,0)</f>
        <v>2</v>
      </c>
      <c r="BJ55" s="70">
        <f>IF(AX55&gt;AW55,1,0)+IF(BB55&gt;BA55,1,0)</f>
        <v>0</v>
      </c>
      <c r="BK55" s="71">
        <f>IF(BI55+BJ55=0,"",IF(BL55=MAX(BL54:BL56),1,IF(BL55=MIN(BL54:BL56),3,2)))</f>
        <v>1</v>
      </c>
      <c r="BL55" s="60">
        <f>IF(BI55+BJ55&lt;&gt;0,BI55+1+(BG55-BH55)/100+(BE55-BF55)/100000+(BE55/BF55)/1000000,0)</f>
        <v>3.0204014938271606</v>
      </c>
    </row>
    <row r="56" spans="1:64" ht="11.45" customHeight="1" thickBot="1" x14ac:dyDescent="0.25">
      <c r="A56" s="19">
        <f>S56</f>
        <v>188</v>
      </c>
      <c r="B56" s="2" t="str">
        <f>IF(N52="","",N52)</f>
        <v>R3364</v>
      </c>
      <c r="C56" s="2" t="str">
        <f>IF(N53="","",N53)</f>
        <v/>
      </c>
      <c r="D56" s="2" t="str">
        <f>IF(N55="","",N55)</f>
        <v>P2838</v>
      </c>
      <c r="E56" s="2" t="str">
        <f>IF(N56="","",N56)</f>
        <v/>
      </c>
      <c r="I56" s="2" t="str">
        <f>"3"&amp;O50&amp;N51</f>
        <v>35pojedyncza kobiet J</v>
      </c>
      <c r="J56" s="10" t="str">
        <f>IF(AD57="","",IF(AD51=3,N52,IF(AD54=3,N55,IF(AD57=3,N58,""))))</f>
        <v>R3364</v>
      </c>
      <c r="K56" s="10">
        <f>IF(AD57="","",IF(AD51=3,N53,IF(AD54=3,N56,IF(AD57=3,N59,""))))</f>
        <v>0</v>
      </c>
      <c r="M56" s="42" t="str">
        <f>N51</f>
        <v>pojedyncza kobiet J</v>
      </c>
      <c r="N56" s="38"/>
      <c r="O56" s="28"/>
      <c r="P56" s="28"/>
      <c r="Q56" s="43" t="str">
        <f>IF(AU56&gt;0,"",IF(A56=0,"",IF(VLOOKUP(A56,'[2]plan gier'!A$1:S$65536,19,FALSE)="","",VLOOKUP(A56,'[2]plan gier'!A$1:S$65536,19,FALSE))))</f>
        <v/>
      </c>
      <c r="R56" s="72" t="s">
        <v>18</v>
      </c>
      <c r="S56" s="45">
        <v>188</v>
      </c>
      <c r="T56" s="261"/>
      <c r="U56" s="265" t="str">
        <f>IF(N56&lt;&gt;"",CONCATENATE(VLOOKUP(N56,[2]zawodnicy!$A$1:$E$65536,1,FALSE)," ",VLOOKUP(N56,[2]zawodnicy!$A$1:$E$65536,2,FALSE)," ",VLOOKUP(N56,[2]zawodnicy!$A$1:$E$65536,3,FALSE)," - ",VLOOKUP(N56,[2]zawodnicy!$A$1:$E$65536,4,FALSE)),"")</f>
        <v/>
      </c>
      <c r="V56" s="266"/>
      <c r="W56" s="267"/>
      <c r="X56" s="73" t="str">
        <f>IF(SUM(AS56:AT56)=0,"",AT56&amp;":"&amp;AS56)</f>
        <v>21:10</v>
      </c>
      <c r="Y56" s="62"/>
      <c r="Z56" s="40" t="str">
        <f>IF(SUM(AS55:AT55)=0,"",AS55&amp;":"&amp;AT55)</f>
        <v>21:13</v>
      </c>
      <c r="AA56" s="262"/>
      <c r="AB56" s="263"/>
      <c r="AC56" s="263"/>
      <c r="AD56" s="264"/>
      <c r="AE56" s="2"/>
      <c r="AF56" s="12"/>
      <c r="AG56" s="12"/>
      <c r="AH56" s="72" t="s">
        <v>18</v>
      </c>
      <c r="AI56" s="74">
        <f>IF(ISBLANK(S56),"",VLOOKUP(S56,'[2]plan gier'!$X$1:$AN$65536,12,FALSE))</f>
        <v>13</v>
      </c>
      <c r="AJ56" s="75">
        <f>IF(ISBLANK(S56),"",VLOOKUP(S56,'[2]plan gier'!$X$1:$AN$65536,13,FALSE))</f>
        <v>21</v>
      </c>
      <c r="AK56" s="75">
        <f>IF(ISBLANK(S56),"",VLOOKUP(S56,'[2]plan gier'!$X$1:$AN$65536,14,FALSE))</f>
        <v>21</v>
      </c>
      <c r="AL56" s="75">
        <f>IF(ISBLANK(S56),"",VLOOKUP(S56,'[2]plan gier'!$X$1:$AN$65536,15,FALSE))</f>
        <v>19</v>
      </c>
      <c r="AM56" s="75">
        <f>IF(ISBLANK(S56),"",VLOOKUP(S56,'[2]plan gier'!$X$1:$AN$65536,16,FALSE))</f>
        <v>10</v>
      </c>
      <c r="AN56" s="75">
        <f>IF(ISBLANK(S56),"",VLOOKUP(S56,'[2]plan gier'!$X$1:$AN$65536,17,FALSE))</f>
        <v>21</v>
      </c>
      <c r="AO56" s="76">
        <f t="shared" si="4"/>
        <v>13</v>
      </c>
      <c r="AP56" s="75">
        <f t="shared" si="4"/>
        <v>21</v>
      </c>
      <c r="AQ56" s="77">
        <f t="shared" si="4"/>
        <v>21</v>
      </c>
      <c r="AR56" s="75">
        <f t="shared" si="4"/>
        <v>19</v>
      </c>
      <c r="AS56" s="77">
        <f t="shared" si="4"/>
        <v>10</v>
      </c>
      <c r="AT56" s="75">
        <f t="shared" si="4"/>
        <v>21</v>
      </c>
      <c r="AU56" s="54">
        <f>SUM(AO56:AT56)</f>
        <v>105</v>
      </c>
      <c r="AV56" s="13">
        <v>3</v>
      </c>
      <c r="AW56" s="74">
        <f>IF(AI54&lt;AJ54,1,0)+IF(AK54&lt;AL54,1,0)+IF(AM54&lt;AN54,1,0)</f>
        <v>2</v>
      </c>
      <c r="AX56" s="75">
        <f>BA54</f>
        <v>0</v>
      </c>
      <c r="AY56" s="75">
        <f>IF(AI55&lt;AJ55,1,0)+IF(AK55&lt;AL55,1,0)+IF(AM55&lt;AN55,1,0)</f>
        <v>1</v>
      </c>
      <c r="AZ56" s="75">
        <f>BA55</f>
        <v>2</v>
      </c>
      <c r="BA56" s="78"/>
      <c r="BB56" s="79"/>
      <c r="BE56" s="74">
        <f>AP54+AR54+AT54+AP55+AR55+AT55</f>
        <v>97</v>
      </c>
      <c r="BF56" s="80">
        <f>AO54+AQ54+AS54+AO55+AQ55+AS55</f>
        <v>118</v>
      </c>
      <c r="BG56" s="74">
        <f>AW56+AY56</f>
        <v>3</v>
      </c>
      <c r="BH56" s="80">
        <f>AX56+AZ56</f>
        <v>2</v>
      </c>
      <c r="BI56" s="74">
        <f>IF(AW56&gt;AX56,1,0)+IF(AY56&gt;AZ56,1,0)</f>
        <v>1</v>
      </c>
      <c r="BJ56" s="81">
        <f>IF(AX56&gt;AW56,1,0)+IF(AZ56&gt;AY56,1,0)</f>
        <v>1</v>
      </c>
      <c r="BK56" s="82">
        <f>IF(BI56+BJ56=0,"",IF(BL56=MAX(BL54:BL56),1,IF(BL56=MIN(BL54:BL56),3,2)))</f>
        <v>2</v>
      </c>
      <c r="BL56" s="60">
        <f>IF(BI56+BJ56&lt;&gt;0,BI56+1+(BG56-BH56)/100+(BE56-BF56)/100000+(BE56/BF56)/1000000,0)</f>
        <v>2.009790822033898</v>
      </c>
    </row>
    <row r="57" spans="1:64" ht="11.45" customHeight="1" x14ac:dyDescent="0.2">
      <c r="A57" s="2"/>
      <c r="J57" s="28"/>
      <c r="K57" s="28"/>
      <c r="L57" s="28"/>
      <c r="O57" s="28"/>
      <c r="P57" s="28"/>
      <c r="Q57" s="2"/>
      <c r="R57" s="2"/>
      <c r="S57" s="2"/>
      <c r="T57" s="241">
        <v>3</v>
      </c>
      <c r="U57" s="244" t="str">
        <f>IF(AND(N58&lt;&gt;"",N59&lt;&gt;""),CONCATENATE(VLOOKUP(N58,[2]zawodnicy!$A$1:$E$65536,1,FALSE)," ",VLOOKUP(N58,[2]zawodnicy!$A$1:$E$65536,2,FALSE)," ",VLOOKUP(N58,[2]zawodnicy!$A$1:$E$65536,3,FALSE)," - ",VLOOKUP(N58,[2]zawodnicy!$A$1:$E$65536,4,FALSE)),"")</f>
        <v/>
      </c>
      <c r="V57" s="245"/>
      <c r="W57" s="246"/>
      <c r="X57" s="46" t="str">
        <f>IF(SUM(AO54:AP54)=0,"",AP54&amp;":"&amp;AO54)</f>
        <v>30:29</v>
      </c>
      <c r="Y57" s="83" t="str">
        <f>IF(SUM(AO55:AP55)=0,"",AP55&amp;":"&amp;AO55)</f>
        <v>3:21</v>
      </c>
      <c r="Z57" s="84"/>
      <c r="AA57" s="247" t="str">
        <f>IF(SUM(AW56:AZ56)=0,"",BE56&amp;":"&amp;BF56)</f>
        <v>97:118</v>
      </c>
      <c r="AB57" s="250" t="str">
        <f>IF(SUM(AW56:AZ56)=0,"",BG56&amp;":"&amp;BH56)</f>
        <v>3:2</v>
      </c>
      <c r="AC57" s="250" t="str">
        <f>IF(SUM(AW56:AZ56)=0,"",BI56&amp;":"&amp;BJ56)</f>
        <v>1:1</v>
      </c>
      <c r="AD57" s="253">
        <f>IF(SUM(BI54:BI56)&gt;0,BK56,"")</f>
        <v>2</v>
      </c>
      <c r="AE57" s="2"/>
      <c r="AF57" s="12"/>
      <c r="AG57" s="12"/>
      <c r="BE57" s="19">
        <f>SUM(BE54:BE56)</f>
        <v>320</v>
      </c>
      <c r="BF57" s="19">
        <f>SUM(BF54:BF56)</f>
        <v>320</v>
      </c>
      <c r="BG57" s="19">
        <f>SUM(BG54:BG56)</f>
        <v>8</v>
      </c>
      <c r="BH57" s="19">
        <f>SUM(BH54:BH56)</f>
        <v>8</v>
      </c>
      <c r="BK57" s="19"/>
      <c r="BL57" s="20"/>
    </row>
    <row r="58" spans="1:64" ht="11.45" customHeight="1" x14ac:dyDescent="0.2">
      <c r="A58" s="19"/>
      <c r="J58" s="19"/>
      <c r="K58" s="19"/>
      <c r="L58" s="19"/>
      <c r="N58" s="33" t="s">
        <v>31</v>
      </c>
      <c r="O58" s="34">
        <f>IF(O50&gt;0,(O50&amp;3)*1,"")</f>
        <v>53</v>
      </c>
      <c r="Q58" s="85"/>
      <c r="R58" s="85"/>
      <c r="S58" s="85"/>
      <c r="T58" s="242"/>
      <c r="U58" s="244" t="str">
        <f>IF(AND(N58&lt;&gt;"",N59=""),CONCATENATE(VLOOKUP(N58,[2]zawodnicy!$A$1:$E$65536,1,FALSE)," ",VLOOKUP(N58,[2]zawodnicy!$A$1:$E$65536,2,FALSE)," ",VLOOKUP(N58,[2]zawodnicy!$A$1:$E$65536,3,FALSE)," - ",VLOOKUP(N58,[2]zawodnicy!$A$1:$E$65536,4,FALSE)),"")</f>
        <v>G2661 Diana GŁOWACKA - LUKS Księżyno</v>
      </c>
      <c r="V58" s="245"/>
      <c r="W58" s="246"/>
      <c r="X58" s="61" t="str">
        <f>IF(SUM(AQ54:AR54)=0,"",AR54&amp;":"&amp;AQ54)</f>
        <v>30:29</v>
      </c>
      <c r="Y58" s="36" t="str">
        <f>IF(SUM(AQ55:AR55)=0,"",AR55&amp;":"&amp;AQ55)</f>
        <v>21:18</v>
      </c>
      <c r="Z58" s="86"/>
      <c r="AA58" s="248"/>
      <c r="AB58" s="251"/>
      <c r="AC58" s="251"/>
      <c r="AD58" s="254"/>
      <c r="AE58" s="2"/>
      <c r="AF58" s="12"/>
      <c r="AG58" s="1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row>
    <row r="59" spans="1:64" ht="11.45" customHeight="1" thickBot="1" x14ac:dyDescent="0.25">
      <c r="A59" s="2"/>
      <c r="J59" s="28"/>
      <c r="K59" s="28"/>
      <c r="L59" s="28"/>
      <c r="N59" s="38"/>
      <c r="O59" s="28"/>
      <c r="P59" s="28"/>
      <c r="Q59" s="2"/>
      <c r="R59" s="2"/>
      <c r="S59" s="2"/>
      <c r="T59" s="243"/>
      <c r="U59" s="256" t="str">
        <f>IF(N59&lt;&gt;"",CONCATENATE(VLOOKUP(N59,[2]zawodnicy!$A$1:$E$65536,1,FALSE)," ",VLOOKUP(N59,[2]zawodnicy!$A$1:$E$65536,2,FALSE)," ",VLOOKUP(N59,[2]zawodnicy!$A$1:$E$65536,3,FALSE)," - ",VLOOKUP(N59,[2]zawodnicy!$A$1:$E$65536,4,FALSE)),"")</f>
        <v/>
      </c>
      <c r="V59" s="257"/>
      <c r="W59" s="258"/>
      <c r="X59" s="87" t="str">
        <f>IF(SUM(AS54:AT54)=0,"",AT54&amp;":"&amp;AS54)</f>
        <v/>
      </c>
      <c r="Y59" s="88" t="str">
        <f>IF(SUM(AS55:AT55)=0,"",AT55&amp;":"&amp;AS55)</f>
        <v>13:21</v>
      </c>
      <c r="Z59" s="89"/>
      <c r="AA59" s="249"/>
      <c r="AB59" s="252"/>
      <c r="AC59" s="252"/>
      <c r="AD59" s="255"/>
      <c r="AE59" s="10"/>
      <c r="AF59" s="12"/>
      <c r="AG59" s="1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row>
    <row r="60" spans="1:64" s="19" customFormat="1" ht="5.0999999999999996" customHeight="1" thickBot="1" x14ac:dyDescent="0.25">
      <c r="M60" s="90"/>
      <c r="O60" s="90"/>
      <c r="P60" s="90"/>
      <c r="Q60" s="91"/>
      <c r="R60" s="91"/>
      <c r="S60" s="91"/>
      <c r="T60" s="91"/>
      <c r="U60" s="5"/>
      <c r="V60" s="5"/>
      <c r="W60" s="5"/>
      <c r="AA60" s="92"/>
      <c r="AB60" s="91"/>
      <c r="AC60" s="91"/>
      <c r="AD60" s="91"/>
      <c r="AE60" s="91"/>
      <c r="AF60" s="91"/>
      <c r="AI60" s="93"/>
      <c r="AJ60" s="94"/>
      <c r="AK60" s="94"/>
    </row>
    <row r="61" spans="1:64" ht="11.45" customHeight="1" thickBot="1" x14ac:dyDescent="0.25">
      <c r="N61" s="11"/>
      <c r="O61" s="21">
        <v>6</v>
      </c>
      <c r="Q61" s="277" t="str">
        <f>"Grupa "&amp;O61&amp;"."</f>
        <v>Grupa 6.</v>
      </c>
      <c r="R61" s="277"/>
      <c r="S61" s="277"/>
      <c r="T61" s="22" t="s">
        <v>1</v>
      </c>
      <c r="U61" s="278" t="s">
        <v>2</v>
      </c>
      <c r="V61" s="279"/>
      <c r="W61" s="280"/>
      <c r="X61" s="22">
        <v>1</v>
      </c>
      <c r="Y61" s="23">
        <v>2</v>
      </c>
      <c r="Z61" s="24">
        <v>3</v>
      </c>
      <c r="AA61" s="25" t="s">
        <v>3</v>
      </c>
      <c r="AB61" s="26" t="s">
        <v>4</v>
      </c>
      <c r="AC61" s="26" t="s">
        <v>5</v>
      </c>
      <c r="AD61" s="27" t="s">
        <v>6</v>
      </c>
      <c r="AE61" s="2"/>
      <c r="AF61" s="12"/>
      <c r="AG61" s="12"/>
      <c r="BK61" s="19"/>
      <c r="BL61" s="20"/>
    </row>
    <row r="62" spans="1:64" ht="11.45" customHeight="1" x14ac:dyDescent="0.2">
      <c r="J62" s="28"/>
      <c r="K62" s="28"/>
      <c r="L62" s="28"/>
      <c r="N62" s="29" t="s">
        <v>0</v>
      </c>
      <c r="Q62" s="274" t="s">
        <v>7</v>
      </c>
      <c r="R62" s="274"/>
      <c r="S62" s="275" t="s">
        <v>8</v>
      </c>
      <c r="T62" s="276">
        <v>1</v>
      </c>
      <c r="U62" s="244" t="str">
        <f>IF(AND(N63&lt;&gt;"",N64&lt;&gt;""),CONCATENATE(VLOOKUP(N63,[2]zawodnicy!$A$1:$E$65536,1,FALSE)," ",VLOOKUP(N63,[2]zawodnicy!$A$1:$E$65536,2,FALSE)," ",VLOOKUP(N63,[2]zawodnicy!$A$1:$E$65536,3,FALSE)," - ",VLOOKUP(N63,[2]zawodnicy!$A$1:$E$65536,4,FALSE)),"")</f>
        <v/>
      </c>
      <c r="V62" s="245"/>
      <c r="W62" s="246"/>
      <c r="X62" s="30"/>
      <c r="Y62" s="31" t="str">
        <f>IF(SUM(AO67:AP67)=0,"",AO67&amp;":"&amp;AP67)</f>
        <v>21:9</v>
      </c>
      <c r="Z62" s="32" t="str">
        <f>IF(SUM(AO65:AP65)=0,"",AO65&amp;":"&amp;AP65)</f>
        <v>21:14</v>
      </c>
      <c r="AA62" s="270" t="str">
        <f>IF(SUM(AY65:BB65)=0,"",BE65&amp;":"&amp;BF65)</f>
        <v>104:69</v>
      </c>
      <c r="AB62" s="271" t="str">
        <f>IF(SUM(AY65:BB65)=0,"",BG65&amp;":"&amp;BH65)</f>
        <v>4:1</v>
      </c>
      <c r="AC62" s="271" t="str">
        <f>IF(SUM(AY65:BB65)=0,"",BI65&amp;":"&amp;BJ65)</f>
        <v>2:0</v>
      </c>
      <c r="AD62" s="272">
        <f>IF(SUM(BI65:BI67)&gt;0,BK65,"")</f>
        <v>1</v>
      </c>
      <c r="AE62" s="2"/>
      <c r="AF62" s="12"/>
      <c r="AG62" s="12"/>
      <c r="AH62" s="14"/>
      <c r="AI62" s="273" t="s">
        <v>9</v>
      </c>
      <c r="AJ62" s="273"/>
      <c r="AK62" s="273"/>
      <c r="AL62" s="273"/>
      <c r="AM62" s="273"/>
      <c r="AN62" s="273"/>
      <c r="AO62" s="273" t="s">
        <v>10</v>
      </c>
      <c r="AP62" s="273"/>
      <c r="AQ62" s="273"/>
      <c r="AR62" s="273"/>
      <c r="AS62" s="273"/>
      <c r="AT62" s="273"/>
      <c r="BK62" s="19"/>
      <c r="BL62" s="20"/>
    </row>
    <row r="63" spans="1:64" ht="11.45" customHeight="1" thickBot="1" x14ac:dyDescent="0.25">
      <c r="I63" s="2" t="str">
        <f>"1"&amp;O61&amp;N62</f>
        <v>16pojedyncza kobiet J</v>
      </c>
      <c r="J63" s="10" t="str">
        <f>IF(AD62="","",IF(AD62=1,N63,IF(AD65=1,N66,IF(AD68=1,N69,""))))</f>
        <v>D3155</v>
      </c>
      <c r="K63" s="10">
        <f>IF(AD62="","",IF(AD62=1,N64,IF(AD65=1,N67,IF(AD68=1,N70,""))))</f>
        <v>0</v>
      </c>
      <c r="L63" s="10"/>
      <c r="N63" s="33" t="s">
        <v>32</v>
      </c>
      <c r="O63" s="34">
        <f>IF(O61&gt;0,(O61&amp;1)*1,"")</f>
        <v>61</v>
      </c>
      <c r="Q63" s="274"/>
      <c r="R63" s="274"/>
      <c r="S63" s="275"/>
      <c r="T63" s="242"/>
      <c r="U63" s="244" t="str">
        <f>IF(AND(N63&lt;&gt;"",N64=""),CONCATENATE(VLOOKUP(N63,[2]zawodnicy!$A$1:$E$65536,1,FALSE)," ",VLOOKUP(N63,[2]zawodnicy!$A$1:$E$65536,2,FALSE)," ",VLOOKUP(N63,[2]zawodnicy!$A$1:$E$65536,3,FALSE)," - ",VLOOKUP(N63,[2]zawodnicy!$A$1:$E$65536,4,FALSE)),"")</f>
        <v>D3155 Anna DĘBSKA - UKSB Milenium Warszawa</v>
      </c>
      <c r="V63" s="245"/>
      <c r="W63" s="246"/>
      <c r="X63" s="35"/>
      <c r="Y63" s="36" t="str">
        <f>IF(SUM(AQ67:AR67)=0,"",AQ67&amp;":"&amp;AR67)</f>
        <v>20:22</v>
      </c>
      <c r="Z63" s="37" t="str">
        <f>IF(SUM(AQ65:AR65)=0,"",AQ65&amp;":"&amp;AR65)</f>
        <v>21:7</v>
      </c>
      <c r="AA63" s="248"/>
      <c r="AB63" s="251"/>
      <c r="AC63" s="251"/>
      <c r="AD63" s="254"/>
      <c r="AE63" s="2"/>
      <c r="AF63" s="12"/>
      <c r="AG63" s="12"/>
      <c r="AH63" s="14"/>
      <c r="BE63" s="19">
        <f>SUM(BE65:BE67)</f>
        <v>247</v>
      </c>
      <c r="BF63" s="19">
        <f>SUM(BF65:BF67)</f>
        <v>247</v>
      </c>
      <c r="BG63" s="19">
        <f>SUM(BG65:BG67)</f>
        <v>7</v>
      </c>
      <c r="BH63" s="19">
        <f>SUM(BH65:BH67)</f>
        <v>7</v>
      </c>
      <c r="BK63" s="19"/>
      <c r="BL63" s="20"/>
    </row>
    <row r="64" spans="1:64" ht="11.45" customHeight="1" thickBot="1" x14ac:dyDescent="0.25">
      <c r="J64" s="10"/>
      <c r="K64" s="28"/>
      <c r="L64" s="28"/>
      <c r="N64" s="38"/>
      <c r="O64" s="28"/>
      <c r="P64" s="28"/>
      <c r="Q64" s="274"/>
      <c r="R64" s="274"/>
      <c r="S64" s="275"/>
      <c r="T64" s="261"/>
      <c r="U64" s="265" t="str">
        <f>IF(N64&lt;&gt;"",CONCATENATE(VLOOKUP(N64,[2]zawodnicy!$A$1:$E$65536,1,FALSE)," ",VLOOKUP(N64,[2]zawodnicy!$A$1:$E$65536,2,FALSE)," ",VLOOKUP(N64,[2]zawodnicy!$A$1:$E$65536,3,FALSE)," - ",VLOOKUP(N64,[2]zawodnicy!$A$1:$E$65536,4,FALSE)),"")</f>
        <v/>
      </c>
      <c r="V64" s="266"/>
      <c r="W64" s="267"/>
      <c r="X64" s="35"/>
      <c r="Y64" s="39" t="str">
        <f>IF(SUM(AS67:AT67)=0,"",AS67&amp;":"&amp;AT67)</f>
        <v>21:17</v>
      </c>
      <c r="Z64" s="40" t="str">
        <f>IF(SUM(AS65:AT65)=0,"",AS65&amp;":"&amp;AT65)</f>
        <v/>
      </c>
      <c r="AA64" s="262"/>
      <c r="AB64" s="263"/>
      <c r="AC64" s="263"/>
      <c r="AD64" s="264"/>
      <c r="AE64" s="2"/>
      <c r="AF64" s="12"/>
      <c r="AG64" s="12"/>
      <c r="AH64" s="14"/>
      <c r="AI64" s="259" t="s">
        <v>12</v>
      </c>
      <c r="AJ64" s="269"/>
      <c r="AK64" s="268" t="s">
        <v>13</v>
      </c>
      <c r="AL64" s="269"/>
      <c r="AM64" s="268" t="s">
        <v>14</v>
      </c>
      <c r="AN64" s="260"/>
      <c r="AO64" s="259" t="s">
        <v>12</v>
      </c>
      <c r="AP64" s="269"/>
      <c r="AQ64" s="268" t="s">
        <v>13</v>
      </c>
      <c r="AR64" s="269"/>
      <c r="AS64" s="268" t="s">
        <v>14</v>
      </c>
      <c r="AT64" s="269"/>
      <c r="AU64" s="12"/>
      <c r="AV64" s="12"/>
      <c r="AW64" s="259">
        <v>1</v>
      </c>
      <c r="AX64" s="269"/>
      <c r="AY64" s="268">
        <v>2</v>
      </c>
      <c r="AZ64" s="269"/>
      <c r="BA64" s="268">
        <v>3</v>
      </c>
      <c r="BB64" s="260"/>
      <c r="BE64" s="259" t="s">
        <v>3</v>
      </c>
      <c r="BF64" s="260"/>
      <c r="BG64" s="259" t="s">
        <v>4</v>
      </c>
      <c r="BH64" s="260"/>
      <c r="BI64" s="259" t="s">
        <v>5</v>
      </c>
      <c r="BJ64" s="260"/>
      <c r="BK64" s="41" t="s">
        <v>6</v>
      </c>
      <c r="BL64" s="20"/>
    </row>
    <row r="65" spans="1:64" ht="11.45" customHeight="1" x14ac:dyDescent="0.2">
      <c r="A65" s="19">
        <f>S65</f>
        <v>59</v>
      </c>
      <c r="B65" s="2" t="str">
        <f>IF(N63="","",N63)</f>
        <v>D3155</v>
      </c>
      <c r="C65" s="2" t="str">
        <f>IF(N64="","",N64)</f>
        <v/>
      </c>
      <c r="D65" s="2" t="str">
        <f>IF(N69="","",N69)</f>
        <v>K3257</v>
      </c>
      <c r="E65" s="2" t="str">
        <f>IF(N70="","",N70)</f>
        <v/>
      </c>
      <c r="I65" s="2" t="str">
        <f>"2"&amp;O61&amp;N62</f>
        <v>26pojedyncza kobiet J</v>
      </c>
      <c r="J65" s="10" t="str">
        <f>IF(AD65="","",IF(AD62=2,N63,IF(AD65=2,N66,IF(AD68=2,N69,""))))</f>
        <v>S3950</v>
      </c>
      <c r="K65" s="10">
        <f>IF(AD65="","",IF(AD62=2,N64,IF(AD65=2,N67,IF(AD68=2,N70,""))))</f>
        <v>0</v>
      </c>
      <c r="M65" s="42" t="str">
        <f>N62</f>
        <v>pojedyncza kobiet J</v>
      </c>
      <c r="O65" s="28"/>
      <c r="P65" s="28"/>
      <c r="Q65" s="43" t="str">
        <f>IF(AU65&gt;0,"",IF(A65=0,"",IF(VLOOKUP(A65,'[2]plan gier'!A$1:S$65536,19,FALSE)="","",VLOOKUP(A65,'[2]plan gier'!A$1:S$65536,19,FALSE))))</f>
        <v/>
      </c>
      <c r="R65" s="44" t="s">
        <v>15</v>
      </c>
      <c r="S65" s="45">
        <v>59</v>
      </c>
      <c r="T65" s="241">
        <v>2</v>
      </c>
      <c r="U65" s="244" t="str">
        <f>IF(AND(N66&lt;&gt;"",N67&lt;&gt;""),CONCATENATE(VLOOKUP(N66,[2]zawodnicy!$A$1:$E$65536,1,FALSE)," ",VLOOKUP(N66,[2]zawodnicy!$A$1:$E$65536,2,FALSE)," ",VLOOKUP(N66,[2]zawodnicy!$A$1:$E$65536,3,FALSE)," - ",VLOOKUP(N66,[2]zawodnicy!$A$1:$E$65536,4,FALSE)),"")</f>
        <v/>
      </c>
      <c r="V65" s="245"/>
      <c r="W65" s="246"/>
      <c r="X65" s="46" t="str">
        <f>IF(SUM(AO67:AP67)=0,"",AP67&amp;":"&amp;AO67)</f>
        <v>9:21</v>
      </c>
      <c r="Y65" s="47"/>
      <c r="Z65" s="48" t="str">
        <f>IF(SUM(AO66:AP66)=0,"",AO66&amp;":"&amp;AP66)</f>
        <v>21:19</v>
      </c>
      <c r="AA65" s="247" t="str">
        <f>IF(SUM(AW66:AX66,BA66:BB66)=0,"",BE66&amp;":"&amp;BF66)</f>
        <v>90:94</v>
      </c>
      <c r="AB65" s="250" t="str">
        <f>IF(SUM(AW66:AX66,BA66:BB66)=0,"",BG66&amp;":"&amp;BH66)</f>
        <v>3:2</v>
      </c>
      <c r="AC65" s="250" t="str">
        <f>IF(SUM(AW66:AX66,BA66:BB66)=0,"",BI66&amp;":"&amp;BJ66)</f>
        <v>1:1</v>
      </c>
      <c r="AD65" s="253">
        <f>IF(SUM(BI65:BI67)&gt;0,BK66,"")</f>
        <v>2</v>
      </c>
      <c r="AE65" s="2"/>
      <c r="AF65" s="12"/>
      <c r="AG65" s="12"/>
      <c r="AH65" s="44" t="s">
        <v>15</v>
      </c>
      <c r="AI65" s="49">
        <f>IF(ISBLANK(S65),"",VLOOKUP(S65,'[2]plan gier'!$X$1:$AN$65536,12,FALSE))</f>
        <v>21</v>
      </c>
      <c r="AJ65" s="50">
        <f>IF(ISBLANK(S65),"",VLOOKUP(S65,'[2]plan gier'!$X$1:$AN$65536,13,FALSE))</f>
        <v>14</v>
      </c>
      <c r="AK65" s="50">
        <f>IF(ISBLANK(S65),"",VLOOKUP(S65,'[2]plan gier'!$X$1:$AN$65536,14,FALSE))</f>
        <v>21</v>
      </c>
      <c r="AL65" s="50">
        <f>IF(ISBLANK(S65),"",VLOOKUP(S65,'[2]plan gier'!$X$1:$AN$65536,15,FALSE))</f>
        <v>7</v>
      </c>
      <c r="AM65" s="50">
        <f>IF(ISBLANK(S65),"",VLOOKUP(S65,'[2]plan gier'!$X$1:$AN$65536,16,FALSE))</f>
        <v>0</v>
      </c>
      <c r="AN65" s="50">
        <f>IF(ISBLANK(S65),"",VLOOKUP(S65,'[2]plan gier'!$X$1:$AN$65536,17,FALSE))</f>
        <v>0</v>
      </c>
      <c r="AO65" s="51">
        <f t="shared" ref="AO65:AT67" si="5">IF(AI65="",0,AI65)</f>
        <v>21</v>
      </c>
      <c r="AP65" s="52">
        <f t="shared" si="5"/>
        <v>14</v>
      </c>
      <c r="AQ65" s="53">
        <f t="shared" si="5"/>
        <v>21</v>
      </c>
      <c r="AR65" s="52">
        <f t="shared" si="5"/>
        <v>7</v>
      </c>
      <c r="AS65" s="53">
        <f t="shared" si="5"/>
        <v>0</v>
      </c>
      <c r="AT65" s="52">
        <f t="shared" si="5"/>
        <v>0</v>
      </c>
      <c r="AU65" s="54">
        <f>SUM(AO65:AT65)</f>
        <v>63</v>
      </c>
      <c r="AV65" s="13">
        <v>1</v>
      </c>
      <c r="AW65" s="55"/>
      <c r="AX65" s="56"/>
      <c r="AY65" s="50">
        <f>IF(AI67&gt;AJ67,1,0)+IF(AK67&gt;AL67,1,0)+IF(AM67&gt;AN67,1,0)</f>
        <v>2</v>
      </c>
      <c r="AZ65" s="50">
        <f>AW66</f>
        <v>1</v>
      </c>
      <c r="BA65" s="50">
        <f>IF(AI65&gt;AJ65,1,0)+IF(AK65&gt;AL65,1,0)+IF(AM65&gt;AN65,1,0)</f>
        <v>2</v>
      </c>
      <c r="BB65" s="57">
        <f>AW67</f>
        <v>0</v>
      </c>
      <c r="BE65" s="49">
        <f>AO65+AQ65+AS65+AO67+AQ67+AS67</f>
        <v>104</v>
      </c>
      <c r="BF65" s="57">
        <f>AP65+AR65+AT65+AP67+AR67+AT67</f>
        <v>69</v>
      </c>
      <c r="BG65" s="49">
        <f>AY65+BA65</f>
        <v>4</v>
      </c>
      <c r="BH65" s="57">
        <f>AZ65+BB65</f>
        <v>1</v>
      </c>
      <c r="BI65" s="49">
        <f>IF(AY65&gt;AZ65,1,0)+IF(BA65&gt;BB65,1,0)</f>
        <v>2</v>
      </c>
      <c r="BJ65" s="58">
        <f>IF(AZ65&gt;AY65,1,0)+IF(BB65&gt;BA65,1,0)</f>
        <v>0</v>
      </c>
      <c r="BK65" s="59">
        <f>IF(BI65+BJ65=0,"",IF(BL65=MAX(BL65:BL67),1,IF(BL65=MIN(BL65:BL67),3,2)))</f>
        <v>1</v>
      </c>
      <c r="BL65" s="60">
        <f>IF(BI65+BJ65&lt;&gt;0,BI65+1+(BG65-BH65)/100+(BE65-BF65)/100000+(BE65/BF65)/1000000,0)</f>
        <v>3.0303515072463765</v>
      </c>
    </row>
    <row r="66" spans="1:64" ht="11.45" customHeight="1" x14ac:dyDescent="0.2">
      <c r="A66" s="19">
        <f>S66</f>
        <v>124</v>
      </c>
      <c r="B66" s="2" t="str">
        <f>IF(N66="","",N66)</f>
        <v>S3950</v>
      </c>
      <c r="C66" s="2" t="str">
        <f>IF(N67="","",N67)</f>
        <v/>
      </c>
      <c r="D66" s="2" t="str">
        <f>IF(N69="","",N69)</f>
        <v>K3257</v>
      </c>
      <c r="E66" s="2" t="str">
        <f>IF(N70="","",N70)</f>
        <v/>
      </c>
      <c r="J66" s="10"/>
      <c r="K66" s="19"/>
      <c r="M66" s="42" t="str">
        <f>N62</f>
        <v>pojedyncza kobiet J</v>
      </c>
      <c r="N66" s="33" t="s">
        <v>33</v>
      </c>
      <c r="O66" s="34">
        <f>IF(O61&gt;0,(O61&amp;2)*1,"")</f>
        <v>62</v>
      </c>
      <c r="Q66" s="43" t="str">
        <f>IF(AU66&gt;0,"",IF(A66=0,"",IF(VLOOKUP(A66,'[2]plan gier'!A$1:S$65536,19,FALSE)="","",VLOOKUP(A66,'[2]plan gier'!A$1:S$65536,19,FALSE))))</f>
        <v/>
      </c>
      <c r="R66" s="44" t="s">
        <v>17</v>
      </c>
      <c r="S66" s="45">
        <v>124</v>
      </c>
      <c r="T66" s="242"/>
      <c r="U66" s="244" t="str">
        <f>IF(AND(N66&lt;&gt;"",N67=""),CONCATENATE(VLOOKUP(N66,[2]zawodnicy!$A$1:$E$65536,1,FALSE)," ",VLOOKUP(N66,[2]zawodnicy!$A$1:$E$65536,2,FALSE)," ",VLOOKUP(N66,[2]zawodnicy!$A$1:$E$65536,3,FALSE)," - ",VLOOKUP(N66,[2]zawodnicy!$A$1:$E$65536,4,FALSE)),"")</f>
        <v>S3950 Klaudia SOCHA - KS Chojnik Jelenia Góra</v>
      </c>
      <c r="V66" s="245"/>
      <c r="W66" s="246"/>
      <c r="X66" s="61" t="str">
        <f>IF(SUM(AQ67:AR67)=0,"",AR67&amp;":"&amp;AQ67)</f>
        <v>22:20</v>
      </c>
      <c r="Y66" s="62"/>
      <c r="Z66" s="37" t="str">
        <f>IF(SUM(AQ66:AR66)=0,"",AQ66&amp;":"&amp;AR66)</f>
        <v>21:13</v>
      </c>
      <c r="AA66" s="248"/>
      <c r="AB66" s="251"/>
      <c r="AC66" s="251"/>
      <c r="AD66" s="254"/>
      <c r="AE66" s="2"/>
      <c r="AF66" s="12"/>
      <c r="AG66" s="12"/>
      <c r="AH66" s="44" t="s">
        <v>17</v>
      </c>
      <c r="AI66" s="63">
        <f>IF(ISBLANK(S66),"",VLOOKUP(S66,'[2]plan gier'!$X$1:$AN$65536,12,FALSE))</f>
        <v>21</v>
      </c>
      <c r="AJ66" s="64">
        <f>IF(ISBLANK(S66),"",VLOOKUP(S66,'[2]plan gier'!$X$1:$AN$65536,13,FALSE))</f>
        <v>19</v>
      </c>
      <c r="AK66" s="64">
        <f>IF(ISBLANK(S66),"",VLOOKUP(S66,'[2]plan gier'!$X$1:$AN$65536,14,FALSE))</f>
        <v>21</v>
      </c>
      <c r="AL66" s="64">
        <f>IF(ISBLANK(S66),"",VLOOKUP(S66,'[2]plan gier'!$X$1:$AN$65536,15,FALSE))</f>
        <v>13</v>
      </c>
      <c r="AM66" s="64">
        <f>IF(ISBLANK(S66),"",VLOOKUP(S66,'[2]plan gier'!$X$1:$AN$65536,16,FALSE))</f>
        <v>0</v>
      </c>
      <c r="AN66" s="64">
        <f>IF(ISBLANK(S66),"",VLOOKUP(S66,'[2]plan gier'!$X$1:$AN$65536,17,FALSE))</f>
        <v>0</v>
      </c>
      <c r="AO66" s="65">
        <f t="shared" si="5"/>
        <v>21</v>
      </c>
      <c r="AP66" s="64">
        <f t="shared" si="5"/>
        <v>19</v>
      </c>
      <c r="AQ66" s="66">
        <f t="shared" si="5"/>
        <v>21</v>
      </c>
      <c r="AR66" s="64">
        <f t="shared" si="5"/>
        <v>13</v>
      </c>
      <c r="AS66" s="66">
        <f t="shared" si="5"/>
        <v>0</v>
      </c>
      <c r="AT66" s="64">
        <f t="shared" si="5"/>
        <v>0</v>
      </c>
      <c r="AU66" s="54">
        <f>SUM(AO66:AT66)</f>
        <v>74</v>
      </c>
      <c r="AV66" s="13">
        <v>2</v>
      </c>
      <c r="AW66" s="63">
        <f>IF(AI67&lt;AJ67,1,0)+IF(AK67&lt;AL67,1,0)+IF(AM67&lt;AN67,1,0)</f>
        <v>1</v>
      </c>
      <c r="AX66" s="64">
        <f>AY65</f>
        <v>2</v>
      </c>
      <c r="AY66" s="67"/>
      <c r="AZ66" s="68"/>
      <c r="BA66" s="64">
        <f>IF(AI66&gt;AJ66,1,0)+IF(AK66&gt;AL66,1,0)+IF(AM66&gt;AN66,1,0)</f>
        <v>2</v>
      </c>
      <c r="BB66" s="69">
        <f>AY67</f>
        <v>0</v>
      </c>
      <c r="BE66" s="63">
        <f>AO66+AQ66+AS66+AP67+AR67+AT67</f>
        <v>90</v>
      </c>
      <c r="BF66" s="69">
        <f>AP66+AR66+AT66+AO67+AQ67+AS67</f>
        <v>94</v>
      </c>
      <c r="BG66" s="63">
        <f>AW66+BA66</f>
        <v>3</v>
      </c>
      <c r="BH66" s="69">
        <f>AX66+BB66</f>
        <v>2</v>
      </c>
      <c r="BI66" s="63">
        <f>IF(AW66&gt;AX66,1,0)+IF(BA66&gt;BB66,1,0)</f>
        <v>1</v>
      </c>
      <c r="BJ66" s="70">
        <f>IF(AX66&gt;AW66,1,0)+IF(BB66&gt;BA66,1,0)</f>
        <v>1</v>
      </c>
      <c r="BK66" s="71">
        <f>IF(BI66+BJ66=0,"",IF(BL66=MAX(BL65:BL67),1,IF(BL66=MIN(BL65:BL67),3,2)))</f>
        <v>2</v>
      </c>
      <c r="BL66" s="60">
        <f>IF(BI66+BJ66&lt;&gt;0,BI66+1+(BG66-BH66)/100+(BE66-BF66)/100000+(BE66/BF66)/1000000,0)</f>
        <v>2.0099609574468085</v>
      </c>
    </row>
    <row r="67" spans="1:64" ht="11.45" customHeight="1" thickBot="1" x14ac:dyDescent="0.25">
      <c r="A67" s="19">
        <f>S67</f>
        <v>189</v>
      </c>
      <c r="B67" s="2" t="str">
        <f>IF(N63="","",N63)</f>
        <v>D3155</v>
      </c>
      <c r="C67" s="2" t="str">
        <f>IF(N64="","",N64)</f>
        <v/>
      </c>
      <c r="D67" s="2" t="str">
        <f>IF(N66="","",N66)</f>
        <v>S3950</v>
      </c>
      <c r="E67" s="2" t="str">
        <f>IF(N67="","",N67)</f>
        <v/>
      </c>
      <c r="I67" s="2" t="str">
        <f>"3"&amp;O61&amp;N62</f>
        <v>36pojedyncza kobiet J</v>
      </c>
      <c r="J67" s="10" t="str">
        <f>IF(AD68="","",IF(AD62=3,N63,IF(AD65=3,N66,IF(AD68=3,N69,""))))</f>
        <v>K3257</v>
      </c>
      <c r="K67" s="10">
        <f>IF(AD68="","",IF(AD62=3,N64,IF(AD65=3,N67,IF(AD68=3,N70,""))))</f>
        <v>0</v>
      </c>
      <c r="M67" s="42" t="str">
        <f>N62</f>
        <v>pojedyncza kobiet J</v>
      </c>
      <c r="N67" s="38"/>
      <c r="O67" s="28"/>
      <c r="P67" s="28"/>
      <c r="Q67" s="43" t="str">
        <f>IF(AU67&gt;0,"",IF(A67=0,"",IF(VLOOKUP(A67,'[2]plan gier'!A$1:S$65536,19,FALSE)="","",VLOOKUP(A67,'[2]plan gier'!A$1:S$65536,19,FALSE))))</f>
        <v/>
      </c>
      <c r="R67" s="72" t="s">
        <v>18</v>
      </c>
      <c r="S67" s="45">
        <v>189</v>
      </c>
      <c r="T67" s="261"/>
      <c r="U67" s="265" t="str">
        <f>IF(N67&lt;&gt;"",CONCATENATE(VLOOKUP(N67,[2]zawodnicy!$A$1:$E$65536,1,FALSE)," ",VLOOKUP(N67,[2]zawodnicy!$A$1:$E$65536,2,FALSE)," ",VLOOKUP(N67,[2]zawodnicy!$A$1:$E$65536,3,FALSE)," - ",VLOOKUP(N67,[2]zawodnicy!$A$1:$E$65536,4,FALSE)),"")</f>
        <v/>
      </c>
      <c r="V67" s="266"/>
      <c r="W67" s="267"/>
      <c r="X67" s="73" t="str">
        <f>IF(SUM(AS67:AT67)=0,"",AT67&amp;":"&amp;AS67)</f>
        <v>17:21</v>
      </c>
      <c r="Y67" s="62"/>
      <c r="Z67" s="40" t="str">
        <f>IF(SUM(AS66:AT66)=0,"",AS66&amp;":"&amp;AT66)</f>
        <v/>
      </c>
      <c r="AA67" s="262"/>
      <c r="AB67" s="263"/>
      <c r="AC67" s="263"/>
      <c r="AD67" s="264"/>
      <c r="AE67" s="2"/>
      <c r="AF67" s="12"/>
      <c r="AG67" s="12"/>
      <c r="AH67" s="72" t="s">
        <v>18</v>
      </c>
      <c r="AI67" s="74">
        <f>IF(ISBLANK(S67),"",VLOOKUP(S67,'[2]plan gier'!$X$1:$AN$65536,12,FALSE))</f>
        <v>21</v>
      </c>
      <c r="AJ67" s="75">
        <f>IF(ISBLANK(S67),"",VLOOKUP(S67,'[2]plan gier'!$X$1:$AN$65536,13,FALSE))</f>
        <v>9</v>
      </c>
      <c r="AK67" s="75">
        <f>IF(ISBLANK(S67),"",VLOOKUP(S67,'[2]plan gier'!$X$1:$AN$65536,14,FALSE))</f>
        <v>20</v>
      </c>
      <c r="AL67" s="75">
        <f>IF(ISBLANK(S67),"",VLOOKUP(S67,'[2]plan gier'!$X$1:$AN$65536,15,FALSE))</f>
        <v>22</v>
      </c>
      <c r="AM67" s="75">
        <f>IF(ISBLANK(S67),"",VLOOKUP(S67,'[2]plan gier'!$X$1:$AN$65536,16,FALSE))</f>
        <v>21</v>
      </c>
      <c r="AN67" s="75">
        <f>IF(ISBLANK(S67),"",VLOOKUP(S67,'[2]plan gier'!$X$1:$AN$65536,17,FALSE))</f>
        <v>17</v>
      </c>
      <c r="AO67" s="76">
        <f t="shared" si="5"/>
        <v>21</v>
      </c>
      <c r="AP67" s="75">
        <f t="shared" si="5"/>
        <v>9</v>
      </c>
      <c r="AQ67" s="77">
        <f t="shared" si="5"/>
        <v>20</v>
      </c>
      <c r="AR67" s="75">
        <f t="shared" si="5"/>
        <v>22</v>
      </c>
      <c r="AS67" s="77">
        <f t="shared" si="5"/>
        <v>21</v>
      </c>
      <c r="AT67" s="75">
        <f t="shared" si="5"/>
        <v>17</v>
      </c>
      <c r="AU67" s="54">
        <f>SUM(AO67:AT67)</f>
        <v>110</v>
      </c>
      <c r="AV67" s="13">
        <v>3</v>
      </c>
      <c r="AW67" s="74">
        <f>IF(AI65&lt;AJ65,1,0)+IF(AK65&lt;AL65,1,0)+IF(AM65&lt;AN65,1,0)</f>
        <v>0</v>
      </c>
      <c r="AX67" s="75">
        <f>BA65</f>
        <v>2</v>
      </c>
      <c r="AY67" s="75">
        <f>IF(AI66&lt;AJ66,1,0)+IF(AK66&lt;AL66,1,0)+IF(AM66&lt;AN66,1,0)</f>
        <v>0</v>
      </c>
      <c r="AZ67" s="75">
        <f>BA66</f>
        <v>2</v>
      </c>
      <c r="BA67" s="78"/>
      <c r="BB67" s="79"/>
      <c r="BE67" s="74">
        <f>AP65+AR65+AT65+AP66+AR66+AT66</f>
        <v>53</v>
      </c>
      <c r="BF67" s="80">
        <f>AO65+AQ65+AS65+AO66+AQ66+AS66</f>
        <v>84</v>
      </c>
      <c r="BG67" s="74">
        <f>AW67+AY67</f>
        <v>0</v>
      </c>
      <c r="BH67" s="80">
        <f>AX67+AZ67</f>
        <v>4</v>
      </c>
      <c r="BI67" s="74">
        <f>IF(AW67&gt;AX67,1,0)+IF(AY67&gt;AZ67,1,0)</f>
        <v>0</v>
      </c>
      <c r="BJ67" s="81">
        <f>IF(AX67&gt;AW67,1,0)+IF(AZ67&gt;AY67,1,0)</f>
        <v>2</v>
      </c>
      <c r="BK67" s="82">
        <f>IF(BI67+BJ67=0,"",IF(BL67=MAX(BL65:BL67),1,IF(BL67=MIN(BL65:BL67),3,2)))</f>
        <v>3</v>
      </c>
      <c r="BL67" s="60">
        <f>IF(BI67+BJ67&lt;&gt;0,BI67+1+(BG67-BH67)/100+(BE67-BF67)/100000+(BE67/BF67)/1000000,0)</f>
        <v>0.95969063095238083</v>
      </c>
    </row>
    <row r="68" spans="1:64" ht="11.45" customHeight="1" x14ac:dyDescent="0.2">
      <c r="A68" s="2"/>
      <c r="J68" s="28"/>
      <c r="K68" s="28"/>
      <c r="L68" s="28"/>
      <c r="O68" s="28"/>
      <c r="P68" s="28"/>
      <c r="Q68" s="2"/>
      <c r="R68" s="2"/>
      <c r="S68" s="2"/>
      <c r="T68" s="241">
        <v>3</v>
      </c>
      <c r="U68" s="244" t="str">
        <f>IF(AND(N69&lt;&gt;"",N70&lt;&gt;""),CONCATENATE(VLOOKUP(N69,[2]zawodnicy!$A$1:$E$65536,1,FALSE)," ",VLOOKUP(N69,[2]zawodnicy!$A$1:$E$65536,2,FALSE)," ",VLOOKUP(N69,[2]zawodnicy!$A$1:$E$65536,3,FALSE)," - ",VLOOKUP(N69,[2]zawodnicy!$A$1:$E$65536,4,FALSE)),"")</f>
        <v/>
      </c>
      <c r="V68" s="245"/>
      <c r="W68" s="246"/>
      <c r="X68" s="46" t="str">
        <f>IF(SUM(AO65:AP65)=0,"",AP65&amp;":"&amp;AO65)</f>
        <v>14:21</v>
      </c>
      <c r="Y68" s="83" t="str">
        <f>IF(SUM(AO66:AP66)=0,"",AP66&amp;":"&amp;AO66)</f>
        <v>19:21</v>
      </c>
      <c r="Z68" s="84"/>
      <c r="AA68" s="247" t="str">
        <f>IF(SUM(AW67:AZ67)=0,"",BE67&amp;":"&amp;BF67)</f>
        <v>53:84</v>
      </c>
      <c r="AB68" s="250" t="str">
        <f>IF(SUM(AW67:AZ67)=0,"",BG67&amp;":"&amp;BH67)</f>
        <v>0:4</v>
      </c>
      <c r="AC68" s="250" t="str">
        <f>IF(SUM(AW67:AZ67)=0,"",BI67&amp;":"&amp;BJ67)</f>
        <v>0:2</v>
      </c>
      <c r="AD68" s="253">
        <f>IF(SUM(BI65:BI67)&gt;0,BK67,"")</f>
        <v>3</v>
      </c>
      <c r="AE68" s="2"/>
      <c r="AF68" s="12"/>
      <c r="AG68" s="12"/>
      <c r="BE68" s="19">
        <f>SUM(BE65:BE67)</f>
        <v>247</v>
      </c>
      <c r="BF68" s="19">
        <f>SUM(BF65:BF67)</f>
        <v>247</v>
      </c>
      <c r="BG68" s="19">
        <f>SUM(BG65:BG67)</f>
        <v>7</v>
      </c>
      <c r="BH68" s="19">
        <f>SUM(BH65:BH67)</f>
        <v>7</v>
      </c>
      <c r="BK68" s="19"/>
      <c r="BL68" s="20"/>
    </row>
    <row r="69" spans="1:64" ht="11.45" customHeight="1" x14ac:dyDescent="0.2">
      <c r="A69" s="19"/>
      <c r="J69" s="19"/>
      <c r="K69" s="19"/>
      <c r="L69" s="19"/>
      <c r="N69" s="33" t="s">
        <v>34</v>
      </c>
      <c r="O69" s="34">
        <f>IF(O61&gt;0,(O61&amp;3)*1,"")</f>
        <v>63</v>
      </c>
      <c r="Q69" s="85"/>
      <c r="R69" s="85"/>
      <c r="S69" s="85"/>
      <c r="T69" s="242"/>
      <c r="U69" s="244" t="str">
        <f>IF(AND(N69&lt;&gt;"",N70=""),CONCATENATE(VLOOKUP(N69,[2]zawodnicy!$A$1:$E$65536,1,FALSE)," ",VLOOKUP(N69,[2]zawodnicy!$A$1:$E$65536,2,FALSE)," ",VLOOKUP(N69,[2]zawodnicy!$A$1:$E$65536,3,FALSE)," - ",VLOOKUP(N69,[2]zawodnicy!$A$1:$E$65536,4,FALSE)),"")</f>
        <v>K3257 Nikola KOSZMIDER - UKS Feniks Kędzierzyn-Koźle</v>
      </c>
      <c r="V69" s="245"/>
      <c r="W69" s="246"/>
      <c r="X69" s="61" t="str">
        <f>IF(SUM(AQ65:AR65)=0,"",AR65&amp;":"&amp;AQ65)</f>
        <v>7:21</v>
      </c>
      <c r="Y69" s="36" t="str">
        <f>IF(SUM(AQ66:AR66)=0,"",AR66&amp;":"&amp;AQ66)</f>
        <v>13:21</v>
      </c>
      <c r="Z69" s="86"/>
      <c r="AA69" s="248"/>
      <c r="AB69" s="251"/>
      <c r="AC69" s="251"/>
      <c r="AD69" s="254"/>
      <c r="AE69" s="2"/>
      <c r="AF69" s="12"/>
      <c r="AG69" s="1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row>
    <row r="70" spans="1:64" ht="11.45" customHeight="1" thickBot="1" x14ac:dyDescent="0.25">
      <c r="A70" s="2"/>
      <c r="J70" s="28"/>
      <c r="K70" s="28"/>
      <c r="L70" s="28"/>
      <c r="N70" s="38"/>
      <c r="O70" s="28"/>
      <c r="P70" s="28"/>
      <c r="Q70" s="2"/>
      <c r="R70" s="2"/>
      <c r="S70" s="2"/>
      <c r="T70" s="243"/>
      <c r="U70" s="256" t="str">
        <f>IF(N70&lt;&gt;"",CONCATENATE(VLOOKUP(N70,[2]zawodnicy!$A$1:$E$65536,1,FALSE)," ",VLOOKUP(N70,[2]zawodnicy!$A$1:$E$65536,2,FALSE)," ",VLOOKUP(N70,[2]zawodnicy!$A$1:$E$65536,3,FALSE)," - ",VLOOKUP(N70,[2]zawodnicy!$A$1:$E$65536,4,FALSE)),"")</f>
        <v/>
      </c>
      <c r="V70" s="257"/>
      <c r="W70" s="258"/>
      <c r="X70" s="87" t="str">
        <f>IF(SUM(AS65:AT65)=0,"",AT65&amp;":"&amp;AS65)</f>
        <v/>
      </c>
      <c r="Y70" s="88" t="str">
        <f>IF(SUM(AS66:AT66)=0,"",AT66&amp;":"&amp;AS66)</f>
        <v/>
      </c>
      <c r="Z70" s="89"/>
      <c r="AA70" s="249"/>
      <c r="AB70" s="252"/>
      <c r="AC70" s="252"/>
      <c r="AD70" s="255"/>
      <c r="AE70" s="10"/>
      <c r="AF70" s="12"/>
      <c r="AG70" s="1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row>
    <row r="71" spans="1:64" s="19" customFormat="1" ht="5.0999999999999996" customHeight="1" x14ac:dyDescent="0.2">
      <c r="M71" s="90"/>
      <c r="O71" s="90"/>
      <c r="P71" s="90"/>
      <c r="Q71" s="91"/>
      <c r="R71" s="91"/>
      <c r="S71" s="91"/>
      <c r="T71" s="91"/>
      <c r="U71" s="5"/>
      <c r="V71" s="5"/>
      <c r="W71" s="5"/>
      <c r="AA71" s="92"/>
      <c r="AB71" s="91"/>
      <c r="AC71" s="91"/>
      <c r="AD71" s="91"/>
      <c r="AE71" s="91"/>
      <c r="AF71" s="91"/>
      <c r="AI71" s="93"/>
      <c r="AJ71" s="94"/>
      <c r="AK71" s="94"/>
    </row>
    <row r="73" spans="1:64" ht="11.45" customHeight="1" x14ac:dyDescent="0.2">
      <c r="J73" s="2"/>
      <c r="K73" s="2"/>
      <c r="L73" s="2"/>
      <c r="M73" s="95"/>
      <c r="N73" s="96">
        <v>1</v>
      </c>
      <c r="O73" s="97">
        <v>6</v>
      </c>
      <c r="P73" s="98"/>
      <c r="Q73" s="1"/>
      <c r="R73" s="1"/>
      <c r="S73" s="1"/>
      <c r="T73" s="229"/>
      <c r="U73" s="229"/>
      <c r="V73" s="229"/>
      <c r="W73" s="229"/>
      <c r="X73" s="229"/>
      <c r="Y73" s="229"/>
      <c r="Z73" s="229"/>
      <c r="AA73" s="229"/>
      <c r="AB73" s="229"/>
      <c r="AC73" s="229"/>
      <c r="AD73" s="229"/>
      <c r="AE73" s="229"/>
      <c r="AF73" s="229"/>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row>
    <row r="74" spans="1:64" ht="11.45" customHeight="1" x14ac:dyDescent="0.2">
      <c r="J74" s="2"/>
      <c r="K74" s="2"/>
      <c r="L74" s="2"/>
      <c r="N74" s="99" t="s">
        <v>0</v>
      </c>
      <c r="P74" s="98"/>
      <c r="Q74" s="1"/>
      <c r="R74" s="1"/>
      <c r="S74" s="1"/>
      <c r="T74" s="1"/>
      <c r="U74" s="100"/>
      <c r="V74" s="101"/>
      <c r="W74" s="101"/>
      <c r="X74" s="101"/>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row>
    <row r="75" spans="1:64" ht="11.45" customHeight="1" x14ac:dyDescent="0.2">
      <c r="A75" s="102">
        <f>W75</f>
        <v>0</v>
      </c>
      <c r="B75" s="2" t="str">
        <f>IF(TYPE(T75)=16,"",T75)</f>
        <v>J2971</v>
      </c>
      <c r="D75" s="2" t="str">
        <f>IF(TYPE(T76)=16,"",T76)</f>
        <v/>
      </c>
      <c r="F75" s="2" t="str">
        <f>IF(A75=0,IF(AND(LEN(B75)&gt;0,LEN(D75)=0),VLOOKUP(B75,[2]zawodnicy!$A$1:$E$65536,1,FALSE),IF(AND(LEN(D75)&gt;0,LEN(B75)=0),VLOOKUP(D75,[2]zawodnicy!$A$1:$E$65536,1,FALSE),"")),IF((VLOOKUP(A75,'[2]plan gier'!$X$1:$AF$65536,7,FALSE))="","",VLOOKUP(VLOOKUP(A75,'[2]plan gier'!$X$1:$AF$65536,7,FALSE),[2]zawodnicy!$A$1:$E$65536,1,FALSE)))</f>
        <v>J2971</v>
      </c>
      <c r="H75" s="2" t="str">
        <f>IF(A75=0,"",IF((VLOOKUP(A75,'[2]plan gier'!$X$1:$AF$65536,7,FALSE))="","",VLOOKUP(A75,'[2]plan gier'!$X$1:$AF$65536,9,FALSE)))</f>
        <v/>
      </c>
      <c r="J75" s="103"/>
      <c r="L75" s="43" t="str">
        <f>IF(A75=0,"",IF(VLOOKUP(A75,'[2]plan gier'!A$1:S$65536,19,FALSE)="","",VLOOKUP(A75,'[2]plan gier'!A$1:S$65536,19,FALSE)))</f>
        <v/>
      </c>
      <c r="M75" s="2" t="str">
        <f>N74</f>
        <v>pojedyncza kobiet J</v>
      </c>
      <c r="N75" s="104"/>
      <c r="O75" s="105">
        <f>IF(P75="","",1)</f>
        <v>1</v>
      </c>
      <c r="P75" s="106">
        <f>IF(O73&gt;4,1,"")</f>
        <v>1</v>
      </c>
      <c r="Q75" s="5">
        <f>O75</f>
        <v>1</v>
      </c>
      <c r="T75" s="286" t="str">
        <f>UPPER(IF(O75="","",IF(ISTEXT(N75),N75,IF(AND(N73&gt;0,O75&gt;0),VLOOKUP(N73&amp;O75&amp;N74,I:J,2,FALSE),""))))</f>
        <v>J2971</v>
      </c>
      <c r="U75" s="287"/>
      <c r="V75" s="107" t="str">
        <f>IF(T75&lt;&gt;"",CONCATENATE(VLOOKUP(T75,[2]zawodnicy!$A$1:$E$65536,2,FALSE)," ",VLOOKUP(T75,[2]zawodnicy!$A$1:$E$65536,3,FALSE)," - ",VLOOKUP(T75,[2]zawodnicy!$A$1:$E$65536,4,FALSE)),"")</f>
        <v>Karolina JANOWSKA - UKS Hubal Białystok</v>
      </c>
      <c r="W75" s="108"/>
      <c r="X75" s="231" t="str">
        <f>IF(ISBLANK(W75),IF(AND(LEN(T75)&gt;0,LEN(T76)=0),VLOOKUP(T75,[2]zawodnicy!$A$1:$E$65536,3,FALSE),IF(AND(LEN(T76)&gt;0,LEN(T75)=0),VLOOKUP(T76,[2]zawodnicy!$A$1:$E$65536,3,FALSE),"")),IF((VLOOKUP(W75,'[2]plan gier'!$X$1:$AF$65536,7,FALSE))="","",VLOOKUP(VLOOKUP(W75,'[2]plan gier'!$X$1:$AF$65536,7,FALSE),[2]zawodnicy!$A$1:$E$65536,3,FALSE)))</f>
        <v>JANOWSKA</v>
      </c>
      <c r="Y75" s="232"/>
      <c r="Z75" s="23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row>
    <row r="76" spans="1:64" ht="11.45" customHeight="1" x14ac:dyDescent="0.2">
      <c r="J76" s="103"/>
      <c r="N76" s="104"/>
      <c r="O76" s="109" t="str">
        <f>IF(P76="","",2)</f>
        <v/>
      </c>
      <c r="P76" s="106" t="str">
        <f>IF(O73&gt;7,5,"")</f>
        <v/>
      </c>
      <c r="Q76" s="5" t="str">
        <f>O76</f>
        <v/>
      </c>
      <c r="T76" s="286" t="str">
        <f>UPPER(IF(O76="","",IF(ISTEXT(N76),N76,IF(AND(N73&gt;0,O76&gt;0),VLOOKUP(N73&amp;O76&amp;N74,I:J,2,FALSE),""))))</f>
        <v/>
      </c>
      <c r="U76" s="287"/>
      <c r="V76" s="107" t="str">
        <f>IF(T76&lt;&gt;"",CONCATENATE(VLOOKUP(T76,[2]zawodnicy!$A$1:$E$65536,2,FALSE)," ",VLOOKUP(T76,[2]zawodnicy!$A$1:$E$65536,3,FALSE)," - ",VLOOKUP(T76,[2]zawodnicy!$A$1:$E$65536,4,FALSE)),"")</f>
        <v/>
      </c>
      <c r="W76" s="110"/>
      <c r="X76" s="236" t="str">
        <f>IF(ISBLANK(W75),"",IF((VLOOKUP(W75,'[2]plan gier'!$X$1:$AF$65536,7,FALSE))="",L75,VLOOKUP(W75,'[2]plan gier'!$X$1:$AF$65536,9,FALSE)))</f>
        <v/>
      </c>
      <c r="Y76" s="237"/>
      <c r="Z76" s="240"/>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row>
    <row r="77" spans="1:64" ht="11.45" customHeight="1" x14ac:dyDescent="0.2">
      <c r="A77" s="111">
        <f>Z77</f>
        <v>227</v>
      </c>
      <c r="B77" s="2" t="str">
        <f>F75</f>
        <v>J2971</v>
      </c>
      <c r="D77" s="2" t="str">
        <f>F79</f>
        <v>M3309</v>
      </c>
      <c r="F77" s="2" t="str">
        <f>IF(A77=0,IF(AND(LEN(B77)&gt;0,LEN(D77)=0),B77,IF(AND(LEN(D77)&gt;0,LEN(B77)=0),D77,"")),IF((VLOOKUP(A77,'[2]plan gier'!$X$1:$AF$65536,7,FALSE))="","",VLOOKUP(VLOOKUP(A77,'[2]plan gier'!$X$1:$AF$65536,7,FALSE),[2]zawodnicy!$A$1:$E$65536,1,FALSE)))</f>
        <v>J2971</v>
      </c>
      <c r="H77" s="2" t="str">
        <f>IF(A77=0,"",IF((VLOOKUP(A77,'[2]plan gier'!$X$1:$AF$65536,7,FALSE))="","",VLOOKUP(A77,'[2]plan gier'!$X$1:$AF$65536,9,FALSE)))</f>
        <v>21:11,21:13</v>
      </c>
      <c r="J77" s="103"/>
      <c r="L77" s="43" t="str">
        <f>IF(A77=0,"",IF(VLOOKUP(A77,'[2]plan gier'!A$1:S$65536,19,FALSE)="","",VLOOKUP(A77,'[2]plan gier'!A$1:S$65536,19,FALSE)))</f>
        <v>sob 18:00</v>
      </c>
      <c r="M77" s="2" t="str">
        <f>N74</f>
        <v>pojedyncza kobiet J</v>
      </c>
      <c r="N77" s="95"/>
      <c r="O77" s="112"/>
      <c r="P77" s="106"/>
      <c r="T77" s="9"/>
      <c r="U77" s="113"/>
      <c r="V77" s="2"/>
      <c r="W77" s="2"/>
      <c r="X77" s="114"/>
      <c r="Y77" s="10"/>
      <c r="Z77" s="115">
        <v>227</v>
      </c>
      <c r="AA77" s="232" t="str">
        <f>IF(ISBLANK(Z77),IF(AND(LEN(X75)&gt;0,LEN(X79)=0),X75,IF(AND(LEN(X79)&gt;0,LEN(X75)=0),X79,"")),IF((VLOOKUP(Z77,'[2]plan gier'!$X$1:$AF$65536,7,FALSE))="","",VLOOKUP(VLOOKUP(Z77,'[2]plan gier'!$X$1:$AF$65536,7,FALSE),[2]zawodnicy!$A$1:$E$65536,3,FALSE)))</f>
        <v>JANOWSKA</v>
      </c>
      <c r="AB77" s="232"/>
      <c r="AC77" s="23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row>
    <row r="78" spans="1:64" ht="11.45" customHeight="1" x14ac:dyDescent="0.2">
      <c r="J78" s="103"/>
      <c r="N78" s="95"/>
      <c r="O78" s="112"/>
      <c r="P78" s="106"/>
      <c r="T78" s="9"/>
      <c r="U78" s="113"/>
      <c r="V78" s="2"/>
      <c r="W78" s="2"/>
      <c r="X78" s="114"/>
      <c r="Y78" s="10"/>
      <c r="Z78" s="116"/>
      <c r="AA78" s="237" t="str">
        <f>IF(ISBLANK(Z77),"",IF((VLOOKUP(Z77,'[2]plan gier'!$X$1:$AF$65536,7,FALSE))="",L77,VLOOKUP(Z77,'[2]plan gier'!$X$1:$AF$65536,9,FALSE)))</f>
        <v>21:11,21:13</v>
      </c>
      <c r="AB78" s="237"/>
      <c r="AC78" s="240"/>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row>
    <row r="79" spans="1:64" ht="11.45" customHeight="1" x14ac:dyDescent="0.2">
      <c r="A79" s="102">
        <f>W79</f>
        <v>203</v>
      </c>
      <c r="B79" s="2" t="str">
        <f>IF(TYPE(T79)=16,"",T79)</f>
        <v>M3309</v>
      </c>
      <c r="D79" s="2" t="str">
        <f>IF(TYPE(T80)=16,"",T80)</f>
        <v>K3863</v>
      </c>
      <c r="F79" s="2" t="str">
        <f>IF(A79=0,IF(AND(LEN(B79)&gt;0,LEN(D79)=0),VLOOKUP(B79,[2]zawodnicy!$A$1:$E$65536,1,FALSE),IF(AND(LEN(D79)&gt;0,LEN(B79)=0),VLOOKUP(D79,[2]zawodnicy!$A$1:$E$65536,1,FALSE),"")),IF((VLOOKUP(A79,'[2]plan gier'!$X$1:$AF$65536,7,FALSE))="","",VLOOKUP(VLOOKUP(A79,'[2]plan gier'!$X$1:$AF$65536,7,FALSE),[2]zawodnicy!$A$1:$E$65536,1,FALSE)))</f>
        <v>M3309</v>
      </c>
      <c r="H79" s="2" t="str">
        <f>IF(A79=0,"",IF((VLOOKUP(A79,'[2]plan gier'!$X$1:$AF$65536,7,FALSE))="","",VLOOKUP(A79,'[2]plan gier'!$X$1:$AF$65536,9,FALSE)))</f>
        <v>7:21,21:18,21:14</v>
      </c>
      <c r="J79" s="103"/>
      <c r="L79" s="43" t="str">
        <f>IF(A79=0,"",IF(VLOOKUP(A79,'[2]plan gier'!A$1:S$65536,19,FALSE)="","",VLOOKUP(A79,'[2]plan gier'!A$1:S$65536,19,FALSE)))</f>
        <v>sob 15:30</v>
      </c>
      <c r="M79" s="2" t="str">
        <f>N74</f>
        <v>pojedyncza kobiet J</v>
      </c>
      <c r="N79" s="104"/>
      <c r="O79" s="105">
        <f>IF(P79="","",MAX(O75:O78)+1)</f>
        <v>2</v>
      </c>
      <c r="P79" s="106">
        <f>IF(O73&gt;4,9,"")</f>
        <v>9</v>
      </c>
      <c r="Q79" s="5">
        <f>O79</f>
        <v>2</v>
      </c>
      <c r="T79" s="286" t="str">
        <f>UPPER(IF(O79="","",IF(ISTEXT(N79),N79,IF(AND(N73&gt;0,O79&gt;0),VLOOKUP(N73&amp;O79&amp;N74,I:J,2,FALSE),""))))</f>
        <v>M3309</v>
      </c>
      <c r="U79" s="287"/>
      <c r="V79" s="107" t="str">
        <f>IF(T79&lt;&gt;"",CONCATENATE(VLOOKUP(T79,[2]zawodnicy!$A$1:$E$65536,2,FALSE)," ",VLOOKUP(T79,[2]zawodnicy!$A$1:$E$65536,3,FALSE)," - ",VLOOKUP(T79,[2]zawodnicy!$A$1:$E$65536,4,FALSE)),"")</f>
        <v>Edyta MIETŁA - MKS Spartakus Niepołomice</v>
      </c>
      <c r="W79" s="108">
        <v>203</v>
      </c>
      <c r="X79" s="231" t="str">
        <f>IF(ISBLANK(W79),IF(AND(LEN(T79)&gt;0,LEN(T80)=0),VLOOKUP(T79,[2]zawodnicy!$A$1:$E$65536,3,FALSE),IF(AND(LEN(T80)&gt;0,LEN(T79)=0),VLOOKUP(T80,[2]zawodnicy!$A$1:$E$65536,3,FALSE),"")),IF((VLOOKUP(W79,'[2]plan gier'!$X$1:$AF$65536,7,FALSE))="","",VLOOKUP(VLOOKUP(W79,'[2]plan gier'!$X$1:$AF$65536,7,FALSE),[2]zawodnicy!$A$1:$E$65536,3,FALSE)))</f>
        <v>MIETŁA</v>
      </c>
      <c r="Y79" s="232"/>
      <c r="Z79" s="233"/>
      <c r="AA79" s="10"/>
      <c r="AB79" s="10"/>
      <c r="AC79" s="117"/>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row>
    <row r="80" spans="1:64" ht="11.45" customHeight="1" x14ac:dyDescent="0.2">
      <c r="J80" s="103"/>
      <c r="N80" s="104"/>
      <c r="O80" s="109">
        <f>IF(P80="","",MAX(O75:O79)+1)</f>
        <v>3</v>
      </c>
      <c r="P80" s="106">
        <f>IF(O73&gt;5,13,"")</f>
        <v>13</v>
      </c>
      <c r="Q80" s="5">
        <f>O80</f>
        <v>3</v>
      </c>
      <c r="T80" s="286" t="str">
        <f>UPPER(IF(O80="","",IF(ISTEXT(N80),N80,IF(AND(N73&gt;0,O80&gt;0),VLOOKUP(N73&amp;O80&amp;N74,I:J,2,FALSE),""))))</f>
        <v>K3863</v>
      </c>
      <c r="U80" s="287"/>
      <c r="V80" s="107" t="str">
        <f>IF(T80&lt;&gt;"",CONCATENATE(VLOOKUP(T80,[2]zawodnicy!$A$1:$E$65536,2,FALSE)," ",VLOOKUP(T80,[2]zawodnicy!$A$1:$E$65536,3,FALSE)," - ",VLOOKUP(T80,[2]zawodnicy!$A$1:$E$65536,4,FALSE)),"")</f>
        <v>Katarzyna KUTACHA - UKS Start Widełka</v>
      </c>
      <c r="W80" s="110"/>
      <c r="X80" s="228" t="str">
        <f>IF(ISBLANK(W79),"",IF((VLOOKUP(W79,'[2]plan gier'!$X$1:$AF$65536,7,FALSE))="",L79,VLOOKUP(W79,'[2]plan gier'!$X$1:$AF$65536,9,FALSE)))</f>
        <v>7:21,21:18,21:14</v>
      </c>
      <c r="Y80" s="229"/>
      <c r="Z80" s="229"/>
      <c r="AA80" s="10"/>
      <c r="AB80" s="10"/>
      <c r="AC80" s="117"/>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row>
    <row r="81" spans="1:64" ht="11.45" customHeight="1" x14ac:dyDescent="0.2">
      <c r="A81" s="118">
        <f>AC81</f>
        <v>241</v>
      </c>
      <c r="B81" s="2" t="str">
        <f>F77</f>
        <v>J2971</v>
      </c>
      <c r="D81" s="2" t="str">
        <f>F85</f>
        <v>D3155</v>
      </c>
      <c r="F81" s="2" t="str">
        <f>IF(A81=0,IF(AND(LEN(B81)&gt;0,LEN(D81)=0),B81,IF(AND(LEN(D81)&gt;0,LEN(B81)=0),D81,"")),IF((VLOOKUP(A81,'[2]plan gier'!$X$1:$AF$65536,7,FALSE))="","",VLOOKUP(VLOOKUP(A81,'[2]plan gier'!$X$1:$AF$65536,7,FALSE),[2]zawodnicy!$A$1:$E$65536,1,FALSE)))</f>
        <v>J2971</v>
      </c>
      <c r="H81" s="2" t="str">
        <f>IF(A81=0,"",IF((VLOOKUP(A81,'[2]plan gier'!$X$1:$AF$65536,7,FALSE))="","",VLOOKUP(A81,'[2]plan gier'!$X$1:$AF$65536,9,FALSE)))</f>
        <v>21:15,21:10</v>
      </c>
      <c r="J81" s="103"/>
      <c r="L81" s="43" t="str">
        <f>IF(A81=0,"",IF(VLOOKUP(A81,'[2]plan gier'!A$1:S$65536,19,FALSE)="","",VLOOKUP(A81,'[2]plan gier'!A$1:S$65536,19,FALSE)))</f>
        <v>nie 12:30</v>
      </c>
      <c r="M81" s="2" t="str">
        <f>N74</f>
        <v>pojedyncza kobiet J</v>
      </c>
      <c r="N81" s="95"/>
      <c r="O81" s="112"/>
      <c r="P81" s="106"/>
      <c r="T81" s="9"/>
      <c r="U81" s="113"/>
      <c r="V81" s="114"/>
      <c r="W81" s="2"/>
      <c r="X81" s="10"/>
      <c r="Y81" s="2"/>
      <c r="Z81" s="2"/>
      <c r="AA81" s="10"/>
      <c r="AB81" s="10"/>
      <c r="AC81" s="115">
        <v>241</v>
      </c>
      <c r="AD81" s="232" t="str">
        <f>IF(ISBLANK(AC81),IF(AND(LEN(AA77)&gt;0,LEN(AA85)=0),AA77,IF(AND(LEN(AA85)&gt;0,LEN(AA77)=0),AA85,"")),IF((VLOOKUP(AC81,'[2]plan gier'!$X$1:$AF$65536,7,FALSE))="","",VLOOKUP(VLOOKUP(AC81,'[2]plan gier'!$X$1:$AF$65536,7,FALSE),[2]zawodnicy!$A$1:$E$65536,3,FALSE)))</f>
        <v>JANOWSKA</v>
      </c>
      <c r="AE81" s="232"/>
      <c r="AF81" s="23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row>
    <row r="82" spans="1:64" ht="11.45" customHeight="1" x14ac:dyDescent="0.2">
      <c r="J82" s="103"/>
      <c r="N82" s="95"/>
      <c r="O82" s="112"/>
      <c r="P82" s="106"/>
      <c r="T82" s="9"/>
      <c r="U82" s="113"/>
      <c r="V82" s="114"/>
      <c r="W82" s="2"/>
      <c r="X82" s="10"/>
      <c r="Y82" s="2"/>
      <c r="Z82" s="2"/>
      <c r="AA82" s="10"/>
      <c r="AB82" s="10"/>
      <c r="AC82" s="116"/>
      <c r="AD82" s="237" t="str">
        <f>IF(ISBLANK(AC81),"",IF((VLOOKUP(AC81,'[2]plan gier'!$X$1:$AF$65536,7,FALSE))="",L81,VLOOKUP(AC81,'[2]plan gier'!$X$1:$AF$65536,9,FALSE)))</f>
        <v>21:15,21:10</v>
      </c>
      <c r="AE82" s="237"/>
      <c r="AF82" s="237"/>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row>
    <row r="83" spans="1:64" ht="11.45" customHeight="1" x14ac:dyDescent="0.2">
      <c r="A83" s="102">
        <f>W83</f>
        <v>204</v>
      </c>
      <c r="B83" s="2" t="str">
        <f>IF(TYPE(T83)=16,"",T83)</f>
        <v>X38</v>
      </c>
      <c r="D83" s="2" t="str">
        <f>IF(TYPE(T84)=16,"",T84)</f>
        <v>P2838</v>
      </c>
      <c r="F83" s="2" t="str">
        <f>IF(A83=0,IF(AND(LEN(B83)&gt;0,LEN(D83)=0),VLOOKUP(B83,[2]zawodnicy!$A$1:$E$65536,1,FALSE),IF(AND(LEN(D83)&gt;0,LEN(B83)=0),VLOOKUP(D83,[2]zawodnicy!$A$1:$E$65536,1,FALSE),"")),IF((VLOOKUP(A83,'[2]plan gier'!$X$1:$AF$65536,7,FALSE))="","",VLOOKUP(VLOOKUP(A83,'[2]plan gier'!$X$1:$AF$65536,7,FALSE),[2]zawodnicy!$A$1:$E$65536,1,FALSE)))</f>
        <v>P2838</v>
      </c>
      <c r="H83" s="2" t="str">
        <f>IF(A83=0,"",IF((VLOOKUP(A83,'[2]plan gier'!$X$1:$AF$65536,7,FALSE))="","",VLOOKUP(A83,'[2]plan gier'!$X$1:$AF$65536,9,FALSE)))</f>
        <v>13:21,21:17,21:18</v>
      </c>
      <c r="J83" s="103"/>
      <c r="L83" s="43" t="str">
        <f>IF(A83=0,"",IF(VLOOKUP(A83,'[2]plan gier'!A$1:S$65536,19,FALSE)="","",VLOOKUP(A83,'[2]plan gier'!A$1:S$65536,19,FALSE)))</f>
        <v>sob 15:30</v>
      </c>
      <c r="M83" s="2" t="str">
        <f>N74</f>
        <v>pojedyncza kobiet J</v>
      </c>
      <c r="N83" s="104"/>
      <c r="O83" s="105">
        <f>IF(P83="","",MAX(O75:O82)+1)</f>
        <v>4</v>
      </c>
      <c r="P83" s="106">
        <f>IF(O73&gt;4,20,"")</f>
        <v>20</v>
      </c>
      <c r="Q83" s="5">
        <f>O83</f>
        <v>4</v>
      </c>
      <c r="T83" s="286" t="str">
        <f>UPPER(IF(O83="","",IF(ISTEXT(N83),N83,IF(AND(N73&gt;0,O83&gt;0),VLOOKUP(N73&amp;O83&amp;N74,I:J,2,FALSE),""))))</f>
        <v>X38</v>
      </c>
      <c r="U83" s="287"/>
      <c r="V83" s="107" t="str">
        <f>IF(T83&lt;&gt;"",CONCATENATE(VLOOKUP(T83,[2]zawodnicy!$A$1:$E$65536,2,FALSE)," ",VLOOKUP(T83,[2]zawodnicy!$A$1:$E$65536,3,FALSE)," - ",VLOOKUP(T83,[2]zawodnicy!$A$1:$E$65536,4,FALSE)),"")</f>
        <v>Tatiana LEMA - Lwów Ukraina</v>
      </c>
      <c r="W83" s="108">
        <v>204</v>
      </c>
      <c r="X83" s="231" t="str">
        <f>IF(ISBLANK(W83),IF(AND(LEN(T83)&gt;0,LEN(T84)=0),VLOOKUP(T83,[2]zawodnicy!$A$1:$E$65536,3,FALSE),IF(AND(LEN(T84)&gt;0,LEN(T83)=0),VLOOKUP(T84,[2]zawodnicy!$A$1:$E$65536,3,FALSE),"")),IF((VLOOKUP(W83,'[2]plan gier'!$X$1:$AF$65536,7,FALSE))="","",VLOOKUP(VLOOKUP(W83,'[2]plan gier'!$X$1:$AF$65536,7,FALSE),[2]zawodnicy!$A$1:$E$65536,3,FALSE)))</f>
        <v>PAPRZYCKA</v>
      </c>
      <c r="Y83" s="232"/>
      <c r="Z83" s="232"/>
      <c r="AA83" s="10"/>
      <c r="AB83" s="10"/>
      <c r="AC83" s="117"/>
      <c r="AD83" s="10"/>
      <c r="AE83" s="10"/>
      <c r="AF83" s="10"/>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row>
    <row r="84" spans="1:64" ht="11.45" customHeight="1" x14ac:dyDescent="0.2">
      <c r="J84" s="103"/>
      <c r="N84" s="104"/>
      <c r="O84" s="109">
        <f>IF(P84="","",MAX(O75:O83)+1)</f>
        <v>5</v>
      </c>
      <c r="P84" s="106">
        <f>IF(O73&gt;4,24,"")</f>
        <v>24</v>
      </c>
      <c r="Q84" s="5">
        <f>O84</f>
        <v>5</v>
      </c>
      <c r="T84" s="286" t="str">
        <f>UPPER(IF(O84="","",IF(ISTEXT(N84),N84,IF(AND(N73&gt;0,O84&gt;0),VLOOKUP(N73&amp;O84&amp;N74,I:J,2,FALSE),""))))</f>
        <v>P2838</v>
      </c>
      <c r="U84" s="287"/>
      <c r="V84" s="107" t="str">
        <f>IF(T84&lt;&gt;"",CONCATENATE(VLOOKUP(T84,[2]zawodnicy!$A$1:$E$65536,2,FALSE)," ",VLOOKUP(T84,[2]zawodnicy!$A$1:$E$65536,3,FALSE)," - ",VLOOKUP(T84,[2]zawodnicy!$A$1:$E$65536,4,FALSE)),"")</f>
        <v>Aleksandra PAPRZYCKA - MKB Lednik Miastko</v>
      </c>
      <c r="W84" s="110"/>
      <c r="X84" s="236" t="str">
        <f>IF(ISBLANK(W83),"",IF((VLOOKUP(W83,'[2]plan gier'!$X$1:$AF$65536,7,FALSE))="",L83,VLOOKUP(W83,'[2]plan gier'!$X$1:$AF$65536,9,FALSE)))</f>
        <v>13:21,21:17,21:18</v>
      </c>
      <c r="Y84" s="237"/>
      <c r="Z84" s="240"/>
      <c r="AA84" s="10"/>
      <c r="AB84" s="10"/>
      <c r="AC84" s="117"/>
      <c r="AD84" s="10"/>
      <c r="AE84" s="10"/>
      <c r="AF84" s="10"/>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row>
    <row r="85" spans="1:64" ht="11.45" customHeight="1" x14ac:dyDescent="0.2">
      <c r="A85" s="111">
        <f>Z85</f>
        <v>228</v>
      </c>
      <c r="B85" s="2" t="str">
        <f>F83</f>
        <v>P2838</v>
      </c>
      <c r="D85" s="2" t="str">
        <f>F87</f>
        <v>D3155</v>
      </c>
      <c r="F85" s="2" t="str">
        <f>IF(A85=0,IF(AND(LEN(B85)&gt;0,LEN(D85)=0),B85,IF(AND(LEN(D85)&gt;0,LEN(B85)=0),D85,"")),IF((VLOOKUP(A85,'[2]plan gier'!$X$1:$AF$65536,7,FALSE))="","",VLOOKUP(VLOOKUP(A85,'[2]plan gier'!$X$1:$AF$65536,7,FALSE),[2]zawodnicy!$A$1:$E$65536,1,FALSE)))</f>
        <v>D3155</v>
      </c>
      <c r="H85" s="2" t="str">
        <f>IF(A85=0,"",IF((VLOOKUP(A85,'[2]plan gier'!$X$1:$AF$65536,7,FALSE))="","",VLOOKUP(A85,'[2]plan gier'!$X$1:$AF$65536,9,FALSE)))</f>
        <v>21:15,21:14</v>
      </c>
      <c r="J85" s="103"/>
      <c r="L85" s="43" t="str">
        <f>IF(A85=0,"",IF(VLOOKUP(A85,'[2]plan gier'!A$1:S$65536,19,FALSE)="","",VLOOKUP(A85,'[2]plan gier'!A$1:S$65536,19,FALSE)))</f>
        <v>sob 18:00</v>
      </c>
      <c r="M85" s="2" t="str">
        <f>N74</f>
        <v>pojedyncza kobiet J</v>
      </c>
      <c r="N85" s="95"/>
      <c r="O85" s="112"/>
      <c r="P85" s="106"/>
      <c r="T85" s="9"/>
      <c r="U85" s="113"/>
      <c r="V85" s="2"/>
      <c r="W85" s="2"/>
      <c r="X85" s="114"/>
      <c r="Y85" s="10"/>
      <c r="Z85" s="115">
        <v>228</v>
      </c>
      <c r="AA85" s="232" t="str">
        <f>IF(ISBLANK(Z85),IF(AND(LEN(X83)&gt;0,LEN(X87)=0),X83,IF(AND(LEN(X87)&gt;0,LEN(X83)=0),X87,"")),IF((VLOOKUP(Z85,'[2]plan gier'!$X$1:$AF$65536,7,FALSE))="","",VLOOKUP(VLOOKUP(Z85,'[2]plan gier'!$X$1:$AF$65536,7,FALSE),[2]zawodnicy!$A$1:$E$65536,3,FALSE)))</f>
        <v>DĘBSKA</v>
      </c>
      <c r="AB85" s="232"/>
      <c r="AC85" s="233"/>
      <c r="AD85" s="10"/>
      <c r="AE85" s="10"/>
      <c r="AF85" s="10"/>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row>
    <row r="86" spans="1:64" ht="11.45" customHeight="1" x14ac:dyDescent="0.2">
      <c r="J86" s="103"/>
      <c r="N86" s="95"/>
      <c r="O86" s="112"/>
      <c r="P86" s="106"/>
      <c r="T86" s="9"/>
      <c r="U86" s="113"/>
      <c r="V86" s="2"/>
      <c r="W86" s="2"/>
      <c r="X86" s="114"/>
      <c r="Y86" s="10"/>
      <c r="Z86" s="116"/>
      <c r="AA86" s="229" t="str">
        <f>IF(ISBLANK(Z85),"",IF((VLOOKUP(Z85,'[2]plan gier'!$X$1:$AF$65536,7,FALSE))="",L85,VLOOKUP(Z85,'[2]plan gier'!$X$1:$AF$65536,9,FALSE)))</f>
        <v>21:15,21:14</v>
      </c>
      <c r="AB86" s="229"/>
      <c r="AC86" s="229"/>
      <c r="AD86" s="10"/>
      <c r="AE86" s="10"/>
      <c r="AF86" s="10"/>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row>
    <row r="87" spans="1:64" ht="11.45" customHeight="1" x14ac:dyDescent="0.2">
      <c r="A87" s="102">
        <f>W87</f>
        <v>0</v>
      </c>
      <c r="B87" s="2" t="str">
        <f>IF(TYPE(T87)=16,"",T87)</f>
        <v/>
      </c>
      <c r="D87" s="2" t="str">
        <f>IF(TYPE(T88)=16,"",T88)</f>
        <v>D3155</v>
      </c>
      <c r="F87" s="2" t="str">
        <f>IF(A87=0,IF(AND(LEN(B87)&gt;0,LEN(D87)=0),VLOOKUP(B87,[2]zawodnicy!$A$1:$E$65536,1,FALSE),IF(AND(LEN(D87)&gt;0,LEN(B87)=0),VLOOKUP(D87,[2]zawodnicy!$A$1:$E$65536,1,FALSE),"")),IF((VLOOKUP(A87,'[2]plan gier'!$X$1:$AF$65536,7,FALSE))="","",VLOOKUP(VLOOKUP(A87,'[2]plan gier'!$X$1:$AF$65536,7,FALSE),[2]zawodnicy!$A$1:$E$65536,1,FALSE)))</f>
        <v>D3155</v>
      </c>
      <c r="H87" s="2" t="str">
        <f>IF(A87=0,"",IF((VLOOKUP(A87,'[2]plan gier'!$X$1:$AF$65536,7,FALSE))="","",VLOOKUP(A87,'[2]plan gier'!$X$1:$AF$65536,9,FALSE)))</f>
        <v/>
      </c>
      <c r="J87" s="103"/>
      <c r="L87" s="43" t="str">
        <f>IF(A87=0,"",IF(VLOOKUP(A87,'[2]plan gier'!A$1:S$65536,19,FALSE)="","",VLOOKUP(A87,'[2]plan gier'!A$1:S$65536,19,FALSE)))</f>
        <v/>
      </c>
      <c r="M87" s="2" t="str">
        <f>N74</f>
        <v>pojedyncza kobiet J</v>
      </c>
      <c r="N87" s="104"/>
      <c r="O87" s="105" t="str">
        <f>IF(P87="","",MAX(O75:O86)+1)</f>
        <v/>
      </c>
      <c r="P87" s="106" t="str">
        <f>IF(O73&gt;6,28,"")</f>
        <v/>
      </c>
      <c r="Q87" s="5" t="str">
        <f>O87</f>
        <v/>
      </c>
      <c r="T87" s="286" t="str">
        <f>UPPER(IF(O87="","",IF(ISTEXT(N87),N87,IF(AND(N73&gt;0,O87&gt;0),VLOOKUP(N73&amp;O87&amp;N74,I:J,2,FALSE),""))))</f>
        <v/>
      </c>
      <c r="U87" s="287"/>
      <c r="V87" s="107" t="str">
        <f>IF(T87&lt;&gt;"",CONCATENATE(VLOOKUP(T87,[2]zawodnicy!$A$1:$E$65536,2,FALSE)," ",VLOOKUP(T87,[2]zawodnicy!$A$1:$E$65536,3,FALSE)," - ",VLOOKUP(T87,[2]zawodnicy!$A$1:$E$65536,4,FALSE)),"")</f>
        <v/>
      </c>
      <c r="W87" s="108"/>
      <c r="X87" s="231" t="str">
        <f>IF(ISBLANK(W87),IF(AND(LEN(T87)&gt;0,LEN(T88)=0),VLOOKUP(T87,[2]zawodnicy!$A$1:$E$65536,3,FALSE),IF(AND(LEN(T88)&gt;0,LEN(T87)=0),VLOOKUP(T88,[2]zawodnicy!$A$1:$E$65536,3,FALSE),"")),IF((VLOOKUP(W87,'[2]plan gier'!$X$1:$AF$65536,7,FALSE))="","",VLOOKUP(VLOOKUP(W87,'[2]plan gier'!$X$1:$AF$65536,7,FALSE),[2]zawodnicy!$A$1:$E$65536,3,FALSE)))</f>
        <v>DĘBSKA</v>
      </c>
      <c r="Y87" s="232"/>
      <c r="Z87" s="233"/>
      <c r="AA87" s="2"/>
      <c r="AB87" s="2"/>
      <c r="AC87" s="2"/>
      <c r="AD87" s="114"/>
      <c r="AE87" s="114"/>
      <c r="AF87" s="114"/>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row>
    <row r="88" spans="1:64" ht="11.45" customHeight="1" x14ac:dyDescent="0.2">
      <c r="J88" s="103"/>
      <c r="N88" s="104"/>
      <c r="O88" s="109">
        <f>IF(P88="","",MAX(O75:O87)+1)</f>
        <v>6</v>
      </c>
      <c r="P88" s="106">
        <f>IF(O73&gt;4,32,"")</f>
        <v>32</v>
      </c>
      <c r="Q88" s="5">
        <f>O88</f>
        <v>6</v>
      </c>
      <c r="T88" s="286" t="str">
        <f>UPPER(IF(O88="","",IF(ISTEXT(N88),N88,IF(AND(N73&gt;0,O88&gt;0),VLOOKUP(N73&amp;O88&amp;N74,I:J,2,FALSE),""))))</f>
        <v>D3155</v>
      </c>
      <c r="U88" s="287"/>
      <c r="V88" s="107" t="str">
        <f>IF(T88&lt;&gt;"",CONCATENATE(VLOOKUP(T88,[2]zawodnicy!$A$1:$E$65536,2,FALSE)," ",VLOOKUP(T88,[2]zawodnicy!$A$1:$E$65536,3,FALSE)," - ",VLOOKUP(T88,[2]zawodnicy!$A$1:$E$65536,4,FALSE)),"")</f>
        <v>Anna DĘBSKA - UKSB Milenium Warszawa</v>
      </c>
      <c r="W88" s="110"/>
      <c r="X88" s="228" t="str">
        <f>IF(ISBLANK(W87),"",IF((VLOOKUP(W87,'[2]plan gier'!$X$1:$AF$65536,7,FALSE))="",L87,VLOOKUP(W87,'[2]plan gier'!$X$1:$AF$65536,9,FALSE)))</f>
        <v/>
      </c>
      <c r="Y88" s="229"/>
      <c r="Z88" s="229"/>
      <c r="AA88" s="2"/>
      <c r="AB88" s="2"/>
      <c r="AC88" s="2"/>
      <c r="AD88" s="10"/>
      <c r="AE88" s="10"/>
      <c r="AF88" s="10"/>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row>
    <row r="90" spans="1:64" ht="11.45" customHeight="1" x14ac:dyDescent="0.2">
      <c r="M90" s="16"/>
      <c r="N90" s="17" t="s">
        <v>35</v>
      </c>
      <c r="R90" s="18"/>
      <c r="S90" s="18"/>
      <c r="T90" s="277" t="str">
        <f>"Gra "&amp;N90</f>
        <v>Gra pojedyncza mężczyzn J</v>
      </c>
      <c r="U90" s="277"/>
      <c r="V90" s="277"/>
      <c r="W90" s="277"/>
      <c r="X90" s="277"/>
      <c r="Y90" s="277"/>
      <c r="Z90" s="277"/>
      <c r="AA90" s="277"/>
      <c r="AB90" s="277"/>
      <c r="AC90" s="277"/>
      <c r="AD90" s="277"/>
      <c r="AE90" s="18"/>
    </row>
    <row r="91" spans="1:64" ht="11.45" customHeight="1" thickBot="1" x14ac:dyDescent="0.25"/>
    <row r="92" spans="1:64" ht="11.45" customHeight="1" thickBot="1" x14ac:dyDescent="0.25">
      <c r="N92" s="11"/>
      <c r="O92" s="21">
        <v>1</v>
      </c>
      <c r="Q92" s="277" t="str">
        <f>"Grupa "&amp;O92&amp;"."</f>
        <v>Grupa 1.</v>
      </c>
      <c r="R92" s="277"/>
      <c r="S92" s="277"/>
      <c r="T92" s="22" t="s">
        <v>1</v>
      </c>
      <c r="U92" s="278" t="s">
        <v>2</v>
      </c>
      <c r="V92" s="279"/>
      <c r="W92" s="280"/>
      <c r="X92" s="22">
        <v>1</v>
      </c>
      <c r="Y92" s="23">
        <v>2</v>
      </c>
      <c r="Z92" s="24">
        <v>3</v>
      </c>
      <c r="AA92" s="25" t="s">
        <v>3</v>
      </c>
      <c r="AB92" s="26" t="s">
        <v>4</v>
      </c>
      <c r="AC92" s="26" t="s">
        <v>5</v>
      </c>
      <c r="AD92" s="27" t="s">
        <v>6</v>
      </c>
      <c r="AE92" s="2"/>
      <c r="AF92" s="12"/>
      <c r="AG92" s="12"/>
      <c r="BK92" s="19"/>
      <c r="BL92" s="20"/>
    </row>
    <row r="93" spans="1:64" ht="11.45" customHeight="1" x14ac:dyDescent="0.2">
      <c r="J93" s="28"/>
      <c r="K93" s="28"/>
      <c r="L93" s="28"/>
      <c r="N93" s="29" t="s">
        <v>35</v>
      </c>
      <c r="Q93" s="274" t="s">
        <v>7</v>
      </c>
      <c r="R93" s="274"/>
      <c r="S93" s="275" t="s">
        <v>8</v>
      </c>
      <c r="T93" s="276">
        <v>1</v>
      </c>
      <c r="U93" s="244" t="str">
        <f>IF(AND(N94&lt;&gt;"",N95&lt;&gt;""),CONCATENATE(VLOOKUP(N94,[2]zawodnicy!$A$1:$E$65536,1,FALSE)," ",VLOOKUP(N94,[2]zawodnicy!$A$1:$E$65536,2,FALSE)," ",VLOOKUP(N94,[2]zawodnicy!$A$1:$E$65536,3,FALSE)," - ",VLOOKUP(N94,[2]zawodnicy!$A$1:$E$65536,4,FALSE)),"")</f>
        <v/>
      </c>
      <c r="V93" s="245"/>
      <c r="W93" s="246"/>
      <c r="X93" s="30"/>
      <c r="Y93" s="31" t="str">
        <f>IF(SUM(AO98:AP98)=0,"",AO98&amp;":"&amp;AP98)</f>
        <v>21:11</v>
      </c>
      <c r="Z93" s="32" t="str">
        <f>IF(SUM(AO96:AP96)=0,"",AO96&amp;":"&amp;AP96)</f>
        <v>21:12</v>
      </c>
      <c r="AA93" s="270" t="str">
        <f>IF(SUM(AY96:BB96)=0,"",BE96&amp;":"&amp;BF96)</f>
        <v>85:55</v>
      </c>
      <c r="AB93" s="271" t="str">
        <f>IF(SUM(AY96:BB96)=0,"",BG96&amp;":"&amp;BH96)</f>
        <v>4:0</v>
      </c>
      <c r="AC93" s="271" t="str">
        <f>IF(SUM(AY96:BB96)=0,"",BI96&amp;":"&amp;BJ96)</f>
        <v>2:0</v>
      </c>
      <c r="AD93" s="272">
        <f>IF(SUM(BI96:BI98)&gt;0,BK96,"")</f>
        <v>1</v>
      </c>
      <c r="AE93" s="2"/>
      <c r="AF93" s="12"/>
      <c r="AG93" s="12"/>
      <c r="AH93" s="14"/>
      <c r="AI93" s="273" t="s">
        <v>9</v>
      </c>
      <c r="AJ93" s="273"/>
      <c r="AK93" s="273"/>
      <c r="AL93" s="273"/>
      <c r="AM93" s="273"/>
      <c r="AN93" s="273"/>
      <c r="AO93" s="273" t="s">
        <v>10</v>
      </c>
      <c r="AP93" s="273"/>
      <c r="AQ93" s="273"/>
      <c r="AR93" s="273"/>
      <c r="AS93" s="273"/>
      <c r="AT93" s="273"/>
      <c r="BK93" s="19"/>
      <c r="BL93" s="20"/>
    </row>
    <row r="94" spans="1:64" ht="11.45" customHeight="1" thickBot="1" x14ac:dyDescent="0.25">
      <c r="I94" s="2" t="str">
        <f>"1"&amp;O92&amp;N93</f>
        <v>11pojedyncza mężczyzn J</v>
      </c>
      <c r="J94" s="10" t="str">
        <f>IF(AD93="","",IF(AD93=1,N94,IF(AD96=1,N97,IF(AD99=1,N100,""))))</f>
        <v>W2914</v>
      </c>
      <c r="K94" s="10">
        <f>IF(AD93="","",IF(AD93=1,N95,IF(AD96=1,N98,IF(AD99=1,N101,""))))</f>
        <v>0</v>
      </c>
      <c r="L94" s="10"/>
      <c r="N94" s="33" t="s">
        <v>36</v>
      </c>
      <c r="O94" s="34">
        <f>IF(O92&gt;0,(O92&amp;1)*1,"")</f>
        <v>11</v>
      </c>
      <c r="Q94" s="274"/>
      <c r="R94" s="274"/>
      <c r="S94" s="275"/>
      <c r="T94" s="242"/>
      <c r="U94" s="244" t="str">
        <f>IF(AND(N94&lt;&gt;"",N95=""),CONCATENATE(VLOOKUP(N94,[2]zawodnicy!$A$1:$E$65536,1,FALSE)," ",VLOOKUP(N94,[2]zawodnicy!$A$1:$E$65536,2,FALSE)," ",VLOOKUP(N94,[2]zawodnicy!$A$1:$E$65536,3,FALSE)," - ",VLOOKUP(N94,[2]zawodnicy!$A$1:$E$65536,4,FALSE)),"")</f>
        <v>W2914 Piotr WASILUK - LUKS Badminton Choroszcz</v>
      </c>
      <c r="V94" s="245"/>
      <c r="W94" s="246"/>
      <c r="X94" s="35"/>
      <c r="Y94" s="36" t="str">
        <f>IF(SUM(AQ98:AR98)=0,"",AQ98&amp;":"&amp;AR98)</f>
        <v>22:20</v>
      </c>
      <c r="Z94" s="37" t="str">
        <f>IF(SUM(AQ96:AR96)=0,"",AQ96&amp;":"&amp;AR96)</f>
        <v>21:12</v>
      </c>
      <c r="AA94" s="248"/>
      <c r="AB94" s="251"/>
      <c r="AC94" s="251"/>
      <c r="AD94" s="254"/>
      <c r="AE94" s="2"/>
      <c r="AF94" s="12"/>
      <c r="AG94" s="12"/>
      <c r="AH94" s="14"/>
      <c r="BE94" s="19">
        <f>SUM(BE96:BE98)</f>
        <v>213</v>
      </c>
      <c r="BF94" s="19">
        <f>SUM(BF96:BF98)</f>
        <v>213</v>
      </c>
      <c r="BG94" s="19">
        <f>SUM(BG96:BG98)</f>
        <v>6</v>
      </c>
      <c r="BH94" s="19">
        <f>SUM(BH96:BH98)</f>
        <v>6</v>
      </c>
      <c r="BK94" s="19"/>
      <c r="BL94" s="20"/>
    </row>
    <row r="95" spans="1:64" ht="11.45" customHeight="1" thickBot="1" x14ac:dyDescent="0.25">
      <c r="J95" s="10"/>
      <c r="K95" s="28"/>
      <c r="L95" s="28"/>
      <c r="N95" s="38"/>
      <c r="O95" s="28"/>
      <c r="P95" s="28"/>
      <c r="Q95" s="274"/>
      <c r="R95" s="274"/>
      <c r="S95" s="275"/>
      <c r="T95" s="261"/>
      <c r="U95" s="265" t="str">
        <f>IF(N95&lt;&gt;"",CONCATENATE(VLOOKUP(N95,[2]zawodnicy!$A$1:$E$65536,1,FALSE)," ",VLOOKUP(N95,[2]zawodnicy!$A$1:$E$65536,2,FALSE)," ",VLOOKUP(N95,[2]zawodnicy!$A$1:$E$65536,3,FALSE)," - ",VLOOKUP(N95,[2]zawodnicy!$A$1:$E$65536,4,FALSE)),"")</f>
        <v/>
      </c>
      <c r="V95" s="266"/>
      <c r="W95" s="267"/>
      <c r="X95" s="35"/>
      <c r="Y95" s="39" t="str">
        <f>IF(SUM(AS98:AT98)=0,"",AS98&amp;":"&amp;AT98)</f>
        <v/>
      </c>
      <c r="Z95" s="40" t="str">
        <f>IF(SUM(AS96:AT96)=0,"",AS96&amp;":"&amp;AT96)</f>
        <v/>
      </c>
      <c r="AA95" s="262"/>
      <c r="AB95" s="263"/>
      <c r="AC95" s="263"/>
      <c r="AD95" s="264"/>
      <c r="AE95" s="2"/>
      <c r="AF95" s="12"/>
      <c r="AG95" s="12"/>
      <c r="AH95" s="14"/>
      <c r="AI95" s="259" t="s">
        <v>12</v>
      </c>
      <c r="AJ95" s="269"/>
      <c r="AK95" s="268" t="s">
        <v>13</v>
      </c>
      <c r="AL95" s="269"/>
      <c r="AM95" s="268" t="s">
        <v>14</v>
      </c>
      <c r="AN95" s="260"/>
      <c r="AO95" s="259" t="s">
        <v>12</v>
      </c>
      <c r="AP95" s="269"/>
      <c r="AQ95" s="268" t="s">
        <v>13</v>
      </c>
      <c r="AR95" s="269"/>
      <c r="AS95" s="268" t="s">
        <v>14</v>
      </c>
      <c r="AT95" s="269"/>
      <c r="AU95" s="12"/>
      <c r="AV95" s="12"/>
      <c r="AW95" s="259">
        <v>1</v>
      </c>
      <c r="AX95" s="269"/>
      <c r="AY95" s="268">
        <v>2</v>
      </c>
      <c r="AZ95" s="269"/>
      <c r="BA95" s="268">
        <v>3</v>
      </c>
      <c r="BB95" s="260"/>
      <c r="BE95" s="259" t="s">
        <v>3</v>
      </c>
      <c r="BF95" s="260"/>
      <c r="BG95" s="259" t="s">
        <v>4</v>
      </c>
      <c r="BH95" s="260"/>
      <c r="BI95" s="259" t="s">
        <v>5</v>
      </c>
      <c r="BJ95" s="260"/>
      <c r="BK95" s="41" t="s">
        <v>6</v>
      </c>
      <c r="BL95" s="20"/>
    </row>
    <row r="96" spans="1:64" ht="11.45" customHeight="1" x14ac:dyDescent="0.2">
      <c r="A96" s="19">
        <f>S96</f>
        <v>60</v>
      </c>
      <c r="B96" s="2" t="str">
        <f>IF(N94="","",N94)</f>
        <v>W2914</v>
      </c>
      <c r="C96" s="2" t="str">
        <f>IF(N95="","",N95)</f>
        <v/>
      </c>
      <c r="D96" s="2" t="str">
        <f>IF(N100="","",N100)</f>
        <v>S3245</v>
      </c>
      <c r="E96" s="2" t="str">
        <f>IF(N101="","",N101)</f>
        <v/>
      </c>
      <c r="I96" s="2" t="str">
        <f>"2"&amp;O92&amp;N93</f>
        <v>21pojedyncza mężczyzn J</v>
      </c>
      <c r="J96" s="10" t="str">
        <f>IF(AD96="","",IF(AD93=2,N94,IF(AD96=2,N97,IF(AD99=2,N100,""))))</f>
        <v>S3245</v>
      </c>
      <c r="K96" s="10">
        <f>IF(AD96="","",IF(AD93=2,N95,IF(AD96=2,N98,IF(AD99=2,N101,""))))</f>
        <v>0</v>
      </c>
      <c r="M96" s="42" t="str">
        <f>N93</f>
        <v>pojedyncza mężczyzn J</v>
      </c>
      <c r="O96" s="28"/>
      <c r="P96" s="28"/>
      <c r="Q96" s="43" t="str">
        <f>IF(AU96&gt;0,"",IF(A96=0,"",IF(VLOOKUP(A96,'[2]plan gier'!A$1:S$65536,19,FALSE)="","",VLOOKUP(A96,'[2]plan gier'!A$1:S$65536,19,FALSE))))</f>
        <v/>
      </c>
      <c r="R96" s="44" t="s">
        <v>15</v>
      </c>
      <c r="S96" s="45">
        <v>60</v>
      </c>
      <c r="T96" s="241">
        <v>2</v>
      </c>
      <c r="U96" s="244" t="str">
        <f>IF(AND(N97&lt;&gt;"",N98&lt;&gt;""),CONCATENATE(VLOOKUP(N97,[2]zawodnicy!$A$1:$E$65536,1,FALSE)," ",VLOOKUP(N97,[2]zawodnicy!$A$1:$E$65536,2,FALSE)," ",VLOOKUP(N97,[2]zawodnicy!$A$1:$E$65536,3,FALSE)," - ",VLOOKUP(N97,[2]zawodnicy!$A$1:$E$65536,4,FALSE)),"")</f>
        <v/>
      </c>
      <c r="V96" s="245"/>
      <c r="W96" s="246"/>
      <c r="X96" s="46" t="str">
        <f>IF(SUM(AO98:AP98)=0,"",AP98&amp;":"&amp;AO98)</f>
        <v>11:21</v>
      </c>
      <c r="Y96" s="47"/>
      <c r="Z96" s="48" t="str">
        <f>IF(SUM(AO97:AP97)=0,"",AO97&amp;":"&amp;AP97)</f>
        <v>13:21</v>
      </c>
      <c r="AA96" s="247" t="str">
        <f>IF(SUM(AW97:AX97,BA97:BB97)=0,"",BE97&amp;":"&amp;BF97)</f>
        <v>62:85</v>
      </c>
      <c r="AB96" s="250" t="str">
        <f>IF(SUM(AW97:AX97,BA97:BB97)=0,"",BG97&amp;":"&amp;BH97)</f>
        <v>0:4</v>
      </c>
      <c r="AC96" s="250" t="str">
        <f>IF(SUM(AW97:AX97,BA97:BB97)=0,"",BI97&amp;":"&amp;BJ97)</f>
        <v>0:2</v>
      </c>
      <c r="AD96" s="253">
        <f>IF(SUM(BI96:BI98)&gt;0,BK97,"")</f>
        <v>3</v>
      </c>
      <c r="AE96" s="2"/>
      <c r="AF96" s="12"/>
      <c r="AG96" s="12"/>
      <c r="AH96" s="44" t="s">
        <v>15</v>
      </c>
      <c r="AI96" s="49">
        <f>IF(ISBLANK(S96),"",VLOOKUP(S96,'[2]plan gier'!$X$1:$AN$65536,12,FALSE))</f>
        <v>21</v>
      </c>
      <c r="AJ96" s="50">
        <f>IF(ISBLANK(S96),"",VLOOKUP(S96,'[2]plan gier'!$X$1:$AN$65536,13,FALSE))</f>
        <v>12</v>
      </c>
      <c r="AK96" s="50">
        <f>IF(ISBLANK(S96),"",VLOOKUP(S96,'[2]plan gier'!$X$1:$AN$65536,14,FALSE))</f>
        <v>21</v>
      </c>
      <c r="AL96" s="50">
        <f>IF(ISBLANK(S96),"",VLOOKUP(S96,'[2]plan gier'!$X$1:$AN$65536,15,FALSE))</f>
        <v>12</v>
      </c>
      <c r="AM96" s="50">
        <f>IF(ISBLANK(S96),"",VLOOKUP(S96,'[2]plan gier'!$X$1:$AN$65536,16,FALSE))</f>
        <v>0</v>
      </c>
      <c r="AN96" s="50">
        <f>IF(ISBLANK(S96),"",VLOOKUP(S96,'[2]plan gier'!$X$1:$AN$65536,17,FALSE))</f>
        <v>0</v>
      </c>
      <c r="AO96" s="51">
        <f t="shared" ref="AO96:AT98" si="6">IF(AI96="",0,AI96)</f>
        <v>21</v>
      </c>
      <c r="AP96" s="52">
        <f t="shared" si="6"/>
        <v>12</v>
      </c>
      <c r="AQ96" s="53">
        <f t="shared" si="6"/>
        <v>21</v>
      </c>
      <c r="AR96" s="52">
        <f t="shared" si="6"/>
        <v>12</v>
      </c>
      <c r="AS96" s="53">
        <f t="shared" si="6"/>
        <v>0</v>
      </c>
      <c r="AT96" s="52">
        <f t="shared" si="6"/>
        <v>0</v>
      </c>
      <c r="AU96" s="54">
        <f>SUM(AO96:AT96)</f>
        <v>66</v>
      </c>
      <c r="AV96" s="13">
        <v>1</v>
      </c>
      <c r="AW96" s="55"/>
      <c r="AX96" s="56"/>
      <c r="AY96" s="50">
        <f>IF(AI98&gt;AJ98,1,0)+IF(AK98&gt;AL98,1,0)+IF(AM98&gt;AN98,1,0)</f>
        <v>2</v>
      </c>
      <c r="AZ96" s="50">
        <f>AW97</f>
        <v>0</v>
      </c>
      <c r="BA96" s="50">
        <f>IF(AI96&gt;AJ96,1,0)+IF(AK96&gt;AL96,1,0)+IF(AM96&gt;AN96,1,0)</f>
        <v>2</v>
      </c>
      <c r="BB96" s="57">
        <f>AW98</f>
        <v>0</v>
      </c>
      <c r="BE96" s="49">
        <f>AO96+AQ96+AS96+AO98+AQ98+AS98</f>
        <v>85</v>
      </c>
      <c r="BF96" s="57">
        <f>AP96+AR96+AT96+AP98+AR98+AT98</f>
        <v>55</v>
      </c>
      <c r="BG96" s="49">
        <f>AY96+BA96</f>
        <v>4</v>
      </c>
      <c r="BH96" s="57">
        <f>AZ96+BB96</f>
        <v>0</v>
      </c>
      <c r="BI96" s="49">
        <f>IF(AY96&gt;AZ96,1,0)+IF(BA96&gt;BB96,1,0)</f>
        <v>2</v>
      </c>
      <c r="BJ96" s="58">
        <f>IF(AZ96&gt;AY96,1,0)+IF(BB96&gt;BA96,1,0)</f>
        <v>0</v>
      </c>
      <c r="BK96" s="59">
        <f>IF(BI96+BJ96=0,"",IF(BL96=MAX(BL96:BL98),1,IF(BL96=MIN(BL96:BL98),3,2)))</f>
        <v>1</v>
      </c>
      <c r="BL96" s="60">
        <f>IF(BI96+BJ96&lt;&gt;0,BI96+1+(BG96-BH96)/100+(BE96-BF96)/100000+(BE96/BF96)/1000000,0)</f>
        <v>3.0403015454545459</v>
      </c>
    </row>
    <row r="97" spans="1:64" ht="11.45" customHeight="1" x14ac:dyDescent="0.2">
      <c r="A97" s="19">
        <f>S97</f>
        <v>125</v>
      </c>
      <c r="B97" s="2" t="str">
        <f>IF(N97="","",N97)</f>
        <v>U4307</v>
      </c>
      <c r="C97" s="2" t="str">
        <f>IF(N98="","",N98)</f>
        <v/>
      </c>
      <c r="D97" s="2" t="str">
        <f>IF(N100="","",N100)</f>
        <v>S3245</v>
      </c>
      <c r="E97" s="2" t="str">
        <f>IF(N101="","",N101)</f>
        <v/>
      </c>
      <c r="J97" s="10"/>
      <c r="K97" s="19"/>
      <c r="M97" s="42" t="str">
        <f>N93</f>
        <v>pojedyncza mężczyzn J</v>
      </c>
      <c r="N97" s="33" t="s">
        <v>37</v>
      </c>
      <c r="O97" s="34">
        <f>IF(O92&gt;0,(O92&amp;2)*1,"")</f>
        <v>12</v>
      </c>
      <c r="Q97" s="43" t="str">
        <f>IF(AU97&gt;0,"",IF(A97=0,"",IF(VLOOKUP(A97,'[2]plan gier'!A$1:S$65536,19,FALSE)="","",VLOOKUP(A97,'[2]plan gier'!A$1:S$65536,19,FALSE))))</f>
        <v/>
      </c>
      <c r="R97" s="44" t="s">
        <v>17</v>
      </c>
      <c r="S97" s="45">
        <v>125</v>
      </c>
      <c r="T97" s="242"/>
      <c r="U97" s="244" t="str">
        <f>IF(AND(N97&lt;&gt;"",N98=""),CONCATENATE(VLOOKUP(N97,[2]zawodnicy!$A$1:$E$65536,1,FALSE)," ",VLOOKUP(N97,[2]zawodnicy!$A$1:$E$65536,2,FALSE)," ",VLOOKUP(N97,[2]zawodnicy!$A$1:$E$65536,3,FALSE)," - ",VLOOKUP(N97,[2]zawodnicy!$A$1:$E$65536,4,FALSE)),"")</f>
        <v>U4307 Michał USTIMOWICZ - LKS Technik Głubczyce</v>
      </c>
      <c r="V97" s="245"/>
      <c r="W97" s="246"/>
      <c r="X97" s="61" t="str">
        <f>IF(SUM(AQ98:AR98)=0,"",AR98&amp;":"&amp;AQ98)</f>
        <v>20:22</v>
      </c>
      <c r="Y97" s="62"/>
      <c r="Z97" s="37" t="str">
        <f>IF(SUM(AQ97:AR97)=0,"",AQ97&amp;":"&amp;AR97)</f>
        <v>18:21</v>
      </c>
      <c r="AA97" s="248"/>
      <c r="AB97" s="251"/>
      <c r="AC97" s="251"/>
      <c r="AD97" s="254"/>
      <c r="AE97" s="2"/>
      <c r="AF97" s="12"/>
      <c r="AG97" s="12"/>
      <c r="AH97" s="44" t="s">
        <v>17</v>
      </c>
      <c r="AI97" s="63">
        <f>IF(ISBLANK(S97),"",VLOOKUP(S97,'[2]plan gier'!$X$1:$AN$65536,12,FALSE))</f>
        <v>13</v>
      </c>
      <c r="AJ97" s="64">
        <f>IF(ISBLANK(S97),"",VLOOKUP(S97,'[2]plan gier'!$X$1:$AN$65536,13,FALSE))</f>
        <v>21</v>
      </c>
      <c r="AK97" s="64">
        <f>IF(ISBLANK(S97),"",VLOOKUP(S97,'[2]plan gier'!$X$1:$AN$65536,14,FALSE))</f>
        <v>18</v>
      </c>
      <c r="AL97" s="64">
        <f>IF(ISBLANK(S97),"",VLOOKUP(S97,'[2]plan gier'!$X$1:$AN$65536,15,FALSE))</f>
        <v>21</v>
      </c>
      <c r="AM97" s="64">
        <f>IF(ISBLANK(S97),"",VLOOKUP(S97,'[2]plan gier'!$X$1:$AN$65536,16,FALSE))</f>
        <v>0</v>
      </c>
      <c r="AN97" s="64">
        <f>IF(ISBLANK(S97),"",VLOOKUP(S97,'[2]plan gier'!$X$1:$AN$65536,17,FALSE))</f>
        <v>0</v>
      </c>
      <c r="AO97" s="65">
        <f t="shared" si="6"/>
        <v>13</v>
      </c>
      <c r="AP97" s="64">
        <f t="shared" si="6"/>
        <v>21</v>
      </c>
      <c r="AQ97" s="66">
        <f t="shared" si="6"/>
        <v>18</v>
      </c>
      <c r="AR97" s="64">
        <f t="shared" si="6"/>
        <v>21</v>
      </c>
      <c r="AS97" s="66">
        <f t="shared" si="6"/>
        <v>0</v>
      </c>
      <c r="AT97" s="64">
        <f t="shared" si="6"/>
        <v>0</v>
      </c>
      <c r="AU97" s="54">
        <f>SUM(AO97:AT97)</f>
        <v>73</v>
      </c>
      <c r="AV97" s="13">
        <v>2</v>
      </c>
      <c r="AW97" s="63">
        <f>IF(AI98&lt;AJ98,1,0)+IF(AK98&lt;AL98,1,0)+IF(AM98&lt;AN98,1,0)</f>
        <v>0</v>
      </c>
      <c r="AX97" s="64">
        <f>AY96</f>
        <v>2</v>
      </c>
      <c r="AY97" s="67"/>
      <c r="AZ97" s="68"/>
      <c r="BA97" s="64">
        <f>IF(AI97&gt;AJ97,1,0)+IF(AK97&gt;AL97,1,0)+IF(AM97&gt;AN97,1,0)</f>
        <v>0</v>
      </c>
      <c r="BB97" s="69">
        <f>AY98</f>
        <v>2</v>
      </c>
      <c r="BE97" s="63">
        <f>AO97+AQ97+AS97+AP98+AR98+AT98</f>
        <v>62</v>
      </c>
      <c r="BF97" s="69">
        <f>AP97+AR97+AT97+AO98+AQ98+AS98</f>
        <v>85</v>
      </c>
      <c r="BG97" s="63">
        <f>AW97+BA97</f>
        <v>0</v>
      </c>
      <c r="BH97" s="69">
        <f>AX97+BB97</f>
        <v>4</v>
      </c>
      <c r="BI97" s="63">
        <f>IF(AW97&gt;AX97,1,0)+IF(BA97&gt;BB97,1,0)</f>
        <v>0</v>
      </c>
      <c r="BJ97" s="70">
        <f>IF(AX97&gt;AW97,1,0)+IF(BB97&gt;BA97,1,0)</f>
        <v>2</v>
      </c>
      <c r="BK97" s="71">
        <f>IF(BI97+BJ97=0,"",IF(BL97=MAX(BL96:BL98),1,IF(BL97=MIN(BL96:BL98),3,2)))</f>
        <v>3</v>
      </c>
      <c r="BL97" s="60">
        <f>IF(BI97+BJ97&lt;&gt;0,BI97+1+(BG97-BH97)/100+(BE97-BF97)/100000+(BE97/BF97)/1000000,0)</f>
        <v>0.95977072941176467</v>
      </c>
    </row>
    <row r="98" spans="1:64" ht="11.45" customHeight="1" thickBot="1" x14ac:dyDescent="0.25">
      <c r="A98" s="19">
        <f>S98</f>
        <v>190</v>
      </c>
      <c r="B98" s="2" t="str">
        <f>IF(N94="","",N94)</f>
        <v>W2914</v>
      </c>
      <c r="C98" s="2" t="str">
        <f>IF(N95="","",N95)</f>
        <v/>
      </c>
      <c r="D98" s="2" t="str">
        <f>IF(N97="","",N97)</f>
        <v>U4307</v>
      </c>
      <c r="E98" s="2" t="str">
        <f>IF(N98="","",N98)</f>
        <v/>
      </c>
      <c r="I98" s="2" t="str">
        <f>"3"&amp;O92&amp;N93</f>
        <v>31pojedyncza mężczyzn J</v>
      </c>
      <c r="J98" s="10" t="str">
        <f>IF(AD99="","",IF(AD93=3,N94,IF(AD96=3,N97,IF(AD99=3,N100,""))))</f>
        <v>U4307</v>
      </c>
      <c r="K98" s="10">
        <f>IF(AD99="","",IF(AD93=3,N95,IF(AD96=3,N98,IF(AD99=3,N101,""))))</f>
        <v>0</v>
      </c>
      <c r="M98" s="42" t="str">
        <f>N93</f>
        <v>pojedyncza mężczyzn J</v>
      </c>
      <c r="N98" s="38"/>
      <c r="O98" s="28"/>
      <c r="P98" s="28"/>
      <c r="Q98" s="43" t="str">
        <f>IF(AU98&gt;0,"",IF(A98=0,"",IF(VLOOKUP(A98,'[2]plan gier'!A$1:S$65536,19,FALSE)="","",VLOOKUP(A98,'[2]plan gier'!A$1:S$65536,19,FALSE))))</f>
        <v/>
      </c>
      <c r="R98" s="72" t="s">
        <v>18</v>
      </c>
      <c r="S98" s="45">
        <v>190</v>
      </c>
      <c r="T98" s="261"/>
      <c r="U98" s="265" t="str">
        <f>IF(N98&lt;&gt;"",CONCATENATE(VLOOKUP(N98,[2]zawodnicy!$A$1:$E$65536,1,FALSE)," ",VLOOKUP(N98,[2]zawodnicy!$A$1:$E$65536,2,FALSE)," ",VLOOKUP(N98,[2]zawodnicy!$A$1:$E$65536,3,FALSE)," - ",VLOOKUP(N98,[2]zawodnicy!$A$1:$E$65536,4,FALSE)),"")</f>
        <v/>
      </c>
      <c r="V98" s="266"/>
      <c r="W98" s="267"/>
      <c r="X98" s="73" t="str">
        <f>IF(SUM(AS98:AT98)=0,"",AT98&amp;":"&amp;AS98)</f>
        <v/>
      </c>
      <c r="Y98" s="62"/>
      <c r="Z98" s="40" t="str">
        <f>IF(SUM(AS97:AT97)=0,"",AS97&amp;":"&amp;AT97)</f>
        <v/>
      </c>
      <c r="AA98" s="262"/>
      <c r="AB98" s="263"/>
      <c r="AC98" s="263"/>
      <c r="AD98" s="264"/>
      <c r="AE98" s="2"/>
      <c r="AF98" s="12"/>
      <c r="AG98" s="12"/>
      <c r="AH98" s="72" t="s">
        <v>18</v>
      </c>
      <c r="AI98" s="74">
        <f>IF(ISBLANK(S98),"",VLOOKUP(S98,'[2]plan gier'!$X$1:$AN$65536,12,FALSE))</f>
        <v>21</v>
      </c>
      <c r="AJ98" s="75">
        <f>IF(ISBLANK(S98),"",VLOOKUP(S98,'[2]plan gier'!$X$1:$AN$65536,13,FALSE))</f>
        <v>11</v>
      </c>
      <c r="AK98" s="75">
        <f>IF(ISBLANK(S98),"",VLOOKUP(S98,'[2]plan gier'!$X$1:$AN$65536,14,FALSE))</f>
        <v>22</v>
      </c>
      <c r="AL98" s="75">
        <f>IF(ISBLANK(S98),"",VLOOKUP(S98,'[2]plan gier'!$X$1:$AN$65536,15,FALSE))</f>
        <v>20</v>
      </c>
      <c r="AM98" s="75">
        <f>IF(ISBLANK(S98),"",VLOOKUP(S98,'[2]plan gier'!$X$1:$AN$65536,16,FALSE))</f>
        <v>0</v>
      </c>
      <c r="AN98" s="75">
        <f>IF(ISBLANK(S98),"",VLOOKUP(S98,'[2]plan gier'!$X$1:$AN$65536,17,FALSE))</f>
        <v>0</v>
      </c>
      <c r="AO98" s="76">
        <f t="shared" si="6"/>
        <v>21</v>
      </c>
      <c r="AP98" s="75">
        <f t="shared" si="6"/>
        <v>11</v>
      </c>
      <c r="AQ98" s="77">
        <f t="shared" si="6"/>
        <v>22</v>
      </c>
      <c r="AR98" s="75">
        <f t="shared" si="6"/>
        <v>20</v>
      </c>
      <c r="AS98" s="77">
        <f t="shared" si="6"/>
        <v>0</v>
      </c>
      <c r="AT98" s="75">
        <f t="shared" si="6"/>
        <v>0</v>
      </c>
      <c r="AU98" s="54">
        <f>SUM(AO98:AT98)</f>
        <v>74</v>
      </c>
      <c r="AV98" s="13">
        <v>3</v>
      </c>
      <c r="AW98" s="74">
        <f>IF(AI96&lt;AJ96,1,0)+IF(AK96&lt;AL96,1,0)+IF(AM96&lt;AN96,1,0)</f>
        <v>0</v>
      </c>
      <c r="AX98" s="75">
        <f>BA96</f>
        <v>2</v>
      </c>
      <c r="AY98" s="75">
        <f>IF(AI97&lt;AJ97,1,0)+IF(AK97&lt;AL97,1,0)+IF(AM97&lt;AN97,1,0)</f>
        <v>2</v>
      </c>
      <c r="AZ98" s="75">
        <f>BA97</f>
        <v>0</v>
      </c>
      <c r="BA98" s="78"/>
      <c r="BB98" s="79"/>
      <c r="BE98" s="74">
        <f>AP96+AR96+AT96+AP97+AR97+AT97</f>
        <v>66</v>
      </c>
      <c r="BF98" s="80">
        <f>AO96+AQ96+AS96+AO97+AQ97+AS97</f>
        <v>73</v>
      </c>
      <c r="BG98" s="74">
        <f>AW98+AY98</f>
        <v>2</v>
      </c>
      <c r="BH98" s="80">
        <f>AX98+AZ98</f>
        <v>2</v>
      </c>
      <c r="BI98" s="74">
        <f>IF(AW98&gt;AX98,1,0)+IF(AY98&gt;AZ98,1,0)</f>
        <v>1</v>
      </c>
      <c r="BJ98" s="81">
        <f>IF(AX98&gt;AW98,1,0)+IF(AZ98&gt;AY98,1,0)</f>
        <v>1</v>
      </c>
      <c r="BK98" s="82">
        <f>IF(BI98+BJ98=0,"",IF(BL98=MAX(BL96:BL98),1,IF(BL98=MIN(BL96:BL98),3,2)))</f>
        <v>2</v>
      </c>
      <c r="BL98" s="60">
        <f>IF(BI98+BJ98&lt;&gt;0,BI98+1+(BG98-BH98)/100+(BE98-BF98)/100000+(BE98/BF98)/1000000,0)</f>
        <v>1.999930904109589</v>
      </c>
    </row>
    <row r="99" spans="1:64" ht="11.45" customHeight="1" x14ac:dyDescent="0.2">
      <c r="A99" s="2"/>
      <c r="J99" s="28"/>
      <c r="K99" s="28"/>
      <c r="L99" s="28"/>
      <c r="O99" s="28"/>
      <c r="P99" s="28"/>
      <c r="Q99" s="2"/>
      <c r="R99" s="2"/>
      <c r="S99" s="2"/>
      <c r="T99" s="241">
        <v>3</v>
      </c>
      <c r="U99" s="244" t="str">
        <f>IF(AND(N100&lt;&gt;"",N101&lt;&gt;""),CONCATENATE(VLOOKUP(N100,[2]zawodnicy!$A$1:$E$65536,1,FALSE)," ",VLOOKUP(N100,[2]zawodnicy!$A$1:$E$65536,2,FALSE)," ",VLOOKUP(N100,[2]zawodnicy!$A$1:$E$65536,3,FALSE)," - ",VLOOKUP(N100,[2]zawodnicy!$A$1:$E$65536,4,FALSE)),"")</f>
        <v/>
      </c>
      <c r="V99" s="245"/>
      <c r="W99" s="246"/>
      <c r="X99" s="46" t="str">
        <f>IF(SUM(AO96:AP96)=0,"",AP96&amp;":"&amp;AO96)</f>
        <v>12:21</v>
      </c>
      <c r="Y99" s="83" t="str">
        <f>IF(SUM(AO97:AP97)=0,"",AP97&amp;":"&amp;AO97)</f>
        <v>21:13</v>
      </c>
      <c r="Z99" s="84"/>
      <c r="AA99" s="247" t="str">
        <f>IF(SUM(AW98:AZ98)=0,"",BE98&amp;":"&amp;BF98)</f>
        <v>66:73</v>
      </c>
      <c r="AB99" s="250" t="str">
        <f>IF(SUM(AW98:AZ98)=0,"",BG98&amp;":"&amp;BH98)</f>
        <v>2:2</v>
      </c>
      <c r="AC99" s="250" t="str">
        <f>IF(SUM(AW98:AZ98)=0,"",BI98&amp;":"&amp;BJ98)</f>
        <v>1:1</v>
      </c>
      <c r="AD99" s="253">
        <f>IF(SUM(BI96:BI98)&gt;0,BK98,"")</f>
        <v>2</v>
      </c>
      <c r="AE99" s="2"/>
      <c r="AF99" s="12"/>
      <c r="AG99" s="12"/>
      <c r="BE99" s="19">
        <f>SUM(BE96:BE98)</f>
        <v>213</v>
      </c>
      <c r="BF99" s="19">
        <f>SUM(BF96:BF98)</f>
        <v>213</v>
      </c>
      <c r="BG99" s="19">
        <f>SUM(BG96:BG98)</f>
        <v>6</v>
      </c>
      <c r="BH99" s="19">
        <f>SUM(BH96:BH98)</f>
        <v>6</v>
      </c>
      <c r="BK99" s="19"/>
      <c r="BL99" s="20"/>
    </row>
    <row r="100" spans="1:64" ht="11.45" customHeight="1" x14ac:dyDescent="0.2">
      <c r="A100" s="19"/>
      <c r="J100" s="19"/>
      <c r="K100" s="19"/>
      <c r="L100" s="19"/>
      <c r="N100" s="33" t="s">
        <v>38</v>
      </c>
      <c r="O100" s="34">
        <f>IF(O92&gt;0,(O92&amp;3)*1,"")</f>
        <v>13</v>
      </c>
      <c r="Q100" s="85"/>
      <c r="R100" s="85"/>
      <c r="S100" s="85"/>
      <c r="T100" s="242"/>
      <c r="U100" s="244" t="str">
        <f>IF(AND(N100&lt;&gt;"",N101=""),CONCATENATE(VLOOKUP(N100,[2]zawodnicy!$A$1:$E$65536,1,FALSE)," ",VLOOKUP(N100,[2]zawodnicy!$A$1:$E$65536,2,FALSE)," ",VLOOKUP(N100,[2]zawodnicy!$A$1:$E$65536,3,FALSE)," - ",VLOOKUP(N100,[2]zawodnicy!$A$1:$E$65536,4,FALSE)),"")</f>
        <v>S3245 Arkadiusz SŁUPEK - KS Chojnik Jelenia Góra</v>
      </c>
      <c r="V100" s="245"/>
      <c r="W100" s="246"/>
      <c r="X100" s="61" t="str">
        <f>IF(SUM(AQ96:AR96)=0,"",AR96&amp;":"&amp;AQ96)</f>
        <v>12:21</v>
      </c>
      <c r="Y100" s="36" t="str">
        <f>IF(SUM(AQ97:AR97)=0,"",AR97&amp;":"&amp;AQ97)</f>
        <v>21:18</v>
      </c>
      <c r="Z100" s="86"/>
      <c r="AA100" s="248"/>
      <c r="AB100" s="251"/>
      <c r="AC100" s="251"/>
      <c r="AD100" s="254"/>
      <c r="AE100" s="2"/>
      <c r="AF100" s="12"/>
      <c r="AG100" s="1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row>
    <row r="101" spans="1:64" ht="11.45" customHeight="1" thickBot="1" x14ac:dyDescent="0.25">
      <c r="A101" s="2"/>
      <c r="J101" s="28"/>
      <c r="K101" s="28"/>
      <c r="L101" s="28"/>
      <c r="N101" s="38"/>
      <c r="O101" s="28"/>
      <c r="P101" s="28"/>
      <c r="Q101" s="2"/>
      <c r="R101" s="2"/>
      <c r="S101" s="2"/>
      <c r="T101" s="243"/>
      <c r="U101" s="256" t="str">
        <f>IF(N101&lt;&gt;"",CONCATENATE(VLOOKUP(N101,[2]zawodnicy!$A$1:$E$65536,1,FALSE)," ",VLOOKUP(N101,[2]zawodnicy!$A$1:$E$65536,2,FALSE)," ",VLOOKUP(N101,[2]zawodnicy!$A$1:$E$65536,3,FALSE)," - ",VLOOKUP(N101,[2]zawodnicy!$A$1:$E$65536,4,FALSE)),"")</f>
        <v/>
      </c>
      <c r="V101" s="257"/>
      <c r="W101" s="258"/>
      <c r="X101" s="87" t="str">
        <f>IF(SUM(AS96:AT96)=0,"",AT96&amp;":"&amp;AS96)</f>
        <v/>
      </c>
      <c r="Y101" s="88" t="str">
        <f>IF(SUM(AS97:AT97)=0,"",AT97&amp;":"&amp;AS97)</f>
        <v/>
      </c>
      <c r="Z101" s="89"/>
      <c r="AA101" s="249"/>
      <c r="AB101" s="252"/>
      <c r="AC101" s="252"/>
      <c r="AD101" s="255"/>
      <c r="AE101" s="10"/>
      <c r="AF101" s="12"/>
      <c r="AG101" s="1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row>
    <row r="102" spans="1:64" s="19" customFormat="1" ht="5.0999999999999996" customHeight="1" thickBot="1" x14ac:dyDescent="0.25">
      <c r="M102" s="90"/>
      <c r="O102" s="90"/>
      <c r="P102" s="90"/>
      <c r="Q102" s="91"/>
      <c r="R102" s="91"/>
      <c r="S102" s="91"/>
      <c r="T102" s="91"/>
      <c r="U102" s="5"/>
      <c r="V102" s="5"/>
      <c r="W102" s="5"/>
      <c r="AA102" s="92"/>
      <c r="AB102" s="91"/>
      <c r="AC102" s="91"/>
      <c r="AD102" s="91"/>
      <c r="AE102" s="91"/>
      <c r="AF102" s="91"/>
      <c r="AI102" s="93"/>
      <c r="AJ102" s="94"/>
      <c r="AK102" s="94"/>
    </row>
    <row r="103" spans="1:64" ht="11.45" customHeight="1" thickBot="1" x14ac:dyDescent="0.25">
      <c r="N103" s="11"/>
      <c r="O103" s="21">
        <v>2</v>
      </c>
      <c r="Q103" s="277" t="str">
        <f>"Grupa "&amp;O103&amp;"."</f>
        <v>Grupa 2.</v>
      </c>
      <c r="R103" s="277"/>
      <c r="S103" s="277"/>
      <c r="T103" s="22" t="s">
        <v>1</v>
      </c>
      <c r="U103" s="278" t="s">
        <v>2</v>
      </c>
      <c r="V103" s="279"/>
      <c r="W103" s="280"/>
      <c r="X103" s="22">
        <v>1</v>
      </c>
      <c r="Y103" s="23">
        <v>2</v>
      </c>
      <c r="Z103" s="24">
        <v>3</v>
      </c>
      <c r="AA103" s="25" t="s">
        <v>3</v>
      </c>
      <c r="AB103" s="26" t="s">
        <v>4</v>
      </c>
      <c r="AC103" s="26" t="s">
        <v>5</v>
      </c>
      <c r="AD103" s="27" t="s">
        <v>6</v>
      </c>
      <c r="AE103" s="2"/>
      <c r="AF103" s="12"/>
      <c r="AG103" s="12"/>
      <c r="BK103" s="19"/>
      <c r="BL103" s="20"/>
    </row>
    <row r="104" spans="1:64" ht="11.45" customHeight="1" x14ac:dyDescent="0.2">
      <c r="J104" s="28"/>
      <c r="K104" s="28"/>
      <c r="L104" s="28"/>
      <c r="N104" s="29" t="s">
        <v>35</v>
      </c>
      <c r="Q104" s="274" t="s">
        <v>7</v>
      </c>
      <c r="R104" s="274"/>
      <c r="S104" s="275" t="s">
        <v>8</v>
      </c>
      <c r="T104" s="276">
        <v>1</v>
      </c>
      <c r="U104" s="244" t="str">
        <f>IF(AND(N105&lt;&gt;"",N106&lt;&gt;""),CONCATENATE(VLOOKUP(N105,[2]zawodnicy!$A$1:$E$65536,1,FALSE)," ",VLOOKUP(N105,[2]zawodnicy!$A$1:$E$65536,2,FALSE)," ",VLOOKUP(N105,[2]zawodnicy!$A$1:$E$65536,3,FALSE)," - ",VLOOKUP(N105,[2]zawodnicy!$A$1:$E$65536,4,FALSE)),"")</f>
        <v/>
      </c>
      <c r="V104" s="245"/>
      <c r="W104" s="246"/>
      <c r="X104" s="30"/>
      <c r="Y104" s="31" t="str">
        <f>IF(SUM(AO109:AP109)=0,"",AO109&amp;":"&amp;AP109)</f>
        <v>21:5</v>
      </c>
      <c r="Z104" s="32" t="str">
        <f>IF(SUM(AO107:AP107)=0,"",AO107&amp;":"&amp;AP107)</f>
        <v>21:12</v>
      </c>
      <c r="AA104" s="270" t="str">
        <f>IF(SUM(AY107:BB107)=0,"",BE107&amp;":"&amp;BF107)</f>
        <v>84:26</v>
      </c>
      <c r="AB104" s="271" t="str">
        <f>IF(SUM(AY107:BB107)=0,"",BG107&amp;":"&amp;BH107)</f>
        <v>4:0</v>
      </c>
      <c r="AC104" s="271" t="str">
        <f>IF(SUM(AY107:BB107)=0,"",BI107&amp;":"&amp;BJ107)</f>
        <v>2:0</v>
      </c>
      <c r="AD104" s="272">
        <f>IF(SUM(BI107:BI109)&gt;0,BK107,"")</f>
        <v>1</v>
      </c>
      <c r="AE104" s="2"/>
      <c r="AF104" s="12"/>
      <c r="AG104" s="12"/>
      <c r="AH104" s="14"/>
      <c r="AI104" s="273" t="s">
        <v>9</v>
      </c>
      <c r="AJ104" s="273"/>
      <c r="AK104" s="273"/>
      <c r="AL104" s="273"/>
      <c r="AM104" s="273"/>
      <c r="AN104" s="273"/>
      <c r="AO104" s="273" t="s">
        <v>10</v>
      </c>
      <c r="AP104" s="273"/>
      <c r="AQ104" s="273"/>
      <c r="AR104" s="273"/>
      <c r="AS104" s="273"/>
      <c r="AT104" s="273"/>
      <c r="BK104" s="19"/>
      <c r="BL104" s="20"/>
    </row>
    <row r="105" spans="1:64" ht="11.45" customHeight="1" thickBot="1" x14ac:dyDescent="0.25">
      <c r="I105" s="2" t="str">
        <f>"1"&amp;O103&amp;N104</f>
        <v>12pojedyncza mężczyzn J</v>
      </c>
      <c r="J105" s="10" t="str">
        <f>IF(AD104="","",IF(AD104=1,N105,IF(AD107=1,N108,IF(AD110=1,N111,""))))</f>
        <v>B2621</v>
      </c>
      <c r="K105" s="10">
        <f>IF(AD104="","",IF(AD104=1,N106,IF(AD107=1,N109,IF(AD110=1,N112,""))))</f>
        <v>0</v>
      </c>
      <c r="L105" s="10"/>
      <c r="N105" s="33" t="s">
        <v>39</v>
      </c>
      <c r="O105" s="34">
        <f>IF(O103&gt;0,(O103&amp;1)*1,"")</f>
        <v>21</v>
      </c>
      <c r="Q105" s="274"/>
      <c r="R105" s="274"/>
      <c r="S105" s="275"/>
      <c r="T105" s="242"/>
      <c r="U105" s="244" t="str">
        <f>IF(AND(N105&lt;&gt;"",N106=""),CONCATENATE(VLOOKUP(N105,[2]zawodnicy!$A$1:$E$65536,1,FALSE)," ",VLOOKUP(N105,[2]zawodnicy!$A$1:$E$65536,2,FALSE)," ",VLOOKUP(N105,[2]zawodnicy!$A$1:$E$65536,3,FALSE)," - ",VLOOKUP(N105,[2]zawodnicy!$A$1:$E$65536,4,FALSE)),"")</f>
        <v>B2621 Mateusz BIERNACKI - UKS Hubal Białystok</v>
      </c>
      <c r="V105" s="245"/>
      <c r="W105" s="246"/>
      <c r="X105" s="35"/>
      <c r="Y105" s="36" t="str">
        <f>IF(SUM(AQ109:AR109)=0,"",AQ109&amp;":"&amp;AR109)</f>
        <v>21:9</v>
      </c>
      <c r="Z105" s="37" t="str">
        <f>IF(SUM(AQ107:AR107)=0,"",AQ107&amp;":"&amp;AR107)</f>
        <v>21:0</v>
      </c>
      <c r="AA105" s="248"/>
      <c r="AB105" s="251"/>
      <c r="AC105" s="251"/>
      <c r="AD105" s="254"/>
      <c r="AE105" s="2"/>
      <c r="AF105" s="12"/>
      <c r="AG105" s="12"/>
      <c r="AH105" s="14"/>
      <c r="BE105" s="19">
        <f>SUM(BE107:BE109)</f>
        <v>179</v>
      </c>
      <c r="BF105" s="19">
        <f>SUM(BF107:BF109)</f>
        <v>179</v>
      </c>
      <c r="BG105" s="19">
        <f>SUM(BG107:BG109)</f>
        <v>6</v>
      </c>
      <c r="BH105" s="19">
        <f>SUM(BH107:BH109)</f>
        <v>6</v>
      </c>
      <c r="BK105" s="19"/>
      <c r="BL105" s="20"/>
    </row>
    <row r="106" spans="1:64" ht="11.45" customHeight="1" thickBot="1" x14ac:dyDescent="0.25">
      <c r="J106" s="10"/>
      <c r="K106" s="28"/>
      <c r="L106" s="28"/>
      <c r="N106" s="38"/>
      <c r="O106" s="28"/>
      <c r="P106" s="28"/>
      <c r="Q106" s="274"/>
      <c r="R106" s="274"/>
      <c r="S106" s="275"/>
      <c r="T106" s="261"/>
      <c r="U106" s="265" t="str">
        <f>IF(N106&lt;&gt;"",CONCATENATE(VLOOKUP(N106,[2]zawodnicy!$A$1:$E$65536,1,FALSE)," ",VLOOKUP(N106,[2]zawodnicy!$A$1:$E$65536,2,FALSE)," ",VLOOKUP(N106,[2]zawodnicy!$A$1:$E$65536,3,FALSE)," - ",VLOOKUP(N106,[2]zawodnicy!$A$1:$E$65536,4,FALSE)),"")</f>
        <v/>
      </c>
      <c r="V106" s="266"/>
      <c r="W106" s="267"/>
      <c r="X106" s="35"/>
      <c r="Y106" s="39" t="str">
        <f>IF(SUM(AS109:AT109)=0,"",AS109&amp;":"&amp;AT109)</f>
        <v/>
      </c>
      <c r="Z106" s="40" t="str">
        <f>IF(SUM(AS107:AT107)=0,"",AS107&amp;":"&amp;AT107)</f>
        <v/>
      </c>
      <c r="AA106" s="262"/>
      <c r="AB106" s="263"/>
      <c r="AC106" s="263"/>
      <c r="AD106" s="264"/>
      <c r="AE106" s="2"/>
      <c r="AF106" s="12"/>
      <c r="AG106" s="12"/>
      <c r="AH106" s="14"/>
      <c r="AI106" s="259" t="s">
        <v>12</v>
      </c>
      <c r="AJ106" s="269"/>
      <c r="AK106" s="268" t="s">
        <v>13</v>
      </c>
      <c r="AL106" s="269"/>
      <c r="AM106" s="268" t="s">
        <v>14</v>
      </c>
      <c r="AN106" s="260"/>
      <c r="AO106" s="259" t="s">
        <v>12</v>
      </c>
      <c r="AP106" s="269"/>
      <c r="AQ106" s="268" t="s">
        <v>13</v>
      </c>
      <c r="AR106" s="269"/>
      <c r="AS106" s="268" t="s">
        <v>14</v>
      </c>
      <c r="AT106" s="269"/>
      <c r="AU106" s="12"/>
      <c r="AV106" s="12"/>
      <c r="AW106" s="259">
        <v>1</v>
      </c>
      <c r="AX106" s="269"/>
      <c r="AY106" s="268">
        <v>2</v>
      </c>
      <c r="AZ106" s="269"/>
      <c r="BA106" s="268">
        <v>3</v>
      </c>
      <c r="BB106" s="260"/>
      <c r="BE106" s="259" t="s">
        <v>3</v>
      </c>
      <c r="BF106" s="260"/>
      <c r="BG106" s="259" t="s">
        <v>4</v>
      </c>
      <c r="BH106" s="260"/>
      <c r="BI106" s="259" t="s">
        <v>5</v>
      </c>
      <c r="BJ106" s="260"/>
      <c r="BK106" s="41" t="s">
        <v>6</v>
      </c>
      <c r="BL106" s="20"/>
    </row>
    <row r="107" spans="1:64" ht="11.45" customHeight="1" x14ac:dyDescent="0.2">
      <c r="A107" s="19">
        <f>S107</f>
        <v>61</v>
      </c>
      <c r="B107" s="2" t="str">
        <f>IF(N105="","",N105)</f>
        <v>B2621</v>
      </c>
      <c r="C107" s="2" t="str">
        <f>IF(N106="","",N106)</f>
        <v/>
      </c>
      <c r="D107" s="2" t="str">
        <f>IF(N111="","",N111)</f>
        <v>K4685</v>
      </c>
      <c r="E107" s="2" t="str">
        <f>IF(N112="","",N112)</f>
        <v/>
      </c>
      <c r="I107" s="2" t="str">
        <f>"2"&amp;O103&amp;N104</f>
        <v>22pojedyncza mężczyzn J</v>
      </c>
      <c r="J107" s="10" t="str">
        <f>IF(AD107="","",IF(AD104=2,N105,IF(AD107=2,N108,IF(AD110=2,N111,""))))</f>
        <v>W3805</v>
      </c>
      <c r="K107" s="10">
        <f>IF(AD107="","",IF(AD104=2,N106,IF(AD107=2,N109,IF(AD110=2,N112,""))))</f>
        <v>0</v>
      </c>
      <c r="M107" s="42" t="str">
        <f>N104</f>
        <v>pojedyncza mężczyzn J</v>
      </c>
      <c r="O107" s="28"/>
      <c r="P107" s="28"/>
      <c r="Q107" s="43" t="str">
        <f>IF(AU107&gt;0,"",IF(A107=0,"",IF(VLOOKUP(A107,'[2]plan gier'!A$1:S$65536,19,FALSE)="","",VLOOKUP(A107,'[2]plan gier'!A$1:S$65536,19,FALSE))))</f>
        <v/>
      </c>
      <c r="R107" s="44" t="s">
        <v>15</v>
      </c>
      <c r="S107" s="45">
        <v>61</v>
      </c>
      <c r="T107" s="241">
        <v>2</v>
      </c>
      <c r="U107" s="244" t="str">
        <f>IF(AND(N108&lt;&gt;"",N109&lt;&gt;""),CONCATENATE(VLOOKUP(N108,[2]zawodnicy!$A$1:$E$65536,1,FALSE)," ",VLOOKUP(N108,[2]zawodnicy!$A$1:$E$65536,2,FALSE)," ",VLOOKUP(N108,[2]zawodnicy!$A$1:$E$65536,3,FALSE)," - ",VLOOKUP(N108,[2]zawodnicy!$A$1:$E$65536,4,FALSE)),"")</f>
        <v/>
      </c>
      <c r="V107" s="245"/>
      <c r="W107" s="246"/>
      <c r="X107" s="46" t="str">
        <f>IF(SUM(AO109:AP109)=0,"",AP109&amp;":"&amp;AO109)</f>
        <v>5:21</v>
      </c>
      <c r="Y107" s="47"/>
      <c r="Z107" s="48" t="str">
        <f>IF(SUM(AO108:AP108)=0,"",AO108&amp;":"&amp;AP108)</f>
        <v>21:14</v>
      </c>
      <c r="AA107" s="247" t="str">
        <f>IF(SUM(AW108:AX108,BA108:BB108)=0,"",BE108&amp;":"&amp;BF108)</f>
        <v>56:69</v>
      </c>
      <c r="AB107" s="250" t="str">
        <f>IF(SUM(AW108:AX108,BA108:BB108)=0,"",BG108&amp;":"&amp;BH108)</f>
        <v>2:2</v>
      </c>
      <c r="AC107" s="250" t="str">
        <f>IF(SUM(AW108:AX108,BA108:BB108)=0,"",BI108&amp;":"&amp;BJ108)</f>
        <v>1:1</v>
      </c>
      <c r="AD107" s="253">
        <f>IF(SUM(BI107:BI109)&gt;0,BK108,"")</f>
        <v>2</v>
      </c>
      <c r="AE107" s="2"/>
      <c r="AF107" s="12"/>
      <c r="AG107" s="12"/>
      <c r="AH107" s="44" t="s">
        <v>15</v>
      </c>
      <c r="AI107" s="49">
        <f>IF(ISBLANK(S107),"",VLOOKUP(S107,'[2]plan gier'!$X$1:$AN$65536,12,FALSE))</f>
        <v>21</v>
      </c>
      <c r="AJ107" s="50">
        <f>IF(ISBLANK(S107),"",VLOOKUP(S107,'[2]plan gier'!$X$1:$AN$65536,13,FALSE))</f>
        <v>12</v>
      </c>
      <c r="AK107" s="50">
        <f>IF(ISBLANK(S107),"",VLOOKUP(S107,'[2]plan gier'!$X$1:$AN$65536,14,FALSE))</f>
        <v>21</v>
      </c>
      <c r="AL107" s="50">
        <f>IF(ISBLANK(S107),"",VLOOKUP(S107,'[2]plan gier'!$X$1:$AN$65536,15,FALSE))</f>
        <v>0</v>
      </c>
      <c r="AM107" s="50">
        <f>IF(ISBLANK(S107),"",VLOOKUP(S107,'[2]plan gier'!$X$1:$AN$65536,16,FALSE))</f>
        <v>0</v>
      </c>
      <c r="AN107" s="50">
        <f>IF(ISBLANK(S107),"",VLOOKUP(S107,'[2]plan gier'!$X$1:$AN$65536,17,FALSE))</f>
        <v>0</v>
      </c>
      <c r="AO107" s="51">
        <f t="shared" ref="AO107:AT109" si="7">IF(AI107="",0,AI107)</f>
        <v>21</v>
      </c>
      <c r="AP107" s="52">
        <f t="shared" si="7"/>
        <v>12</v>
      </c>
      <c r="AQ107" s="53">
        <f t="shared" si="7"/>
        <v>21</v>
      </c>
      <c r="AR107" s="52">
        <f t="shared" si="7"/>
        <v>0</v>
      </c>
      <c r="AS107" s="53">
        <f t="shared" si="7"/>
        <v>0</v>
      </c>
      <c r="AT107" s="52">
        <f t="shared" si="7"/>
        <v>0</v>
      </c>
      <c r="AU107" s="54">
        <f>SUM(AO107:AT107)</f>
        <v>54</v>
      </c>
      <c r="AV107" s="13">
        <v>1</v>
      </c>
      <c r="AW107" s="55"/>
      <c r="AX107" s="56"/>
      <c r="AY107" s="50">
        <f>IF(AI109&gt;AJ109,1,0)+IF(AK109&gt;AL109,1,0)+IF(AM109&gt;AN109,1,0)</f>
        <v>2</v>
      </c>
      <c r="AZ107" s="50">
        <f>AW108</f>
        <v>0</v>
      </c>
      <c r="BA107" s="50">
        <f>IF(AI107&gt;AJ107,1,0)+IF(AK107&gt;AL107,1,0)+IF(AM107&gt;AN107,1,0)</f>
        <v>2</v>
      </c>
      <c r="BB107" s="57">
        <f>AW109</f>
        <v>0</v>
      </c>
      <c r="BE107" s="49">
        <f>AO107+AQ107+AS107+AO109+AQ109+AS109</f>
        <v>84</v>
      </c>
      <c r="BF107" s="57">
        <f>AP107+AR107+AT107+AP109+AR109+AT109</f>
        <v>26</v>
      </c>
      <c r="BG107" s="49">
        <f>AY107+BA107</f>
        <v>4</v>
      </c>
      <c r="BH107" s="57">
        <f>AZ107+BB107</f>
        <v>0</v>
      </c>
      <c r="BI107" s="49">
        <f>IF(AY107&gt;AZ107,1,0)+IF(BA107&gt;BB107,1,0)</f>
        <v>2</v>
      </c>
      <c r="BJ107" s="58">
        <f>IF(AZ107&gt;AY107,1,0)+IF(BB107&gt;BA107,1,0)</f>
        <v>0</v>
      </c>
      <c r="BK107" s="59">
        <f>IF(BI107+BJ107=0,"",IF(BL107=MAX(BL107:BL109),1,IF(BL107=MIN(BL107:BL109),3,2)))</f>
        <v>1</v>
      </c>
      <c r="BL107" s="60">
        <f>IF(BI107+BJ107&lt;&gt;0,BI107+1+(BG107-BH107)/100+(BE107-BF107)/100000+(BE107/BF107)/1000000,0)</f>
        <v>3.0405832307692306</v>
      </c>
    </row>
    <row r="108" spans="1:64" ht="11.45" customHeight="1" x14ac:dyDescent="0.2">
      <c r="A108" s="19">
        <f>S108</f>
        <v>126</v>
      </c>
      <c r="B108" s="2" t="str">
        <f>IF(N108="","",N108)</f>
        <v>W3805</v>
      </c>
      <c r="C108" s="2" t="str">
        <f>IF(N109="","",N109)</f>
        <v/>
      </c>
      <c r="D108" s="2" t="str">
        <f>IF(N111="","",N111)</f>
        <v>K4685</v>
      </c>
      <c r="E108" s="2" t="str">
        <f>IF(N112="","",N112)</f>
        <v/>
      </c>
      <c r="J108" s="10"/>
      <c r="K108" s="19"/>
      <c r="M108" s="42" t="str">
        <f>N104</f>
        <v>pojedyncza mężczyzn J</v>
      </c>
      <c r="N108" s="33" t="s">
        <v>40</v>
      </c>
      <c r="O108" s="34">
        <f>IF(O103&gt;0,(O103&amp;2)*1,"")</f>
        <v>22</v>
      </c>
      <c r="Q108" s="43" t="str">
        <f>IF(AU108&gt;0,"",IF(A108=0,"",IF(VLOOKUP(A108,'[2]plan gier'!A$1:S$65536,19,FALSE)="","",VLOOKUP(A108,'[2]plan gier'!A$1:S$65536,19,FALSE))))</f>
        <v/>
      </c>
      <c r="R108" s="44" t="s">
        <v>17</v>
      </c>
      <c r="S108" s="45">
        <v>126</v>
      </c>
      <c r="T108" s="242"/>
      <c r="U108" s="244" t="str">
        <f>IF(AND(N108&lt;&gt;"",N109=""),CONCATENATE(VLOOKUP(N108,[2]zawodnicy!$A$1:$E$65536,1,FALSE)," ",VLOOKUP(N108,[2]zawodnicy!$A$1:$E$65536,2,FALSE)," ",VLOOKUP(N108,[2]zawodnicy!$A$1:$E$65536,3,FALSE)," - ",VLOOKUP(N108,[2]zawodnicy!$A$1:$E$65536,4,FALSE)),"")</f>
        <v>W3805 Jan WOLAŃCZYK - KS Match Point Ślęza</v>
      </c>
      <c r="V108" s="245"/>
      <c r="W108" s="246"/>
      <c r="X108" s="61" t="str">
        <f>IF(SUM(AQ109:AR109)=0,"",AR109&amp;":"&amp;AQ109)</f>
        <v>9:21</v>
      </c>
      <c r="Y108" s="62"/>
      <c r="Z108" s="37" t="str">
        <f>IF(SUM(AQ108:AR108)=0,"",AQ108&amp;":"&amp;AR108)</f>
        <v>21:13</v>
      </c>
      <c r="AA108" s="248"/>
      <c r="AB108" s="251"/>
      <c r="AC108" s="251"/>
      <c r="AD108" s="254"/>
      <c r="AE108" s="2"/>
      <c r="AF108" s="12"/>
      <c r="AG108" s="12"/>
      <c r="AH108" s="44" t="s">
        <v>17</v>
      </c>
      <c r="AI108" s="63">
        <f>IF(ISBLANK(S108),"",VLOOKUP(S108,'[2]plan gier'!$X$1:$AN$65536,12,FALSE))</f>
        <v>21</v>
      </c>
      <c r="AJ108" s="64">
        <f>IF(ISBLANK(S108),"",VLOOKUP(S108,'[2]plan gier'!$X$1:$AN$65536,13,FALSE))</f>
        <v>14</v>
      </c>
      <c r="AK108" s="64">
        <f>IF(ISBLANK(S108),"",VLOOKUP(S108,'[2]plan gier'!$X$1:$AN$65536,14,FALSE))</f>
        <v>21</v>
      </c>
      <c r="AL108" s="64">
        <f>IF(ISBLANK(S108),"",VLOOKUP(S108,'[2]plan gier'!$X$1:$AN$65536,15,FALSE))</f>
        <v>13</v>
      </c>
      <c r="AM108" s="64">
        <f>IF(ISBLANK(S108),"",VLOOKUP(S108,'[2]plan gier'!$X$1:$AN$65536,16,FALSE))</f>
        <v>0</v>
      </c>
      <c r="AN108" s="64">
        <f>IF(ISBLANK(S108),"",VLOOKUP(S108,'[2]plan gier'!$X$1:$AN$65536,17,FALSE))</f>
        <v>0</v>
      </c>
      <c r="AO108" s="65">
        <f t="shared" si="7"/>
        <v>21</v>
      </c>
      <c r="AP108" s="64">
        <f t="shared" si="7"/>
        <v>14</v>
      </c>
      <c r="AQ108" s="66">
        <f t="shared" si="7"/>
        <v>21</v>
      </c>
      <c r="AR108" s="64">
        <f t="shared" si="7"/>
        <v>13</v>
      </c>
      <c r="AS108" s="66">
        <f t="shared" si="7"/>
        <v>0</v>
      </c>
      <c r="AT108" s="64">
        <f t="shared" si="7"/>
        <v>0</v>
      </c>
      <c r="AU108" s="54">
        <f>SUM(AO108:AT108)</f>
        <v>69</v>
      </c>
      <c r="AV108" s="13">
        <v>2</v>
      </c>
      <c r="AW108" s="63">
        <f>IF(AI109&lt;AJ109,1,0)+IF(AK109&lt;AL109,1,0)+IF(AM109&lt;AN109,1,0)</f>
        <v>0</v>
      </c>
      <c r="AX108" s="64">
        <f>AY107</f>
        <v>2</v>
      </c>
      <c r="AY108" s="67"/>
      <c r="AZ108" s="68"/>
      <c r="BA108" s="64">
        <f>IF(AI108&gt;AJ108,1,0)+IF(AK108&gt;AL108,1,0)+IF(AM108&gt;AN108,1,0)</f>
        <v>2</v>
      </c>
      <c r="BB108" s="69">
        <f>AY109</f>
        <v>0</v>
      </c>
      <c r="BE108" s="63">
        <f>AO108+AQ108+AS108+AP109+AR109+AT109</f>
        <v>56</v>
      </c>
      <c r="BF108" s="69">
        <f>AP108+AR108+AT108+AO109+AQ109+AS109</f>
        <v>69</v>
      </c>
      <c r="BG108" s="63">
        <f>AW108+BA108</f>
        <v>2</v>
      </c>
      <c r="BH108" s="69">
        <f>AX108+BB108</f>
        <v>2</v>
      </c>
      <c r="BI108" s="63">
        <f>IF(AW108&gt;AX108,1,0)+IF(BA108&gt;BB108,1,0)</f>
        <v>1</v>
      </c>
      <c r="BJ108" s="70">
        <f>IF(AX108&gt;AW108,1,0)+IF(BB108&gt;BA108,1,0)</f>
        <v>1</v>
      </c>
      <c r="BK108" s="71">
        <f>IF(BI108+BJ108=0,"",IF(BL108=MAX(BL107:BL109),1,IF(BL108=MIN(BL107:BL109),3,2)))</f>
        <v>2</v>
      </c>
      <c r="BL108" s="60">
        <f>IF(BI108+BJ108&lt;&gt;0,BI108+1+(BG108-BH108)/100+(BE108-BF108)/100000+(BE108/BF108)/1000000,0)</f>
        <v>1.999870811594203</v>
      </c>
    </row>
    <row r="109" spans="1:64" ht="11.45" customHeight="1" thickBot="1" x14ac:dyDescent="0.25">
      <c r="A109" s="19">
        <f>S109</f>
        <v>191</v>
      </c>
      <c r="B109" s="2" t="str">
        <f>IF(N105="","",N105)</f>
        <v>B2621</v>
      </c>
      <c r="C109" s="2" t="str">
        <f>IF(N106="","",N106)</f>
        <v/>
      </c>
      <c r="D109" s="2" t="str">
        <f>IF(N108="","",N108)</f>
        <v>W3805</v>
      </c>
      <c r="E109" s="2" t="str">
        <f>IF(N109="","",N109)</f>
        <v/>
      </c>
      <c r="I109" s="2" t="str">
        <f>"3"&amp;O103&amp;N104</f>
        <v>32pojedyncza mężczyzn J</v>
      </c>
      <c r="J109" s="10" t="str">
        <f>IF(AD110="","",IF(AD104=3,N105,IF(AD107=3,N108,IF(AD110=3,N111,""))))</f>
        <v>K4685</v>
      </c>
      <c r="K109" s="10">
        <f>IF(AD110="","",IF(AD104=3,N106,IF(AD107=3,N109,IF(AD110=3,N112,""))))</f>
        <v>0</v>
      </c>
      <c r="M109" s="42" t="str">
        <f>N104</f>
        <v>pojedyncza mężczyzn J</v>
      </c>
      <c r="N109" s="38"/>
      <c r="O109" s="28"/>
      <c r="P109" s="28"/>
      <c r="Q109" s="43" t="str">
        <f>IF(AU109&gt;0,"",IF(A109=0,"",IF(VLOOKUP(A109,'[2]plan gier'!A$1:S$65536,19,FALSE)="","",VLOOKUP(A109,'[2]plan gier'!A$1:S$65536,19,FALSE))))</f>
        <v/>
      </c>
      <c r="R109" s="72" t="s">
        <v>18</v>
      </c>
      <c r="S109" s="45">
        <v>191</v>
      </c>
      <c r="T109" s="261"/>
      <c r="U109" s="265" t="str">
        <f>IF(N109&lt;&gt;"",CONCATENATE(VLOOKUP(N109,[2]zawodnicy!$A$1:$E$65536,1,FALSE)," ",VLOOKUP(N109,[2]zawodnicy!$A$1:$E$65536,2,FALSE)," ",VLOOKUP(N109,[2]zawodnicy!$A$1:$E$65536,3,FALSE)," - ",VLOOKUP(N109,[2]zawodnicy!$A$1:$E$65536,4,FALSE)),"")</f>
        <v/>
      </c>
      <c r="V109" s="266"/>
      <c r="W109" s="267"/>
      <c r="X109" s="73" t="str">
        <f>IF(SUM(AS109:AT109)=0,"",AT109&amp;":"&amp;AS109)</f>
        <v/>
      </c>
      <c r="Y109" s="62"/>
      <c r="Z109" s="40" t="str">
        <f>IF(SUM(AS108:AT108)=0,"",AS108&amp;":"&amp;AT108)</f>
        <v/>
      </c>
      <c r="AA109" s="262"/>
      <c r="AB109" s="263"/>
      <c r="AC109" s="263"/>
      <c r="AD109" s="264"/>
      <c r="AE109" s="2"/>
      <c r="AF109" s="12"/>
      <c r="AG109" s="12"/>
      <c r="AH109" s="72" t="s">
        <v>18</v>
      </c>
      <c r="AI109" s="74">
        <f>IF(ISBLANK(S109),"",VLOOKUP(S109,'[2]plan gier'!$X$1:$AN$65536,12,FALSE))</f>
        <v>21</v>
      </c>
      <c r="AJ109" s="75">
        <f>IF(ISBLANK(S109),"",VLOOKUP(S109,'[2]plan gier'!$X$1:$AN$65536,13,FALSE))</f>
        <v>5</v>
      </c>
      <c r="AK109" s="75">
        <f>IF(ISBLANK(S109),"",VLOOKUP(S109,'[2]plan gier'!$X$1:$AN$65536,14,FALSE))</f>
        <v>21</v>
      </c>
      <c r="AL109" s="75">
        <f>IF(ISBLANK(S109),"",VLOOKUP(S109,'[2]plan gier'!$X$1:$AN$65536,15,FALSE))</f>
        <v>9</v>
      </c>
      <c r="AM109" s="75">
        <f>IF(ISBLANK(S109),"",VLOOKUP(S109,'[2]plan gier'!$X$1:$AN$65536,16,FALSE))</f>
        <v>0</v>
      </c>
      <c r="AN109" s="75">
        <f>IF(ISBLANK(S109),"",VLOOKUP(S109,'[2]plan gier'!$X$1:$AN$65536,17,FALSE))</f>
        <v>0</v>
      </c>
      <c r="AO109" s="76">
        <f t="shared" si="7"/>
        <v>21</v>
      </c>
      <c r="AP109" s="75">
        <f t="shared" si="7"/>
        <v>5</v>
      </c>
      <c r="AQ109" s="77">
        <f t="shared" si="7"/>
        <v>21</v>
      </c>
      <c r="AR109" s="75">
        <f t="shared" si="7"/>
        <v>9</v>
      </c>
      <c r="AS109" s="77">
        <f t="shared" si="7"/>
        <v>0</v>
      </c>
      <c r="AT109" s="75">
        <f t="shared" si="7"/>
        <v>0</v>
      </c>
      <c r="AU109" s="54">
        <f>SUM(AO109:AT109)</f>
        <v>56</v>
      </c>
      <c r="AV109" s="13">
        <v>3</v>
      </c>
      <c r="AW109" s="74">
        <f>IF(AI107&lt;AJ107,1,0)+IF(AK107&lt;AL107,1,0)+IF(AM107&lt;AN107,1,0)</f>
        <v>0</v>
      </c>
      <c r="AX109" s="75">
        <f>BA107</f>
        <v>2</v>
      </c>
      <c r="AY109" s="75">
        <f>IF(AI108&lt;AJ108,1,0)+IF(AK108&lt;AL108,1,0)+IF(AM108&lt;AN108,1,0)</f>
        <v>0</v>
      </c>
      <c r="AZ109" s="75">
        <f>BA108</f>
        <v>2</v>
      </c>
      <c r="BA109" s="78"/>
      <c r="BB109" s="79"/>
      <c r="BE109" s="74">
        <f>AP107+AR107+AT107+AP108+AR108+AT108</f>
        <v>39</v>
      </c>
      <c r="BF109" s="80">
        <f>AO107+AQ107+AS107+AO108+AQ108+AS108</f>
        <v>84</v>
      </c>
      <c r="BG109" s="74">
        <f>AW109+AY109</f>
        <v>0</v>
      </c>
      <c r="BH109" s="80">
        <f>AX109+AZ109</f>
        <v>4</v>
      </c>
      <c r="BI109" s="74">
        <f>IF(AW109&gt;AX109,1,0)+IF(AY109&gt;AZ109,1,0)</f>
        <v>0</v>
      </c>
      <c r="BJ109" s="81">
        <f>IF(AX109&gt;AW109,1,0)+IF(AZ109&gt;AY109,1,0)</f>
        <v>2</v>
      </c>
      <c r="BK109" s="82">
        <f>IF(BI109+BJ109=0,"",IF(BL109=MAX(BL107:BL109),1,IF(BL109=MIN(BL107:BL109),3,2)))</f>
        <v>3</v>
      </c>
      <c r="BL109" s="60">
        <f>IF(BI109+BJ109&lt;&gt;0,BI109+1+(BG109-BH109)/100+(BE109-BF109)/100000+(BE109/BF109)/1000000,0)</f>
        <v>0.95955046428571433</v>
      </c>
    </row>
    <row r="110" spans="1:64" ht="11.45" customHeight="1" x14ac:dyDescent="0.2">
      <c r="A110" s="2"/>
      <c r="J110" s="28"/>
      <c r="K110" s="28"/>
      <c r="L110" s="28"/>
      <c r="O110" s="28"/>
      <c r="P110" s="28"/>
      <c r="Q110" s="2"/>
      <c r="R110" s="2"/>
      <c r="S110" s="2"/>
      <c r="T110" s="241">
        <v>3</v>
      </c>
      <c r="U110" s="244" t="str">
        <f>IF(AND(N111&lt;&gt;"",N112&lt;&gt;""),CONCATENATE(VLOOKUP(N111,[2]zawodnicy!$A$1:$E$65536,1,FALSE)," ",VLOOKUP(N111,[2]zawodnicy!$A$1:$E$65536,2,FALSE)," ",VLOOKUP(N111,[2]zawodnicy!$A$1:$E$65536,3,FALSE)," - ",VLOOKUP(N111,[2]zawodnicy!$A$1:$E$65536,4,FALSE)),"")</f>
        <v/>
      </c>
      <c r="V110" s="245"/>
      <c r="W110" s="246"/>
      <c r="X110" s="46" t="str">
        <f>IF(SUM(AO107:AP107)=0,"",AP107&amp;":"&amp;AO107)</f>
        <v>12:21</v>
      </c>
      <c r="Y110" s="83" t="str">
        <f>IF(SUM(AO108:AP108)=0,"",AP108&amp;":"&amp;AO108)</f>
        <v>14:21</v>
      </c>
      <c r="Z110" s="84"/>
      <c r="AA110" s="247" t="str">
        <f>IF(SUM(AW109:AZ109)=0,"",BE109&amp;":"&amp;BF109)</f>
        <v>39:84</v>
      </c>
      <c r="AB110" s="250" t="str">
        <f>IF(SUM(AW109:AZ109)=0,"",BG109&amp;":"&amp;BH109)</f>
        <v>0:4</v>
      </c>
      <c r="AC110" s="250" t="str">
        <f>IF(SUM(AW109:AZ109)=0,"",BI109&amp;":"&amp;BJ109)</f>
        <v>0:2</v>
      </c>
      <c r="AD110" s="253">
        <f>IF(SUM(BI107:BI109)&gt;0,BK109,"")</f>
        <v>3</v>
      </c>
      <c r="AE110" s="2"/>
      <c r="AF110" s="12"/>
      <c r="AG110" s="12"/>
      <c r="BE110" s="19">
        <f>SUM(BE107:BE109)</f>
        <v>179</v>
      </c>
      <c r="BF110" s="19">
        <f>SUM(BF107:BF109)</f>
        <v>179</v>
      </c>
      <c r="BG110" s="19">
        <f>SUM(BG107:BG109)</f>
        <v>6</v>
      </c>
      <c r="BH110" s="19">
        <f>SUM(BH107:BH109)</f>
        <v>6</v>
      </c>
      <c r="BK110" s="19"/>
      <c r="BL110" s="20"/>
    </row>
    <row r="111" spans="1:64" ht="11.45" customHeight="1" x14ac:dyDescent="0.2">
      <c r="A111" s="19"/>
      <c r="J111" s="19"/>
      <c r="K111" s="19"/>
      <c r="L111" s="19"/>
      <c r="N111" s="33" t="s">
        <v>41</v>
      </c>
      <c r="O111" s="34">
        <f>IF(O103&gt;0,(O103&amp;3)*1,"")</f>
        <v>23</v>
      </c>
      <c r="Q111" s="85"/>
      <c r="R111" s="85"/>
      <c r="S111" s="85"/>
      <c r="T111" s="242"/>
      <c r="U111" s="244" t="str">
        <f>IF(AND(N111&lt;&gt;"",N112=""),CONCATENATE(VLOOKUP(N111,[2]zawodnicy!$A$1:$E$65536,1,FALSE)," ",VLOOKUP(N111,[2]zawodnicy!$A$1:$E$65536,2,FALSE)," ",VLOOKUP(N111,[2]zawodnicy!$A$1:$E$65536,3,FALSE)," - ",VLOOKUP(N111,[2]zawodnicy!$A$1:$E$65536,4,FALSE)),"")</f>
        <v>K4685 Patryk KOSTRZEWSKI - KSR Wolant Łódź</v>
      </c>
      <c r="V111" s="245"/>
      <c r="W111" s="246"/>
      <c r="X111" s="61" t="str">
        <f>IF(SUM(AQ107:AR107)=0,"",AR107&amp;":"&amp;AQ107)</f>
        <v>0:21</v>
      </c>
      <c r="Y111" s="36" t="str">
        <f>IF(SUM(AQ108:AR108)=0,"",AR108&amp;":"&amp;AQ108)</f>
        <v>13:21</v>
      </c>
      <c r="Z111" s="86"/>
      <c r="AA111" s="248"/>
      <c r="AB111" s="251"/>
      <c r="AC111" s="251"/>
      <c r="AD111" s="254"/>
      <c r="AE111" s="2"/>
      <c r="AF111" s="12"/>
      <c r="AG111" s="1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row>
    <row r="112" spans="1:64" ht="11.45" customHeight="1" thickBot="1" x14ac:dyDescent="0.25">
      <c r="A112" s="2"/>
      <c r="J112" s="28"/>
      <c r="K112" s="28"/>
      <c r="L112" s="28"/>
      <c r="N112" s="38"/>
      <c r="O112" s="28"/>
      <c r="P112" s="28"/>
      <c r="Q112" s="2"/>
      <c r="R112" s="2"/>
      <c r="S112" s="2"/>
      <c r="T112" s="243"/>
      <c r="U112" s="256" t="str">
        <f>IF(N112&lt;&gt;"",CONCATENATE(VLOOKUP(N112,[2]zawodnicy!$A$1:$E$65536,1,FALSE)," ",VLOOKUP(N112,[2]zawodnicy!$A$1:$E$65536,2,FALSE)," ",VLOOKUP(N112,[2]zawodnicy!$A$1:$E$65536,3,FALSE)," - ",VLOOKUP(N112,[2]zawodnicy!$A$1:$E$65536,4,FALSE)),"")</f>
        <v/>
      </c>
      <c r="V112" s="257"/>
      <c r="W112" s="258"/>
      <c r="X112" s="87" t="str">
        <f>IF(SUM(AS107:AT107)=0,"",AT107&amp;":"&amp;AS107)</f>
        <v/>
      </c>
      <c r="Y112" s="88" t="str">
        <f>IF(SUM(AS108:AT108)=0,"",AT108&amp;":"&amp;AS108)</f>
        <v/>
      </c>
      <c r="Z112" s="89"/>
      <c r="AA112" s="249"/>
      <c r="AB112" s="252"/>
      <c r="AC112" s="252"/>
      <c r="AD112" s="255"/>
      <c r="AE112" s="10"/>
      <c r="AF112" s="12"/>
      <c r="AG112" s="1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row>
    <row r="113" spans="1:64" s="19" customFormat="1" ht="5.0999999999999996" customHeight="1" thickBot="1" x14ac:dyDescent="0.25">
      <c r="M113" s="90"/>
      <c r="O113" s="90"/>
      <c r="P113" s="90"/>
      <c r="Q113" s="91"/>
      <c r="R113" s="91"/>
      <c r="S113" s="91"/>
      <c r="T113" s="91"/>
      <c r="U113" s="5"/>
      <c r="V113" s="5"/>
      <c r="W113" s="5"/>
      <c r="AA113" s="92"/>
      <c r="AB113" s="91"/>
      <c r="AC113" s="91"/>
      <c r="AD113" s="91"/>
      <c r="AE113" s="91"/>
      <c r="AF113" s="91"/>
      <c r="AI113" s="93"/>
      <c r="AJ113" s="94"/>
      <c r="AK113" s="94"/>
    </row>
    <row r="114" spans="1:64" ht="11.45" customHeight="1" thickBot="1" x14ac:dyDescent="0.25">
      <c r="N114" s="11"/>
      <c r="O114" s="21">
        <v>3</v>
      </c>
      <c r="Q114" s="277" t="str">
        <f>"Grupa "&amp;O114&amp;"."</f>
        <v>Grupa 3.</v>
      </c>
      <c r="R114" s="277"/>
      <c r="S114" s="277"/>
      <c r="T114" s="22" t="s">
        <v>1</v>
      </c>
      <c r="U114" s="278" t="s">
        <v>2</v>
      </c>
      <c r="V114" s="279"/>
      <c r="W114" s="280"/>
      <c r="X114" s="22">
        <v>1</v>
      </c>
      <c r="Y114" s="23">
        <v>2</v>
      </c>
      <c r="Z114" s="24">
        <v>3</v>
      </c>
      <c r="AA114" s="25" t="s">
        <v>3</v>
      </c>
      <c r="AB114" s="26" t="s">
        <v>4</v>
      </c>
      <c r="AC114" s="26" t="s">
        <v>5</v>
      </c>
      <c r="AD114" s="27" t="s">
        <v>6</v>
      </c>
      <c r="AE114" s="2"/>
      <c r="AF114" s="12"/>
      <c r="AG114" s="12"/>
      <c r="BK114" s="19"/>
      <c r="BL114" s="20"/>
    </row>
    <row r="115" spans="1:64" ht="11.45" customHeight="1" x14ac:dyDescent="0.2">
      <c r="J115" s="28"/>
      <c r="K115" s="28"/>
      <c r="L115" s="28"/>
      <c r="N115" s="29" t="s">
        <v>35</v>
      </c>
      <c r="Q115" s="274" t="s">
        <v>7</v>
      </c>
      <c r="R115" s="274"/>
      <c r="S115" s="275" t="s">
        <v>8</v>
      </c>
      <c r="T115" s="276">
        <v>1</v>
      </c>
      <c r="U115" s="244" t="str">
        <f>IF(AND(N116&lt;&gt;"",N117&lt;&gt;""),CONCATENATE(VLOOKUP(N116,[2]zawodnicy!$A$1:$E$65536,1,FALSE)," ",VLOOKUP(N116,[2]zawodnicy!$A$1:$E$65536,2,FALSE)," ",VLOOKUP(N116,[2]zawodnicy!$A$1:$E$65536,3,FALSE)," - ",VLOOKUP(N116,[2]zawodnicy!$A$1:$E$65536,4,FALSE)),"")</f>
        <v/>
      </c>
      <c r="V115" s="245"/>
      <c r="W115" s="246"/>
      <c r="X115" s="30"/>
      <c r="Y115" s="31" t="str">
        <f>IF(SUM(AO120:AP120)=0,"",AO120&amp;":"&amp;AP120)</f>
        <v>13:21</v>
      </c>
      <c r="Z115" s="32" t="str">
        <f>IF(SUM(AO118:AP118)=0,"",AO118&amp;":"&amp;AP118)</f>
        <v>21:19</v>
      </c>
      <c r="AA115" s="270" t="str">
        <f>IF(SUM(AY118:BB118)=0,"",BE118&amp;":"&amp;BF118)</f>
        <v>95:82</v>
      </c>
      <c r="AB115" s="271" t="str">
        <f>IF(SUM(AY118:BB118)=0,"",BG118&amp;":"&amp;BH118)</f>
        <v>3:2</v>
      </c>
      <c r="AC115" s="271" t="str">
        <f>IF(SUM(AY118:BB118)=0,"",BI118&amp;":"&amp;BJ118)</f>
        <v>1:1</v>
      </c>
      <c r="AD115" s="272">
        <f>IF(SUM(BI118:BI120)&gt;0,BK118,"")</f>
        <v>2</v>
      </c>
      <c r="AE115" s="2"/>
      <c r="AF115" s="12"/>
      <c r="AG115" s="12"/>
      <c r="AH115" s="14"/>
      <c r="AI115" s="273" t="s">
        <v>9</v>
      </c>
      <c r="AJ115" s="273"/>
      <c r="AK115" s="273"/>
      <c r="AL115" s="273"/>
      <c r="AM115" s="273"/>
      <c r="AN115" s="273"/>
      <c r="AO115" s="273" t="s">
        <v>10</v>
      </c>
      <c r="AP115" s="273"/>
      <c r="AQ115" s="273"/>
      <c r="AR115" s="273"/>
      <c r="AS115" s="273"/>
      <c r="AT115" s="273"/>
      <c r="BK115" s="19"/>
      <c r="BL115" s="20"/>
    </row>
    <row r="116" spans="1:64" ht="11.45" customHeight="1" thickBot="1" x14ac:dyDescent="0.25">
      <c r="I116" s="2" t="str">
        <f>"1"&amp;O114&amp;N115</f>
        <v>13pojedyncza mężczyzn J</v>
      </c>
      <c r="J116" s="10" t="str">
        <f>IF(AD115="","",IF(AD115=1,N116,IF(AD118=1,N119,IF(AD121=1,N122,""))))</f>
        <v>S2695</v>
      </c>
      <c r="K116" s="10">
        <f>IF(AD115="","",IF(AD115=1,N117,IF(AD118=1,N120,IF(AD121=1,N123,""))))</f>
        <v>0</v>
      </c>
      <c r="L116" s="10"/>
      <c r="N116" s="33" t="s">
        <v>42</v>
      </c>
      <c r="O116" s="34">
        <f>IF(O114&gt;0,(O114&amp;1)*1,"")</f>
        <v>31</v>
      </c>
      <c r="Q116" s="274"/>
      <c r="R116" s="274"/>
      <c r="S116" s="275"/>
      <c r="T116" s="242"/>
      <c r="U116" s="244" t="str">
        <f>IF(AND(N116&lt;&gt;"",N117=""),CONCATENATE(VLOOKUP(N116,[2]zawodnicy!$A$1:$E$65536,1,FALSE)," ",VLOOKUP(N116,[2]zawodnicy!$A$1:$E$65536,2,FALSE)," ",VLOOKUP(N116,[2]zawodnicy!$A$1:$E$65536,3,FALSE)," - ",VLOOKUP(N116,[2]zawodnicy!$A$1:$E$65536,4,FALSE)),"")</f>
        <v>N3333 Marcin NOWAK - UKS Smecz Bogatynia</v>
      </c>
      <c r="V116" s="245"/>
      <c r="W116" s="246"/>
      <c r="X116" s="35"/>
      <c r="Y116" s="36" t="str">
        <f>IF(SUM(AQ120:AR120)=0,"",AQ120&amp;":"&amp;AR120)</f>
        <v>21:8</v>
      </c>
      <c r="Z116" s="37" t="str">
        <f>IF(SUM(AQ118:AR118)=0,"",AQ118&amp;":"&amp;AR118)</f>
        <v>21:13</v>
      </c>
      <c r="AA116" s="248"/>
      <c r="AB116" s="251"/>
      <c r="AC116" s="251"/>
      <c r="AD116" s="254"/>
      <c r="AE116" s="2"/>
      <c r="AF116" s="12"/>
      <c r="AG116" s="12"/>
      <c r="AH116" s="14"/>
      <c r="BE116" s="19">
        <f>SUM(BE118:BE120)</f>
        <v>289</v>
      </c>
      <c r="BF116" s="19">
        <f>SUM(BF118:BF120)</f>
        <v>289</v>
      </c>
      <c r="BG116" s="19">
        <f>SUM(BG118:BG120)</f>
        <v>8</v>
      </c>
      <c r="BH116" s="19">
        <f>SUM(BH118:BH120)</f>
        <v>8</v>
      </c>
      <c r="BK116" s="19"/>
      <c r="BL116" s="20"/>
    </row>
    <row r="117" spans="1:64" ht="11.45" customHeight="1" thickBot="1" x14ac:dyDescent="0.25">
      <c r="J117" s="10"/>
      <c r="K117" s="28"/>
      <c r="L117" s="28"/>
      <c r="N117" s="38"/>
      <c r="O117" s="28"/>
      <c r="P117" s="28"/>
      <c r="Q117" s="274"/>
      <c r="R117" s="274"/>
      <c r="S117" s="275"/>
      <c r="T117" s="261"/>
      <c r="U117" s="265" t="str">
        <f>IF(N117&lt;&gt;"",CONCATENATE(VLOOKUP(N117,[2]zawodnicy!$A$1:$E$65536,1,FALSE)," ",VLOOKUP(N117,[2]zawodnicy!$A$1:$E$65536,2,FALSE)," ",VLOOKUP(N117,[2]zawodnicy!$A$1:$E$65536,3,FALSE)," - ",VLOOKUP(N117,[2]zawodnicy!$A$1:$E$65536,4,FALSE)),"")</f>
        <v/>
      </c>
      <c r="V117" s="266"/>
      <c r="W117" s="267"/>
      <c r="X117" s="35"/>
      <c r="Y117" s="39" t="str">
        <f>IF(SUM(AS120:AT120)=0,"",AS120&amp;":"&amp;AT120)</f>
        <v>19:21</v>
      </c>
      <c r="Z117" s="40" t="str">
        <f>IF(SUM(AS118:AT118)=0,"",AS118&amp;":"&amp;AT118)</f>
        <v/>
      </c>
      <c r="AA117" s="262"/>
      <c r="AB117" s="263"/>
      <c r="AC117" s="263"/>
      <c r="AD117" s="264"/>
      <c r="AE117" s="2"/>
      <c r="AF117" s="12"/>
      <c r="AG117" s="12"/>
      <c r="AH117" s="14"/>
      <c r="AI117" s="259" t="s">
        <v>12</v>
      </c>
      <c r="AJ117" s="269"/>
      <c r="AK117" s="268" t="s">
        <v>13</v>
      </c>
      <c r="AL117" s="269"/>
      <c r="AM117" s="268" t="s">
        <v>14</v>
      </c>
      <c r="AN117" s="260"/>
      <c r="AO117" s="259" t="s">
        <v>12</v>
      </c>
      <c r="AP117" s="269"/>
      <c r="AQ117" s="268" t="s">
        <v>13</v>
      </c>
      <c r="AR117" s="269"/>
      <c r="AS117" s="268" t="s">
        <v>14</v>
      </c>
      <c r="AT117" s="269"/>
      <c r="AU117" s="12"/>
      <c r="AV117" s="12"/>
      <c r="AW117" s="259">
        <v>1</v>
      </c>
      <c r="AX117" s="269"/>
      <c r="AY117" s="268">
        <v>2</v>
      </c>
      <c r="AZ117" s="269"/>
      <c r="BA117" s="268">
        <v>3</v>
      </c>
      <c r="BB117" s="260"/>
      <c r="BE117" s="259" t="s">
        <v>3</v>
      </c>
      <c r="BF117" s="260"/>
      <c r="BG117" s="259" t="s">
        <v>4</v>
      </c>
      <c r="BH117" s="260"/>
      <c r="BI117" s="259" t="s">
        <v>5</v>
      </c>
      <c r="BJ117" s="260"/>
      <c r="BK117" s="41" t="s">
        <v>6</v>
      </c>
      <c r="BL117" s="20"/>
    </row>
    <row r="118" spans="1:64" ht="11.45" customHeight="1" x14ac:dyDescent="0.2">
      <c r="A118" s="19">
        <f>S118</f>
        <v>62</v>
      </c>
      <c r="B118" s="2" t="str">
        <f>IF(N116="","",N116)</f>
        <v>N3333</v>
      </c>
      <c r="C118" s="2" t="str">
        <f>IF(N117="","",N117)</f>
        <v/>
      </c>
      <c r="D118" s="2" t="str">
        <f>IF(N122="","",N122)</f>
        <v>W3545</v>
      </c>
      <c r="E118" s="2" t="str">
        <f>IF(N123="","",N123)</f>
        <v/>
      </c>
      <c r="I118" s="2" t="str">
        <f>"2"&amp;O114&amp;N115</f>
        <v>23pojedyncza mężczyzn J</v>
      </c>
      <c r="J118" s="10" t="str">
        <f>IF(AD118="","",IF(AD115=2,N116,IF(AD118=2,N119,IF(AD121=2,N122,""))))</f>
        <v>N3333</v>
      </c>
      <c r="K118" s="10">
        <f>IF(AD118="","",IF(AD115=2,N117,IF(AD118=2,N120,IF(AD121=2,N123,""))))</f>
        <v>0</v>
      </c>
      <c r="M118" s="42" t="str">
        <f>N115</f>
        <v>pojedyncza mężczyzn J</v>
      </c>
      <c r="O118" s="28"/>
      <c r="P118" s="28"/>
      <c r="Q118" s="43" t="str">
        <f>IF(AU118&gt;0,"",IF(A118=0,"",IF(VLOOKUP(A118,'[2]plan gier'!A$1:S$65536,19,FALSE)="","",VLOOKUP(A118,'[2]plan gier'!A$1:S$65536,19,FALSE))))</f>
        <v/>
      </c>
      <c r="R118" s="44" t="s">
        <v>15</v>
      </c>
      <c r="S118" s="45">
        <v>62</v>
      </c>
      <c r="T118" s="241">
        <v>2</v>
      </c>
      <c r="U118" s="244" t="str">
        <f>IF(AND(N119&lt;&gt;"",N120&lt;&gt;""),CONCATENATE(VLOOKUP(N119,[2]zawodnicy!$A$1:$E$65536,1,FALSE)," ",VLOOKUP(N119,[2]zawodnicy!$A$1:$E$65536,2,FALSE)," ",VLOOKUP(N119,[2]zawodnicy!$A$1:$E$65536,3,FALSE)," - ",VLOOKUP(N119,[2]zawodnicy!$A$1:$E$65536,4,FALSE)),"")</f>
        <v/>
      </c>
      <c r="V118" s="245"/>
      <c r="W118" s="246"/>
      <c r="X118" s="46" t="str">
        <f>IF(SUM(AO120:AP120)=0,"",AP120&amp;":"&amp;AO120)</f>
        <v>21:13</v>
      </c>
      <c r="Y118" s="47"/>
      <c r="Z118" s="48" t="str">
        <f>IF(SUM(AO119:AP119)=0,"",AO119&amp;":"&amp;AP119)</f>
        <v>20:22</v>
      </c>
      <c r="AA118" s="247" t="str">
        <f>IF(SUM(AW119:AX119,BA119:BB119)=0,"",BE119&amp;":"&amp;BF119)</f>
        <v>112:103</v>
      </c>
      <c r="AB118" s="250" t="str">
        <f>IF(SUM(AW119:AX119,BA119:BB119)=0,"",BG119&amp;":"&amp;BH119)</f>
        <v>4:2</v>
      </c>
      <c r="AC118" s="250" t="str">
        <f>IF(SUM(AW119:AX119,BA119:BB119)=0,"",BI119&amp;":"&amp;BJ119)</f>
        <v>2:0</v>
      </c>
      <c r="AD118" s="253">
        <f>IF(SUM(BI118:BI120)&gt;0,BK119,"")</f>
        <v>1</v>
      </c>
      <c r="AE118" s="2"/>
      <c r="AF118" s="12"/>
      <c r="AG118" s="12"/>
      <c r="AH118" s="44" t="s">
        <v>15</v>
      </c>
      <c r="AI118" s="49">
        <f>IF(ISBLANK(S118),"",VLOOKUP(S118,'[2]plan gier'!$X$1:$AN$65536,12,FALSE))</f>
        <v>21</v>
      </c>
      <c r="AJ118" s="50">
        <f>IF(ISBLANK(S118),"",VLOOKUP(S118,'[2]plan gier'!$X$1:$AN$65536,13,FALSE))</f>
        <v>19</v>
      </c>
      <c r="AK118" s="50">
        <f>IF(ISBLANK(S118),"",VLOOKUP(S118,'[2]plan gier'!$X$1:$AN$65536,14,FALSE))</f>
        <v>21</v>
      </c>
      <c r="AL118" s="50">
        <f>IF(ISBLANK(S118),"",VLOOKUP(S118,'[2]plan gier'!$X$1:$AN$65536,15,FALSE))</f>
        <v>13</v>
      </c>
      <c r="AM118" s="50">
        <f>IF(ISBLANK(S118),"",VLOOKUP(S118,'[2]plan gier'!$X$1:$AN$65536,16,FALSE))</f>
        <v>0</v>
      </c>
      <c r="AN118" s="50">
        <f>IF(ISBLANK(S118),"",VLOOKUP(S118,'[2]plan gier'!$X$1:$AN$65536,17,FALSE))</f>
        <v>0</v>
      </c>
      <c r="AO118" s="51">
        <f t="shared" ref="AO118:AT120" si="8">IF(AI118="",0,AI118)</f>
        <v>21</v>
      </c>
      <c r="AP118" s="52">
        <f t="shared" si="8"/>
        <v>19</v>
      </c>
      <c r="AQ118" s="53">
        <f t="shared" si="8"/>
        <v>21</v>
      </c>
      <c r="AR118" s="52">
        <f t="shared" si="8"/>
        <v>13</v>
      </c>
      <c r="AS118" s="53">
        <f t="shared" si="8"/>
        <v>0</v>
      </c>
      <c r="AT118" s="52">
        <f t="shared" si="8"/>
        <v>0</v>
      </c>
      <c r="AU118" s="54">
        <f>SUM(AO118:AT118)</f>
        <v>74</v>
      </c>
      <c r="AV118" s="13">
        <v>1</v>
      </c>
      <c r="AW118" s="55"/>
      <c r="AX118" s="56"/>
      <c r="AY118" s="50">
        <f>IF(AI120&gt;AJ120,1,0)+IF(AK120&gt;AL120,1,0)+IF(AM120&gt;AN120,1,0)</f>
        <v>1</v>
      </c>
      <c r="AZ118" s="50">
        <f>AW119</f>
        <v>2</v>
      </c>
      <c r="BA118" s="50">
        <f>IF(AI118&gt;AJ118,1,0)+IF(AK118&gt;AL118,1,0)+IF(AM118&gt;AN118,1,0)</f>
        <v>2</v>
      </c>
      <c r="BB118" s="57">
        <f>AW120</f>
        <v>0</v>
      </c>
      <c r="BE118" s="49">
        <f>AO118+AQ118+AS118+AO120+AQ120+AS120</f>
        <v>95</v>
      </c>
      <c r="BF118" s="57">
        <f>AP118+AR118+AT118+AP120+AR120+AT120</f>
        <v>82</v>
      </c>
      <c r="BG118" s="49">
        <f>AY118+BA118</f>
        <v>3</v>
      </c>
      <c r="BH118" s="57">
        <f>AZ118+BB118</f>
        <v>2</v>
      </c>
      <c r="BI118" s="49">
        <f>IF(AY118&gt;AZ118,1,0)+IF(BA118&gt;BB118,1,0)</f>
        <v>1</v>
      </c>
      <c r="BJ118" s="58">
        <f>IF(AZ118&gt;AY118,1,0)+IF(BB118&gt;BA118,1,0)</f>
        <v>1</v>
      </c>
      <c r="BK118" s="59">
        <f>IF(BI118+BJ118=0,"",IF(BL118=MAX(BL118:BL120),1,IF(BL118=MIN(BL118:BL120),3,2)))</f>
        <v>2</v>
      </c>
      <c r="BL118" s="60">
        <f>IF(BI118+BJ118&lt;&gt;0,BI118+1+(BG118-BH118)/100+(BE118-BF118)/100000+(BE118/BF118)/1000000,0)</f>
        <v>2.0101311585365851</v>
      </c>
    </row>
    <row r="119" spans="1:64" ht="11.45" customHeight="1" x14ac:dyDescent="0.2">
      <c r="A119" s="19">
        <f>S119</f>
        <v>127</v>
      </c>
      <c r="B119" s="2" t="str">
        <f>IF(N119="","",N119)</f>
        <v>S2695</v>
      </c>
      <c r="C119" s="2" t="str">
        <f>IF(N120="","",N120)</f>
        <v/>
      </c>
      <c r="D119" s="2" t="str">
        <f>IF(N122="","",N122)</f>
        <v>W3545</v>
      </c>
      <c r="E119" s="2" t="str">
        <f>IF(N123="","",N123)</f>
        <v/>
      </c>
      <c r="J119" s="10"/>
      <c r="K119" s="19"/>
      <c r="M119" s="42" t="str">
        <f>N115</f>
        <v>pojedyncza mężczyzn J</v>
      </c>
      <c r="N119" s="33" t="s">
        <v>43</v>
      </c>
      <c r="O119" s="34">
        <f>IF(O114&gt;0,(O114&amp;2)*1,"")</f>
        <v>32</v>
      </c>
      <c r="Q119" s="43" t="str">
        <f>IF(AU119&gt;0,"",IF(A119=0,"",IF(VLOOKUP(A119,'[2]plan gier'!A$1:S$65536,19,FALSE)="","",VLOOKUP(A119,'[2]plan gier'!A$1:S$65536,19,FALSE))))</f>
        <v/>
      </c>
      <c r="R119" s="44" t="s">
        <v>17</v>
      </c>
      <c r="S119" s="45">
        <v>127</v>
      </c>
      <c r="T119" s="242"/>
      <c r="U119" s="244" t="str">
        <f>IF(AND(N119&lt;&gt;"",N120=""),CONCATENATE(VLOOKUP(N119,[2]zawodnicy!$A$1:$E$65536,1,FALSE)," ",VLOOKUP(N119,[2]zawodnicy!$A$1:$E$65536,2,FALSE)," ",VLOOKUP(N119,[2]zawodnicy!$A$1:$E$65536,3,FALSE)," - ",VLOOKUP(N119,[2]zawodnicy!$A$1:$E$65536,4,FALSE)),"")</f>
        <v>S2695 Przemysław SZYDŁOWSKI - LKS Technik Głubczyce</v>
      </c>
      <c r="V119" s="245"/>
      <c r="W119" s="246"/>
      <c r="X119" s="61" t="str">
        <f>IF(SUM(AQ120:AR120)=0,"",AR120&amp;":"&amp;AQ120)</f>
        <v>8:21</v>
      </c>
      <c r="Y119" s="62"/>
      <c r="Z119" s="37" t="str">
        <f>IF(SUM(AQ119:AR119)=0,"",AQ119&amp;":"&amp;AR119)</f>
        <v>21:9</v>
      </c>
      <c r="AA119" s="248"/>
      <c r="AB119" s="251"/>
      <c r="AC119" s="251"/>
      <c r="AD119" s="254"/>
      <c r="AE119" s="2"/>
      <c r="AF119" s="12"/>
      <c r="AG119" s="12"/>
      <c r="AH119" s="44" t="s">
        <v>17</v>
      </c>
      <c r="AI119" s="63">
        <f>IF(ISBLANK(S119),"",VLOOKUP(S119,'[2]plan gier'!$X$1:$AN$65536,12,FALSE))</f>
        <v>20</v>
      </c>
      <c r="AJ119" s="64">
        <f>IF(ISBLANK(S119),"",VLOOKUP(S119,'[2]plan gier'!$X$1:$AN$65536,13,FALSE))</f>
        <v>22</v>
      </c>
      <c r="AK119" s="64">
        <f>IF(ISBLANK(S119),"",VLOOKUP(S119,'[2]plan gier'!$X$1:$AN$65536,14,FALSE))</f>
        <v>21</v>
      </c>
      <c r="AL119" s="64">
        <f>IF(ISBLANK(S119),"",VLOOKUP(S119,'[2]plan gier'!$X$1:$AN$65536,15,FALSE))</f>
        <v>9</v>
      </c>
      <c r="AM119" s="64">
        <f>IF(ISBLANK(S119),"",VLOOKUP(S119,'[2]plan gier'!$X$1:$AN$65536,16,FALSE))</f>
        <v>21</v>
      </c>
      <c r="AN119" s="64">
        <f>IF(ISBLANK(S119),"",VLOOKUP(S119,'[2]plan gier'!$X$1:$AN$65536,17,FALSE))</f>
        <v>19</v>
      </c>
      <c r="AO119" s="65">
        <f t="shared" si="8"/>
        <v>20</v>
      </c>
      <c r="AP119" s="64">
        <f t="shared" si="8"/>
        <v>22</v>
      </c>
      <c r="AQ119" s="66">
        <f t="shared" si="8"/>
        <v>21</v>
      </c>
      <c r="AR119" s="64">
        <f t="shared" si="8"/>
        <v>9</v>
      </c>
      <c r="AS119" s="66">
        <f t="shared" si="8"/>
        <v>21</v>
      </c>
      <c r="AT119" s="64">
        <f t="shared" si="8"/>
        <v>19</v>
      </c>
      <c r="AU119" s="54">
        <f>SUM(AO119:AT119)</f>
        <v>112</v>
      </c>
      <c r="AV119" s="13">
        <v>2</v>
      </c>
      <c r="AW119" s="63">
        <f>IF(AI120&lt;AJ120,1,0)+IF(AK120&lt;AL120,1,0)+IF(AM120&lt;AN120,1,0)</f>
        <v>2</v>
      </c>
      <c r="AX119" s="64">
        <f>AY118</f>
        <v>1</v>
      </c>
      <c r="AY119" s="67"/>
      <c r="AZ119" s="68"/>
      <c r="BA119" s="64">
        <f>IF(AI119&gt;AJ119,1,0)+IF(AK119&gt;AL119,1,0)+IF(AM119&gt;AN119,1,0)</f>
        <v>2</v>
      </c>
      <c r="BB119" s="69">
        <f>AY120</f>
        <v>1</v>
      </c>
      <c r="BE119" s="63">
        <f>AO119+AQ119+AS119+AP120+AR120+AT120</f>
        <v>112</v>
      </c>
      <c r="BF119" s="69">
        <f>AP119+AR119+AT119+AO120+AQ120+AS120</f>
        <v>103</v>
      </c>
      <c r="BG119" s="63">
        <f>AW119+BA119</f>
        <v>4</v>
      </c>
      <c r="BH119" s="69">
        <f>AX119+BB119</f>
        <v>2</v>
      </c>
      <c r="BI119" s="63">
        <f>IF(AW119&gt;AX119,1,0)+IF(BA119&gt;BB119,1,0)</f>
        <v>2</v>
      </c>
      <c r="BJ119" s="70">
        <f>IF(AX119&gt;AW119,1,0)+IF(BB119&gt;BA119,1,0)</f>
        <v>0</v>
      </c>
      <c r="BK119" s="71">
        <f>IF(BI119+BJ119=0,"",IF(BL119=MAX(BL118:BL120),1,IF(BL119=MIN(BL118:BL120),3,2)))</f>
        <v>1</v>
      </c>
      <c r="BL119" s="60">
        <f>IF(BI119+BJ119&lt;&gt;0,BI119+1+(BG119-BH119)/100+(BE119-BF119)/100000+(BE119/BF119)/1000000,0)</f>
        <v>3.0200910873786411</v>
      </c>
    </row>
    <row r="120" spans="1:64" ht="11.45" customHeight="1" thickBot="1" x14ac:dyDescent="0.25">
      <c r="A120" s="19">
        <f>S120</f>
        <v>192</v>
      </c>
      <c r="B120" s="2" t="str">
        <f>IF(N116="","",N116)</f>
        <v>N3333</v>
      </c>
      <c r="C120" s="2" t="str">
        <f>IF(N117="","",N117)</f>
        <v/>
      </c>
      <c r="D120" s="2" t="str">
        <f>IF(N119="","",N119)</f>
        <v>S2695</v>
      </c>
      <c r="E120" s="2" t="str">
        <f>IF(N120="","",N120)</f>
        <v/>
      </c>
      <c r="I120" s="2" t="str">
        <f>"3"&amp;O114&amp;N115</f>
        <v>33pojedyncza mężczyzn J</v>
      </c>
      <c r="J120" s="10" t="str">
        <f>IF(AD121="","",IF(AD115=3,N116,IF(AD118=3,N119,IF(AD121=3,N122,""))))</f>
        <v>W3545</v>
      </c>
      <c r="K120" s="10">
        <f>IF(AD121="","",IF(AD115=3,N117,IF(AD118=3,N120,IF(AD121=3,N123,""))))</f>
        <v>0</v>
      </c>
      <c r="M120" s="42" t="str">
        <f>N115</f>
        <v>pojedyncza mężczyzn J</v>
      </c>
      <c r="N120" s="38"/>
      <c r="O120" s="28"/>
      <c r="P120" s="28"/>
      <c r="Q120" s="43" t="str">
        <f>IF(AU120&gt;0,"",IF(A120=0,"",IF(VLOOKUP(A120,'[2]plan gier'!A$1:S$65536,19,FALSE)="","",VLOOKUP(A120,'[2]plan gier'!A$1:S$65536,19,FALSE))))</f>
        <v/>
      </c>
      <c r="R120" s="72" t="s">
        <v>18</v>
      </c>
      <c r="S120" s="45">
        <v>192</v>
      </c>
      <c r="T120" s="261"/>
      <c r="U120" s="265" t="str">
        <f>IF(N120&lt;&gt;"",CONCATENATE(VLOOKUP(N120,[2]zawodnicy!$A$1:$E$65536,1,FALSE)," ",VLOOKUP(N120,[2]zawodnicy!$A$1:$E$65536,2,FALSE)," ",VLOOKUP(N120,[2]zawodnicy!$A$1:$E$65536,3,FALSE)," - ",VLOOKUP(N120,[2]zawodnicy!$A$1:$E$65536,4,FALSE)),"")</f>
        <v/>
      </c>
      <c r="V120" s="266"/>
      <c r="W120" s="267"/>
      <c r="X120" s="73" t="str">
        <f>IF(SUM(AS120:AT120)=0,"",AT120&amp;":"&amp;AS120)</f>
        <v>21:19</v>
      </c>
      <c r="Y120" s="62"/>
      <c r="Z120" s="40" t="str">
        <f>IF(SUM(AS119:AT119)=0,"",AS119&amp;":"&amp;AT119)</f>
        <v>21:19</v>
      </c>
      <c r="AA120" s="262"/>
      <c r="AB120" s="263"/>
      <c r="AC120" s="263"/>
      <c r="AD120" s="264"/>
      <c r="AE120" s="2"/>
      <c r="AF120" s="12"/>
      <c r="AG120" s="12"/>
      <c r="AH120" s="72" t="s">
        <v>18</v>
      </c>
      <c r="AI120" s="74">
        <f>IF(ISBLANK(S120),"",VLOOKUP(S120,'[2]plan gier'!$X$1:$AN$65536,12,FALSE))</f>
        <v>13</v>
      </c>
      <c r="AJ120" s="75">
        <f>IF(ISBLANK(S120),"",VLOOKUP(S120,'[2]plan gier'!$X$1:$AN$65536,13,FALSE))</f>
        <v>21</v>
      </c>
      <c r="AK120" s="75">
        <f>IF(ISBLANK(S120),"",VLOOKUP(S120,'[2]plan gier'!$X$1:$AN$65536,14,FALSE))</f>
        <v>21</v>
      </c>
      <c r="AL120" s="75">
        <f>IF(ISBLANK(S120),"",VLOOKUP(S120,'[2]plan gier'!$X$1:$AN$65536,15,FALSE))</f>
        <v>8</v>
      </c>
      <c r="AM120" s="75">
        <f>IF(ISBLANK(S120),"",VLOOKUP(S120,'[2]plan gier'!$X$1:$AN$65536,16,FALSE))</f>
        <v>19</v>
      </c>
      <c r="AN120" s="75">
        <f>IF(ISBLANK(S120),"",VLOOKUP(S120,'[2]plan gier'!$X$1:$AN$65536,17,FALSE))</f>
        <v>21</v>
      </c>
      <c r="AO120" s="76">
        <f t="shared" si="8"/>
        <v>13</v>
      </c>
      <c r="AP120" s="75">
        <f t="shared" si="8"/>
        <v>21</v>
      </c>
      <c r="AQ120" s="77">
        <f t="shared" si="8"/>
        <v>21</v>
      </c>
      <c r="AR120" s="75">
        <f t="shared" si="8"/>
        <v>8</v>
      </c>
      <c r="AS120" s="77">
        <f t="shared" si="8"/>
        <v>19</v>
      </c>
      <c r="AT120" s="75">
        <f t="shared" si="8"/>
        <v>21</v>
      </c>
      <c r="AU120" s="54">
        <f>SUM(AO120:AT120)</f>
        <v>103</v>
      </c>
      <c r="AV120" s="13">
        <v>3</v>
      </c>
      <c r="AW120" s="74">
        <f>IF(AI118&lt;AJ118,1,0)+IF(AK118&lt;AL118,1,0)+IF(AM118&lt;AN118,1,0)</f>
        <v>0</v>
      </c>
      <c r="AX120" s="75">
        <f>BA118</f>
        <v>2</v>
      </c>
      <c r="AY120" s="75">
        <f>IF(AI119&lt;AJ119,1,0)+IF(AK119&lt;AL119,1,0)+IF(AM119&lt;AN119,1,0)</f>
        <v>1</v>
      </c>
      <c r="AZ120" s="75">
        <f>BA119</f>
        <v>2</v>
      </c>
      <c r="BA120" s="78"/>
      <c r="BB120" s="79"/>
      <c r="BE120" s="74">
        <f>AP118+AR118+AT118+AP119+AR119+AT119</f>
        <v>82</v>
      </c>
      <c r="BF120" s="80">
        <f>AO118+AQ118+AS118+AO119+AQ119+AS119</f>
        <v>104</v>
      </c>
      <c r="BG120" s="74">
        <f>AW120+AY120</f>
        <v>1</v>
      </c>
      <c r="BH120" s="80">
        <f>AX120+AZ120</f>
        <v>4</v>
      </c>
      <c r="BI120" s="74">
        <f>IF(AW120&gt;AX120,1,0)+IF(AY120&gt;AZ120,1,0)</f>
        <v>0</v>
      </c>
      <c r="BJ120" s="81">
        <f>IF(AX120&gt;AW120,1,0)+IF(AZ120&gt;AY120,1,0)</f>
        <v>2</v>
      </c>
      <c r="BK120" s="82">
        <f>IF(BI120+BJ120=0,"",IF(BL120=MAX(BL118:BL120),1,IF(BL120=MIN(BL118:BL120),3,2)))</f>
        <v>3</v>
      </c>
      <c r="BL120" s="60">
        <f>IF(BI120+BJ120&lt;&gt;0,BI120+1+(BG120-BH120)/100+(BE120-BF120)/100000+(BE120/BF120)/1000000,0)</f>
        <v>0.96978078846153848</v>
      </c>
    </row>
    <row r="121" spans="1:64" ht="11.45" customHeight="1" x14ac:dyDescent="0.2">
      <c r="A121" s="2"/>
      <c r="J121" s="28"/>
      <c r="K121" s="28"/>
      <c r="L121" s="28"/>
      <c r="O121" s="28"/>
      <c r="P121" s="28"/>
      <c r="Q121" s="2"/>
      <c r="R121" s="2"/>
      <c r="S121" s="2"/>
      <c r="T121" s="241">
        <v>3</v>
      </c>
      <c r="U121" s="244" t="str">
        <f>IF(AND(N122&lt;&gt;"",N123&lt;&gt;""),CONCATENATE(VLOOKUP(N122,[2]zawodnicy!$A$1:$E$65536,1,FALSE)," ",VLOOKUP(N122,[2]zawodnicy!$A$1:$E$65536,2,FALSE)," ",VLOOKUP(N122,[2]zawodnicy!$A$1:$E$65536,3,FALSE)," - ",VLOOKUP(N122,[2]zawodnicy!$A$1:$E$65536,4,FALSE)),"")</f>
        <v/>
      </c>
      <c r="V121" s="245"/>
      <c r="W121" s="246"/>
      <c r="X121" s="46" t="str">
        <f>IF(SUM(AO118:AP118)=0,"",AP118&amp;":"&amp;AO118)</f>
        <v>19:21</v>
      </c>
      <c r="Y121" s="83" t="str">
        <f>IF(SUM(AO119:AP119)=0,"",AP119&amp;":"&amp;AO119)</f>
        <v>22:20</v>
      </c>
      <c r="Z121" s="84"/>
      <c r="AA121" s="247" t="str">
        <f>IF(SUM(AW120:AZ120)=0,"",BE120&amp;":"&amp;BF120)</f>
        <v>82:104</v>
      </c>
      <c r="AB121" s="250" t="str">
        <f>IF(SUM(AW120:AZ120)=0,"",BG120&amp;":"&amp;BH120)</f>
        <v>1:4</v>
      </c>
      <c r="AC121" s="250" t="str">
        <f>IF(SUM(AW120:AZ120)=0,"",BI120&amp;":"&amp;BJ120)</f>
        <v>0:2</v>
      </c>
      <c r="AD121" s="253">
        <f>IF(SUM(BI118:BI120)&gt;0,BK120,"")</f>
        <v>3</v>
      </c>
      <c r="AE121" s="2"/>
      <c r="AF121" s="12"/>
      <c r="AG121" s="12"/>
      <c r="BE121" s="19">
        <f>SUM(BE118:BE120)</f>
        <v>289</v>
      </c>
      <c r="BF121" s="19">
        <f>SUM(BF118:BF120)</f>
        <v>289</v>
      </c>
      <c r="BG121" s="19">
        <f>SUM(BG118:BG120)</f>
        <v>8</v>
      </c>
      <c r="BH121" s="19">
        <f>SUM(BH118:BH120)</f>
        <v>8</v>
      </c>
      <c r="BK121" s="19"/>
      <c r="BL121" s="20"/>
    </row>
    <row r="122" spans="1:64" ht="11.45" customHeight="1" x14ac:dyDescent="0.2">
      <c r="A122" s="19"/>
      <c r="J122" s="19"/>
      <c r="K122" s="19"/>
      <c r="L122" s="19"/>
      <c r="N122" s="33" t="s">
        <v>44</v>
      </c>
      <c r="O122" s="34">
        <f>IF(O114&gt;0,(O114&amp;3)*1,"")</f>
        <v>33</v>
      </c>
      <c r="Q122" s="85"/>
      <c r="R122" s="85"/>
      <c r="S122" s="85"/>
      <c r="T122" s="242"/>
      <c r="U122" s="244" t="str">
        <f>IF(AND(N122&lt;&gt;"",N123=""),CONCATENATE(VLOOKUP(N122,[2]zawodnicy!$A$1:$E$65536,1,FALSE)," ",VLOOKUP(N122,[2]zawodnicy!$A$1:$E$65536,2,FALSE)," ",VLOOKUP(N122,[2]zawodnicy!$A$1:$E$65536,3,FALSE)," - ",VLOOKUP(N122,[2]zawodnicy!$A$1:$E$65536,4,FALSE)),"")</f>
        <v>W3545 Marcin WNUK - MKS Orlicz Suchedniów</v>
      </c>
      <c r="V122" s="245"/>
      <c r="W122" s="246"/>
      <c r="X122" s="61" t="str">
        <f>IF(SUM(AQ118:AR118)=0,"",AR118&amp;":"&amp;AQ118)</f>
        <v>13:21</v>
      </c>
      <c r="Y122" s="36" t="str">
        <f>IF(SUM(AQ119:AR119)=0,"",AR119&amp;":"&amp;AQ119)</f>
        <v>9:21</v>
      </c>
      <c r="Z122" s="86"/>
      <c r="AA122" s="248"/>
      <c r="AB122" s="251"/>
      <c r="AC122" s="251"/>
      <c r="AD122" s="254"/>
      <c r="AE122" s="2"/>
      <c r="AF122" s="12"/>
      <c r="AG122" s="1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row>
    <row r="123" spans="1:64" ht="11.45" customHeight="1" thickBot="1" x14ac:dyDescent="0.25">
      <c r="A123" s="2"/>
      <c r="J123" s="28"/>
      <c r="K123" s="28"/>
      <c r="L123" s="28"/>
      <c r="N123" s="38"/>
      <c r="O123" s="28"/>
      <c r="P123" s="28"/>
      <c r="Q123" s="2"/>
      <c r="R123" s="2"/>
      <c r="S123" s="2"/>
      <c r="T123" s="243"/>
      <c r="U123" s="256" t="str">
        <f>IF(N123&lt;&gt;"",CONCATENATE(VLOOKUP(N123,[2]zawodnicy!$A$1:$E$65536,1,FALSE)," ",VLOOKUP(N123,[2]zawodnicy!$A$1:$E$65536,2,FALSE)," ",VLOOKUP(N123,[2]zawodnicy!$A$1:$E$65536,3,FALSE)," - ",VLOOKUP(N123,[2]zawodnicy!$A$1:$E$65536,4,FALSE)),"")</f>
        <v/>
      </c>
      <c r="V123" s="257"/>
      <c r="W123" s="258"/>
      <c r="X123" s="87" t="str">
        <f>IF(SUM(AS118:AT118)=0,"",AT118&amp;":"&amp;AS118)</f>
        <v/>
      </c>
      <c r="Y123" s="88" t="str">
        <f>IF(SUM(AS119:AT119)=0,"",AT119&amp;":"&amp;AS119)</f>
        <v>19:21</v>
      </c>
      <c r="Z123" s="89"/>
      <c r="AA123" s="249"/>
      <c r="AB123" s="252"/>
      <c r="AC123" s="252"/>
      <c r="AD123" s="255"/>
      <c r="AE123" s="10"/>
      <c r="AF123" s="12"/>
      <c r="AG123" s="1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row>
    <row r="124" spans="1:64" s="19" customFormat="1" ht="5.0999999999999996" customHeight="1" thickBot="1" x14ac:dyDescent="0.25">
      <c r="M124" s="90"/>
      <c r="O124" s="90"/>
      <c r="P124" s="90"/>
      <c r="Q124" s="91"/>
      <c r="R124" s="91"/>
      <c r="S124" s="91"/>
      <c r="T124" s="91"/>
      <c r="U124" s="5"/>
      <c r="V124" s="5"/>
      <c r="W124" s="5"/>
      <c r="AA124" s="92"/>
      <c r="AB124" s="91"/>
      <c r="AC124" s="91"/>
      <c r="AD124" s="91"/>
      <c r="AE124" s="91"/>
      <c r="AF124" s="91"/>
      <c r="AI124" s="93"/>
      <c r="AJ124" s="94"/>
      <c r="AK124" s="94"/>
    </row>
    <row r="125" spans="1:64" ht="11.45" customHeight="1" thickBot="1" x14ac:dyDescent="0.25">
      <c r="N125" s="11"/>
      <c r="O125" s="21">
        <v>4</v>
      </c>
      <c r="Q125" s="277" t="str">
        <f>"Grupa "&amp;O125&amp;"."</f>
        <v>Grupa 4.</v>
      </c>
      <c r="R125" s="277"/>
      <c r="S125" s="277"/>
      <c r="T125" s="22" t="s">
        <v>1</v>
      </c>
      <c r="U125" s="278" t="s">
        <v>2</v>
      </c>
      <c r="V125" s="279"/>
      <c r="W125" s="280"/>
      <c r="X125" s="22">
        <v>1</v>
      </c>
      <c r="Y125" s="23">
        <v>2</v>
      </c>
      <c r="Z125" s="24">
        <v>3</v>
      </c>
      <c r="AA125" s="25" t="s">
        <v>3</v>
      </c>
      <c r="AB125" s="26" t="s">
        <v>4</v>
      </c>
      <c r="AC125" s="26" t="s">
        <v>5</v>
      </c>
      <c r="AD125" s="27" t="s">
        <v>6</v>
      </c>
      <c r="AE125" s="2"/>
      <c r="AF125" s="12"/>
      <c r="AG125" s="12"/>
      <c r="BK125" s="19"/>
      <c r="BL125" s="20"/>
    </row>
    <row r="126" spans="1:64" ht="11.45" customHeight="1" x14ac:dyDescent="0.2">
      <c r="J126" s="28"/>
      <c r="K126" s="28"/>
      <c r="L126" s="28"/>
      <c r="N126" s="29" t="s">
        <v>35</v>
      </c>
      <c r="Q126" s="274" t="s">
        <v>7</v>
      </c>
      <c r="R126" s="274"/>
      <c r="S126" s="275" t="s">
        <v>8</v>
      </c>
      <c r="T126" s="276">
        <v>1</v>
      </c>
      <c r="U126" s="244" t="str">
        <f>IF(AND(N127&lt;&gt;"",N128&lt;&gt;""),CONCATENATE(VLOOKUP(N127,[2]zawodnicy!$A$1:$E$65536,1,FALSE)," ",VLOOKUP(N127,[2]zawodnicy!$A$1:$E$65536,2,FALSE)," ",VLOOKUP(N127,[2]zawodnicy!$A$1:$E$65536,3,FALSE)," - ",VLOOKUP(N127,[2]zawodnicy!$A$1:$E$65536,4,FALSE)),"")</f>
        <v/>
      </c>
      <c r="V126" s="245"/>
      <c r="W126" s="246"/>
      <c r="X126" s="30"/>
      <c r="Y126" s="31" t="str">
        <f>IF(SUM(AO131:AP131)=0,"",AO131&amp;":"&amp;AP131)</f>
        <v>10:21</v>
      </c>
      <c r="Z126" s="32" t="str">
        <f>IF(SUM(AO129:AP129)=0,"",AO129&amp;":"&amp;AP129)</f>
        <v>21:10</v>
      </c>
      <c r="AA126" s="270" t="str">
        <f>IF(SUM(AY129:BB129)=0,"",BE129&amp;":"&amp;BF129)</f>
        <v>111:104</v>
      </c>
      <c r="AB126" s="271" t="str">
        <f>IF(SUM(AY129:BB129)=0,"",BG129&amp;":"&amp;BH129)</f>
        <v>4:2</v>
      </c>
      <c r="AC126" s="271" t="str">
        <f>IF(SUM(AY129:BB129)=0,"",BI129&amp;":"&amp;BJ129)</f>
        <v>2:0</v>
      </c>
      <c r="AD126" s="272">
        <f>IF(SUM(BI129:BI131)&gt;0,BK129,"")</f>
        <v>1</v>
      </c>
      <c r="AE126" s="2"/>
      <c r="AF126" s="12"/>
      <c r="AG126" s="12"/>
      <c r="AH126" s="14"/>
      <c r="AI126" s="273" t="s">
        <v>9</v>
      </c>
      <c r="AJ126" s="273"/>
      <c r="AK126" s="273"/>
      <c r="AL126" s="273"/>
      <c r="AM126" s="273"/>
      <c r="AN126" s="273"/>
      <c r="AO126" s="273" t="s">
        <v>10</v>
      </c>
      <c r="AP126" s="273"/>
      <c r="AQ126" s="273"/>
      <c r="AR126" s="273"/>
      <c r="AS126" s="273"/>
      <c r="AT126" s="273"/>
      <c r="BK126" s="19"/>
      <c r="BL126" s="20"/>
    </row>
    <row r="127" spans="1:64" ht="11.45" customHeight="1" thickBot="1" x14ac:dyDescent="0.25">
      <c r="I127" s="2" t="str">
        <f>"1"&amp;O125&amp;N126</f>
        <v>14pojedyncza mężczyzn J</v>
      </c>
      <c r="J127" s="10" t="str">
        <f>IF(AD126="","",IF(AD126=1,N127,IF(AD129=1,N130,IF(AD132=1,N133,""))))</f>
        <v>L3566</v>
      </c>
      <c r="K127" s="10">
        <f>IF(AD126="","",IF(AD126=1,N128,IF(AD129=1,N131,IF(AD132=1,N134,""))))</f>
        <v>0</v>
      </c>
      <c r="L127" s="10"/>
      <c r="N127" s="33" t="s">
        <v>45</v>
      </c>
      <c r="O127" s="34">
        <f>IF(O125&gt;0,(O125&amp;1)*1,"")</f>
        <v>41</v>
      </c>
      <c r="Q127" s="274"/>
      <c r="R127" s="274"/>
      <c r="S127" s="275"/>
      <c r="T127" s="242"/>
      <c r="U127" s="244" t="str">
        <f>IF(AND(N127&lt;&gt;"",N128=""),CONCATENATE(VLOOKUP(N127,[2]zawodnicy!$A$1:$E$65536,1,FALSE)," ",VLOOKUP(N127,[2]zawodnicy!$A$1:$E$65536,2,FALSE)," ",VLOOKUP(N127,[2]zawodnicy!$A$1:$E$65536,3,FALSE)," - ",VLOOKUP(N127,[2]zawodnicy!$A$1:$E$65536,4,FALSE)),"")</f>
        <v>L3566 Paweł LEPIANKA - UKS Kiko Zamość</v>
      </c>
      <c r="V127" s="245"/>
      <c r="W127" s="246"/>
      <c r="X127" s="35"/>
      <c r="Y127" s="36" t="str">
        <f>IF(SUM(AQ131:AR131)=0,"",AQ131&amp;":"&amp;AR131)</f>
        <v>21:18</v>
      </c>
      <c r="Z127" s="37" t="str">
        <f>IF(SUM(AQ129:AR129)=0,"",AQ129&amp;":"&amp;AR129)</f>
        <v>16:21</v>
      </c>
      <c r="AA127" s="248"/>
      <c r="AB127" s="251"/>
      <c r="AC127" s="251"/>
      <c r="AD127" s="254"/>
      <c r="AE127" s="2"/>
      <c r="AF127" s="12"/>
      <c r="AG127" s="12"/>
      <c r="AH127" s="14"/>
      <c r="BE127" s="19">
        <f>SUM(BE129:BE131)</f>
        <v>311</v>
      </c>
      <c r="BF127" s="19">
        <f>SUM(BF129:BF131)</f>
        <v>311</v>
      </c>
      <c r="BG127" s="19">
        <f>SUM(BG129:BG131)</f>
        <v>8</v>
      </c>
      <c r="BH127" s="19">
        <f>SUM(BH129:BH131)</f>
        <v>8</v>
      </c>
      <c r="BK127" s="19"/>
      <c r="BL127" s="20"/>
    </row>
    <row r="128" spans="1:64" ht="11.45" customHeight="1" thickBot="1" x14ac:dyDescent="0.25">
      <c r="J128" s="10"/>
      <c r="K128" s="28"/>
      <c r="L128" s="28"/>
      <c r="N128" s="38"/>
      <c r="O128" s="28"/>
      <c r="P128" s="28"/>
      <c r="Q128" s="274"/>
      <c r="R128" s="274"/>
      <c r="S128" s="275"/>
      <c r="T128" s="261"/>
      <c r="U128" s="265" t="str">
        <f>IF(N128&lt;&gt;"",CONCATENATE(VLOOKUP(N128,[2]zawodnicy!$A$1:$E$65536,1,FALSE)," ",VLOOKUP(N128,[2]zawodnicy!$A$1:$E$65536,2,FALSE)," ",VLOOKUP(N128,[2]zawodnicy!$A$1:$E$65536,3,FALSE)," - ",VLOOKUP(N128,[2]zawodnicy!$A$1:$E$65536,4,FALSE)),"")</f>
        <v/>
      </c>
      <c r="V128" s="266"/>
      <c r="W128" s="267"/>
      <c r="X128" s="35"/>
      <c r="Y128" s="39" t="str">
        <f>IF(SUM(AS131:AT131)=0,"",AS131&amp;":"&amp;AT131)</f>
        <v>22:20</v>
      </c>
      <c r="Z128" s="40" t="str">
        <f>IF(SUM(AS129:AT129)=0,"",AS129&amp;":"&amp;AT129)</f>
        <v>21:14</v>
      </c>
      <c r="AA128" s="262"/>
      <c r="AB128" s="263"/>
      <c r="AC128" s="263"/>
      <c r="AD128" s="264"/>
      <c r="AE128" s="2"/>
      <c r="AF128" s="12"/>
      <c r="AG128" s="12"/>
      <c r="AH128" s="14"/>
      <c r="AI128" s="259" t="s">
        <v>12</v>
      </c>
      <c r="AJ128" s="269"/>
      <c r="AK128" s="268" t="s">
        <v>13</v>
      </c>
      <c r="AL128" s="269"/>
      <c r="AM128" s="268" t="s">
        <v>14</v>
      </c>
      <c r="AN128" s="260"/>
      <c r="AO128" s="259" t="s">
        <v>12</v>
      </c>
      <c r="AP128" s="269"/>
      <c r="AQ128" s="268" t="s">
        <v>13</v>
      </c>
      <c r="AR128" s="269"/>
      <c r="AS128" s="268" t="s">
        <v>14</v>
      </c>
      <c r="AT128" s="269"/>
      <c r="AU128" s="12"/>
      <c r="AV128" s="12"/>
      <c r="AW128" s="259">
        <v>1</v>
      </c>
      <c r="AX128" s="269"/>
      <c r="AY128" s="268">
        <v>2</v>
      </c>
      <c r="AZ128" s="269"/>
      <c r="BA128" s="268">
        <v>3</v>
      </c>
      <c r="BB128" s="260"/>
      <c r="BE128" s="259" t="s">
        <v>3</v>
      </c>
      <c r="BF128" s="260"/>
      <c r="BG128" s="259" t="s">
        <v>4</v>
      </c>
      <c r="BH128" s="260"/>
      <c r="BI128" s="259" t="s">
        <v>5</v>
      </c>
      <c r="BJ128" s="260"/>
      <c r="BK128" s="41" t="s">
        <v>6</v>
      </c>
      <c r="BL128" s="20"/>
    </row>
    <row r="129" spans="1:64" ht="11.45" customHeight="1" x14ac:dyDescent="0.2">
      <c r="A129" s="19">
        <f>S129</f>
        <v>63</v>
      </c>
      <c r="B129" s="2" t="str">
        <f>IF(N127="","",N127)</f>
        <v>L3566</v>
      </c>
      <c r="C129" s="2" t="str">
        <f>IF(N128="","",N128)</f>
        <v/>
      </c>
      <c r="D129" s="2" t="str">
        <f>IF(N133="","",N133)</f>
        <v>W3962</v>
      </c>
      <c r="E129" s="2" t="str">
        <f>IF(N134="","",N134)</f>
        <v/>
      </c>
      <c r="I129" s="2" t="str">
        <f>"2"&amp;O125&amp;N126</f>
        <v>24pojedyncza mężczyzn J</v>
      </c>
      <c r="J129" s="10" t="str">
        <f>IF(AD129="","",IF(AD126=2,N127,IF(AD129=2,N130,IF(AD132=2,N133,""))))</f>
        <v>K3935</v>
      </c>
      <c r="K129" s="10">
        <f>IF(AD129="","",IF(AD126=2,N128,IF(AD129=2,N131,IF(AD132=2,N134,""))))</f>
        <v>0</v>
      </c>
      <c r="M129" s="42" t="str">
        <f>N126</f>
        <v>pojedyncza mężczyzn J</v>
      </c>
      <c r="O129" s="28"/>
      <c r="P129" s="28"/>
      <c r="Q129" s="43" t="str">
        <f>IF(AU129&gt;0,"",IF(A129=0,"",IF(VLOOKUP(A129,'[2]plan gier'!A$1:S$65536,19,FALSE)="","",VLOOKUP(A129,'[2]plan gier'!A$1:S$65536,19,FALSE))))</f>
        <v/>
      </c>
      <c r="R129" s="44" t="s">
        <v>15</v>
      </c>
      <c r="S129" s="45">
        <v>63</v>
      </c>
      <c r="T129" s="241">
        <v>2</v>
      </c>
      <c r="U129" s="244" t="str">
        <f>IF(AND(N130&lt;&gt;"",N131&lt;&gt;""),CONCATENATE(VLOOKUP(N130,[2]zawodnicy!$A$1:$E$65536,1,FALSE)," ",VLOOKUP(N130,[2]zawodnicy!$A$1:$E$65536,2,FALSE)," ",VLOOKUP(N130,[2]zawodnicy!$A$1:$E$65536,3,FALSE)," - ",VLOOKUP(N130,[2]zawodnicy!$A$1:$E$65536,4,FALSE)),"")</f>
        <v/>
      </c>
      <c r="V129" s="245"/>
      <c r="W129" s="246"/>
      <c r="X129" s="46" t="str">
        <f>IF(SUM(AO131:AP131)=0,"",AP131&amp;":"&amp;AO131)</f>
        <v>21:10</v>
      </c>
      <c r="Y129" s="47"/>
      <c r="Z129" s="48" t="str">
        <f>IF(SUM(AO130:AP130)=0,"",AO130&amp;":"&amp;AP130)</f>
        <v>30:29</v>
      </c>
      <c r="AA129" s="247" t="str">
        <f>IF(SUM(AW130:AX130,BA130:BB130)=0,"",BE130&amp;":"&amp;BF130)</f>
        <v>110:98</v>
      </c>
      <c r="AB129" s="250" t="str">
        <f>IF(SUM(AW130:AX130,BA130:BB130)=0,"",BG130&amp;":"&amp;BH130)</f>
        <v>3:2</v>
      </c>
      <c r="AC129" s="250" t="str">
        <f>IF(SUM(AW130:AX130,BA130:BB130)=0,"",BI130&amp;":"&amp;BJ130)</f>
        <v>1:1</v>
      </c>
      <c r="AD129" s="253">
        <f>IF(SUM(BI129:BI131)&gt;0,BK130,"")</f>
        <v>2</v>
      </c>
      <c r="AE129" s="2"/>
      <c r="AF129" s="12"/>
      <c r="AG129" s="12"/>
      <c r="AH129" s="44" t="s">
        <v>15</v>
      </c>
      <c r="AI129" s="49">
        <f>IF(ISBLANK(S129),"",VLOOKUP(S129,'[2]plan gier'!$X$1:$AN$65536,12,FALSE))</f>
        <v>21</v>
      </c>
      <c r="AJ129" s="50">
        <f>IF(ISBLANK(S129),"",VLOOKUP(S129,'[2]plan gier'!$X$1:$AN$65536,13,FALSE))</f>
        <v>10</v>
      </c>
      <c r="AK129" s="50">
        <f>IF(ISBLANK(S129),"",VLOOKUP(S129,'[2]plan gier'!$X$1:$AN$65536,14,FALSE))</f>
        <v>16</v>
      </c>
      <c r="AL129" s="50">
        <f>IF(ISBLANK(S129),"",VLOOKUP(S129,'[2]plan gier'!$X$1:$AN$65536,15,FALSE))</f>
        <v>21</v>
      </c>
      <c r="AM129" s="50">
        <f>IF(ISBLANK(S129),"",VLOOKUP(S129,'[2]plan gier'!$X$1:$AN$65536,16,FALSE))</f>
        <v>21</v>
      </c>
      <c r="AN129" s="50">
        <f>IF(ISBLANK(S129),"",VLOOKUP(S129,'[2]plan gier'!$X$1:$AN$65536,17,FALSE))</f>
        <v>14</v>
      </c>
      <c r="AO129" s="51">
        <f t="shared" ref="AO129:AT131" si="9">IF(AI129="",0,AI129)</f>
        <v>21</v>
      </c>
      <c r="AP129" s="52">
        <f t="shared" si="9"/>
        <v>10</v>
      </c>
      <c r="AQ129" s="53">
        <f t="shared" si="9"/>
        <v>16</v>
      </c>
      <c r="AR129" s="52">
        <f t="shared" si="9"/>
        <v>21</v>
      </c>
      <c r="AS129" s="53">
        <f t="shared" si="9"/>
        <v>21</v>
      </c>
      <c r="AT129" s="52">
        <f t="shared" si="9"/>
        <v>14</v>
      </c>
      <c r="AU129" s="54">
        <f>SUM(AO129:AT129)</f>
        <v>103</v>
      </c>
      <c r="AV129" s="13">
        <v>1</v>
      </c>
      <c r="AW129" s="55"/>
      <c r="AX129" s="56"/>
      <c r="AY129" s="50">
        <f>IF(AI131&gt;AJ131,1,0)+IF(AK131&gt;AL131,1,0)+IF(AM131&gt;AN131,1,0)</f>
        <v>2</v>
      </c>
      <c r="AZ129" s="50">
        <f>AW130</f>
        <v>1</v>
      </c>
      <c r="BA129" s="50">
        <f>IF(AI129&gt;AJ129,1,0)+IF(AK129&gt;AL129,1,0)+IF(AM129&gt;AN129,1,0)</f>
        <v>2</v>
      </c>
      <c r="BB129" s="57">
        <f>AW131</f>
        <v>1</v>
      </c>
      <c r="BE129" s="49">
        <f>AO129+AQ129+AS129+AO131+AQ131+AS131</f>
        <v>111</v>
      </c>
      <c r="BF129" s="57">
        <f>AP129+AR129+AT129+AP131+AR131+AT131</f>
        <v>104</v>
      </c>
      <c r="BG129" s="49">
        <f>AY129+BA129</f>
        <v>4</v>
      </c>
      <c r="BH129" s="57">
        <f>AZ129+BB129</f>
        <v>2</v>
      </c>
      <c r="BI129" s="49">
        <f>IF(AY129&gt;AZ129,1,0)+IF(BA129&gt;BB129,1,0)</f>
        <v>2</v>
      </c>
      <c r="BJ129" s="58">
        <f>IF(AZ129&gt;AY129,1,0)+IF(BB129&gt;BA129,1,0)</f>
        <v>0</v>
      </c>
      <c r="BK129" s="59">
        <f>IF(BI129+BJ129=0,"",IF(BL129=MAX(BL129:BL131),1,IF(BL129=MIN(BL129:BL131),3,2)))</f>
        <v>1</v>
      </c>
      <c r="BL129" s="60">
        <f>IF(BI129+BJ129&lt;&gt;0,BI129+1+(BG129-BH129)/100+(BE129-BF129)/100000+(BE129/BF129)/1000000,0)</f>
        <v>3.0200710673076925</v>
      </c>
    </row>
    <row r="130" spans="1:64" ht="11.45" customHeight="1" x14ac:dyDescent="0.2">
      <c r="A130" s="19">
        <f>S130</f>
        <v>128</v>
      </c>
      <c r="B130" s="2" t="str">
        <f>IF(N130="","",N130)</f>
        <v>K3935</v>
      </c>
      <c r="C130" s="2" t="str">
        <f>IF(N131="","",N131)</f>
        <v/>
      </c>
      <c r="D130" s="2" t="str">
        <f>IF(N133="","",N133)</f>
        <v>W3962</v>
      </c>
      <c r="E130" s="2" t="str">
        <f>IF(N134="","",N134)</f>
        <v/>
      </c>
      <c r="J130" s="10"/>
      <c r="K130" s="19"/>
      <c r="M130" s="42" t="str">
        <f>N126</f>
        <v>pojedyncza mężczyzn J</v>
      </c>
      <c r="N130" s="33" t="s">
        <v>46</v>
      </c>
      <c r="O130" s="34">
        <f>IF(O125&gt;0,(O125&amp;2)*1,"")</f>
        <v>42</v>
      </c>
      <c r="Q130" s="43" t="str">
        <f>IF(AU130&gt;0,"",IF(A130=0,"",IF(VLOOKUP(A130,'[2]plan gier'!A$1:S$65536,19,FALSE)="","",VLOOKUP(A130,'[2]plan gier'!A$1:S$65536,19,FALSE))))</f>
        <v/>
      </c>
      <c r="R130" s="44" t="s">
        <v>17</v>
      </c>
      <c r="S130" s="45">
        <v>128</v>
      </c>
      <c r="T130" s="242"/>
      <c r="U130" s="244" t="str">
        <f>IF(AND(N130&lt;&gt;"",N131=""),CONCATENATE(VLOOKUP(N130,[2]zawodnicy!$A$1:$E$65536,1,FALSE)," ",VLOOKUP(N130,[2]zawodnicy!$A$1:$E$65536,2,FALSE)," ",VLOOKUP(N130,[2]zawodnicy!$A$1:$E$65536,3,FALSE)," - ",VLOOKUP(N130,[2]zawodnicy!$A$1:$E$65536,4,FALSE)),"")</f>
        <v>K3935 Michał KAŹMIERCZAK - UKS Feniks Kędzierzyn-Koźle</v>
      </c>
      <c r="V130" s="245"/>
      <c r="W130" s="246"/>
      <c r="X130" s="61" t="str">
        <f>IF(SUM(AQ131:AR131)=0,"",AR131&amp;":"&amp;AQ131)</f>
        <v>18:21</v>
      </c>
      <c r="Y130" s="62"/>
      <c r="Z130" s="37" t="str">
        <f>IF(SUM(AQ130:AR130)=0,"",AQ130&amp;":"&amp;AR130)</f>
        <v>21:16</v>
      </c>
      <c r="AA130" s="248"/>
      <c r="AB130" s="251"/>
      <c r="AC130" s="251"/>
      <c r="AD130" s="254"/>
      <c r="AE130" s="2"/>
      <c r="AF130" s="12"/>
      <c r="AG130" s="12"/>
      <c r="AH130" s="44" t="s">
        <v>17</v>
      </c>
      <c r="AI130" s="63">
        <f>IF(ISBLANK(S130),"",VLOOKUP(S130,'[2]plan gier'!$X$1:$AN$65536,12,FALSE))</f>
        <v>30</v>
      </c>
      <c r="AJ130" s="64">
        <f>IF(ISBLANK(S130),"",VLOOKUP(S130,'[2]plan gier'!$X$1:$AN$65536,13,FALSE))</f>
        <v>29</v>
      </c>
      <c r="AK130" s="64">
        <f>IF(ISBLANK(S130),"",VLOOKUP(S130,'[2]plan gier'!$X$1:$AN$65536,14,FALSE))</f>
        <v>21</v>
      </c>
      <c r="AL130" s="64">
        <f>IF(ISBLANK(S130),"",VLOOKUP(S130,'[2]plan gier'!$X$1:$AN$65536,15,FALSE))</f>
        <v>16</v>
      </c>
      <c r="AM130" s="64">
        <f>IF(ISBLANK(S130),"",VLOOKUP(S130,'[2]plan gier'!$X$1:$AN$65536,16,FALSE))</f>
        <v>0</v>
      </c>
      <c r="AN130" s="64">
        <f>IF(ISBLANK(S130),"",VLOOKUP(S130,'[2]plan gier'!$X$1:$AN$65536,17,FALSE))</f>
        <v>0</v>
      </c>
      <c r="AO130" s="65">
        <f t="shared" si="9"/>
        <v>30</v>
      </c>
      <c r="AP130" s="64">
        <f t="shared" si="9"/>
        <v>29</v>
      </c>
      <c r="AQ130" s="66">
        <f t="shared" si="9"/>
        <v>21</v>
      </c>
      <c r="AR130" s="64">
        <f t="shared" si="9"/>
        <v>16</v>
      </c>
      <c r="AS130" s="66">
        <f t="shared" si="9"/>
        <v>0</v>
      </c>
      <c r="AT130" s="64">
        <f t="shared" si="9"/>
        <v>0</v>
      </c>
      <c r="AU130" s="54">
        <f>SUM(AO130:AT130)</f>
        <v>96</v>
      </c>
      <c r="AV130" s="13">
        <v>2</v>
      </c>
      <c r="AW130" s="63">
        <f>IF(AI131&lt;AJ131,1,0)+IF(AK131&lt;AL131,1,0)+IF(AM131&lt;AN131,1,0)</f>
        <v>1</v>
      </c>
      <c r="AX130" s="64">
        <f>AY129</f>
        <v>2</v>
      </c>
      <c r="AY130" s="67"/>
      <c r="AZ130" s="68"/>
      <c r="BA130" s="64">
        <f>IF(AI130&gt;AJ130,1,0)+IF(AK130&gt;AL130,1,0)+IF(AM130&gt;AN130,1,0)</f>
        <v>2</v>
      </c>
      <c r="BB130" s="69">
        <f>AY131</f>
        <v>0</v>
      </c>
      <c r="BE130" s="63">
        <f>AO130+AQ130+AS130+AP131+AR131+AT131</f>
        <v>110</v>
      </c>
      <c r="BF130" s="69">
        <f>AP130+AR130+AT130+AO131+AQ131+AS131</f>
        <v>98</v>
      </c>
      <c r="BG130" s="63">
        <f>AW130+BA130</f>
        <v>3</v>
      </c>
      <c r="BH130" s="69">
        <f>AX130+BB130</f>
        <v>2</v>
      </c>
      <c r="BI130" s="63">
        <f>IF(AW130&gt;AX130,1,0)+IF(BA130&gt;BB130,1,0)</f>
        <v>1</v>
      </c>
      <c r="BJ130" s="70">
        <f>IF(AX130&gt;AW130,1,0)+IF(BB130&gt;BA130,1,0)</f>
        <v>1</v>
      </c>
      <c r="BK130" s="71">
        <f>IF(BI130+BJ130=0,"",IF(BL130=MAX(BL129:BL131),1,IF(BL130=MIN(BL129:BL131),3,2)))</f>
        <v>2</v>
      </c>
      <c r="BL130" s="60">
        <f>IF(BI130+BJ130&lt;&gt;0,BI130+1+(BG130-BH130)/100+(BE130-BF130)/100000+(BE130/BF130)/1000000,0)</f>
        <v>2.0101211224489792</v>
      </c>
    </row>
    <row r="131" spans="1:64" ht="11.45" customHeight="1" thickBot="1" x14ac:dyDescent="0.25">
      <c r="A131" s="19">
        <f>S131</f>
        <v>193</v>
      </c>
      <c r="B131" s="2" t="str">
        <f>IF(N127="","",N127)</f>
        <v>L3566</v>
      </c>
      <c r="C131" s="2" t="str">
        <f>IF(N128="","",N128)</f>
        <v/>
      </c>
      <c r="D131" s="2" t="str">
        <f>IF(N130="","",N130)</f>
        <v>K3935</v>
      </c>
      <c r="E131" s="2" t="str">
        <f>IF(N131="","",N131)</f>
        <v/>
      </c>
      <c r="I131" s="2" t="str">
        <f>"3"&amp;O125&amp;N126</f>
        <v>34pojedyncza mężczyzn J</v>
      </c>
      <c r="J131" s="10" t="str">
        <f>IF(AD132="","",IF(AD126=3,N127,IF(AD129=3,N130,IF(AD132=3,N133,""))))</f>
        <v>W3962</v>
      </c>
      <c r="K131" s="10">
        <f>IF(AD132="","",IF(AD126=3,N128,IF(AD129=3,N131,IF(AD132=3,N134,""))))</f>
        <v>0</v>
      </c>
      <c r="M131" s="42" t="str">
        <f>N126</f>
        <v>pojedyncza mężczyzn J</v>
      </c>
      <c r="N131" s="38"/>
      <c r="O131" s="28"/>
      <c r="P131" s="28"/>
      <c r="Q131" s="43" t="str">
        <f>IF(AU131&gt;0,"",IF(A131=0,"",IF(VLOOKUP(A131,'[2]plan gier'!A$1:S$65536,19,FALSE)="","",VLOOKUP(A131,'[2]plan gier'!A$1:S$65536,19,FALSE))))</f>
        <v/>
      </c>
      <c r="R131" s="72" t="s">
        <v>18</v>
      </c>
      <c r="S131" s="45">
        <v>193</v>
      </c>
      <c r="T131" s="261"/>
      <c r="U131" s="265" t="str">
        <f>IF(N131&lt;&gt;"",CONCATENATE(VLOOKUP(N131,[2]zawodnicy!$A$1:$E$65536,1,FALSE)," ",VLOOKUP(N131,[2]zawodnicy!$A$1:$E$65536,2,FALSE)," ",VLOOKUP(N131,[2]zawodnicy!$A$1:$E$65536,3,FALSE)," - ",VLOOKUP(N131,[2]zawodnicy!$A$1:$E$65536,4,FALSE)),"")</f>
        <v/>
      </c>
      <c r="V131" s="266"/>
      <c r="W131" s="267"/>
      <c r="X131" s="73" t="str">
        <f>IF(SUM(AS131:AT131)=0,"",AT131&amp;":"&amp;AS131)</f>
        <v>20:22</v>
      </c>
      <c r="Y131" s="62"/>
      <c r="Z131" s="40" t="str">
        <f>IF(SUM(AS130:AT130)=0,"",AS130&amp;":"&amp;AT130)</f>
        <v/>
      </c>
      <c r="AA131" s="262"/>
      <c r="AB131" s="263"/>
      <c r="AC131" s="263"/>
      <c r="AD131" s="264"/>
      <c r="AE131" s="2"/>
      <c r="AF131" s="12"/>
      <c r="AG131" s="12"/>
      <c r="AH131" s="72" t="s">
        <v>18</v>
      </c>
      <c r="AI131" s="74">
        <f>IF(ISBLANK(S131),"",VLOOKUP(S131,'[2]plan gier'!$X$1:$AN$65536,12,FALSE))</f>
        <v>10</v>
      </c>
      <c r="AJ131" s="75">
        <f>IF(ISBLANK(S131),"",VLOOKUP(S131,'[2]plan gier'!$X$1:$AN$65536,13,FALSE))</f>
        <v>21</v>
      </c>
      <c r="AK131" s="75">
        <f>IF(ISBLANK(S131),"",VLOOKUP(S131,'[2]plan gier'!$X$1:$AN$65536,14,FALSE))</f>
        <v>21</v>
      </c>
      <c r="AL131" s="75">
        <f>IF(ISBLANK(S131),"",VLOOKUP(S131,'[2]plan gier'!$X$1:$AN$65536,15,FALSE))</f>
        <v>18</v>
      </c>
      <c r="AM131" s="75">
        <f>IF(ISBLANK(S131),"",VLOOKUP(S131,'[2]plan gier'!$X$1:$AN$65536,16,FALSE))</f>
        <v>22</v>
      </c>
      <c r="AN131" s="75">
        <f>IF(ISBLANK(S131),"",VLOOKUP(S131,'[2]plan gier'!$X$1:$AN$65536,17,FALSE))</f>
        <v>20</v>
      </c>
      <c r="AO131" s="76">
        <f t="shared" si="9"/>
        <v>10</v>
      </c>
      <c r="AP131" s="75">
        <f t="shared" si="9"/>
        <v>21</v>
      </c>
      <c r="AQ131" s="77">
        <f t="shared" si="9"/>
        <v>21</v>
      </c>
      <c r="AR131" s="75">
        <f t="shared" si="9"/>
        <v>18</v>
      </c>
      <c r="AS131" s="77">
        <f t="shared" si="9"/>
        <v>22</v>
      </c>
      <c r="AT131" s="75">
        <f t="shared" si="9"/>
        <v>20</v>
      </c>
      <c r="AU131" s="54">
        <f>SUM(AO131:AT131)</f>
        <v>112</v>
      </c>
      <c r="AV131" s="13">
        <v>3</v>
      </c>
      <c r="AW131" s="74">
        <f>IF(AI129&lt;AJ129,1,0)+IF(AK129&lt;AL129,1,0)+IF(AM129&lt;AN129,1,0)</f>
        <v>1</v>
      </c>
      <c r="AX131" s="75">
        <f>BA129</f>
        <v>2</v>
      </c>
      <c r="AY131" s="75">
        <f>IF(AI130&lt;AJ130,1,0)+IF(AK130&lt;AL130,1,0)+IF(AM130&lt;AN130,1,0)</f>
        <v>0</v>
      </c>
      <c r="AZ131" s="75">
        <f>BA130</f>
        <v>2</v>
      </c>
      <c r="BA131" s="78"/>
      <c r="BB131" s="79"/>
      <c r="BE131" s="74">
        <f>AP129+AR129+AT129+AP130+AR130+AT130</f>
        <v>90</v>
      </c>
      <c r="BF131" s="80">
        <f>AO129+AQ129+AS129+AO130+AQ130+AS130</f>
        <v>109</v>
      </c>
      <c r="BG131" s="74">
        <f>AW131+AY131</f>
        <v>1</v>
      </c>
      <c r="BH131" s="80">
        <f>AX131+AZ131</f>
        <v>4</v>
      </c>
      <c r="BI131" s="74">
        <f>IF(AW131&gt;AX131,1,0)+IF(AY131&gt;AZ131,1,0)</f>
        <v>0</v>
      </c>
      <c r="BJ131" s="81">
        <f>IF(AX131&gt;AW131,1,0)+IF(AZ131&gt;AY131,1,0)</f>
        <v>2</v>
      </c>
      <c r="BK131" s="82">
        <f>IF(BI131+BJ131=0,"",IF(BL131=MAX(BL129:BL131),1,IF(BL131=MIN(BL129:BL131),3,2)))</f>
        <v>3</v>
      </c>
      <c r="BL131" s="60">
        <f>IF(BI131+BJ131&lt;&gt;0,BI131+1+(BG131-BH131)/100+(BE131-BF131)/100000+(BE131/BF131)/1000000,0)</f>
        <v>0.96981082568807331</v>
      </c>
    </row>
    <row r="132" spans="1:64" ht="11.45" customHeight="1" x14ac:dyDescent="0.2">
      <c r="A132" s="2"/>
      <c r="J132" s="28"/>
      <c r="K132" s="28"/>
      <c r="L132" s="28"/>
      <c r="O132" s="28"/>
      <c r="P132" s="28"/>
      <c r="Q132" s="2"/>
      <c r="R132" s="2"/>
      <c r="S132" s="2"/>
      <c r="T132" s="241">
        <v>3</v>
      </c>
      <c r="U132" s="244" t="str">
        <f>IF(AND(N133&lt;&gt;"",N134&lt;&gt;""),CONCATENATE(VLOOKUP(N133,[2]zawodnicy!$A$1:$E$65536,1,FALSE)," ",VLOOKUP(N133,[2]zawodnicy!$A$1:$E$65536,2,FALSE)," ",VLOOKUP(N133,[2]zawodnicy!$A$1:$E$65536,3,FALSE)," - ",VLOOKUP(N133,[2]zawodnicy!$A$1:$E$65536,4,FALSE)),"")</f>
        <v/>
      </c>
      <c r="V132" s="245"/>
      <c r="W132" s="246"/>
      <c r="X132" s="46" t="str">
        <f>IF(SUM(AO129:AP129)=0,"",AP129&amp;":"&amp;AO129)</f>
        <v>10:21</v>
      </c>
      <c r="Y132" s="83" t="str">
        <f>IF(SUM(AO130:AP130)=0,"",AP130&amp;":"&amp;AO130)</f>
        <v>29:30</v>
      </c>
      <c r="Z132" s="84"/>
      <c r="AA132" s="247" t="str">
        <f>IF(SUM(AW131:AZ131)=0,"",BE131&amp;":"&amp;BF131)</f>
        <v>90:109</v>
      </c>
      <c r="AB132" s="250" t="str">
        <f>IF(SUM(AW131:AZ131)=0,"",BG131&amp;":"&amp;BH131)</f>
        <v>1:4</v>
      </c>
      <c r="AC132" s="250" t="str">
        <f>IF(SUM(AW131:AZ131)=0,"",BI131&amp;":"&amp;BJ131)</f>
        <v>0:2</v>
      </c>
      <c r="AD132" s="253">
        <f>IF(SUM(BI129:BI131)&gt;0,BK131,"")</f>
        <v>3</v>
      </c>
      <c r="AE132" s="2"/>
      <c r="AF132" s="12"/>
      <c r="AG132" s="12"/>
      <c r="BE132" s="19">
        <f>SUM(BE129:BE131)</f>
        <v>311</v>
      </c>
      <c r="BF132" s="19">
        <f>SUM(BF129:BF131)</f>
        <v>311</v>
      </c>
      <c r="BG132" s="19">
        <f>SUM(BG129:BG131)</f>
        <v>8</v>
      </c>
      <c r="BH132" s="19">
        <f>SUM(BH129:BH131)</f>
        <v>8</v>
      </c>
      <c r="BK132" s="19"/>
      <c r="BL132" s="20"/>
    </row>
    <row r="133" spans="1:64" ht="11.45" customHeight="1" x14ac:dyDescent="0.2">
      <c r="A133" s="19"/>
      <c r="J133" s="19"/>
      <c r="K133" s="19"/>
      <c r="L133" s="19"/>
      <c r="N133" s="33" t="s">
        <v>47</v>
      </c>
      <c r="O133" s="34">
        <f>IF(O125&gt;0,(O125&amp;3)*1,"")</f>
        <v>43</v>
      </c>
      <c r="Q133" s="85"/>
      <c r="R133" s="85"/>
      <c r="S133" s="85"/>
      <c r="T133" s="242"/>
      <c r="U133" s="244" t="str">
        <f>IF(AND(N133&lt;&gt;"",N134=""),CONCATENATE(VLOOKUP(N133,[2]zawodnicy!$A$1:$E$65536,1,FALSE)," ",VLOOKUP(N133,[2]zawodnicy!$A$1:$E$65536,2,FALSE)," ",VLOOKUP(N133,[2]zawodnicy!$A$1:$E$65536,3,FALSE)," - ",VLOOKUP(N133,[2]zawodnicy!$A$1:$E$65536,4,FALSE)),"")</f>
        <v>W3962 Sławomir WUDARSKI - UKS Iskra Sarbice</v>
      </c>
      <c r="V133" s="245"/>
      <c r="W133" s="246"/>
      <c r="X133" s="61" t="str">
        <f>IF(SUM(AQ129:AR129)=0,"",AR129&amp;":"&amp;AQ129)</f>
        <v>21:16</v>
      </c>
      <c r="Y133" s="36" t="str">
        <f>IF(SUM(AQ130:AR130)=0,"",AR130&amp;":"&amp;AQ130)</f>
        <v>16:21</v>
      </c>
      <c r="Z133" s="86"/>
      <c r="AA133" s="248"/>
      <c r="AB133" s="251"/>
      <c r="AC133" s="251"/>
      <c r="AD133" s="254"/>
      <c r="AE133" s="2"/>
      <c r="AF133" s="12"/>
      <c r="AG133" s="1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row>
    <row r="134" spans="1:64" ht="11.45" customHeight="1" thickBot="1" x14ac:dyDescent="0.25">
      <c r="A134" s="2"/>
      <c r="J134" s="28"/>
      <c r="K134" s="28"/>
      <c r="L134" s="28"/>
      <c r="N134" s="38"/>
      <c r="O134" s="28"/>
      <c r="P134" s="28"/>
      <c r="Q134" s="2"/>
      <c r="R134" s="2"/>
      <c r="S134" s="2"/>
      <c r="T134" s="243"/>
      <c r="U134" s="256" t="str">
        <f>IF(N134&lt;&gt;"",CONCATENATE(VLOOKUP(N134,[2]zawodnicy!$A$1:$E$65536,1,FALSE)," ",VLOOKUP(N134,[2]zawodnicy!$A$1:$E$65536,2,FALSE)," ",VLOOKUP(N134,[2]zawodnicy!$A$1:$E$65536,3,FALSE)," - ",VLOOKUP(N134,[2]zawodnicy!$A$1:$E$65536,4,FALSE)),"")</f>
        <v/>
      </c>
      <c r="V134" s="257"/>
      <c r="W134" s="258"/>
      <c r="X134" s="87" t="str">
        <f>IF(SUM(AS129:AT129)=0,"",AT129&amp;":"&amp;AS129)</f>
        <v>14:21</v>
      </c>
      <c r="Y134" s="88" t="str">
        <f>IF(SUM(AS130:AT130)=0,"",AT130&amp;":"&amp;AS130)</f>
        <v/>
      </c>
      <c r="Z134" s="89"/>
      <c r="AA134" s="249"/>
      <c r="AB134" s="252"/>
      <c r="AC134" s="252"/>
      <c r="AD134" s="255"/>
      <c r="AE134" s="10"/>
      <c r="AF134" s="12"/>
      <c r="AG134" s="1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row>
    <row r="135" spans="1:64" s="19" customFormat="1" ht="5.0999999999999996" customHeight="1" thickBot="1" x14ac:dyDescent="0.25">
      <c r="M135" s="90"/>
      <c r="O135" s="90"/>
      <c r="P135" s="90"/>
      <c r="Q135" s="91"/>
      <c r="R135" s="91"/>
      <c r="S135" s="91"/>
      <c r="T135" s="91"/>
      <c r="U135" s="5"/>
      <c r="V135" s="5"/>
      <c r="W135" s="5"/>
      <c r="AA135" s="92"/>
      <c r="AB135" s="91"/>
      <c r="AC135" s="91"/>
      <c r="AD135" s="91"/>
      <c r="AE135" s="91"/>
      <c r="AF135" s="91"/>
      <c r="AI135" s="93"/>
      <c r="AJ135" s="94"/>
      <c r="AK135" s="94"/>
    </row>
    <row r="136" spans="1:64" ht="11.45" customHeight="1" thickBot="1" x14ac:dyDescent="0.25">
      <c r="N136" s="11"/>
      <c r="O136" s="21">
        <v>5</v>
      </c>
      <c r="Q136" s="277" t="str">
        <f>"Grupa "&amp;O136&amp;"."</f>
        <v>Grupa 5.</v>
      </c>
      <c r="R136" s="277"/>
      <c r="S136" s="277"/>
      <c r="T136" s="22" t="s">
        <v>1</v>
      </c>
      <c r="U136" s="278" t="s">
        <v>2</v>
      </c>
      <c r="V136" s="279"/>
      <c r="W136" s="280"/>
      <c r="X136" s="22">
        <v>1</v>
      </c>
      <c r="Y136" s="23">
        <v>2</v>
      </c>
      <c r="Z136" s="24">
        <v>3</v>
      </c>
      <c r="AA136" s="25" t="s">
        <v>3</v>
      </c>
      <c r="AB136" s="26" t="s">
        <v>4</v>
      </c>
      <c r="AC136" s="26" t="s">
        <v>5</v>
      </c>
      <c r="AD136" s="27" t="s">
        <v>6</v>
      </c>
      <c r="AE136" s="2"/>
      <c r="AF136" s="12"/>
      <c r="AG136" s="12"/>
      <c r="BK136" s="19"/>
      <c r="BL136" s="20"/>
    </row>
    <row r="137" spans="1:64" ht="11.45" customHeight="1" x14ac:dyDescent="0.2">
      <c r="J137" s="28"/>
      <c r="K137" s="28"/>
      <c r="L137" s="28"/>
      <c r="N137" s="29" t="s">
        <v>35</v>
      </c>
      <c r="Q137" s="274" t="s">
        <v>7</v>
      </c>
      <c r="R137" s="274"/>
      <c r="S137" s="275" t="s">
        <v>8</v>
      </c>
      <c r="T137" s="276">
        <v>1</v>
      </c>
      <c r="U137" s="244" t="str">
        <f>IF(AND(N138&lt;&gt;"",N139&lt;&gt;""),CONCATENATE(VLOOKUP(N138,[2]zawodnicy!$A$1:$E$65536,1,FALSE)," ",VLOOKUP(N138,[2]zawodnicy!$A$1:$E$65536,2,FALSE)," ",VLOOKUP(N138,[2]zawodnicy!$A$1:$E$65536,3,FALSE)," - ",VLOOKUP(N138,[2]zawodnicy!$A$1:$E$65536,4,FALSE)),"")</f>
        <v/>
      </c>
      <c r="V137" s="245"/>
      <c r="W137" s="246"/>
      <c r="X137" s="30"/>
      <c r="Y137" s="31" t="str">
        <f>IF(SUM(AO142:AP142)=0,"",AO142&amp;":"&amp;AP142)</f>
        <v>21:13</v>
      </c>
      <c r="Z137" s="32" t="str">
        <f>IF(SUM(AO140:AP140)=0,"",AO140&amp;":"&amp;AP140)</f>
        <v>21:13</v>
      </c>
      <c r="AA137" s="270" t="str">
        <f>IF(SUM(AY140:BB140)=0,"",BE140&amp;":"&amp;BF140)</f>
        <v>84:60</v>
      </c>
      <c r="AB137" s="271" t="str">
        <f>IF(SUM(AY140:BB140)=0,"",BG140&amp;":"&amp;BH140)</f>
        <v>4:0</v>
      </c>
      <c r="AC137" s="271" t="str">
        <f>IF(SUM(AY140:BB140)=0,"",BI140&amp;":"&amp;BJ140)</f>
        <v>2:0</v>
      </c>
      <c r="AD137" s="272">
        <f>IF(SUM(BI140:BI142)&gt;0,BK140,"")</f>
        <v>1</v>
      </c>
      <c r="AE137" s="2"/>
      <c r="AF137" s="12"/>
      <c r="AG137" s="12"/>
      <c r="AH137" s="14"/>
      <c r="AI137" s="273" t="s">
        <v>9</v>
      </c>
      <c r="AJ137" s="273"/>
      <c r="AK137" s="273"/>
      <c r="AL137" s="273"/>
      <c r="AM137" s="273"/>
      <c r="AN137" s="273"/>
      <c r="AO137" s="273" t="s">
        <v>10</v>
      </c>
      <c r="AP137" s="273"/>
      <c r="AQ137" s="273"/>
      <c r="AR137" s="273"/>
      <c r="AS137" s="273"/>
      <c r="AT137" s="273"/>
      <c r="BK137" s="19"/>
      <c r="BL137" s="20"/>
    </row>
    <row r="138" spans="1:64" ht="11.45" customHeight="1" thickBot="1" x14ac:dyDescent="0.25">
      <c r="I138" s="2" t="str">
        <f>"1"&amp;O136&amp;N137</f>
        <v>15pojedyncza mężczyzn J</v>
      </c>
      <c r="J138" s="10" t="str">
        <f>IF(AD137="","",IF(AD137=1,N138,IF(AD140=1,N141,IF(AD143=1,N144,""))))</f>
        <v>S2973</v>
      </c>
      <c r="K138" s="10">
        <f>IF(AD137="","",IF(AD137=1,N139,IF(AD140=1,N142,IF(AD143=1,N145,""))))</f>
        <v>0</v>
      </c>
      <c r="L138" s="10"/>
      <c r="N138" s="33" t="s">
        <v>48</v>
      </c>
      <c r="O138" s="34">
        <f>IF(O136&gt;0,(O136&amp;1)*1,"")</f>
        <v>51</v>
      </c>
      <c r="Q138" s="274"/>
      <c r="R138" s="274"/>
      <c r="S138" s="275"/>
      <c r="T138" s="242"/>
      <c r="U138" s="244" t="str">
        <f>IF(AND(N138&lt;&gt;"",N139=""),CONCATENATE(VLOOKUP(N138,[2]zawodnicy!$A$1:$E$65536,1,FALSE)," ",VLOOKUP(N138,[2]zawodnicy!$A$1:$E$65536,2,FALSE)," ",VLOOKUP(N138,[2]zawodnicy!$A$1:$E$65536,3,FALSE)," - ",VLOOKUP(N138,[2]zawodnicy!$A$1:$E$65536,4,FALSE)),"")</f>
        <v>S2973 Tomasz SAGUN - UKS Hubal Białystok</v>
      </c>
      <c r="V138" s="245"/>
      <c r="W138" s="246"/>
      <c r="X138" s="35"/>
      <c r="Y138" s="36" t="str">
        <f>IF(SUM(AQ142:AR142)=0,"",AQ142&amp;":"&amp;AR142)</f>
        <v>21:18</v>
      </c>
      <c r="Z138" s="37" t="str">
        <f>IF(SUM(AQ140:AR140)=0,"",AQ140&amp;":"&amp;AR140)</f>
        <v>21:16</v>
      </c>
      <c r="AA138" s="248"/>
      <c r="AB138" s="251"/>
      <c r="AC138" s="251"/>
      <c r="AD138" s="254"/>
      <c r="AE138" s="2"/>
      <c r="AF138" s="12"/>
      <c r="AG138" s="12"/>
      <c r="AH138" s="14"/>
      <c r="BE138" s="19">
        <f>SUM(BE140:BE142)</f>
        <v>216</v>
      </c>
      <c r="BF138" s="19">
        <f>SUM(BF140:BF142)</f>
        <v>216</v>
      </c>
      <c r="BG138" s="19">
        <f>SUM(BG140:BG142)</f>
        <v>6</v>
      </c>
      <c r="BH138" s="19">
        <f>SUM(BH140:BH142)</f>
        <v>6</v>
      </c>
      <c r="BK138" s="19"/>
      <c r="BL138" s="20"/>
    </row>
    <row r="139" spans="1:64" ht="11.45" customHeight="1" thickBot="1" x14ac:dyDescent="0.25">
      <c r="J139" s="10"/>
      <c r="K139" s="28"/>
      <c r="L139" s="28"/>
      <c r="N139" s="38"/>
      <c r="O139" s="28"/>
      <c r="P139" s="28"/>
      <c r="Q139" s="274"/>
      <c r="R139" s="274"/>
      <c r="S139" s="275"/>
      <c r="T139" s="261"/>
      <c r="U139" s="265" t="str">
        <f>IF(N139&lt;&gt;"",CONCATENATE(VLOOKUP(N139,[2]zawodnicy!$A$1:$E$65536,1,FALSE)," ",VLOOKUP(N139,[2]zawodnicy!$A$1:$E$65536,2,FALSE)," ",VLOOKUP(N139,[2]zawodnicy!$A$1:$E$65536,3,FALSE)," - ",VLOOKUP(N139,[2]zawodnicy!$A$1:$E$65536,4,FALSE)),"")</f>
        <v/>
      </c>
      <c r="V139" s="266"/>
      <c r="W139" s="267"/>
      <c r="X139" s="35"/>
      <c r="Y139" s="39" t="str">
        <f>IF(SUM(AS142:AT142)=0,"",AS142&amp;":"&amp;AT142)</f>
        <v/>
      </c>
      <c r="Z139" s="40" t="str">
        <f>IF(SUM(AS140:AT140)=0,"",AS140&amp;":"&amp;AT140)</f>
        <v/>
      </c>
      <c r="AA139" s="262"/>
      <c r="AB139" s="263"/>
      <c r="AC139" s="263"/>
      <c r="AD139" s="264"/>
      <c r="AE139" s="2"/>
      <c r="AF139" s="12"/>
      <c r="AG139" s="12"/>
      <c r="AH139" s="14"/>
      <c r="AI139" s="259" t="s">
        <v>12</v>
      </c>
      <c r="AJ139" s="269"/>
      <c r="AK139" s="268" t="s">
        <v>13</v>
      </c>
      <c r="AL139" s="269"/>
      <c r="AM139" s="268" t="s">
        <v>14</v>
      </c>
      <c r="AN139" s="260"/>
      <c r="AO139" s="259" t="s">
        <v>12</v>
      </c>
      <c r="AP139" s="269"/>
      <c r="AQ139" s="268" t="s">
        <v>13</v>
      </c>
      <c r="AR139" s="269"/>
      <c r="AS139" s="268" t="s">
        <v>14</v>
      </c>
      <c r="AT139" s="269"/>
      <c r="AU139" s="12"/>
      <c r="AV139" s="12"/>
      <c r="AW139" s="259">
        <v>1</v>
      </c>
      <c r="AX139" s="269"/>
      <c r="AY139" s="268">
        <v>2</v>
      </c>
      <c r="AZ139" s="269"/>
      <c r="BA139" s="268">
        <v>3</v>
      </c>
      <c r="BB139" s="260"/>
      <c r="BE139" s="259" t="s">
        <v>3</v>
      </c>
      <c r="BF139" s="260"/>
      <c r="BG139" s="259" t="s">
        <v>4</v>
      </c>
      <c r="BH139" s="260"/>
      <c r="BI139" s="259" t="s">
        <v>5</v>
      </c>
      <c r="BJ139" s="260"/>
      <c r="BK139" s="41" t="s">
        <v>6</v>
      </c>
      <c r="BL139" s="20"/>
    </row>
    <row r="140" spans="1:64" ht="11.45" customHeight="1" x14ac:dyDescent="0.2">
      <c r="A140" s="19">
        <f>S140</f>
        <v>64</v>
      </c>
      <c r="B140" s="2" t="str">
        <f>IF(N138="","",N138)</f>
        <v>S2973</v>
      </c>
      <c r="C140" s="2" t="str">
        <f>IF(N139="","",N139)</f>
        <v/>
      </c>
      <c r="D140" s="2" t="str">
        <f>IF(N144="","",N144)</f>
        <v>O3926</v>
      </c>
      <c r="E140" s="2" t="str">
        <f>IF(N145="","",N145)</f>
        <v/>
      </c>
      <c r="I140" s="2" t="str">
        <f>"2"&amp;O136&amp;N137</f>
        <v>25pojedyncza mężczyzn J</v>
      </c>
      <c r="J140" s="10" t="str">
        <f>IF(AD140="","",IF(AD137=2,N138,IF(AD140=2,N141,IF(AD143=2,N144,""))))</f>
        <v>P3934</v>
      </c>
      <c r="K140" s="10">
        <f>IF(AD140="","",IF(AD137=2,N139,IF(AD140=2,N142,IF(AD143=2,N145,""))))</f>
        <v>0</v>
      </c>
      <c r="M140" s="42" t="str">
        <f>N137</f>
        <v>pojedyncza mężczyzn J</v>
      </c>
      <c r="O140" s="28"/>
      <c r="P140" s="28"/>
      <c r="Q140" s="43" t="str">
        <f>IF(AU140&gt;0,"",IF(A140=0,"",IF(VLOOKUP(A140,'[2]plan gier'!A$1:S$65536,19,FALSE)="","",VLOOKUP(A140,'[2]plan gier'!A$1:S$65536,19,FALSE))))</f>
        <v/>
      </c>
      <c r="R140" s="44" t="s">
        <v>15</v>
      </c>
      <c r="S140" s="45">
        <v>64</v>
      </c>
      <c r="T140" s="241">
        <v>2</v>
      </c>
      <c r="U140" s="244" t="str">
        <f>IF(AND(N141&lt;&gt;"",N142&lt;&gt;""),CONCATENATE(VLOOKUP(N141,[2]zawodnicy!$A$1:$E$65536,1,FALSE)," ",VLOOKUP(N141,[2]zawodnicy!$A$1:$E$65536,2,FALSE)," ",VLOOKUP(N141,[2]zawodnicy!$A$1:$E$65536,3,FALSE)," - ",VLOOKUP(N141,[2]zawodnicy!$A$1:$E$65536,4,FALSE)),"")</f>
        <v/>
      </c>
      <c r="V140" s="245"/>
      <c r="W140" s="246"/>
      <c r="X140" s="46" t="str">
        <f>IF(SUM(AO142:AP142)=0,"",AP142&amp;":"&amp;AO142)</f>
        <v>13:21</v>
      </c>
      <c r="Y140" s="47"/>
      <c r="Z140" s="48" t="str">
        <f>IF(SUM(AO141:AP141)=0,"",AO141&amp;":"&amp;AP141)</f>
        <v>21:15</v>
      </c>
      <c r="AA140" s="247" t="str">
        <f>IF(SUM(AW141:AX141,BA141:BB141)=0,"",BE141&amp;":"&amp;BF141)</f>
        <v>73:72</v>
      </c>
      <c r="AB140" s="250" t="str">
        <f>IF(SUM(AW141:AX141,BA141:BB141)=0,"",BG141&amp;":"&amp;BH141)</f>
        <v>2:2</v>
      </c>
      <c r="AC140" s="250" t="str">
        <f>IF(SUM(AW141:AX141,BA141:BB141)=0,"",BI141&amp;":"&amp;BJ141)</f>
        <v>1:1</v>
      </c>
      <c r="AD140" s="253">
        <f>IF(SUM(BI140:BI142)&gt;0,BK141,"")</f>
        <v>2</v>
      </c>
      <c r="AE140" s="2"/>
      <c r="AF140" s="12"/>
      <c r="AG140" s="12"/>
      <c r="AH140" s="44" t="s">
        <v>15</v>
      </c>
      <c r="AI140" s="49">
        <f>IF(ISBLANK(S140),"",VLOOKUP(S140,'[2]plan gier'!$X$1:$AN$65536,12,FALSE))</f>
        <v>21</v>
      </c>
      <c r="AJ140" s="50">
        <f>IF(ISBLANK(S140),"",VLOOKUP(S140,'[2]plan gier'!$X$1:$AN$65536,13,FALSE))</f>
        <v>13</v>
      </c>
      <c r="AK140" s="50">
        <f>IF(ISBLANK(S140),"",VLOOKUP(S140,'[2]plan gier'!$X$1:$AN$65536,14,FALSE))</f>
        <v>21</v>
      </c>
      <c r="AL140" s="50">
        <f>IF(ISBLANK(S140),"",VLOOKUP(S140,'[2]plan gier'!$X$1:$AN$65536,15,FALSE))</f>
        <v>16</v>
      </c>
      <c r="AM140" s="50">
        <f>IF(ISBLANK(S140),"",VLOOKUP(S140,'[2]plan gier'!$X$1:$AN$65536,16,FALSE))</f>
        <v>0</v>
      </c>
      <c r="AN140" s="50">
        <f>IF(ISBLANK(S140),"",VLOOKUP(S140,'[2]plan gier'!$X$1:$AN$65536,17,FALSE))</f>
        <v>0</v>
      </c>
      <c r="AO140" s="51">
        <f t="shared" ref="AO140:AT142" si="10">IF(AI140="",0,AI140)</f>
        <v>21</v>
      </c>
      <c r="AP140" s="52">
        <f t="shared" si="10"/>
        <v>13</v>
      </c>
      <c r="AQ140" s="53">
        <f t="shared" si="10"/>
        <v>21</v>
      </c>
      <c r="AR140" s="52">
        <f t="shared" si="10"/>
        <v>16</v>
      </c>
      <c r="AS140" s="53">
        <f t="shared" si="10"/>
        <v>0</v>
      </c>
      <c r="AT140" s="52">
        <f t="shared" si="10"/>
        <v>0</v>
      </c>
      <c r="AU140" s="54">
        <f>SUM(AO140:AT140)</f>
        <v>71</v>
      </c>
      <c r="AV140" s="13">
        <v>1</v>
      </c>
      <c r="AW140" s="55"/>
      <c r="AX140" s="56"/>
      <c r="AY140" s="50">
        <f>IF(AI142&gt;AJ142,1,0)+IF(AK142&gt;AL142,1,0)+IF(AM142&gt;AN142,1,0)</f>
        <v>2</v>
      </c>
      <c r="AZ140" s="50">
        <f>AW141</f>
        <v>0</v>
      </c>
      <c r="BA140" s="50">
        <f>IF(AI140&gt;AJ140,1,0)+IF(AK140&gt;AL140,1,0)+IF(AM140&gt;AN140,1,0)</f>
        <v>2</v>
      </c>
      <c r="BB140" s="57">
        <f>AW142</f>
        <v>0</v>
      </c>
      <c r="BE140" s="49">
        <f>AO140+AQ140+AS140+AO142+AQ142+AS142</f>
        <v>84</v>
      </c>
      <c r="BF140" s="57">
        <f>AP140+AR140+AT140+AP142+AR142+AT142</f>
        <v>60</v>
      </c>
      <c r="BG140" s="49">
        <f>AY140+BA140</f>
        <v>4</v>
      </c>
      <c r="BH140" s="57">
        <f>AZ140+BB140</f>
        <v>0</v>
      </c>
      <c r="BI140" s="49">
        <f>IF(AY140&gt;AZ140,1,0)+IF(BA140&gt;BB140,1,0)</f>
        <v>2</v>
      </c>
      <c r="BJ140" s="58">
        <f>IF(AZ140&gt;AY140,1,0)+IF(BB140&gt;BA140,1,0)</f>
        <v>0</v>
      </c>
      <c r="BK140" s="59">
        <f>IF(BI140+BJ140=0,"",IF(BL140=MAX(BL140:BL142),1,IF(BL140=MIN(BL140:BL142),3,2)))</f>
        <v>1</v>
      </c>
      <c r="BL140" s="60">
        <f>IF(BI140+BJ140&lt;&gt;0,BI140+1+(BG140-BH140)/100+(BE140-BF140)/100000+(BE140/BF140)/1000000,0)</f>
        <v>3.0402413999999998</v>
      </c>
    </row>
    <row r="141" spans="1:64" ht="11.45" customHeight="1" x14ac:dyDescent="0.2">
      <c r="A141" s="19">
        <f>S141</f>
        <v>129</v>
      </c>
      <c r="B141" s="2" t="str">
        <f>IF(N141="","",N141)</f>
        <v>P3934</v>
      </c>
      <c r="C141" s="2" t="str">
        <f>IF(N142="","",N142)</f>
        <v/>
      </c>
      <c r="D141" s="2" t="str">
        <f>IF(N144="","",N144)</f>
        <v>O3926</v>
      </c>
      <c r="E141" s="2" t="str">
        <f>IF(N145="","",N145)</f>
        <v/>
      </c>
      <c r="J141" s="10"/>
      <c r="K141" s="19"/>
      <c r="M141" s="42" t="str">
        <f>N137</f>
        <v>pojedyncza mężczyzn J</v>
      </c>
      <c r="N141" s="33" t="s">
        <v>49</v>
      </c>
      <c r="O141" s="34">
        <f>IF(O136&gt;0,(O136&amp;2)*1,"")</f>
        <v>52</v>
      </c>
      <c r="Q141" s="43" t="str">
        <f>IF(AU141&gt;0,"",IF(A141=0,"",IF(VLOOKUP(A141,'[2]plan gier'!A$1:S$65536,19,FALSE)="","",VLOOKUP(A141,'[2]plan gier'!A$1:S$65536,19,FALSE))))</f>
        <v/>
      </c>
      <c r="R141" s="44" t="s">
        <v>17</v>
      </c>
      <c r="S141" s="45">
        <v>129</v>
      </c>
      <c r="T141" s="242"/>
      <c r="U141" s="244" t="str">
        <f>IF(AND(N141&lt;&gt;"",N142=""),CONCATENATE(VLOOKUP(N141,[2]zawodnicy!$A$1:$E$65536,1,FALSE)," ",VLOOKUP(N141,[2]zawodnicy!$A$1:$E$65536,2,FALSE)," ",VLOOKUP(N141,[2]zawodnicy!$A$1:$E$65536,3,FALSE)," - ",VLOOKUP(N141,[2]zawodnicy!$A$1:$E$65536,4,FALSE)),"")</f>
        <v>P3934 Patryk PŁAZA - UKS Smecz Bogatynia</v>
      </c>
      <c r="V141" s="245"/>
      <c r="W141" s="246"/>
      <c r="X141" s="61" t="str">
        <f>IF(SUM(AQ142:AR142)=0,"",AR142&amp;":"&amp;AQ142)</f>
        <v>18:21</v>
      </c>
      <c r="Y141" s="62"/>
      <c r="Z141" s="37" t="str">
        <f>IF(SUM(AQ141:AR141)=0,"",AQ141&amp;":"&amp;AR141)</f>
        <v>21:15</v>
      </c>
      <c r="AA141" s="248"/>
      <c r="AB141" s="251"/>
      <c r="AC141" s="251"/>
      <c r="AD141" s="254"/>
      <c r="AE141" s="2"/>
      <c r="AF141" s="12"/>
      <c r="AG141" s="12"/>
      <c r="AH141" s="44" t="s">
        <v>17</v>
      </c>
      <c r="AI141" s="63">
        <f>IF(ISBLANK(S141),"",VLOOKUP(S141,'[2]plan gier'!$X$1:$AN$65536,12,FALSE))</f>
        <v>21</v>
      </c>
      <c r="AJ141" s="64">
        <f>IF(ISBLANK(S141),"",VLOOKUP(S141,'[2]plan gier'!$X$1:$AN$65536,13,FALSE))</f>
        <v>15</v>
      </c>
      <c r="AK141" s="64">
        <f>IF(ISBLANK(S141),"",VLOOKUP(S141,'[2]plan gier'!$X$1:$AN$65536,14,FALSE))</f>
        <v>21</v>
      </c>
      <c r="AL141" s="64">
        <f>IF(ISBLANK(S141),"",VLOOKUP(S141,'[2]plan gier'!$X$1:$AN$65536,15,FALSE))</f>
        <v>15</v>
      </c>
      <c r="AM141" s="64">
        <f>IF(ISBLANK(S141),"",VLOOKUP(S141,'[2]plan gier'!$X$1:$AN$65536,16,FALSE))</f>
        <v>0</v>
      </c>
      <c r="AN141" s="64">
        <f>IF(ISBLANK(S141),"",VLOOKUP(S141,'[2]plan gier'!$X$1:$AN$65536,17,FALSE))</f>
        <v>0</v>
      </c>
      <c r="AO141" s="65">
        <f t="shared" si="10"/>
        <v>21</v>
      </c>
      <c r="AP141" s="64">
        <f t="shared" si="10"/>
        <v>15</v>
      </c>
      <c r="AQ141" s="66">
        <f t="shared" si="10"/>
        <v>21</v>
      </c>
      <c r="AR141" s="64">
        <f t="shared" si="10"/>
        <v>15</v>
      </c>
      <c r="AS141" s="66">
        <f t="shared" si="10"/>
        <v>0</v>
      </c>
      <c r="AT141" s="64">
        <f t="shared" si="10"/>
        <v>0</v>
      </c>
      <c r="AU141" s="54">
        <f>SUM(AO141:AT141)</f>
        <v>72</v>
      </c>
      <c r="AV141" s="13">
        <v>2</v>
      </c>
      <c r="AW141" s="63">
        <f>IF(AI142&lt;AJ142,1,0)+IF(AK142&lt;AL142,1,0)+IF(AM142&lt;AN142,1,0)</f>
        <v>0</v>
      </c>
      <c r="AX141" s="64">
        <f>AY140</f>
        <v>2</v>
      </c>
      <c r="AY141" s="67"/>
      <c r="AZ141" s="68"/>
      <c r="BA141" s="64">
        <f>IF(AI141&gt;AJ141,1,0)+IF(AK141&gt;AL141,1,0)+IF(AM141&gt;AN141,1,0)</f>
        <v>2</v>
      </c>
      <c r="BB141" s="69">
        <f>AY142</f>
        <v>0</v>
      </c>
      <c r="BE141" s="63">
        <f>AO141+AQ141+AS141+AP142+AR142+AT142</f>
        <v>73</v>
      </c>
      <c r="BF141" s="69">
        <f>AP141+AR141+AT141+AO142+AQ142+AS142</f>
        <v>72</v>
      </c>
      <c r="BG141" s="63">
        <f>AW141+BA141</f>
        <v>2</v>
      </c>
      <c r="BH141" s="69">
        <f>AX141+BB141</f>
        <v>2</v>
      </c>
      <c r="BI141" s="63">
        <f>IF(AW141&gt;AX141,1,0)+IF(BA141&gt;BB141,1,0)</f>
        <v>1</v>
      </c>
      <c r="BJ141" s="70">
        <f>IF(AX141&gt;AW141,1,0)+IF(BB141&gt;BA141,1,0)</f>
        <v>1</v>
      </c>
      <c r="BK141" s="71">
        <f>IF(BI141+BJ141=0,"",IF(BL141=MAX(BL140:BL142),1,IF(BL141=MIN(BL140:BL142),3,2)))</f>
        <v>2</v>
      </c>
      <c r="BL141" s="60">
        <f>IF(BI141+BJ141&lt;&gt;0,BI141+1+(BG141-BH141)/100+(BE141-BF141)/100000+(BE141/BF141)/1000000,0)</f>
        <v>2.0000110138888889</v>
      </c>
    </row>
    <row r="142" spans="1:64" ht="11.45" customHeight="1" thickBot="1" x14ac:dyDescent="0.25">
      <c r="A142" s="19">
        <f>S142</f>
        <v>194</v>
      </c>
      <c r="B142" s="2" t="str">
        <f>IF(N138="","",N138)</f>
        <v>S2973</v>
      </c>
      <c r="C142" s="2" t="str">
        <f>IF(N139="","",N139)</f>
        <v/>
      </c>
      <c r="D142" s="2" t="str">
        <f>IF(N141="","",N141)</f>
        <v>P3934</v>
      </c>
      <c r="E142" s="2" t="str">
        <f>IF(N142="","",N142)</f>
        <v/>
      </c>
      <c r="I142" s="2" t="str">
        <f>"3"&amp;O136&amp;N137</f>
        <v>35pojedyncza mężczyzn J</v>
      </c>
      <c r="J142" s="10" t="str">
        <f>IF(AD143="","",IF(AD137=3,N138,IF(AD140=3,N141,IF(AD143=3,N144,""))))</f>
        <v>O3926</v>
      </c>
      <c r="K142" s="10">
        <f>IF(AD143="","",IF(AD137=3,N139,IF(AD140=3,N142,IF(AD143=3,N145,""))))</f>
        <v>0</v>
      </c>
      <c r="M142" s="42" t="str">
        <f>N137</f>
        <v>pojedyncza mężczyzn J</v>
      </c>
      <c r="N142" s="38"/>
      <c r="O142" s="28"/>
      <c r="P142" s="28"/>
      <c r="Q142" s="43" t="str">
        <f>IF(AU142&gt;0,"",IF(A142=0,"",IF(VLOOKUP(A142,'[2]plan gier'!A$1:S$65536,19,FALSE)="","",VLOOKUP(A142,'[2]plan gier'!A$1:S$65536,19,FALSE))))</f>
        <v/>
      </c>
      <c r="R142" s="72" t="s">
        <v>18</v>
      </c>
      <c r="S142" s="45">
        <v>194</v>
      </c>
      <c r="T142" s="261"/>
      <c r="U142" s="265" t="str">
        <f>IF(N142&lt;&gt;"",CONCATENATE(VLOOKUP(N142,[2]zawodnicy!$A$1:$E$65536,1,FALSE)," ",VLOOKUP(N142,[2]zawodnicy!$A$1:$E$65536,2,FALSE)," ",VLOOKUP(N142,[2]zawodnicy!$A$1:$E$65536,3,FALSE)," - ",VLOOKUP(N142,[2]zawodnicy!$A$1:$E$65536,4,FALSE)),"")</f>
        <v/>
      </c>
      <c r="V142" s="266"/>
      <c r="W142" s="267"/>
      <c r="X142" s="73" t="str">
        <f>IF(SUM(AS142:AT142)=0,"",AT142&amp;":"&amp;AS142)</f>
        <v/>
      </c>
      <c r="Y142" s="62"/>
      <c r="Z142" s="40" t="str">
        <f>IF(SUM(AS141:AT141)=0,"",AS141&amp;":"&amp;AT141)</f>
        <v/>
      </c>
      <c r="AA142" s="262"/>
      <c r="AB142" s="263"/>
      <c r="AC142" s="263"/>
      <c r="AD142" s="264"/>
      <c r="AE142" s="2"/>
      <c r="AF142" s="12"/>
      <c r="AG142" s="12"/>
      <c r="AH142" s="72" t="s">
        <v>18</v>
      </c>
      <c r="AI142" s="74">
        <f>IF(ISBLANK(S142),"",VLOOKUP(S142,'[2]plan gier'!$X$1:$AN$65536,12,FALSE))</f>
        <v>21</v>
      </c>
      <c r="AJ142" s="75">
        <f>IF(ISBLANK(S142),"",VLOOKUP(S142,'[2]plan gier'!$X$1:$AN$65536,13,FALSE))</f>
        <v>13</v>
      </c>
      <c r="AK142" s="75">
        <f>IF(ISBLANK(S142),"",VLOOKUP(S142,'[2]plan gier'!$X$1:$AN$65536,14,FALSE))</f>
        <v>21</v>
      </c>
      <c r="AL142" s="75">
        <f>IF(ISBLANK(S142),"",VLOOKUP(S142,'[2]plan gier'!$X$1:$AN$65536,15,FALSE))</f>
        <v>18</v>
      </c>
      <c r="AM142" s="75">
        <f>IF(ISBLANK(S142),"",VLOOKUP(S142,'[2]plan gier'!$X$1:$AN$65536,16,FALSE))</f>
        <v>0</v>
      </c>
      <c r="AN142" s="75">
        <f>IF(ISBLANK(S142),"",VLOOKUP(S142,'[2]plan gier'!$X$1:$AN$65536,17,FALSE))</f>
        <v>0</v>
      </c>
      <c r="AO142" s="76">
        <f t="shared" si="10"/>
        <v>21</v>
      </c>
      <c r="AP142" s="75">
        <f t="shared" si="10"/>
        <v>13</v>
      </c>
      <c r="AQ142" s="77">
        <f t="shared" si="10"/>
        <v>21</v>
      </c>
      <c r="AR142" s="75">
        <f t="shared" si="10"/>
        <v>18</v>
      </c>
      <c r="AS142" s="77">
        <f t="shared" si="10"/>
        <v>0</v>
      </c>
      <c r="AT142" s="75">
        <f t="shared" si="10"/>
        <v>0</v>
      </c>
      <c r="AU142" s="54">
        <f>SUM(AO142:AT142)</f>
        <v>73</v>
      </c>
      <c r="AV142" s="13">
        <v>3</v>
      </c>
      <c r="AW142" s="74">
        <f>IF(AI140&lt;AJ140,1,0)+IF(AK140&lt;AL140,1,0)+IF(AM140&lt;AN140,1,0)</f>
        <v>0</v>
      </c>
      <c r="AX142" s="75">
        <f>BA140</f>
        <v>2</v>
      </c>
      <c r="AY142" s="75">
        <f>IF(AI141&lt;AJ141,1,0)+IF(AK141&lt;AL141,1,0)+IF(AM141&lt;AN141,1,0)</f>
        <v>0</v>
      </c>
      <c r="AZ142" s="75">
        <f>BA141</f>
        <v>2</v>
      </c>
      <c r="BA142" s="78"/>
      <c r="BB142" s="79"/>
      <c r="BE142" s="74">
        <f>AP140+AR140+AT140+AP141+AR141+AT141</f>
        <v>59</v>
      </c>
      <c r="BF142" s="80">
        <f>AO140+AQ140+AS140+AO141+AQ141+AS141</f>
        <v>84</v>
      </c>
      <c r="BG142" s="74">
        <f>AW142+AY142</f>
        <v>0</v>
      </c>
      <c r="BH142" s="80">
        <f>AX142+AZ142</f>
        <v>4</v>
      </c>
      <c r="BI142" s="74">
        <f>IF(AW142&gt;AX142,1,0)+IF(AY142&gt;AZ142,1,0)</f>
        <v>0</v>
      </c>
      <c r="BJ142" s="81">
        <f>IF(AX142&gt;AW142,1,0)+IF(AZ142&gt;AY142,1,0)</f>
        <v>2</v>
      </c>
      <c r="BK142" s="82">
        <f>IF(BI142+BJ142=0,"",IF(BL142=MAX(BL140:BL142),1,IF(BL142=MIN(BL140:BL142),3,2)))</f>
        <v>3</v>
      </c>
      <c r="BL142" s="60">
        <f>IF(BI142+BJ142&lt;&gt;0,BI142+1+(BG142-BH142)/100+(BE142-BF142)/100000+(BE142/BF142)/1000000,0)</f>
        <v>0.95975070238095239</v>
      </c>
    </row>
    <row r="143" spans="1:64" ht="11.45" customHeight="1" x14ac:dyDescent="0.2">
      <c r="A143" s="2"/>
      <c r="J143" s="28"/>
      <c r="K143" s="28"/>
      <c r="L143" s="28"/>
      <c r="O143" s="28"/>
      <c r="P143" s="28"/>
      <c r="Q143" s="2"/>
      <c r="R143" s="2"/>
      <c r="S143" s="2"/>
      <c r="T143" s="241">
        <v>3</v>
      </c>
      <c r="U143" s="244" t="str">
        <f>IF(AND(N144&lt;&gt;"",N145&lt;&gt;""),CONCATENATE(VLOOKUP(N144,[2]zawodnicy!$A$1:$E$65536,1,FALSE)," ",VLOOKUP(N144,[2]zawodnicy!$A$1:$E$65536,2,FALSE)," ",VLOOKUP(N144,[2]zawodnicy!$A$1:$E$65536,3,FALSE)," - ",VLOOKUP(N144,[2]zawodnicy!$A$1:$E$65536,4,FALSE)),"")</f>
        <v/>
      </c>
      <c r="V143" s="245"/>
      <c r="W143" s="246"/>
      <c r="X143" s="46" t="str">
        <f>IF(SUM(AO140:AP140)=0,"",AP140&amp;":"&amp;AO140)</f>
        <v>13:21</v>
      </c>
      <c r="Y143" s="83" t="str">
        <f>IF(SUM(AO141:AP141)=0,"",AP141&amp;":"&amp;AO141)</f>
        <v>15:21</v>
      </c>
      <c r="Z143" s="84"/>
      <c r="AA143" s="247" t="str">
        <f>IF(SUM(AW142:AZ142)=0,"",BE142&amp;":"&amp;BF142)</f>
        <v>59:84</v>
      </c>
      <c r="AB143" s="250" t="str">
        <f>IF(SUM(AW142:AZ142)=0,"",BG142&amp;":"&amp;BH142)</f>
        <v>0:4</v>
      </c>
      <c r="AC143" s="250" t="str">
        <f>IF(SUM(AW142:AZ142)=0,"",BI142&amp;":"&amp;BJ142)</f>
        <v>0:2</v>
      </c>
      <c r="AD143" s="253">
        <f>IF(SUM(BI140:BI142)&gt;0,BK142,"")</f>
        <v>3</v>
      </c>
      <c r="AE143" s="2"/>
      <c r="AF143" s="12"/>
      <c r="AG143" s="12"/>
      <c r="BE143" s="19">
        <f>SUM(BE140:BE142)</f>
        <v>216</v>
      </c>
      <c r="BF143" s="19">
        <f>SUM(BF140:BF142)</f>
        <v>216</v>
      </c>
      <c r="BG143" s="19">
        <f>SUM(BG140:BG142)</f>
        <v>6</v>
      </c>
      <c r="BH143" s="19">
        <f>SUM(BH140:BH142)</f>
        <v>6</v>
      </c>
      <c r="BK143" s="19"/>
      <c r="BL143" s="20"/>
    </row>
    <row r="144" spans="1:64" ht="11.45" customHeight="1" x14ac:dyDescent="0.2">
      <c r="A144" s="19"/>
      <c r="J144" s="19"/>
      <c r="K144" s="19"/>
      <c r="L144" s="19"/>
      <c r="N144" s="33" t="s">
        <v>50</v>
      </c>
      <c r="O144" s="34">
        <f>IF(O136&gt;0,(O136&amp;3)*1,"")</f>
        <v>53</v>
      </c>
      <c r="Q144" s="85"/>
      <c r="R144" s="85"/>
      <c r="S144" s="85"/>
      <c r="T144" s="242"/>
      <c r="U144" s="244" t="str">
        <f>IF(AND(N144&lt;&gt;"",N145=""),CONCATENATE(VLOOKUP(N144,[2]zawodnicy!$A$1:$E$65536,1,FALSE)," ",VLOOKUP(N144,[2]zawodnicy!$A$1:$E$65536,2,FALSE)," ",VLOOKUP(N144,[2]zawodnicy!$A$1:$E$65536,3,FALSE)," - ",VLOOKUP(N144,[2]zawodnicy!$A$1:$E$65536,4,FALSE)),"")</f>
        <v>O3926 Sebastian OBRYCKI - LKS Technik Głubczyce</v>
      </c>
      <c r="V144" s="245"/>
      <c r="W144" s="246"/>
      <c r="X144" s="61" t="str">
        <f>IF(SUM(AQ140:AR140)=0,"",AR140&amp;":"&amp;AQ140)</f>
        <v>16:21</v>
      </c>
      <c r="Y144" s="36" t="str">
        <f>IF(SUM(AQ141:AR141)=0,"",AR141&amp;":"&amp;AQ141)</f>
        <v>15:21</v>
      </c>
      <c r="Z144" s="86"/>
      <c r="AA144" s="248"/>
      <c r="AB144" s="251"/>
      <c r="AC144" s="251"/>
      <c r="AD144" s="254"/>
      <c r="AE144" s="2"/>
      <c r="AF144" s="12"/>
      <c r="AG144" s="1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row>
    <row r="145" spans="1:64" ht="11.45" customHeight="1" thickBot="1" x14ac:dyDescent="0.25">
      <c r="A145" s="2"/>
      <c r="J145" s="28"/>
      <c r="K145" s="28"/>
      <c r="L145" s="28"/>
      <c r="N145" s="38"/>
      <c r="O145" s="28"/>
      <c r="P145" s="28"/>
      <c r="Q145" s="2"/>
      <c r="R145" s="2"/>
      <c r="S145" s="2"/>
      <c r="T145" s="243"/>
      <c r="U145" s="256" t="str">
        <f>IF(N145&lt;&gt;"",CONCATENATE(VLOOKUP(N145,[2]zawodnicy!$A$1:$E$65536,1,FALSE)," ",VLOOKUP(N145,[2]zawodnicy!$A$1:$E$65536,2,FALSE)," ",VLOOKUP(N145,[2]zawodnicy!$A$1:$E$65536,3,FALSE)," - ",VLOOKUP(N145,[2]zawodnicy!$A$1:$E$65536,4,FALSE)),"")</f>
        <v/>
      </c>
      <c r="V145" s="257"/>
      <c r="W145" s="258"/>
      <c r="X145" s="87" t="str">
        <f>IF(SUM(AS140:AT140)=0,"",AT140&amp;":"&amp;AS140)</f>
        <v/>
      </c>
      <c r="Y145" s="88" t="str">
        <f>IF(SUM(AS141:AT141)=0,"",AT141&amp;":"&amp;AS141)</f>
        <v/>
      </c>
      <c r="Z145" s="89"/>
      <c r="AA145" s="249"/>
      <c r="AB145" s="252"/>
      <c r="AC145" s="252"/>
      <c r="AD145" s="255"/>
      <c r="AE145" s="10"/>
      <c r="AF145" s="12"/>
      <c r="AG145" s="1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row>
    <row r="146" spans="1:64" s="19" customFormat="1" ht="5.0999999999999996" customHeight="1" thickBot="1" x14ac:dyDescent="0.25">
      <c r="M146" s="90"/>
      <c r="O146" s="90"/>
      <c r="P146" s="90"/>
      <c r="Q146" s="91"/>
      <c r="R146" s="91"/>
      <c r="S146" s="91"/>
      <c r="T146" s="91"/>
      <c r="U146" s="5"/>
      <c r="V146" s="5"/>
      <c r="W146" s="5"/>
      <c r="AA146" s="92"/>
      <c r="AB146" s="91"/>
      <c r="AC146" s="91"/>
      <c r="AD146" s="91"/>
      <c r="AE146" s="91"/>
      <c r="AF146" s="91"/>
      <c r="AI146" s="93"/>
      <c r="AJ146" s="94"/>
      <c r="AK146" s="94"/>
    </row>
    <row r="147" spans="1:64" ht="11.45" customHeight="1" thickBot="1" x14ac:dyDescent="0.25">
      <c r="N147" s="11"/>
      <c r="O147" s="21">
        <v>6</v>
      </c>
      <c r="Q147" s="277" t="str">
        <f>"Grupa "&amp;O147&amp;"."</f>
        <v>Grupa 6.</v>
      </c>
      <c r="R147" s="277"/>
      <c r="S147" s="277"/>
      <c r="T147" s="22" t="s">
        <v>1</v>
      </c>
      <c r="U147" s="278" t="s">
        <v>2</v>
      </c>
      <c r="V147" s="279"/>
      <c r="W147" s="280"/>
      <c r="X147" s="22">
        <v>1</v>
      </c>
      <c r="Y147" s="23">
        <v>2</v>
      </c>
      <c r="Z147" s="24">
        <v>3</v>
      </c>
      <c r="AA147" s="25" t="s">
        <v>3</v>
      </c>
      <c r="AB147" s="26" t="s">
        <v>4</v>
      </c>
      <c r="AC147" s="26" t="s">
        <v>5</v>
      </c>
      <c r="AD147" s="27" t="s">
        <v>6</v>
      </c>
      <c r="AE147" s="2"/>
      <c r="AF147" s="12"/>
      <c r="AG147" s="12"/>
      <c r="BK147" s="19"/>
      <c r="BL147" s="20"/>
    </row>
    <row r="148" spans="1:64" ht="11.45" customHeight="1" x14ac:dyDescent="0.2">
      <c r="J148" s="28"/>
      <c r="K148" s="28"/>
      <c r="L148" s="28"/>
      <c r="N148" s="29" t="s">
        <v>35</v>
      </c>
      <c r="Q148" s="274" t="s">
        <v>7</v>
      </c>
      <c r="R148" s="274"/>
      <c r="S148" s="275" t="s">
        <v>8</v>
      </c>
      <c r="T148" s="276">
        <v>1</v>
      </c>
      <c r="U148" s="244" t="str">
        <f>IF(AND(N149&lt;&gt;"",N150&lt;&gt;""),CONCATENATE(VLOOKUP(N149,[2]zawodnicy!$A$1:$E$65536,1,FALSE)," ",VLOOKUP(N149,[2]zawodnicy!$A$1:$E$65536,2,FALSE)," ",VLOOKUP(N149,[2]zawodnicy!$A$1:$E$65536,3,FALSE)," - ",VLOOKUP(N149,[2]zawodnicy!$A$1:$E$65536,4,FALSE)),"")</f>
        <v/>
      </c>
      <c r="V148" s="245"/>
      <c r="W148" s="246"/>
      <c r="X148" s="30"/>
      <c r="Y148" s="31" t="str">
        <f>IF(SUM(AO153:AP153)=0,"",AO153&amp;":"&amp;AP153)</f>
        <v>21:10</v>
      </c>
      <c r="Z148" s="32" t="str">
        <f>IF(SUM(AO151:AP151)=0,"",AO151&amp;":"&amp;AP151)</f>
        <v>21:10</v>
      </c>
      <c r="AA148" s="270" t="str">
        <f>IF(SUM(AY151:BB151)=0,"",BE151&amp;":"&amp;BF151)</f>
        <v>84:48</v>
      </c>
      <c r="AB148" s="271" t="str">
        <f>IF(SUM(AY151:BB151)=0,"",BG151&amp;":"&amp;BH151)</f>
        <v>4:0</v>
      </c>
      <c r="AC148" s="271" t="str">
        <f>IF(SUM(AY151:BB151)=0,"",BI151&amp;":"&amp;BJ151)</f>
        <v>2:0</v>
      </c>
      <c r="AD148" s="272">
        <f>IF(SUM(BI151:BI153)&gt;0,BK151,"")</f>
        <v>1</v>
      </c>
      <c r="AE148" s="2"/>
      <c r="AF148" s="12"/>
      <c r="AG148" s="12"/>
      <c r="AH148" s="14"/>
      <c r="AI148" s="273" t="s">
        <v>9</v>
      </c>
      <c r="AJ148" s="273"/>
      <c r="AK148" s="273"/>
      <c r="AL148" s="273"/>
      <c r="AM148" s="273"/>
      <c r="AN148" s="273"/>
      <c r="AO148" s="273" t="s">
        <v>10</v>
      </c>
      <c r="AP148" s="273"/>
      <c r="AQ148" s="273"/>
      <c r="AR148" s="273"/>
      <c r="AS148" s="273"/>
      <c r="AT148" s="273"/>
      <c r="BK148" s="19"/>
      <c r="BL148" s="20"/>
    </row>
    <row r="149" spans="1:64" ht="11.45" customHeight="1" thickBot="1" x14ac:dyDescent="0.25">
      <c r="I149" s="2" t="str">
        <f>"1"&amp;O147&amp;N148</f>
        <v>16pojedyncza mężczyzn J</v>
      </c>
      <c r="J149" s="10" t="str">
        <f>IF(AD148="","",IF(AD148=1,N149,IF(AD151=1,N152,IF(AD154=1,N155,""))))</f>
        <v>J3112</v>
      </c>
      <c r="K149" s="10">
        <f>IF(AD148="","",IF(AD148=1,N150,IF(AD151=1,N153,IF(AD154=1,N156,""))))</f>
        <v>0</v>
      </c>
      <c r="L149" s="10"/>
      <c r="N149" s="33" t="s">
        <v>51</v>
      </c>
      <c r="O149" s="34">
        <f>IF(O147&gt;0,(O147&amp;1)*1,"")</f>
        <v>61</v>
      </c>
      <c r="Q149" s="274"/>
      <c r="R149" s="274"/>
      <c r="S149" s="275"/>
      <c r="T149" s="242"/>
      <c r="U149" s="244" t="str">
        <f>IF(AND(N149&lt;&gt;"",N150=""),CONCATENATE(VLOOKUP(N149,[2]zawodnicy!$A$1:$E$65536,1,FALSE)," ",VLOOKUP(N149,[2]zawodnicy!$A$1:$E$65536,2,FALSE)," ",VLOOKUP(N149,[2]zawodnicy!$A$1:$E$65536,3,FALSE)," - ",VLOOKUP(N149,[2]zawodnicy!$A$1:$E$65536,4,FALSE)),"")</f>
        <v>J3112 Krzysztof JAKOWCZUK - UKS Hubal Białystok</v>
      </c>
      <c r="V149" s="245"/>
      <c r="W149" s="246"/>
      <c r="X149" s="35"/>
      <c r="Y149" s="36" t="str">
        <f>IF(SUM(AQ153:AR153)=0,"",AQ153&amp;":"&amp;AR153)</f>
        <v>21:13</v>
      </c>
      <c r="Z149" s="37" t="str">
        <f>IF(SUM(AQ151:AR151)=0,"",AQ151&amp;":"&amp;AR151)</f>
        <v>21:15</v>
      </c>
      <c r="AA149" s="248"/>
      <c r="AB149" s="251"/>
      <c r="AC149" s="251"/>
      <c r="AD149" s="254"/>
      <c r="AE149" s="2"/>
      <c r="AF149" s="12"/>
      <c r="AG149" s="12"/>
      <c r="AH149" s="14"/>
      <c r="BE149" s="19">
        <f>SUM(BE151:BE153)</f>
        <v>210</v>
      </c>
      <c r="BF149" s="19">
        <f>SUM(BF151:BF153)</f>
        <v>210</v>
      </c>
      <c r="BG149" s="19">
        <f>SUM(BG151:BG153)</f>
        <v>6</v>
      </c>
      <c r="BH149" s="19">
        <f>SUM(BH151:BH153)</f>
        <v>6</v>
      </c>
      <c r="BK149" s="19"/>
      <c r="BL149" s="20"/>
    </row>
    <row r="150" spans="1:64" ht="11.45" customHeight="1" thickBot="1" x14ac:dyDescent="0.25">
      <c r="J150" s="10"/>
      <c r="K150" s="28"/>
      <c r="L150" s="28"/>
      <c r="N150" s="38"/>
      <c r="O150" s="28"/>
      <c r="P150" s="28"/>
      <c r="Q150" s="274"/>
      <c r="R150" s="274"/>
      <c r="S150" s="275"/>
      <c r="T150" s="261"/>
      <c r="U150" s="265" t="str">
        <f>IF(N150&lt;&gt;"",CONCATENATE(VLOOKUP(N150,[2]zawodnicy!$A$1:$E$65536,1,FALSE)," ",VLOOKUP(N150,[2]zawodnicy!$A$1:$E$65536,2,FALSE)," ",VLOOKUP(N150,[2]zawodnicy!$A$1:$E$65536,3,FALSE)," - ",VLOOKUP(N150,[2]zawodnicy!$A$1:$E$65536,4,FALSE)),"")</f>
        <v/>
      </c>
      <c r="V150" s="266"/>
      <c r="W150" s="267"/>
      <c r="X150" s="35"/>
      <c r="Y150" s="39" t="str">
        <f>IF(SUM(AS153:AT153)=0,"",AS153&amp;":"&amp;AT153)</f>
        <v/>
      </c>
      <c r="Z150" s="40" t="str">
        <f>IF(SUM(AS151:AT151)=0,"",AS151&amp;":"&amp;AT151)</f>
        <v/>
      </c>
      <c r="AA150" s="262"/>
      <c r="AB150" s="263"/>
      <c r="AC150" s="263"/>
      <c r="AD150" s="264"/>
      <c r="AE150" s="2"/>
      <c r="AF150" s="12"/>
      <c r="AG150" s="12"/>
      <c r="AH150" s="14"/>
      <c r="AI150" s="259" t="s">
        <v>12</v>
      </c>
      <c r="AJ150" s="269"/>
      <c r="AK150" s="268" t="s">
        <v>13</v>
      </c>
      <c r="AL150" s="269"/>
      <c r="AM150" s="268" t="s">
        <v>14</v>
      </c>
      <c r="AN150" s="260"/>
      <c r="AO150" s="259" t="s">
        <v>12</v>
      </c>
      <c r="AP150" s="269"/>
      <c r="AQ150" s="268" t="s">
        <v>13</v>
      </c>
      <c r="AR150" s="269"/>
      <c r="AS150" s="268" t="s">
        <v>14</v>
      </c>
      <c r="AT150" s="269"/>
      <c r="AU150" s="12"/>
      <c r="AV150" s="12"/>
      <c r="AW150" s="259">
        <v>1</v>
      </c>
      <c r="AX150" s="269"/>
      <c r="AY150" s="268">
        <v>2</v>
      </c>
      <c r="AZ150" s="269"/>
      <c r="BA150" s="268">
        <v>3</v>
      </c>
      <c r="BB150" s="260"/>
      <c r="BE150" s="259" t="s">
        <v>3</v>
      </c>
      <c r="BF150" s="260"/>
      <c r="BG150" s="259" t="s">
        <v>4</v>
      </c>
      <c r="BH150" s="260"/>
      <c r="BI150" s="259" t="s">
        <v>5</v>
      </c>
      <c r="BJ150" s="260"/>
      <c r="BK150" s="41" t="s">
        <v>6</v>
      </c>
      <c r="BL150" s="20"/>
    </row>
    <row r="151" spans="1:64" ht="11.45" customHeight="1" x14ac:dyDescent="0.2">
      <c r="A151" s="19">
        <f>S151</f>
        <v>65</v>
      </c>
      <c r="B151" s="2" t="str">
        <f>IF(N149="","",N149)</f>
        <v>J3112</v>
      </c>
      <c r="C151" s="2" t="str">
        <f>IF(N150="","",N150)</f>
        <v/>
      </c>
      <c r="D151" s="2" t="str">
        <f>IF(N155="","",N155)</f>
        <v>P3707</v>
      </c>
      <c r="E151" s="2" t="str">
        <f>IF(N156="","",N156)</f>
        <v/>
      </c>
      <c r="I151" s="2" t="str">
        <f>"2"&amp;O147&amp;N148</f>
        <v>26pojedyncza mężczyzn J</v>
      </c>
      <c r="J151" s="10" t="str">
        <f>IF(AD151="","",IF(AD148=2,N149,IF(AD151=2,N152,IF(AD154=2,N155,""))))</f>
        <v>P3707</v>
      </c>
      <c r="K151" s="10">
        <f>IF(AD151="","",IF(AD148=2,N150,IF(AD151=2,N153,IF(AD154=2,N156,""))))</f>
        <v>0</v>
      </c>
      <c r="M151" s="42" t="str">
        <f>N148</f>
        <v>pojedyncza mężczyzn J</v>
      </c>
      <c r="O151" s="28"/>
      <c r="P151" s="28"/>
      <c r="Q151" s="43" t="str">
        <f>IF(AU151&gt;0,"",IF(A151=0,"",IF(VLOOKUP(A151,'[2]plan gier'!A$1:S$65536,19,FALSE)="","",VLOOKUP(A151,'[2]plan gier'!A$1:S$65536,19,FALSE))))</f>
        <v/>
      </c>
      <c r="R151" s="44" t="s">
        <v>15</v>
      </c>
      <c r="S151" s="45">
        <v>65</v>
      </c>
      <c r="T151" s="241">
        <v>2</v>
      </c>
      <c r="U151" s="244" t="str">
        <f>IF(AND(N152&lt;&gt;"",N153&lt;&gt;""),CONCATENATE(VLOOKUP(N152,[2]zawodnicy!$A$1:$E$65536,1,FALSE)," ",VLOOKUP(N152,[2]zawodnicy!$A$1:$E$65536,2,FALSE)," ",VLOOKUP(N152,[2]zawodnicy!$A$1:$E$65536,3,FALSE)," - ",VLOOKUP(N152,[2]zawodnicy!$A$1:$E$65536,4,FALSE)),"")</f>
        <v/>
      </c>
      <c r="V151" s="245"/>
      <c r="W151" s="246"/>
      <c r="X151" s="46" t="str">
        <f>IF(SUM(AO153:AP153)=0,"",AP153&amp;":"&amp;AO153)</f>
        <v>10:21</v>
      </c>
      <c r="Y151" s="47"/>
      <c r="Z151" s="48" t="str">
        <f>IF(SUM(AO152:AP152)=0,"",AO152&amp;":"&amp;AP152)</f>
        <v>18:21</v>
      </c>
      <c r="AA151" s="247" t="str">
        <f>IF(SUM(AW152:AX152,BA152:BB152)=0,"",BE152&amp;":"&amp;BF152)</f>
        <v>59:84</v>
      </c>
      <c r="AB151" s="250" t="str">
        <f>IF(SUM(AW152:AX152,BA152:BB152)=0,"",BG152&amp;":"&amp;BH152)</f>
        <v>0:4</v>
      </c>
      <c r="AC151" s="250" t="str">
        <f>IF(SUM(AW152:AX152,BA152:BB152)=0,"",BI152&amp;":"&amp;BJ152)</f>
        <v>0:2</v>
      </c>
      <c r="AD151" s="253">
        <f>IF(SUM(BI151:BI153)&gt;0,BK152,"")</f>
        <v>3</v>
      </c>
      <c r="AE151" s="2"/>
      <c r="AF151" s="12"/>
      <c r="AG151" s="12"/>
      <c r="AH151" s="44" t="s">
        <v>15</v>
      </c>
      <c r="AI151" s="49">
        <f>IF(ISBLANK(S151),"",VLOOKUP(S151,'[2]plan gier'!$X$1:$AN$65536,12,FALSE))</f>
        <v>21</v>
      </c>
      <c r="AJ151" s="50">
        <f>IF(ISBLANK(S151),"",VLOOKUP(S151,'[2]plan gier'!$X$1:$AN$65536,13,FALSE))</f>
        <v>10</v>
      </c>
      <c r="AK151" s="50">
        <f>IF(ISBLANK(S151),"",VLOOKUP(S151,'[2]plan gier'!$X$1:$AN$65536,14,FALSE))</f>
        <v>21</v>
      </c>
      <c r="AL151" s="50">
        <f>IF(ISBLANK(S151),"",VLOOKUP(S151,'[2]plan gier'!$X$1:$AN$65536,15,FALSE))</f>
        <v>15</v>
      </c>
      <c r="AM151" s="50">
        <f>IF(ISBLANK(S151),"",VLOOKUP(S151,'[2]plan gier'!$X$1:$AN$65536,16,FALSE))</f>
        <v>0</v>
      </c>
      <c r="AN151" s="50">
        <f>IF(ISBLANK(S151),"",VLOOKUP(S151,'[2]plan gier'!$X$1:$AN$65536,17,FALSE))</f>
        <v>0</v>
      </c>
      <c r="AO151" s="51">
        <f t="shared" ref="AO151:AT153" si="11">IF(AI151="",0,AI151)</f>
        <v>21</v>
      </c>
      <c r="AP151" s="52">
        <f t="shared" si="11"/>
        <v>10</v>
      </c>
      <c r="AQ151" s="53">
        <f t="shared" si="11"/>
        <v>21</v>
      </c>
      <c r="AR151" s="52">
        <f t="shared" si="11"/>
        <v>15</v>
      </c>
      <c r="AS151" s="53">
        <f t="shared" si="11"/>
        <v>0</v>
      </c>
      <c r="AT151" s="52">
        <f t="shared" si="11"/>
        <v>0</v>
      </c>
      <c r="AU151" s="54">
        <f>SUM(AO151:AT151)</f>
        <v>67</v>
      </c>
      <c r="AV151" s="13">
        <v>1</v>
      </c>
      <c r="AW151" s="55"/>
      <c r="AX151" s="56"/>
      <c r="AY151" s="50">
        <f>IF(AI153&gt;AJ153,1,0)+IF(AK153&gt;AL153,1,0)+IF(AM153&gt;AN153,1,0)</f>
        <v>2</v>
      </c>
      <c r="AZ151" s="50">
        <f>AW152</f>
        <v>0</v>
      </c>
      <c r="BA151" s="50">
        <f>IF(AI151&gt;AJ151,1,0)+IF(AK151&gt;AL151,1,0)+IF(AM151&gt;AN151,1,0)</f>
        <v>2</v>
      </c>
      <c r="BB151" s="57">
        <f>AW153</f>
        <v>0</v>
      </c>
      <c r="BE151" s="49">
        <f>AO151+AQ151+AS151+AO153+AQ153+AS153</f>
        <v>84</v>
      </c>
      <c r="BF151" s="57">
        <f>AP151+AR151+AT151+AP153+AR153+AT153</f>
        <v>48</v>
      </c>
      <c r="BG151" s="49">
        <f>AY151+BA151</f>
        <v>4</v>
      </c>
      <c r="BH151" s="57">
        <f>AZ151+BB151</f>
        <v>0</v>
      </c>
      <c r="BI151" s="49">
        <f>IF(AY151&gt;AZ151,1,0)+IF(BA151&gt;BB151,1,0)</f>
        <v>2</v>
      </c>
      <c r="BJ151" s="58">
        <f>IF(AZ151&gt;AY151,1,0)+IF(BB151&gt;BA151,1,0)</f>
        <v>0</v>
      </c>
      <c r="BK151" s="59">
        <f>IF(BI151+BJ151=0,"",IF(BL151=MAX(BL151:BL153),1,IF(BL151=MIN(BL151:BL153),3,2)))</f>
        <v>1</v>
      </c>
      <c r="BL151" s="60">
        <f>IF(BI151+BJ151&lt;&gt;0,BI151+1+(BG151-BH151)/100+(BE151-BF151)/100000+(BE151/BF151)/1000000,0)</f>
        <v>3.0403617500000002</v>
      </c>
    </row>
    <row r="152" spans="1:64" ht="11.45" customHeight="1" x14ac:dyDescent="0.2">
      <c r="A152" s="19">
        <f>S152</f>
        <v>130</v>
      </c>
      <c r="B152" s="2" t="str">
        <f>IF(N152="","",N152)</f>
        <v>R3804</v>
      </c>
      <c r="C152" s="2" t="str">
        <f>IF(N153="","",N153)</f>
        <v/>
      </c>
      <c r="D152" s="2" t="str">
        <f>IF(N155="","",N155)</f>
        <v>P3707</v>
      </c>
      <c r="E152" s="2" t="str">
        <f>IF(N156="","",N156)</f>
        <v/>
      </c>
      <c r="J152" s="10"/>
      <c r="K152" s="19"/>
      <c r="M152" s="42" t="str">
        <f>N148</f>
        <v>pojedyncza mężczyzn J</v>
      </c>
      <c r="N152" s="33" t="s">
        <v>52</v>
      </c>
      <c r="O152" s="34">
        <f>IF(O147&gt;0,(O147&amp;2)*1,"")</f>
        <v>62</v>
      </c>
      <c r="Q152" s="43" t="str">
        <f>IF(AU152&gt;0,"",IF(A152=0,"",IF(VLOOKUP(A152,'[2]plan gier'!A$1:S$65536,19,FALSE)="","",VLOOKUP(A152,'[2]plan gier'!A$1:S$65536,19,FALSE))))</f>
        <v/>
      </c>
      <c r="R152" s="44" t="s">
        <v>17</v>
      </c>
      <c r="S152" s="45">
        <v>130</v>
      </c>
      <c r="T152" s="242"/>
      <c r="U152" s="244" t="str">
        <f>IF(AND(N152&lt;&gt;"",N153=""),CONCATENATE(VLOOKUP(N152,[2]zawodnicy!$A$1:$E$65536,1,FALSE)," ",VLOOKUP(N152,[2]zawodnicy!$A$1:$E$65536,2,FALSE)," ",VLOOKUP(N152,[2]zawodnicy!$A$1:$E$65536,3,FALSE)," - ",VLOOKUP(N152,[2]zawodnicy!$A$1:$E$65536,4,FALSE)),"")</f>
        <v>R3804 Sebastian REGEŃCZUK - KS Match Point Ślęza</v>
      </c>
      <c r="V152" s="245"/>
      <c r="W152" s="246"/>
      <c r="X152" s="61" t="str">
        <f>IF(SUM(AQ153:AR153)=0,"",AR153&amp;":"&amp;AQ153)</f>
        <v>13:21</v>
      </c>
      <c r="Y152" s="62"/>
      <c r="Z152" s="37" t="str">
        <f>IF(SUM(AQ152:AR152)=0,"",AQ152&amp;":"&amp;AR152)</f>
        <v>18:21</v>
      </c>
      <c r="AA152" s="248"/>
      <c r="AB152" s="251"/>
      <c r="AC152" s="251"/>
      <c r="AD152" s="254"/>
      <c r="AE152" s="2"/>
      <c r="AF152" s="12"/>
      <c r="AG152" s="12"/>
      <c r="AH152" s="44" t="s">
        <v>17</v>
      </c>
      <c r="AI152" s="63">
        <f>IF(ISBLANK(S152),"",VLOOKUP(S152,'[2]plan gier'!$X$1:$AN$65536,12,FALSE))</f>
        <v>18</v>
      </c>
      <c r="AJ152" s="64">
        <f>IF(ISBLANK(S152),"",VLOOKUP(S152,'[2]plan gier'!$X$1:$AN$65536,13,FALSE))</f>
        <v>21</v>
      </c>
      <c r="AK152" s="64">
        <f>IF(ISBLANK(S152),"",VLOOKUP(S152,'[2]plan gier'!$X$1:$AN$65536,14,FALSE))</f>
        <v>18</v>
      </c>
      <c r="AL152" s="64">
        <f>IF(ISBLANK(S152),"",VLOOKUP(S152,'[2]plan gier'!$X$1:$AN$65536,15,FALSE))</f>
        <v>21</v>
      </c>
      <c r="AM152" s="64">
        <f>IF(ISBLANK(S152),"",VLOOKUP(S152,'[2]plan gier'!$X$1:$AN$65536,16,FALSE))</f>
        <v>0</v>
      </c>
      <c r="AN152" s="64">
        <f>IF(ISBLANK(S152),"",VLOOKUP(S152,'[2]plan gier'!$X$1:$AN$65536,17,FALSE))</f>
        <v>0</v>
      </c>
      <c r="AO152" s="65">
        <f t="shared" si="11"/>
        <v>18</v>
      </c>
      <c r="AP152" s="64">
        <f t="shared" si="11"/>
        <v>21</v>
      </c>
      <c r="AQ152" s="66">
        <f t="shared" si="11"/>
        <v>18</v>
      </c>
      <c r="AR152" s="64">
        <f t="shared" si="11"/>
        <v>21</v>
      </c>
      <c r="AS152" s="66">
        <f t="shared" si="11"/>
        <v>0</v>
      </c>
      <c r="AT152" s="64">
        <f t="shared" si="11"/>
        <v>0</v>
      </c>
      <c r="AU152" s="54">
        <f>SUM(AO152:AT152)</f>
        <v>78</v>
      </c>
      <c r="AV152" s="13">
        <v>2</v>
      </c>
      <c r="AW152" s="63">
        <f>IF(AI153&lt;AJ153,1,0)+IF(AK153&lt;AL153,1,0)+IF(AM153&lt;AN153,1,0)</f>
        <v>0</v>
      </c>
      <c r="AX152" s="64">
        <f>AY151</f>
        <v>2</v>
      </c>
      <c r="AY152" s="67"/>
      <c r="AZ152" s="68"/>
      <c r="BA152" s="64">
        <f>IF(AI152&gt;AJ152,1,0)+IF(AK152&gt;AL152,1,0)+IF(AM152&gt;AN152,1,0)</f>
        <v>0</v>
      </c>
      <c r="BB152" s="69">
        <f>AY153</f>
        <v>2</v>
      </c>
      <c r="BE152" s="63">
        <f>AO152+AQ152+AS152+AP153+AR153+AT153</f>
        <v>59</v>
      </c>
      <c r="BF152" s="69">
        <f>AP152+AR152+AT152+AO153+AQ153+AS153</f>
        <v>84</v>
      </c>
      <c r="BG152" s="63">
        <f>AW152+BA152</f>
        <v>0</v>
      </c>
      <c r="BH152" s="69">
        <f>AX152+BB152</f>
        <v>4</v>
      </c>
      <c r="BI152" s="63">
        <f>IF(AW152&gt;AX152,1,0)+IF(BA152&gt;BB152,1,0)</f>
        <v>0</v>
      </c>
      <c r="BJ152" s="70">
        <f>IF(AX152&gt;AW152,1,0)+IF(BB152&gt;BA152,1,0)</f>
        <v>2</v>
      </c>
      <c r="BK152" s="71">
        <f>IF(BI152+BJ152=0,"",IF(BL152=MAX(BL151:BL153),1,IF(BL152=MIN(BL151:BL153),3,2)))</f>
        <v>3</v>
      </c>
      <c r="BL152" s="60">
        <f>IF(BI152+BJ152&lt;&gt;0,BI152+1+(BG152-BH152)/100+(BE152-BF152)/100000+(BE152/BF152)/1000000,0)</f>
        <v>0.95975070238095239</v>
      </c>
    </row>
    <row r="153" spans="1:64" ht="11.45" customHeight="1" thickBot="1" x14ac:dyDescent="0.25">
      <c r="A153" s="19">
        <f>S153</f>
        <v>195</v>
      </c>
      <c r="B153" s="2" t="str">
        <f>IF(N149="","",N149)</f>
        <v>J3112</v>
      </c>
      <c r="C153" s="2" t="str">
        <f>IF(N150="","",N150)</f>
        <v/>
      </c>
      <c r="D153" s="2" t="str">
        <f>IF(N152="","",N152)</f>
        <v>R3804</v>
      </c>
      <c r="E153" s="2" t="str">
        <f>IF(N153="","",N153)</f>
        <v/>
      </c>
      <c r="I153" s="2" t="str">
        <f>"3"&amp;O147&amp;N148</f>
        <v>36pojedyncza mężczyzn J</v>
      </c>
      <c r="J153" s="10" t="str">
        <f>IF(AD154="","",IF(AD148=3,N149,IF(AD151=3,N152,IF(AD154=3,N155,""))))</f>
        <v>R3804</v>
      </c>
      <c r="K153" s="10">
        <f>IF(AD154="","",IF(AD148=3,N150,IF(AD151=3,N153,IF(AD154=3,N156,""))))</f>
        <v>0</v>
      </c>
      <c r="M153" s="42" t="str">
        <f>N148</f>
        <v>pojedyncza mężczyzn J</v>
      </c>
      <c r="N153" s="38"/>
      <c r="O153" s="28"/>
      <c r="P153" s="28"/>
      <c r="Q153" s="43" t="str">
        <f>IF(AU153&gt;0,"",IF(A153=0,"",IF(VLOOKUP(A153,'[2]plan gier'!A$1:S$65536,19,FALSE)="","",VLOOKUP(A153,'[2]plan gier'!A$1:S$65536,19,FALSE))))</f>
        <v/>
      </c>
      <c r="R153" s="72" t="s">
        <v>18</v>
      </c>
      <c r="S153" s="45">
        <v>195</v>
      </c>
      <c r="T153" s="261"/>
      <c r="U153" s="265" t="str">
        <f>IF(N153&lt;&gt;"",CONCATENATE(VLOOKUP(N153,[2]zawodnicy!$A$1:$E$65536,1,FALSE)," ",VLOOKUP(N153,[2]zawodnicy!$A$1:$E$65536,2,FALSE)," ",VLOOKUP(N153,[2]zawodnicy!$A$1:$E$65536,3,FALSE)," - ",VLOOKUP(N153,[2]zawodnicy!$A$1:$E$65536,4,FALSE)),"")</f>
        <v/>
      </c>
      <c r="V153" s="266"/>
      <c r="W153" s="267"/>
      <c r="X153" s="73" t="str">
        <f>IF(SUM(AS153:AT153)=0,"",AT153&amp;":"&amp;AS153)</f>
        <v/>
      </c>
      <c r="Y153" s="62"/>
      <c r="Z153" s="40" t="str">
        <f>IF(SUM(AS152:AT152)=0,"",AS152&amp;":"&amp;AT152)</f>
        <v/>
      </c>
      <c r="AA153" s="262"/>
      <c r="AB153" s="263"/>
      <c r="AC153" s="263"/>
      <c r="AD153" s="264"/>
      <c r="AE153" s="2"/>
      <c r="AF153" s="12"/>
      <c r="AG153" s="12"/>
      <c r="AH153" s="72" t="s">
        <v>18</v>
      </c>
      <c r="AI153" s="74">
        <f>IF(ISBLANK(S153),"",VLOOKUP(S153,'[2]plan gier'!$X$1:$AN$65536,12,FALSE))</f>
        <v>21</v>
      </c>
      <c r="AJ153" s="75">
        <f>IF(ISBLANK(S153),"",VLOOKUP(S153,'[2]plan gier'!$X$1:$AN$65536,13,FALSE))</f>
        <v>10</v>
      </c>
      <c r="AK153" s="75">
        <f>IF(ISBLANK(S153),"",VLOOKUP(S153,'[2]plan gier'!$X$1:$AN$65536,14,FALSE))</f>
        <v>21</v>
      </c>
      <c r="AL153" s="75">
        <f>IF(ISBLANK(S153),"",VLOOKUP(S153,'[2]plan gier'!$X$1:$AN$65536,15,FALSE))</f>
        <v>13</v>
      </c>
      <c r="AM153" s="75">
        <f>IF(ISBLANK(S153),"",VLOOKUP(S153,'[2]plan gier'!$X$1:$AN$65536,16,FALSE))</f>
        <v>0</v>
      </c>
      <c r="AN153" s="75">
        <f>IF(ISBLANK(S153),"",VLOOKUP(S153,'[2]plan gier'!$X$1:$AN$65536,17,FALSE))</f>
        <v>0</v>
      </c>
      <c r="AO153" s="76">
        <f t="shared" si="11"/>
        <v>21</v>
      </c>
      <c r="AP153" s="75">
        <f t="shared" si="11"/>
        <v>10</v>
      </c>
      <c r="AQ153" s="77">
        <f t="shared" si="11"/>
        <v>21</v>
      </c>
      <c r="AR153" s="75">
        <f t="shared" si="11"/>
        <v>13</v>
      </c>
      <c r="AS153" s="77">
        <f t="shared" si="11"/>
        <v>0</v>
      </c>
      <c r="AT153" s="75">
        <f t="shared" si="11"/>
        <v>0</v>
      </c>
      <c r="AU153" s="54">
        <f>SUM(AO153:AT153)</f>
        <v>65</v>
      </c>
      <c r="AV153" s="13">
        <v>3</v>
      </c>
      <c r="AW153" s="74">
        <f>IF(AI151&lt;AJ151,1,0)+IF(AK151&lt;AL151,1,0)+IF(AM151&lt;AN151,1,0)</f>
        <v>0</v>
      </c>
      <c r="AX153" s="75">
        <f>BA151</f>
        <v>2</v>
      </c>
      <c r="AY153" s="75">
        <f>IF(AI152&lt;AJ152,1,0)+IF(AK152&lt;AL152,1,0)+IF(AM152&lt;AN152,1,0)</f>
        <v>2</v>
      </c>
      <c r="AZ153" s="75">
        <f>BA152</f>
        <v>0</v>
      </c>
      <c r="BA153" s="78"/>
      <c r="BB153" s="79"/>
      <c r="BE153" s="74">
        <f>AP151+AR151+AT151+AP152+AR152+AT152</f>
        <v>67</v>
      </c>
      <c r="BF153" s="80">
        <f>AO151+AQ151+AS151+AO152+AQ152+AS152</f>
        <v>78</v>
      </c>
      <c r="BG153" s="74">
        <f>AW153+AY153</f>
        <v>2</v>
      </c>
      <c r="BH153" s="80">
        <f>AX153+AZ153</f>
        <v>2</v>
      </c>
      <c r="BI153" s="74">
        <f>IF(AW153&gt;AX153,1,0)+IF(AY153&gt;AZ153,1,0)</f>
        <v>1</v>
      </c>
      <c r="BJ153" s="81">
        <f>IF(AX153&gt;AW153,1,0)+IF(AZ153&gt;AY153,1,0)</f>
        <v>1</v>
      </c>
      <c r="BK153" s="82">
        <f>IF(BI153+BJ153=0,"",IF(BL153=MAX(BL151:BL153),1,IF(BL153=MIN(BL151:BL153),3,2)))</f>
        <v>2</v>
      </c>
      <c r="BL153" s="60">
        <f>IF(BI153+BJ153&lt;&gt;0,BI153+1+(BG153-BH153)/100+(BE153-BF153)/100000+(BE153/BF153)/1000000,0)</f>
        <v>1.9998908589743589</v>
      </c>
    </row>
    <row r="154" spans="1:64" ht="11.45" customHeight="1" x14ac:dyDescent="0.2">
      <c r="A154" s="2"/>
      <c r="J154" s="28"/>
      <c r="K154" s="28"/>
      <c r="L154" s="28"/>
      <c r="O154" s="28"/>
      <c r="P154" s="28"/>
      <c r="Q154" s="2"/>
      <c r="R154" s="2"/>
      <c r="S154" s="2"/>
      <c r="T154" s="241">
        <v>3</v>
      </c>
      <c r="U154" s="244" t="str">
        <f>IF(AND(N155&lt;&gt;"",N156&lt;&gt;""),CONCATENATE(VLOOKUP(N155,[2]zawodnicy!$A$1:$E$65536,1,FALSE)," ",VLOOKUP(N155,[2]zawodnicy!$A$1:$E$65536,2,FALSE)," ",VLOOKUP(N155,[2]zawodnicy!$A$1:$E$65536,3,FALSE)," - ",VLOOKUP(N155,[2]zawodnicy!$A$1:$E$65536,4,FALSE)),"")</f>
        <v/>
      </c>
      <c r="V154" s="245"/>
      <c r="W154" s="246"/>
      <c r="X154" s="46" t="str">
        <f>IF(SUM(AO151:AP151)=0,"",AP151&amp;":"&amp;AO151)</f>
        <v>10:21</v>
      </c>
      <c r="Y154" s="83" t="str">
        <f>IF(SUM(AO152:AP152)=0,"",AP152&amp;":"&amp;AO152)</f>
        <v>21:18</v>
      </c>
      <c r="Z154" s="84"/>
      <c r="AA154" s="247" t="str">
        <f>IF(SUM(AW153:AZ153)=0,"",BE153&amp;":"&amp;BF153)</f>
        <v>67:78</v>
      </c>
      <c r="AB154" s="250" t="str">
        <f>IF(SUM(AW153:AZ153)=0,"",BG153&amp;":"&amp;BH153)</f>
        <v>2:2</v>
      </c>
      <c r="AC154" s="250" t="str">
        <f>IF(SUM(AW153:AZ153)=0,"",BI153&amp;":"&amp;BJ153)</f>
        <v>1:1</v>
      </c>
      <c r="AD154" s="253">
        <f>IF(SUM(BI151:BI153)&gt;0,BK153,"")</f>
        <v>2</v>
      </c>
      <c r="AE154" s="2"/>
      <c r="AF154" s="12"/>
      <c r="AG154" s="12"/>
      <c r="BE154" s="19">
        <f>SUM(BE151:BE153)</f>
        <v>210</v>
      </c>
      <c r="BF154" s="19">
        <f>SUM(BF151:BF153)</f>
        <v>210</v>
      </c>
      <c r="BG154" s="19">
        <f>SUM(BG151:BG153)</f>
        <v>6</v>
      </c>
      <c r="BH154" s="19">
        <f>SUM(BH151:BH153)</f>
        <v>6</v>
      </c>
      <c r="BK154" s="19"/>
      <c r="BL154" s="20"/>
    </row>
    <row r="155" spans="1:64" ht="11.45" customHeight="1" x14ac:dyDescent="0.2">
      <c r="A155" s="19"/>
      <c r="J155" s="19"/>
      <c r="K155" s="19"/>
      <c r="L155" s="19"/>
      <c r="N155" s="33" t="s">
        <v>53</v>
      </c>
      <c r="O155" s="34">
        <f>IF(O147&gt;0,(O147&amp;3)*1,"")</f>
        <v>63</v>
      </c>
      <c r="Q155" s="85"/>
      <c r="R155" s="85"/>
      <c r="S155" s="85"/>
      <c r="T155" s="242"/>
      <c r="U155" s="244" t="str">
        <f>IF(AND(N155&lt;&gt;"",N156=""),CONCATENATE(VLOOKUP(N155,[2]zawodnicy!$A$1:$E$65536,1,FALSE)," ",VLOOKUP(N155,[2]zawodnicy!$A$1:$E$65536,2,FALSE)," ",VLOOKUP(N155,[2]zawodnicy!$A$1:$E$65536,3,FALSE)," - ",VLOOKUP(N155,[2]zawodnicy!$A$1:$E$65536,4,FALSE)),"")</f>
        <v>P3707 Bartosz PIEKARZ - UKS Orliki Ropica Polska</v>
      </c>
      <c r="V155" s="245"/>
      <c r="W155" s="246"/>
      <c r="X155" s="61" t="str">
        <f>IF(SUM(AQ151:AR151)=0,"",AR151&amp;":"&amp;AQ151)</f>
        <v>15:21</v>
      </c>
      <c r="Y155" s="36" t="str">
        <f>IF(SUM(AQ152:AR152)=0,"",AR152&amp;":"&amp;AQ152)</f>
        <v>21:18</v>
      </c>
      <c r="Z155" s="86"/>
      <c r="AA155" s="248"/>
      <c r="AB155" s="251"/>
      <c r="AC155" s="251"/>
      <c r="AD155" s="254"/>
      <c r="AE155" s="2"/>
      <c r="AF155" s="12"/>
      <c r="AG155" s="1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row>
    <row r="156" spans="1:64" ht="11.45" customHeight="1" thickBot="1" x14ac:dyDescent="0.25">
      <c r="A156" s="2"/>
      <c r="J156" s="28"/>
      <c r="K156" s="28"/>
      <c r="L156" s="28"/>
      <c r="N156" s="38"/>
      <c r="O156" s="28"/>
      <c r="P156" s="28"/>
      <c r="Q156" s="2"/>
      <c r="R156" s="2"/>
      <c r="S156" s="2"/>
      <c r="T156" s="243"/>
      <c r="U156" s="256" t="str">
        <f>IF(N156&lt;&gt;"",CONCATENATE(VLOOKUP(N156,[2]zawodnicy!$A$1:$E$65536,1,FALSE)," ",VLOOKUP(N156,[2]zawodnicy!$A$1:$E$65536,2,FALSE)," ",VLOOKUP(N156,[2]zawodnicy!$A$1:$E$65536,3,FALSE)," - ",VLOOKUP(N156,[2]zawodnicy!$A$1:$E$65536,4,FALSE)),"")</f>
        <v/>
      </c>
      <c r="V156" s="257"/>
      <c r="W156" s="258"/>
      <c r="X156" s="87" t="str">
        <f>IF(SUM(AS151:AT151)=0,"",AT151&amp;":"&amp;AS151)</f>
        <v/>
      </c>
      <c r="Y156" s="88" t="str">
        <f>IF(SUM(AS152:AT152)=0,"",AT152&amp;":"&amp;AS152)</f>
        <v/>
      </c>
      <c r="Z156" s="89"/>
      <c r="AA156" s="249"/>
      <c r="AB156" s="252"/>
      <c r="AC156" s="252"/>
      <c r="AD156" s="255"/>
      <c r="AE156" s="10"/>
      <c r="AF156" s="12"/>
      <c r="AG156" s="1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row>
    <row r="157" spans="1:64" s="19" customFormat="1" ht="5.0999999999999996" customHeight="1" x14ac:dyDescent="0.2">
      <c r="M157" s="90"/>
      <c r="O157" s="90"/>
      <c r="P157" s="90"/>
      <c r="Q157" s="91"/>
      <c r="R157" s="91"/>
      <c r="S157" s="91"/>
      <c r="T157" s="91"/>
      <c r="U157" s="5"/>
      <c r="V157" s="5"/>
      <c r="W157" s="5"/>
      <c r="AA157" s="92"/>
      <c r="AB157" s="91"/>
      <c r="AC157" s="91"/>
      <c r="AD157" s="91"/>
      <c r="AE157" s="91"/>
      <c r="AF157" s="91"/>
      <c r="AI157" s="93"/>
      <c r="AJ157" s="94"/>
      <c r="AK157" s="94"/>
    </row>
    <row r="159" spans="1:64" ht="11.45" customHeight="1" x14ac:dyDescent="0.2">
      <c r="J159" s="2"/>
      <c r="K159" s="2"/>
      <c r="L159" s="2"/>
      <c r="M159" s="95"/>
      <c r="N159" s="96">
        <v>1</v>
      </c>
      <c r="O159" s="97">
        <v>6</v>
      </c>
      <c r="P159" s="98"/>
      <c r="Q159" s="1"/>
      <c r="R159" s="1"/>
      <c r="S159" s="1"/>
      <c r="T159" s="229"/>
      <c r="U159" s="229"/>
      <c r="V159" s="229"/>
      <c r="W159" s="229"/>
      <c r="X159" s="229"/>
      <c r="Y159" s="229"/>
      <c r="Z159" s="229"/>
      <c r="AA159" s="229"/>
      <c r="AB159" s="229"/>
      <c r="AC159" s="229"/>
      <c r="AD159" s="229"/>
      <c r="AE159" s="229"/>
      <c r="AF159" s="229"/>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row>
    <row r="160" spans="1:64" ht="11.45" customHeight="1" x14ac:dyDescent="0.2">
      <c r="J160" s="2"/>
      <c r="K160" s="2"/>
      <c r="L160" s="2"/>
      <c r="N160" s="99" t="s">
        <v>35</v>
      </c>
      <c r="P160" s="98"/>
      <c r="Q160" s="1"/>
      <c r="R160" s="1"/>
      <c r="S160" s="1"/>
      <c r="T160" s="1"/>
      <c r="U160" s="100"/>
      <c r="V160" s="101"/>
      <c r="W160" s="101"/>
      <c r="X160" s="101"/>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row>
    <row r="161" spans="1:63" ht="11.45" customHeight="1" x14ac:dyDescent="0.2">
      <c r="A161" s="102">
        <f>W161</f>
        <v>0</v>
      </c>
      <c r="B161" s="2" t="str">
        <f>IF(TYPE(T161)=16,"",T161)</f>
        <v>W2914</v>
      </c>
      <c r="D161" s="2" t="str">
        <f>IF(TYPE(T162)=16,"",T162)</f>
        <v/>
      </c>
      <c r="F161" s="2" t="str">
        <f>IF(A161=0,IF(AND(LEN(B161)&gt;0,LEN(D161)=0),VLOOKUP(B161,[2]zawodnicy!$A$1:$E$65536,1,FALSE),IF(AND(LEN(D161)&gt;0,LEN(B161)=0),VLOOKUP(D161,[2]zawodnicy!$A$1:$E$65536,1,FALSE),"")),IF((VLOOKUP(A161,'[2]plan gier'!$X$1:$AF$65536,7,FALSE))="","",VLOOKUP(VLOOKUP(A161,'[2]plan gier'!$X$1:$AF$65536,7,FALSE),[2]zawodnicy!$A$1:$E$65536,1,FALSE)))</f>
        <v>W2914</v>
      </c>
      <c r="H161" s="2" t="str">
        <f>IF(A161=0,"",IF((VLOOKUP(A161,'[2]plan gier'!$X$1:$AF$65536,7,FALSE))="","",VLOOKUP(A161,'[2]plan gier'!$X$1:$AF$65536,9,FALSE)))</f>
        <v/>
      </c>
      <c r="J161" s="103"/>
      <c r="L161" s="43" t="str">
        <f>IF(A161=0,"",IF(VLOOKUP(A161,'[2]plan gier'!A$1:S$65536,19,FALSE)="","",VLOOKUP(A161,'[2]plan gier'!A$1:S$65536,19,FALSE)))</f>
        <v/>
      </c>
      <c r="M161" s="2" t="str">
        <f>N160</f>
        <v>pojedyncza mężczyzn J</v>
      </c>
      <c r="N161" s="104"/>
      <c r="O161" s="105">
        <f>IF(P161="","",1)</f>
        <v>1</v>
      </c>
      <c r="P161" s="106">
        <f>IF(O159&gt;4,1,"")</f>
        <v>1</v>
      </c>
      <c r="Q161" s="5">
        <f>O161</f>
        <v>1</v>
      </c>
      <c r="T161" s="286" t="str">
        <f>UPPER(IF(O161="","",IF(ISTEXT(N161),N161,IF(AND(N159&gt;0,O161&gt;0),VLOOKUP(N159&amp;O161&amp;N160,I:J,2,FALSE),""))))</f>
        <v>W2914</v>
      </c>
      <c r="U161" s="287"/>
      <c r="V161" s="107" t="str">
        <f>IF(T161&lt;&gt;"",CONCATENATE(VLOOKUP(T161,[2]zawodnicy!$A$1:$E$65536,2,FALSE)," ",VLOOKUP(T161,[2]zawodnicy!$A$1:$E$65536,3,FALSE)," - ",VLOOKUP(T161,[2]zawodnicy!$A$1:$E$65536,4,FALSE)),"")</f>
        <v>Piotr WASILUK - LUKS Badminton Choroszcz</v>
      </c>
      <c r="W161" s="108"/>
      <c r="X161" s="231" t="str">
        <f>IF(ISBLANK(W161),IF(AND(LEN(T161)&gt;0,LEN(T162)=0),VLOOKUP(T161,[2]zawodnicy!$A$1:$E$65536,3,FALSE),IF(AND(LEN(T162)&gt;0,LEN(T161)=0),VLOOKUP(T162,[2]zawodnicy!$A$1:$E$65536,3,FALSE),"")),IF((VLOOKUP(W161,'[2]plan gier'!$X$1:$AF$65536,7,FALSE))="","",VLOOKUP(VLOOKUP(W161,'[2]plan gier'!$X$1:$AF$65536,7,FALSE),[2]zawodnicy!$A$1:$E$65536,3,FALSE)))</f>
        <v>WASILUK</v>
      </c>
      <c r="Y161" s="232"/>
      <c r="Z161" s="23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row>
    <row r="162" spans="1:63" ht="11.45" customHeight="1" x14ac:dyDescent="0.2">
      <c r="J162" s="103"/>
      <c r="N162" s="104"/>
      <c r="O162" s="109" t="str">
        <f>IF(P162="","",2)</f>
        <v/>
      </c>
      <c r="P162" s="106" t="str">
        <f>IF(O159&gt;7,5,"")</f>
        <v/>
      </c>
      <c r="Q162" s="5" t="str">
        <f>O162</f>
        <v/>
      </c>
      <c r="T162" s="286" t="str">
        <f>UPPER(IF(O162="","",IF(ISTEXT(N162),N162,IF(AND(N159&gt;0,O162&gt;0),VLOOKUP(N159&amp;O162&amp;N160,I:J,2,FALSE),""))))</f>
        <v/>
      </c>
      <c r="U162" s="287"/>
      <c r="V162" s="107" t="str">
        <f>IF(T162&lt;&gt;"",CONCATENATE(VLOOKUP(T162,[2]zawodnicy!$A$1:$E$65536,2,FALSE)," ",VLOOKUP(T162,[2]zawodnicy!$A$1:$E$65536,3,FALSE)," - ",VLOOKUP(T162,[2]zawodnicy!$A$1:$E$65536,4,FALSE)),"")</f>
        <v/>
      </c>
      <c r="W162" s="110"/>
      <c r="X162" s="236" t="str">
        <f>IF(ISBLANK(W161),"",IF((VLOOKUP(W161,'[2]plan gier'!$X$1:$AF$65536,7,FALSE))="",L161,VLOOKUP(W161,'[2]plan gier'!$X$1:$AF$65536,9,FALSE)))</f>
        <v/>
      </c>
      <c r="Y162" s="237"/>
      <c r="Z162" s="240"/>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row>
    <row r="163" spans="1:63" ht="11.45" customHeight="1" x14ac:dyDescent="0.2">
      <c r="A163" s="111">
        <f>Z163</f>
        <v>231</v>
      </c>
      <c r="B163" s="2" t="str">
        <f>F161</f>
        <v>W2914</v>
      </c>
      <c r="D163" s="2" t="str">
        <f>F165</f>
        <v>B2621</v>
      </c>
      <c r="F163" s="2" t="str">
        <f>IF(A163=0,IF(AND(LEN(B163)&gt;0,LEN(D163)=0),B163,IF(AND(LEN(D163)&gt;0,LEN(B163)=0),D163,"")),IF((VLOOKUP(A163,'[2]plan gier'!$X$1:$AF$65536,7,FALSE))="","",VLOOKUP(VLOOKUP(A163,'[2]plan gier'!$X$1:$AF$65536,7,FALSE),[2]zawodnicy!$A$1:$E$65536,1,FALSE)))</f>
        <v>W2914</v>
      </c>
      <c r="H163" s="2" t="str">
        <f>IF(A163=0,"",IF((VLOOKUP(A163,'[2]plan gier'!$X$1:$AF$65536,7,FALSE))="","",VLOOKUP(A163,'[2]plan gier'!$X$1:$AF$65536,9,FALSE)))</f>
        <v>21:10,23:21</v>
      </c>
      <c r="J163" s="103"/>
      <c r="L163" s="43" t="str">
        <f>IF(A163=0,"",IF(VLOOKUP(A163,'[2]plan gier'!A$1:S$65536,19,FALSE)="","",VLOOKUP(A163,'[2]plan gier'!A$1:S$65536,19,FALSE)))</f>
        <v>sob 18:30</v>
      </c>
      <c r="M163" s="2" t="str">
        <f>N160</f>
        <v>pojedyncza mężczyzn J</v>
      </c>
      <c r="N163" s="95"/>
      <c r="O163" s="112"/>
      <c r="P163" s="106"/>
      <c r="T163" s="9"/>
      <c r="U163" s="113"/>
      <c r="V163" s="2"/>
      <c r="W163" s="2"/>
      <c r="X163" s="114"/>
      <c r="Y163" s="10"/>
      <c r="Z163" s="115">
        <v>231</v>
      </c>
      <c r="AA163" s="232" t="str">
        <f>IF(ISBLANK(Z163),IF(AND(LEN(X161)&gt;0,LEN(X165)=0),X161,IF(AND(LEN(X165)&gt;0,LEN(X161)=0),X165,"")),IF((VLOOKUP(Z163,'[2]plan gier'!$X$1:$AF$65536,7,FALSE))="","",VLOOKUP(VLOOKUP(Z163,'[2]plan gier'!$X$1:$AF$65536,7,FALSE),[2]zawodnicy!$A$1:$E$65536,3,FALSE)))</f>
        <v>WASILUK</v>
      </c>
      <c r="AB163" s="232"/>
      <c r="AC163" s="23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row>
    <row r="164" spans="1:63" ht="11.45" customHeight="1" x14ac:dyDescent="0.2">
      <c r="J164" s="103"/>
      <c r="N164" s="95"/>
      <c r="O164" s="112"/>
      <c r="P164" s="106"/>
      <c r="T164" s="9"/>
      <c r="U164" s="113"/>
      <c r="V164" s="2"/>
      <c r="W164" s="2"/>
      <c r="X164" s="114"/>
      <c r="Y164" s="10"/>
      <c r="Z164" s="116"/>
      <c r="AA164" s="237" t="str">
        <f>IF(ISBLANK(Z163),"",IF((VLOOKUP(Z163,'[2]plan gier'!$X$1:$AF$65536,7,FALSE))="",L163,VLOOKUP(Z163,'[2]plan gier'!$X$1:$AF$65536,9,FALSE)))</f>
        <v>21:10,23:21</v>
      </c>
      <c r="AB164" s="237"/>
      <c r="AC164" s="240"/>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row>
    <row r="165" spans="1:63" ht="11.45" customHeight="1" x14ac:dyDescent="0.2">
      <c r="A165" s="102">
        <f>W165</f>
        <v>205</v>
      </c>
      <c r="B165" s="2" t="str">
        <f>IF(TYPE(T165)=16,"",T165)</f>
        <v>B2621</v>
      </c>
      <c r="D165" s="2" t="str">
        <f>IF(TYPE(T166)=16,"",T166)</f>
        <v>S2695</v>
      </c>
      <c r="F165" s="2" t="str">
        <f>IF(A165=0,IF(AND(LEN(B165)&gt;0,LEN(D165)=0),VLOOKUP(B165,[2]zawodnicy!$A$1:$E$65536,1,FALSE),IF(AND(LEN(D165)&gt;0,LEN(B165)=0),VLOOKUP(D165,[2]zawodnicy!$A$1:$E$65536,1,FALSE),"")),IF((VLOOKUP(A165,'[2]plan gier'!$X$1:$AF$65536,7,FALSE))="","",VLOOKUP(VLOOKUP(A165,'[2]plan gier'!$X$1:$AF$65536,7,FALSE),[2]zawodnicy!$A$1:$E$65536,1,FALSE)))</f>
        <v>B2621</v>
      </c>
      <c r="H165" s="2" t="str">
        <f>IF(A165=0,"",IF((VLOOKUP(A165,'[2]plan gier'!$X$1:$AF$65536,7,FALSE))="","",VLOOKUP(A165,'[2]plan gier'!$X$1:$AF$65536,9,FALSE)))</f>
        <v>21:11,21:10</v>
      </c>
      <c r="J165" s="103"/>
      <c r="L165" s="43" t="str">
        <f>IF(A165=0,"",IF(VLOOKUP(A165,'[2]plan gier'!A$1:S$65536,19,FALSE)="","",VLOOKUP(A165,'[2]plan gier'!A$1:S$65536,19,FALSE)))</f>
        <v>sob 15:30</v>
      </c>
      <c r="M165" s="2" t="str">
        <f>N160</f>
        <v>pojedyncza mężczyzn J</v>
      </c>
      <c r="N165" s="104"/>
      <c r="O165" s="105">
        <f>IF(P165="","",MAX(O161:O164)+1)</f>
        <v>2</v>
      </c>
      <c r="P165" s="106">
        <f>IF(O159&gt;4,9,"")</f>
        <v>9</v>
      </c>
      <c r="Q165" s="5">
        <f>O165</f>
        <v>2</v>
      </c>
      <c r="T165" s="286" t="str">
        <f>UPPER(IF(O165="","",IF(ISTEXT(N165),N165,IF(AND(N159&gt;0,O165&gt;0),VLOOKUP(N159&amp;O165&amp;N160,I:J,2,FALSE),""))))</f>
        <v>B2621</v>
      </c>
      <c r="U165" s="287"/>
      <c r="V165" s="107" t="str">
        <f>IF(T165&lt;&gt;"",CONCATENATE(VLOOKUP(T165,[2]zawodnicy!$A$1:$E$65536,2,FALSE)," ",VLOOKUP(T165,[2]zawodnicy!$A$1:$E$65536,3,FALSE)," - ",VLOOKUP(T165,[2]zawodnicy!$A$1:$E$65536,4,FALSE)),"")</f>
        <v>Mateusz BIERNACKI - UKS Hubal Białystok</v>
      </c>
      <c r="W165" s="108">
        <v>205</v>
      </c>
      <c r="X165" s="231" t="str">
        <f>IF(ISBLANK(W165),IF(AND(LEN(T165)&gt;0,LEN(T166)=0),VLOOKUP(T165,[2]zawodnicy!$A$1:$E$65536,3,FALSE),IF(AND(LEN(T166)&gt;0,LEN(T165)=0),VLOOKUP(T166,[2]zawodnicy!$A$1:$E$65536,3,FALSE),"")),IF((VLOOKUP(W165,'[2]plan gier'!$X$1:$AF$65536,7,FALSE))="","",VLOOKUP(VLOOKUP(W165,'[2]plan gier'!$X$1:$AF$65536,7,FALSE),[2]zawodnicy!$A$1:$E$65536,3,FALSE)))</f>
        <v>BIERNACKI</v>
      </c>
      <c r="Y165" s="232"/>
      <c r="Z165" s="233"/>
      <c r="AA165" s="10"/>
      <c r="AB165" s="10"/>
      <c r="AC165" s="117"/>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row>
    <row r="166" spans="1:63" ht="11.45" customHeight="1" x14ac:dyDescent="0.2">
      <c r="J166" s="103"/>
      <c r="N166" s="104"/>
      <c r="O166" s="109">
        <f>IF(P166="","",MAX(O161:O165)+1)</f>
        <v>3</v>
      </c>
      <c r="P166" s="106">
        <f>IF(O159&gt;5,13,"")</f>
        <v>13</v>
      </c>
      <c r="Q166" s="5">
        <f>O166</f>
        <v>3</v>
      </c>
      <c r="T166" s="286" t="str">
        <f>UPPER(IF(O166="","",IF(ISTEXT(N166),N166,IF(AND(N159&gt;0,O166&gt;0),VLOOKUP(N159&amp;O166&amp;N160,I:J,2,FALSE),""))))</f>
        <v>S2695</v>
      </c>
      <c r="U166" s="287"/>
      <c r="V166" s="107" t="str">
        <f>IF(T166&lt;&gt;"",CONCATENATE(VLOOKUP(T166,[2]zawodnicy!$A$1:$E$65536,2,FALSE)," ",VLOOKUP(T166,[2]zawodnicy!$A$1:$E$65536,3,FALSE)," - ",VLOOKUP(T166,[2]zawodnicy!$A$1:$E$65536,4,FALSE)),"")</f>
        <v>Przemysław SZYDŁOWSKI - LKS Technik Głubczyce</v>
      </c>
      <c r="W166" s="110"/>
      <c r="X166" s="228" t="str">
        <f>IF(ISBLANK(W165),"",IF((VLOOKUP(W165,'[2]plan gier'!$X$1:$AF$65536,7,FALSE))="",L165,VLOOKUP(W165,'[2]plan gier'!$X$1:$AF$65536,9,FALSE)))</f>
        <v>21:11,21:10</v>
      </c>
      <c r="Y166" s="229"/>
      <c r="Z166" s="229"/>
      <c r="AA166" s="10"/>
      <c r="AB166" s="10"/>
      <c r="AC166" s="117"/>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row>
    <row r="167" spans="1:63" ht="11.45" customHeight="1" x14ac:dyDescent="0.2">
      <c r="A167" s="118">
        <f>AC167</f>
        <v>243</v>
      </c>
      <c r="B167" s="2" t="str">
        <f>F163</f>
        <v>W2914</v>
      </c>
      <c r="D167" s="2" t="str">
        <f>F171</f>
        <v>J3112</v>
      </c>
      <c r="F167" s="2" t="str">
        <f>IF(A167=0,IF(AND(LEN(B167)&gt;0,LEN(D167)=0),B167,IF(AND(LEN(D167)&gt;0,LEN(B167)=0),D167,"")),IF((VLOOKUP(A167,'[2]plan gier'!$X$1:$AF$65536,7,FALSE))="","",VLOOKUP(VLOOKUP(A167,'[2]plan gier'!$X$1:$AF$65536,7,FALSE),[2]zawodnicy!$A$1:$E$65536,1,FALSE)))</f>
        <v>W2914</v>
      </c>
      <c r="H167" s="2" t="str">
        <f>IF(A167=0,"",IF((VLOOKUP(A167,'[2]plan gier'!$X$1:$AF$65536,7,FALSE))="","",VLOOKUP(A167,'[2]plan gier'!$X$1:$AF$65536,9,FALSE)))</f>
        <v>23:21,12:21,21:18</v>
      </c>
      <c r="J167" s="103"/>
      <c r="L167" s="43" t="str">
        <f>IF(A167=0,"",IF(VLOOKUP(A167,'[2]plan gier'!A$1:S$65536,19,FALSE)="","",VLOOKUP(A167,'[2]plan gier'!A$1:S$65536,19,FALSE)))</f>
        <v>nie 12:30</v>
      </c>
      <c r="M167" s="2" t="str">
        <f>N160</f>
        <v>pojedyncza mężczyzn J</v>
      </c>
      <c r="N167" s="95"/>
      <c r="O167" s="112"/>
      <c r="P167" s="106"/>
      <c r="T167" s="9"/>
      <c r="U167" s="113"/>
      <c r="V167" s="114"/>
      <c r="W167" s="2"/>
      <c r="X167" s="10"/>
      <c r="Y167" s="2"/>
      <c r="Z167" s="2"/>
      <c r="AA167" s="10"/>
      <c r="AB167" s="10"/>
      <c r="AC167" s="115">
        <v>243</v>
      </c>
      <c r="AD167" s="232" t="str">
        <f>IF(ISBLANK(AC167),IF(AND(LEN(AA163)&gt;0,LEN(AA171)=0),AA163,IF(AND(LEN(AA171)&gt;0,LEN(AA163)=0),AA171,"")),IF((VLOOKUP(AC167,'[2]plan gier'!$X$1:$AF$65536,7,FALSE))="","",VLOOKUP(VLOOKUP(AC167,'[2]plan gier'!$X$1:$AF$65536,7,FALSE),[2]zawodnicy!$A$1:$E$65536,3,FALSE)))</f>
        <v>WASILUK</v>
      </c>
      <c r="AE167" s="232"/>
      <c r="AF167" s="23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row>
    <row r="168" spans="1:63" ht="11.45" customHeight="1" x14ac:dyDescent="0.2">
      <c r="J168" s="103"/>
      <c r="N168" s="95"/>
      <c r="O168" s="112"/>
      <c r="P168" s="106"/>
      <c r="T168" s="9"/>
      <c r="U168" s="113"/>
      <c r="V168" s="114"/>
      <c r="W168" s="2"/>
      <c r="X168" s="10"/>
      <c r="Y168" s="2"/>
      <c r="Z168" s="2"/>
      <c r="AA168" s="10"/>
      <c r="AB168" s="10"/>
      <c r="AC168" s="116"/>
      <c r="AD168" s="237" t="str">
        <f>IF(ISBLANK(AC167),"",IF((VLOOKUP(AC167,'[2]plan gier'!$X$1:$AF$65536,7,FALSE))="",L167,VLOOKUP(AC167,'[2]plan gier'!$X$1:$AF$65536,9,FALSE)))</f>
        <v>23:21,12:21,21:18</v>
      </c>
      <c r="AE168" s="237"/>
      <c r="AF168" s="237"/>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row>
    <row r="169" spans="1:63" ht="11.45" customHeight="1" x14ac:dyDescent="0.2">
      <c r="A169" s="102">
        <f>W169</f>
        <v>206</v>
      </c>
      <c r="B169" s="2" t="str">
        <f>IF(TYPE(T169)=16,"",T169)</f>
        <v>L3566</v>
      </c>
      <c r="D169" s="2" t="str">
        <f>IF(TYPE(T170)=16,"",T170)</f>
        <v>S2973</v>
      </c>
      <c r="F169" s="2" t="str">
        <f>IF(A169=0,IF(AND(LEN(B169)&gt;0,LEN(D169)=0),VLOOKUP(B169,[2]zawodnicy!$A$1:$E$65536,1,FALSE),IF(AND(LEN(D169)&gt;0,LEN(B169)=0),VLOOKUP(D169,[2]zawodnicy!$A$1:$E$65536,1,FALSE),"")),IF((VLOOKUP(A169,'[2]plan gier'!$X$1:$AF$65536,7,FALSE))="","",VLOOKUP(VLOOKUP(A169,'[2]plan gier'!$X$1:$AF$65536,7,FALSE),[2]zawodnicy!$A$1:$E$65536,1,FALSE)))</f>
        <v>L3566</v>
      </c>
      <c r="H169" s="2" t="str">
        <f>IF(A169=0,"",IF((VLOOKUP(A169,'[2]plan gier'!$X$1:$AF$65536,7,FALSE))="","",VLOOKUP(A169,'[2]plan gier'!$X$1:$AF$65536,9,FALSE)))</f>
        <v>21:18,21:17</v>
      </c>
      <c r="J169" s="103"/>
      <c r="L169" s="43" t="str">
        <f>IF(A169=0,"",IF(VLOOKUP(A169,'[2]plan gier'!A$1:S$65536,19,FALSE)="","",VLOOKUP(A169,'[2]plan gier'!A$1:S$65536,19,FALSE)))</f>
        <v>sob 15:30</v>
      </c>
      <c r="M169" s="2" t="str">
        <f>N160</f>
        <v>pojedyncza mężczyzn J</v>
      </c>
      <c r="N169" s="104"/>
      <c r="O169" s="105">
        <f>IF(P169="","",MAX(O161:O168)+1)</f>
        <v>4</v>
      </c>
      <c r="P169" s="106">
        <f>IF(O159&gt;4,20,"")</f>
        <v>20</v>
      </c>
      <c r="Q169" s="5">
        <f>O169</f>
        <v>4</v>
      </c>
      <c r="T169" s="286" t="str">
        <f>UPPER(IF(O169="","",IF(ISTEXT(N169),N169,IF(AND(N159&gt;0,O169&gt;0),VLOOKUP(N159&amp;O169&amp;N160,I:J,2,FALSE),""))))</f>
        <v>L3566</v>
      </c>
      <c r="U169" s="287"/>
      <c r="V169" s="107" t="str">
        <f>IF(T169&lt;&gt;"",CONCATENATE(VLOOKUP(T169,[2]zawodnicy!$A$1:$E$65536,2,FALSE)," ",VLOOKUP(T169,[2]zawodnicy!$A$1:$E$65536,3,FALSE)," - ",VLOOKUP(T169,[2]zawodnicy!$A$1:$E$65536,4,FALSE)),"")</f>
        <v>Paweł LEPIANKA - UKS Kiko Zamość</v>
      </c>
      <c r="W169" s="108">
        <v>206</v>
      </c>
      <c r="X169" s="231" t="str">
        <f>IF(ISBLANK(W169),IF(AND(LEN(T169)&gt;0,LEN(T170)=0),VLOOKUP(T169,[2]zawodnicy!$A$1:$E$65536,3,FALSE),IF(AND(LEN(T170)&gt;0,LEN(T169)=0),VLOOKUP(T170,[2]zawodnicy!$A$1:$E$65536,3,FALSE),"")),IF((VLOOKUP(W169,'[2]plan gier'!$X$1:$AF$65536,7,FALSE))="","",VLOOKUP(VLOOKUP(W169,'[2]plan gier'!$X$1:$AF$65536,7,FALSE),[2]zawodnicy!$A$1:$E$65536,3,FALSE)))</f>
        <v>LEPIANKA</v>
      </c>
      <c r="Y169" s="232"/>
      <c r="Z169" s="232"/>
      <c r="AA169" s="10"/>
      <c r="AB169" s="10"/>
      <c r="AC169" s="117"/>
      <c r="AD169" s="10"/>
      <c r="AE169" s="10"/>
      <c r="AF169" s="10"/>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row>
    <row r="170" spans="1:63" ht="11.45" customHeight="1" x14ac:dyDescent="0.2">
      <c r="J170" s="103"/>
      <c r="N170" s="104"/>
      <c r="O170" s="109">
        <f>IF(P170="","",MAX(O161:O169)+1)</f>
        <v>5</v>
      </c>
      <c r="P170" s="106">
        <f>IF(O159&gt;4,24,"")</f>
        <v>24</v>
      </c>
      <c r="Q170" s="5">
        <f>O170</f>
        <v>5</v>
      </c>
      <c r="T170" s="286" t="str">
        <f>UPPER(IF(O170="","",IF(ISTEXT(N170),N170,IF(AND(N159&gt;0,O170&gt;0),VLOOKUP(N159&amp;O170&amp;N160,I:J,2,FALSE),""))))</f>
        <v>S2973</v>
      </c>
      <c r="U170" s="287"/>
      <c r="V170" s="107" t="str">
        <f>IF(T170&lt;&gt;"",CONCATENATE(VLOOKUP(T170,[2]zawodnicy!$A$1:$E$65536,2,FALSE)," ",VLOOKUP(T170,[2]zawodnicy!$A$1:$E$65536,3,FALSE)," - ",VLOOKUP(T170,[2]zawodnicy!$A$1:$E$65536,4,FALSE)),"")</f>
        <v>Tomasz SAGUN - UKS Hubal Białystok</v>
      </c>
      <c r="W170" s="110"/>
      <c r="X170" s="236" t="str">
        <f>IF(ISBLANK(W169),"",IF((VLOOKUP(W169,'[2]plan gier'!$X$1:$AF$65536,7,FALSE))="",L169,VLOOKUP(W169,'[2]plan gier'!$X$1:$AF$65536,9,FALSE)))</f>
        <v>21:18,21:17</v>
      </c>
      <c r="Y170" s="237"/>
      <c r="Z170" s="240"/>
      <c r="AA170" s="10"/>
      <c r="AB170" s="10"/>
      <c r="AC170" s="117"/>
      <c r="AD170" s="10"/>
      <c r="AE170" s="10"/>
      <c r="AF170" s="10"/>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row>
    <row r="171" spans="1:63" ht="11.45" customHeight="1" x14ac:dyDescent="0.2">
      <c r="A171" s="111">
        <f>Z171</f>
        <v>232</v>
      </c>
      <c r="B171" s="2" t="str">
        <f>F169</f>
        <v>L3566</v>
      </c>
      <c r="D171" s="2" t="str">
        <f>F173</f>
        <v>J3112</v>
      </c>
      <c r="F171" s="2" t="str">
        <f>IF(A171=0,IF(AND(LEN(B171)&gt;0,LEN(D171)=0),B171,IF(AND(LEN(D171)&gt;0,LEN(B171)=0),D171,"")),IF((VLOOKUP(A171,'[2]plan gier'!$X$1:$AF$65536,7,FALSE))="","",VLOOKUP(VLOOKUP(A171,'[2]plan gier'!$X$1:$AF$65536,7,FALSE),[2]zawodnicy!$A$1:$E$65536,1,FALSE)))</f>
        <v>J3112</v>
      </c>
      <c r="H171" s="2" t="str">
        <f>IF(A171=0,"",IF((VLOOKUP(A171,'[2]plan gier'!$X$1:$AF$65536,7,FALSE))="","",VLOOKUP(A171,'[2]plan gier'!$X$1:$AF$65536,9,FALSE)))</f>
        <v>21:10,21:8</v>
      </c>
      <c r="J171" s="103"/>
      <c r="L171" s="43" t="str">
        <f>IF(A171=0,"",IF(VLOOKUP(A171,'[2]plan gier'!A$1:S$65536,19,FALSE)="","",VLOOKUP(A171,'[2]plan gier'!A$1:S$65536,19,FALSE)))</f>
        <v>sob 18:30</v>
      </c>
      <c r="M171" s="2" t="str">
        <f>N160</f>
        <v>pojedyncza mężczyzn J</v>
      </c>
      <c r="N171" s="95"/>
      <c r="O171" s="112"/>
      <c r="P171" s="106"/>
      <c r="T171" s="9"/>
      <c r="U171" s="113"/>
      <c r="V171" s="2"/>
      <c r="W171" s="2"/>
      <c r="X171" s="114"/>
      <c r="Y171" s="10"/>
      <c r="Z171" s="115">
        <v>232</v>
      </c>
      <c r="AA171" s="232" t="str">
        <f>IF(ISBLANK(Z171),IF(AND(LEN(X169)&gt;0,LEN(X173)=0),X169,IF(AND(LEN(X173)&gt;0,LEN(X169)=0),X173,"")),IF((VLOOKUP(Z171,'[2]plan gier'!$X$1:$AF$65536,7,FALSE))="","",VLOOKUP(VLOOKUP(Z171,'[2]plan gier'!$X$1:$AF$65536,7,FALSE),[2]zawodnicy!$A$1:$E$65536,3,FALSE)))</f>
        <v>JAKOWCZUK</v>
      </c>
      <c r="AB171" s="232"/>
      <c r="AC171" s="233"/>
      <c r="AD171" s="10"/>
      <c r="AE171" s="10"/>
      <c r="AF171" s="10"/>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row>
    <row r="172" spans="1:63" ht="11.45" customHeight="1" x14ac:dyDescent="0.2">
      <c r="J172" s="103"/>
      <c r="N172" s="95"/>
      <c r="O172" s="112"/>
      <c r="P172" s="106"/>
      <c r="T172" s="9"/>
      <c r="U172" s="113"/>
      <c r="V172" s="2"/>
      <c r="W172" s="2"/>
      <c r="X172" s="114"/>
      <c r="Y172" s="10"/>
      <c r="Z172" s="116"/>
      <c r="AA172" s="229" t="str">
        <f>IF(ISBLANK(Z171),"",IF((VLOOKUP(Z171,'[2]plan gier'!$X$1:$AF$65536,7,FALSE))="",L171,VLOOKUP(Z171,'[2]plan gier'!$X$1:$AF$65536,9,FALSE)))</f>
        <v>21:10,21:8</v>
      </c>
      <c r="AB172" s="229"/>
      <c r="AC172" s="229"/>
      <c r="AD172" s="10"/>
      <c r="AE172" s="10"/>
      <c r="AF172" s="10"/>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row>
    <row r="173" spans="1:63" ht="11.45" customHeight="1" x14ac:dyDescent="0.2">
      <c r="A173" s="102">
        <f>W173</f>
        <v>0</v>
      </c>
      <c r="B173" s="2" t="str">
        <f>IF(TYPE(T173)=16,"",T173)</f>
        <v/>
      </c>
      <c r="D173" s="2" t="str">
        <f>IF(TYPE(T174)=16,"",T174)</f>
        <v>J3112</v>
      </c>
      <c r="F173" s="2" t="str">
        <f>IF(A173=0,IF(AND(LEN(B173)&gt;0,LEN(D173)=0),VLOOKUP(B173,[2]zawodnicy!$A$1:$E$65536,1,FALSE),IF(AND(LEN(D173)&gt;0,LEN(B173)=0),VLOOKUP(D173,[2]zawodnicy!$A$1:$E$65536,1,FALSE),"")),IF((VLOOKUP(A173,'[2]plan gier'!$X$1:$AF$65536,7,FALSE))="","",VLOOKUP(VLOOKUP(A173,'[2]plan gier'!$X$1:$AF$65536,7,FALSE),[2]zawodnicy!$A$1:$E$65536,1,FALSE)))</f>
        <v>J3112</v>
      </c>
      <c r="H173" s="2" t="str">
        <f>IF(A173=0,"",IF((VLOOKUP(A173,'[2]plan gier'!$X$1:$AF$65536,7,FALSE))="","",VLOOKUP(A173,'[2]plan gier'!$X$1:$AF$65536,9,FALSE)))</f>
        <v/>
      </c>
      <c r="J173" s="103"/>
      <c r="L173" s="43" t="str">
        <f>IF(A173=0,"",IF(VLOOKUP(A173,'[2]plan gier'!A$1:S$65536,19,FALSE)="","",VLOOKUP(A173,'[2]plan gier'!A$1:S$65536,19,FALSE)))</f>
        <v/>
      </c>
      <c r="M173" s="2" t="str">
        <f>N160</f>
        <v>pojedyncza mężczyzn J</v>
      </c>
      <c r="N173" s="104"/>
      <c r="O173" s="105" t="str">
        <f>IF(P173="","",MAX(O161:O172)+1)</f>
        <v/>
      </c>
      <c r="P173" s="106" t="str">
        <f>IF(O159&gt;6,28,"")</f>
        <v/>
      </c>
      <c r="Q173" s="5" t="str">
        <f>O173</f>
        <v/>
      </c>
      <c r="T173" s="286" t="str">
        <f>UPPER(IF(O173="","",IF(ISTEXT(N173),N173,IF(AND(N159&gt;0,O173&gt;0),VLOOKUP(N159&amp;O173&amp;N160,I:J,2,FALSE),""))))</f>
        <v/>
      </c>
      <c r="U173" s="287"/>
      <c r="V173" s="107" t="str">
        <f>IF(T173&lt;&gt;"",CONCATENATE(VLOOKUP(T173,[2]zawodnicy!$A$1:$E$65536,2,FALSE)," ",VLOOKUP(T173,[2]zawodnicy!$A$1:$E$65536,3,FALSE)," - ",VLOOKUP(T173,[2]zawodnicy!$A$1:$E$65536,4,FALSE)),"")</f>
        <v/>
      </c>
      <c r="W173" s="108"/>
      <c r="X173" s="231" t="str">
        <f>IF(ISBLANK(W173),IF(AND(LEN(T173)&gt;0,LEN(T174)=0),VLOOKUP(T173,[2]zawodnicy!$A$1:$E$65536,3,FALSE),IF(AND(LEN(T174)&gt;0,LEN(T173)=0),VLOOKUP(T174,[2]zawodnicy!$A$1:$E$65536,3,FALSE),"")),IF((VLOOKUP(W173,'[2]plan gier'!$X$1:$AF$65536,7,FALSE))="","",VLOOKUP(VLOOKUP(W173,'[2]plan gier'!$X$1:$AF$65536,7,FALSE),[2]zawodnicy!$A$1:$E$65536,3,FALSE)))</f>
        <v>JAKOWCZUK</v>
      </c>
      <c r="Y173" s="232"/>
      <c r="Z173" s="233"/>
      <c r="AA173" s="2"/>
      <c r="AB173" s="2"/>
      <c r="AC173" s="2"/>
      <c r="AD173" s="114"/>
      <c r="AE173" s="114"/>
      <c r="AF173" s="114"/>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row>
    <row r="174" spans="1:63" ht="11.45" customHeight="1" x14ac:dyDescent="0.2">
      <c r="J174" s="103"/>
      <c r="N174" s="104"/>
      <c r="O174" s="109">
        <f>IF(P174="","",MAX(O161:O173)+1)</f>
        <v>6</v>
      </c>
      <c r="P174" s="106">
        <f>IF(O159&gt;4,32,"")</f>
        <v>32</v>
      </c>
      <c r="Q174" s="5">
        <f>O174</f>
        <v>6</v>
      </c>
      <c r="T174" s="286" t="str">
        <f>UPPER(IF(O174="","",IF(ISTEXT(N174),N174,IF(AND(N159&gt;0,O174&gt;0),VLOOKUP(N159&amp;O174&amp;N160,I:J,2,FALSE),""))))</f>
        <v>J3112</v>
      </c>
      <c r="U174" s="287"/>
      <c r="V174" s="107" t="str">
        <f>IF(T174&lt;&gt;"",CONCATENATE(VLOOKUP(T174,[2]zawodnicy!$A$1:$E$65536,2,FALSE)," ",VLOOKUP(T174,[2]zawodnicy!$A$1:$E$65536,3,FALSE)," - ",VLOOKUP(T174,[2]zawodnicy!$A$1:$E$65536,4,FALSE)),"")</f>
        <v>Krzysztof JAKOWCZUK - UKS Hubal Białystok</v>
      </c>
      <c r="W174" s="110"/>
      <c r="X174" s="228" t="str">
        <f>IF(ISBLANK(W173),"",IF((VLOOKUP(W173,'[2]plan gier'!$X$1:$AF$65536,7,FALSE))="",L173,VLOOKUP(W173,'[2]plan gier'!$X$1:$AF$65536,9,FALSE)))</f>
        <v/>
      </c>
      <c r="Y174" s="229"/>
      <c r="Z174" s="229"/>
      <c r="AA174" s="2"/>
      <c r="AB174" s="2"/>
      <c r="AC174" s="2"/>
      <c r="AD174" s="10"/>
      <c r="AE174" s="10"/>
      <c r="AF174" s="10"/>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row>
    <row r="176" spans="1:63" ht="11.45" customHeight="1" x14ac:dyDescent="0.2">
      <c r="M176" s="16"/>
      <c r="N176" s="17" t="s">
        <v>54</v>
      </c>
      <c r="Q176" s="5" t="s">
        <v>55</v>
      </c>
      <c r="R176" s="18"/>
      <c r="S176" s="18"/>
      <c r="T176" s="277" t="str">
        <f>"Gra "&amp;N176</f>
        <v>Gra podwójna kobiet J</v>
      </c>
      <c r="U176" s="277"/>
      <c r="V176" s="277"/>
      <c r="W176" s="277"/>
      <c r="X176" s="277"/>
      <c r="Y176" s="277"/>
      <c r="Z176" s="277"/>
      <c r="AA176" s="277"/>
      <c r="AB176" s="277"/>
      <c r="AC176" s="277"/>
      <c r="AD176" s="277"/>
      <c r="AE176" s="18"/>
    </row>
    <row r="177" spans="1:64" ht="11.45" customHeight="1" thickBot="1" x14ac:dyDescent="0.25"/>
    <row r="178" spans="1:64" ht="11.45" customHeight="1" thickBot="1" x14ac:dyDescent="0.25">
      <c r="N178" s="11"/>
      <c r="O178" s="21">
        <v>1</v>
      </c>
      <c r="Q178" s="277" t="str">
        <f>"Grupa "&amp;O178&amp;"."</f>
        <v>Grupa 1.</v>
      </c>
      <c r="R178" s="277"/>
      <c r="S178" s="277"/>
      <c r="T178" s="22" t="s">
        <v>1</v>
      </c>
      <c r="U178" s="278" t="s">
        <v>2</v>
      </c>
      <c r="V178" s="279"/>
      <c r="W178" s="280"/>
      <c r="X178" s="22">
        <v>1</v>
      </c>
      <c r="Y178" s="23">
        <v>2</v>
      </c>
      <c r="Z178" s="24">
        <v>3</v>
      </c>
      <c r="AA178" s="25" t="s">
        <v>3</v>
      </c>
      <c r="AB178" s="26" t="s">
        <v>4</v>
      </c>
      <c r="AC178" s="26" t="s">
        <v>5</v>
      </c>
      <c r="AD178" s="27" t="s">
        <v>6</v>
      </c>
      <c r="AE178" s="2"/>
      <c r="AF178" s="12"/>
      <c r="AG178" s="12"/>
      <c r="BK178" s="19"/>
      <c r="BL178" s="20"/>
    </row>
    <row r="179" spans="1:64" ht="11.45" customHeight="1" x14ac:dyDescent="0.2">
      <c r="J179" s="28"/>
      <c r="K179" s="28"/>
      <c r="L179" s="28"/>
      <c r="N179" s="29" t="s">
        <v>54</v>
      </c>
      <c r="Q179" s="274" t="s">
        <v>7</v>
      </c>
      <c r="R179" s="274"/>
      <c r="S179" s="275" t="s">
        <v>8</v>
      </c>
      <c r="T179" s="276">
        <v>1</v>
      </c>
      <c r="U179" s="244" t="str">
        <f>IF(AND(N180&lt;&gt;"",N181&lt;&gt;""),CONCATENATE(VLOOKUP(N180,[2]zawodnicy!$A$1:$E$65536,1,FALSE)," ",VLOOKUP(N180,[2]zawodnicy!$A$1:$E$65536,2,FALSE)," ",VLOOKUP(N180,[2]zawodnicy!$A$1:$E$65536,3,FALSE)," - ",VLOOKUP(N180,[2]zawodnicy!$A$1:$E$65536,4,FALSE)),"")</f>
        <v>G3560 Daria GUJSKA - UKS Kiko Zamość</v>
      </c>
      <c r="V179" s="245"/>
      <c r="W179" s="246"/>
      <c r="X179" s="30"/>
      <c r="Y179" s="31" t="str">
        <f>IF(SUM(AO184:AP184)=0,"",AO184&amp;":"&amp;AP184)</f>
        <v>19:21</v>
      </c>
      <c r="Z179" s="32" t="str">
        <f>IF(SUM(AO182:AP182)=0,"",AO182&amp;":"&amp;AP182)</f>
        <v>21:10</v>
      </c>
      <c r="AA179" s="270" t="str">
        <f>IF(SUM(AY182:BB182)=0,"",BE182&amp;":"&amp;BF182)</f>
        <v>78:62</v>
      </c>
      <c r="AB179" s="271" t="str">
        <f>IF(SUM(AY182:BB182)=0,"",BG182&amp;":"&amp;BH182)</f>
        <v>2:2</v>
      </c>
      <c r="AC179" s="271" t="str">
        <f>IF(SUM(AY182:BB182)=0,"",BI182&amp;":"&amp;BJ182)</f>
        <v>1:1</v>
      </c>
      <c r="AD179" s="272">
        <f>IF(SUM(BI182:BI184)&gt;0,BK182,"")</f>
        <v>2</v>
      </c>
      <c r="AE179" s="2"/>
      <c r="AF179" s="12"/>
      <c r="AG179" s="12"/>
      <c r="AH179" s="14"/>
      <c r="AI179" s="273" t="s">
        <v>9</v>
      </c>
      <c r="AJ179" s="273"/>
      <c r="AK179" s="273"/>
      <c r="AL179" s="273"/>
      <c r="AM179" s="273"/>
      <c r="AN179" s="273"/>
      <c r="AO179" s="273" t="s">
        <v>10</v>
      </c>
      <c r="AP179" s="273"/>
      <c r="AQ179" s="273"/>
      <c r="AR179" s="273"/>
      <c r="AS179" s="273"/>
      <c r="AT179" s="273"/>
      <c r="BK179" s="19"/>
      <c r="BL179" s="20"/>
    </row>
    <row r="180" spans="1:64" ht="11.45" customHeight="1" thickBot="1" x14ac:dyDescent="0.25">
      <c r="I180" s="2" t="str">
        <f>"1"&amp;O178&amp;N179</f>
        <v>11podwójna kobiet J</v>
      </c>
      <c r="J180" s="10" t="str">
        <f>IF(AD179="","",IF(AD179=1,N180,IF(AD182=1,N183,IF(AD185=1,N186,""))))</f>
        <v>M3309</v>
      </c>
      <c r="K180" s="10" t="str">
        <f>IF(AD179="","",IF(AD179=1,N181,IF(AD182=1,N184,IF(AD185=1,N187,""))))</f>
        <v>P2838</v>
      </c>
      <c r="L180" s="10"/>
      <c r="N180" s="33" t="s">
        <v>26</v>
      </c>
      <c r="O180" s="34">
        <f>IF(O178&gt;0,(O178&amp;1)*1,"")</f>
        <v>11</v>
      </c>
      <c r="Q180" s="274"/>
      <c r="R180" s="274"/>
      <c r="S180" s="275"/>
      <c r="T180" s="242"/>
      <c r="U180" s="244" t="str">
        <f>IF(AND(N180&lt;&gt;"",N181=""),CONCATENATE(VLOOKUP(N180,[2]zawodnicy!$A$1:$E$65536,1,FALSE)," ",VLOOKUP(N180,[2]zawodnicy!$A$1:$E$65536,2,FALSE)," ",VLOOKUP(N180,[2]zawodnicy!$A$1:$E$65536,3,FALSE)," - ",VLOOKUP(N180,[2]zawodnicy!$A$1:$E$65536,4,FALSE)),"")</f>
        <v/>
      </c>
      <c r="V180" s="245"/>
      <c r="W180" s="246"/>
      <c r="X180" s="35"/>
      <c r="Y180" s="36" t="str">
        <f>IF(SUM(AQ184:AR184)=0,"",AQ184&amp;":"&amp;AR184)</f>
        <v>17:21</v>
      </c>
      <c r="Z180" s="37" t="str">
        <f>IF(SUM(AQ182:AR182)=0,"",AQ182&amp;":"&amp;AR182)</f>
        <v>21:10</v>
      </c>
      <c r="AA180" s="248"/>
      <c r="AB180" s="251"/>
      <c r="AC180" s="251"/>
      <c r="AD180" s="254"/>
      <c r="AE180" s="2"/>
      <c r="AF180" s="12"/>
      <c r="AG180" s="12"/>
      <c r="AH180" s="14"/>
      <c r="BE180" s="19">
        <f>SUM(BE182:BE184)</f>
        <v>203</v>
      </c>
      <c r="BF180" s="19">
        <f>SUM(BF182:BF184)</f>
        <v>203</v>
      </c>
      <c r="BG180" s="19">
        <f>SUM(BG182:BG184)</f>
        <v>6</v>
      </c>
      <c r="BH180" s="19">
        <f>SUM(BH182:BH184)</f>
        <v>6</v>
      </c>
      <c r="BK180" s="19"/>
      <c r="BL180" s="20"/>
    </row>
    <row r="181" spans="1:64" ht="11.45" customHeight="1" thickBot="1" x14ac:dyDescent="0.25">
      <c r="J181" s="10"/>
      <c r="K181" s="28"/>
      <c r="L181" s="28"/>
      <c r="N181" s="38" t="s">
        <v>56</v>
      </c>
      <c r="O181" s="28"/>
      <c r="P181" s="28"/>
      <c r="Q181" s="274"/>
      <c r="R181" s="274"/>
      <c r="S181" s="275"/>
      <c r="T181" s="261"/>
      <c r="U181" s="265" t="str">
        <f>IF(N181&lt;&gt;"",CONCATENATE(VLOOKUP(N181,[2]zawodnicy!$A$1:$E$65536,1,FALSE)," ",VLOOKUP(N181,[2]zawodnicy!$A$1:$E$65536,2,FALSE)," ",VLOOKUP(N181,[2]zawodnicy!$A$1:$E$65536,3,FALSE)," - ",VLOOKUP(N181,[2]zawodnicy!$A$1:$E$65536,4,FALSE)),"")</f>
        <v>P3555 Kinga PALONKA - UKS Kiko Zamość</v>
      </c>
      <c r="V181" s="266"/>
      <c r="W181" s="267"/>
      <c r="X181" s="35"/>
      <c r="Y181" s="39" t="str">
        <f>IF(SUM(AS184:AT184)=0,"",AS184&amp;":"&amp;AT184)</f>
        <v/>
      </c>
      <c r="Z181" s="40" t="str">
        <f>IF(SUM(AS182:AT182)=0,"",AS182&amp;":"&amp;AT182)</f>
        <v/>
      </c>
      <c r="AA181" s="262"/>
      <c r="AB181" s="263"/>
      <c r="AC181" s="263"/>
      <c r="AD181" s="264"/>
      <c r="AE181" s="2"/>
      <c r="AF181" s="12"/>
      <c r="AG181" s="12"/>
      <c r="AH181" s="14"/>
      <c r="AI181" s="259" t="s">
        <v>12</v>
      </c>
      <c r="AJ181" s="269"/>
      <c r="AK181" s="268" t="s">
        <v>13</v>
      </c>
      <c r="AL181" s="269"/>
      <c r="AM181" s="268" t="s">
        <v>14</v>
      </c>
      <c r="AN181" s="260"/>
      <c r="AO181" s="259" t="s">
        <v>12</v>
      </c>
      <c r="AP181" s="269"/>
      <c r="AQ181" s="268" t="s">
        <v>13</v>
      </c>
      <c r="AR181" s="269"/>
      <c r="AS181" s="268" t="s">
        <v>14</v>
      </c>
      <c r="AT181" s="269"/>
      <c r="AU181" s="12"/>
      <c r="AV181" s="12"/>
      <c r="AW181" s="259">
        <v>1</v>
      </c>
      <c r="AX181" s="269"/>
      <c r="AY181" s="268">
        <v>2</v>
      </c>
      <c r="AZ181" s="269"/>
      <c r="BA181" s="268">
        <v>3</v>
      </c>
      <c r="BB181" s="260"/>
      <c r="BE181" s="259" t="s">
        <v>3</v>
      </c>
      <c r="BF181" s="260"/>
      <c r="BG181" s="259" t="s">
        <v>4</v>
      </c>
      <c r="BH181" s="260"/>
      <c r="BI181" s="259" t="s">
        <v>5</v>
      </c>
      <c r="BJ181" s="260"/>
      <c r="BK181" s="41" t="s">
        <v>6</v>
      </c>
      <c r="BL181" s="20"/>
    </row>
    <row r="182" spans="1:64" ht="11.45" customHeight="1" x14ac:dyDescent="0.2">
      <c r="A182" s="19">
        <f>S182</f>
        <v>47</v>
      </c>
      <c r="B182" s="2" t="str">
        <f>IF(N180="","",N180)</f>
        <v>G3560</v>
      </c>
      <c r="C182" s="2" t="str">
        <f>IF(N181="","",N181)</f>
        <v>P3555</v>
      </c>
      <c r="D182" s="2" t="str">
        <f>IF(N186="","",N186)</f>
        <v>Ł4427</v>
      </c>
      <c r="E182" s="2" t="str">
        <f>IF(N187="","",N187)</f>
        <v>X57</v>
      </c>
      <c r="I182" s="2" t="str">
        <f>"2"&amp;O178&amp;N179</f>
        <v>21podwójna kobiet J</v>
      </c>
      <c r="J182" s="10" t="str">
        <f>IF(AD182="","",IF(AD179=2,N180,IF(AD182=2,N183,IF(AD185=2,N186,""))))</f>
        <v>G3560</v>
      </c>
      <c r="K182" s="10" t="str">
        <f>IF(AD182="","",IF(AD179=2,N181,IF(AD182=2,N184,IF(AD185=2,N187,""))))</f>
        <v>P3555</v>
      </c>
      <c r="M182" s="42" t="str">
        <f>N179</f>
        <v>podwójna kobiet J</v>
      </c>
      <c r="O182" s="28"/>
      <c r="P182" s="28"/>
      <c r="Q182" s="43" t="str">
        <f>IF(AU182&gt;0,"",IF(A182=0,"",IF(VLOOKUP(A182,'[2]plan gier'!A$1:S$65536,19,FALSE)="","",VLOOKUP(A182,'[2]plan gier'!A$1:S$65536,19,FALSE))))</f>
        <v/>
      </c>
      <c r="R182" s="44" t="s">
        <v>15</v>
      </c>
      <c r="S182" s="45">
        <v>47</v>
      </c>
      <c r="T182" s="241">
        <v>2</v>
      </c>
      <c r="U182" s="244" t="str">
        <f>IF(AND(N183&lt;&gt;"",N184&lt;&gt;""),CONCATENATE(VLOOKUP(N183,[2]zawodnicy!$A$1:$E$65536,1,FALSE)," ",VLOOKUP(N183,[2]zawodnicy!$A$1:$E$65536,2,FALSE)," ",VLOOKUP(N183,[2]zawodnicy!$A$1:$E$65536,3,FALSE)," - ",VLOOKUP(N183,[2]zawodnicy!$A$1:$E$65536,4,FALSE)),"")</f>
        <v>M3309 Edyta MIETŁA - MKS Spartakus Niepołomice</v>
      </c>
      <c r="V182" s="245"/>
      <c r="W182" s="246"/>
      <c r="X182" s="46" t="str">
        <f>IF(SUM(AO184:AP184)=0,"",AP184&amp;":"&amp;AO184)</f>
        <v>21:19</v>
      </c>
      <c r="Y182" s="47"/>
      <c r="Z182" s="48" t="str">
        <f>IF(SUM(AO183:AP183)=0,"",AO183&amp;":"&amp;AP183)</f>
        <v>21:12</v>
      </c>
      <c r="AA182" s="247" t="str">
        <f>IF(SUM(AW183:AX183,BA183:BB183)=0,"",BE183&amp;":"&amp;BF183)</f>
        <v>84:57</v>
      </c>
      <c r="AB182" s="250" t="str">
        <f>IF(SUM(AW183:AX183,BA183:BB183)=0,"",BG183&amp;":"&amp;BH183)</f>
        <v>4:0</v>
      </c>
      <c r="AC182" s="250" t="str">
        <f>IF(SUM(AW183:AX183,BA183:BB183)=0,"",BI183&amp;":"&amp;BJ183)</f>
        <v>2:0</v>
      </c>
      <c r="AD182" s="253">
        <f>IF(SUM(BI182:BI184)&gt;0,BK183,"")</f>
        <v>1</v>
      </c>
      <c r="AE182" s="2"/>
      <c r="AF182" s="12"/>
      <c r="AG182" s="12"/>
      <c r="AH182" s="44" t="s">
        <v>15</v>
      </c>
      <c r="AI182" s="49">
        <f>IF(ISBLANK(S182),"",VLOOKUP(S182,'[2]plan gier'!$X$1:$AN$65536,12,FALSE))</f>
        <v>21</v>
      </c>
      <c r="AJ182" s="50">
        <f>IF(ISBLANK(S182),"",VLOOKUP(S182,'[2]plan gier'!$X$1:$AN$65536,13,FALSE))</f>
        <v>10</v>
      </c>
      <c r="AK182" s="50">
        <f>IF(ISBLANK(S182),"",VLOOKUP(S182,'[2]plan gier'!$X$1:$AN$65536,14,FALSE))</f>
        <v>21</v>
      </c>
      <c r="AL182" s="50">
        <f>IF(ISBLANK(S182),"",VLOOKUP(S182,'[2]plan gier'!$X$1:$AN$65536,15,FALSE))</f>
        <v>10</v>
      </c>
      <c r="AM182" s="50">
        <f>IF(ISBLANK(S182),"",VLOOKUP(S182,'[2]plan gier'!$X$1:$AN$65536,16,FALSE))</f>
        <v>0</v>
      </c>
      <c r="AN182" s="50">
        <f>IF(ISBLANK(S182),"",VLOOKUP(S182,'[2]plan gier'!$X$1:$AN$65536,17,FALSE))</f>
        <v>0</v>
      </c>
      <c r="AO182" s="51">
        <f t="shared" ref="AO182:AT184" si="12">IF(AI182="",0,AI182)</f>
        <v>21</v>
      </c>
      <c r="AP182" s="52">
        <f t="shared" si="12"/>
        <v>10</v>
      </c>
      <c r="AQ182" s="53">
        <f t="shared" si="12"/>
        <v>21</v>
      </c>
      <c r="AR182" s="52">
        <f t="shared" si="12"/>
        <v>10</v>
      </c>
      <c r="AS182" s="53">
        <f t="shared" si="12"/>
        <v>0</v>
      </c>
      <c r="AT182" s="52">
        <f t="shared" si="12"/>
        <v>0</v>
      </c>
      <c r="AU182" s="54">
        <f>SUM(AO182:AT182)</f>
        <v>62</v>
      </c>
      <c r="AV182" s="13">
        <v>1</v>
      </c>
      <c r="AW182" s="55"/>
      <c r="AX182" s="56"/>
      <c r="AY182" s="50">
        <f>IF(AI184&gt;AJ184,1,0)+IF(AK184&gt;AL184,1,0)+IF(AM184&gt;AN184,1,0)</f>
        <v>0</v>
      </c>
      <c r="AZ182" s="50">
        <f>AW183</f>
        <v>2</v>
      </c>
      <c r="BA182" s="50">
        <f>IF(AI182&gt;AJ182,1,0)+IF(AK182&gt;AL182,1,0)+IF(AM182&gt;AN182,1,0)</f>
        <v>2</v>
      </c>
      <c r="BB182" s="57">
        <f>AW184</f>
        <v>0</v>
      </c>
      <c r="BE182" s="49">
        <f>AO182+AQ182+AS182+AO184+AQ184+AS184</f>
        <v>78</v>
      </c>
      <c r="BF182" s="57">
        <f>AP182+AR182+AT182+AP184+AR184+AT184</f>
        <v>62</v>
      </c>
      <c r="BG182" s="49">
        <f>AY182+BA182</f>
        <v>2</v>
      </c>
      <c r="BH182" s="57">
        <f>AZ182+BB182</f>
        <v>2</v>
      </c>
      <c r="BI182" s="49">
        <f>IF(AY182&gt;AZ182,1,0)+IF(BA182&gt;BB182,1,0)</f>
        <v>1</v>
      </c>
      <c r="BJ182" s="58">
        <f>IF(AZ182&gt;AY182,1,0)+IF(BB182&gt;BA182,1,0)</f>
        <v>1</v>
      </c>
      <c r="BK182" s="59">
        <f>IF(BI182+BJ182=0,"",IF(BL182=MAX(BL182:BL184),1,IF(BL182=MIN(BL182:BL184),3,2)))</f>
        <v>2</v>
      </c>
      <c r="BL182" s="60">
        <f>IF(BI182+BJ182&lt;&gt;0,BI182+1+(BG182-BH182)/100+(BE182-BF182)/100000+(BE182/BF182)/1000000,0)</f>
        <v>2.0001612580645163</v>
      </c>
    </row>
    <row r="183" spans="1:64" ht="11.45" customHeight="1" x14ac:dyDescent="0.2">
      <c r="A183" s="19">
        <f>S183</f>
        <v>112</v>
      </c>
      <c r="B183" s="2" t="str">
        <f>IF(N183="","",N183)</f>
        <v>M3309</v>
      </c>
      <c r="C183" s="2" t="str">
        <f>IF(N184="","",N184)</f>
        <v>P2838</v>
      </c>
      <c r="D183" s="2" t="str">
        <f>IF(N186="","",N186)</f>
        <v>Ł4427</v>
      </c>
      <c r="E183" s="2" t="str">
        <f>IF(N187="","",N187)</f>
        <v>X57</v>
      </c>
      <c r="J183" s="10"/>
      <c r="K183" s="19"/>
      <c r="M183" s="42" t="str">
        <f>N179</f>
        <v>podwójna kobiet J</v>
      </c>
      <c r="N183" s="33" t="s">
        <v>20</v>
      </c>
      <c r="O183" s="34">
        <f>IF(O178&gt;0,(O178&amp;2)*1,"")</f>
        <v>12</v>
      </c>
      <c r="Q183" s="43" t="str">
        <f>IF(AU183&gt;0,"",IF(A183=0,"",IF(VLOOKUP(A183,'[2]plan gier'!A$1:S$65536,19,FALSE)="","",VLOOKUP(A183,'[2]plan gier'!A$1:S$65536,19,FALSE))))</f>
        <v/>
      </c>
      <c r="R183" s="44" t="s">
        <v>17</v>
      </c>
      <c r="S183" s="45">
        <v>112</v>
      </c>
      <c r="T183" s="242"/>
      <c r="U183" s="244" t="str">
        <f>IF(AND(N183&lt;&gt;"",N184=""),CONCATENATE(VLOOKUP(N183,[2]zawodnicy!$A$1:$E$65536,1,FALSE)," ",VLOOKUP(N183,[2]zawodnicy!$A$1:$E$65536,2,FALSE)," ",VLOOKUP(N183,[2]zawodnicy!$A$1:$E$65536,3,FALSE)," - ",VLOOKUP(N183,[2]zawodnicy!$A$1:$E$65536,4,FALSE)),"")</f>
        <v/>
      </c>
      <c r="V183" s="245"/>
      <c r="W183" s="246"/>
      <c r="X183" s="61" t="str">
        <f>IF(SUM(AQ184:AR184)=0,"",AR184&amp;":"&amp;AQ184)</f>
        <v>21:17</v>
      </c>
      <c r="Y183" s="62"/>
      <c r="Z183" s="37" t="str">
        <f>IF(SUM(AQ183:AR183)=0,"",AQ183&amp;":"&amp;AR183)</f>
        <v>21:9</v>
      </c>
      <c r="AA183" s="248"/>
      <c r="AB183" s="251"/>
      <c r="AC183" s="251"/>
      <c r="AD183" s="254"/>
      <c r="AE183" s="2"/>
      <c r="AF183" s="12"/>
      <c r="AG183" s="12"/>
      <c r="AH183" s="44" t="s">
        <v>17</v>
      </c>
      <c r="AI183" s="63">
        <f>IF(ISBLANK(S183),"",VLOOKUP(S183,'[2]plan gier'!$X$1:$AN$65536,12,FALSE))</f>
        <v>21</v>
      </c>
      <c r="AJ183" s="64">
        <f>IF(ISBLANK(S183),"",VLOOKUP(S183,'[2]plan gier'!$X$1:$AN$65536,13,FALSE))</f>
        <v>12</v>
      </c>
      <c r="AK183" s="64">
        <f>IF(ISBLANK(S183),"",VLOOKUP(S183,'[2]plan gier'!$X$1:$AN$65536,14,FALSE))</f>
        <v>21</v>
      </c>
      <c r="AL183" s="64">
        <f>IF(ISBLANK(S183),"",VLOOKUP(S183,'[2]plan gier'!$X$1:$AN$65536,15,FALSE))</f>
        <v>9</v>
      </c>
      <c r="AM183" s="64">
        <f>IF(ISBLANK(S183),"",VLOOKUP(S183,'[2]plan gier'!$X$1:$AN$65536,16,FALSE))</f>
        <v>0</v>
      </c>
      <c r="AN183" s="64">
        <f>IF(ISBLANK(S183),"",VLOOKUP(S183,'[2]plan gier'!$X$1:$AN$65536,17,FALSE))</f>
        <v>0</v>
      </c>
      <c r="AO183" s="65">
        <f t="shared" si="12"/>
        <v>21</v>
      </c>
      <c r="AP183" s="64">
        <f t="shared" si="12"/>
        <v>12</v>
      </c>
      <c r="AQ183" s="66">
        <f t="shared" si="12"/>
        <v>21</v>
      </c>
      <c r="AR183" s="64">
        <f t="shared" si="12"/>
        <v>9</v>
      </c>
      <c r="AS183" s="66">
        <f t="shared" si="12"/>
        <v>0</v>
      </c>
      <c r="AT183" s="64">
        <f t="shared" si="12"/>
        <v>0</v>
      </c>
      <c r="AU183" s="54">
        <f>SUM(AO183:AT183)</f>
        <v>63</v>
      </c>
      <c r="AV183" s="13">
        <v>2</v>
      </c>
      <c r="AW183" s="63">
        <f>IF(AI184&lt;AJ184,1,0)+IF(AK184&lt;AL184,1,0)+IF(AM184&lt;AN184,1,0)</f>
        <v>2</v>
      </c>
      <c r="AX183" s="64">
        <f>AY182</f>
        <v>0</v>
      </c>
      <c r="AY183" s="67"/>
      <c r="AZ183" s="68"/>
      <c r="BA183" s="64">
        <f>IF(AI183&gt;AJ183,1,0)+IF(AK183&gt;AL183,1,0)+IF(AM183&gt;AN183,1,0)</f>
        <v>2</v>
      </c>
      <c r="BB183" s="69">
        <f>AY184</f>
        <v>0</v>
      </c>
      <c r="BE183" s="63">
        <f>AO183+AQ183+AS183+AP184+AR184+AT184</f>
        <v>84</v>
      </c>
      <c r="BF183" s="69">
        <f>AP183+AR183+AT183+AO184+AQ184+AS184</f>
        <v>57</v>
      </c>
      <c r="BG183" s="63">
        <f>AW183+BA183</f>
        <v>4</v>
      </c>
      <c r="BH183" s="69">
        <f>AX183+BB183</f>
        <v>0</v>
      </c>
      <c r="BI183" s="63">
        <f>IF(AW183&gt;AX183,1,0)+IF(BA183&gt;BB183,1,0)</f>
        <v>2</v>
      </c>
      <c r="BJ183" s="70">
        <f>IF(AX183&gt;AW183,1,0)+IF(BB183&gt;BA183,1,0)</f>
        <v>0</v>
      </c>
      <c r="BK183" s="71">
        <f>IF(BI183+BJ183=0,"",IF(BL183=MAX(BL182:BL184),1,IF(BL183=MIN(BL182:BL184),3,2)))</f>
        <v>1</v>
      </c>
      <c r="BL183" s="60">
        <f>IF(BI183+BJ183&lt;&gt;0,BI183+1+(BG183-BH183)/100+(BE183-BF183)/100000+(BE183/BF183)/1000000,0)</f>
        <v>3.0402714736842107</v>
      </c>
    </row>
    <row r="184" spans="1:64" ht="11.45" customHeight="1" thickBot="1" x14ac:dyDescent="0.25">
      <c r="A184" s="19">
        <f>S184</f>
        <v>177</v>
      </c>
      <c r="B184" s="2" t="str">
        <f>IF(N180="","",N180)</f>
        <v>G3560</v>
      </c>
      <c r="C184" s="2" t="str">
        <f>IF(N181="","",N181)</f>
        <v>P3555</v>
      </c>
      <c r="D184" s="2" t="str">
        <f>IF(N183="","",N183)</f>
        <v>M3309</v>
      </c>
      <c r="E184" s="2" t="str">
        <f>IF(N184="","",N184)</f>
        <v>P2838</v>
      </c>
      <c r="I184" s="2" t="str">
        <f>"3"&amp;O178&amp;N179</f>
        <v>31podwójna kobiet J</v>
      </c>
      <c r="J184" s="10" t="str">
        <f>IF(AD185="","",IF(AD179=3,N180,IF(AD182=3,N183,IF(AD185=3,N186,""))))</f>
        <v>Ł4427</v>
      </c>
      <c r="K184" s="10" t="str">
        <f>IF(AD185="","",IF(AD179=3,N181,IF(AD182=3,N184,IF(AD185=3,N187,""))))</f>
        <v>X57</v>
      </c>
      <c r="M184" s="42" t="str">
        <f>N179</f>
        <v>podwójna kobiet J</v>
      </c>
      <c r="N184" s="38" t="s">
        <v>30</v>
      </c>
      <c r="O184" s="28"/>
      <c r="P184" s="28"/>
      <c r="Q184" s="43" t="str">
        <f>IF(AU184&gt;0,"",IF(A184=0,"",IF(VLOOKUP(A184,'[2]plan gier'!A$1:S$65536,19,FALSE)="","",VLOOKUP(A184,'[2]plan gier'!A$1:S$65536,19,FALSE))))</f>
        <v/>
      </c>
      <c r="R184" s="72" t="s">
        <v>18</v>
      </c>
      <c r="S184" s="45">
        <v>177</v>
      </c>
      <c r="T184" s="261"/>
      <c r="U184" s="265" t="str">
        <f>IF(N184&lt;&gt;"",CONCATENATE(VLOOKUP(N184,[2]zawodnicy!$A$1:$E$65536,1,FALSE)," ",VLOOKUP(N184,[2]zawodnicy!$A$1:$E$65536,2,FALSE)," ",VLOOKUP(N184,[2]zawodnicy!$A$1:$E$65536,3,FALSE)," - ",VLOOKUP(N184,[2]zawodnicy!$A$1:$E$65536,4,FALSE)),"")</f>
        <v>P2838 Aleksandra PAPRZYCKA - MKB Lednik Miastko</v>
      </c>
      <c r="V184" s="266"/>
      <c r="W184" s="267"/>
      <c r="X184" s="73" t="str">
        <f>IF(SUM(AS184:AT184)=0,"",AT184&amp;":"&amp;AS184)</f>
        <v/>
      </c>
      <c r="Y184" s="62"/>
      <c r="Z184" s="40" t="str">
        <f>IF(SUM(AS183:AT183)=0,"",AS183&amp;":"&amp;AT183)</f>
        <v/>
      </c>
      <c r="AA184" s="262"/>
      <c r="AB184" s="263"/>
      <c r="AC184" s="263"/>
      <c r="AD184" s="264"/>
      <c r="AE184" s="2"/>
      <c r="AF184" s="12"/>
      <c r="AG184" s="12"/>
      <c r="AH184" s="72" t="s">
        <v>18</v>
      </c>
      <c r="AI184" s="74">
        <f>IF(ISBLANK(S184),"",VLOOKUP(S184,'[2]plan gier'!$X$1:$AN$65536,12,FALSE))</f>
        <v>19</v>
      </c>
      <c r="AJ184" s="75">
        <f>IF(ISBLANK(S184),"",VLOOKUP(S184,'[2]plan gier'!$X$1:$AN$65536,13,FALSE))</f>
        <v>21</v>
      </c>
      <c r="AK184" s="75">
        <f>IF(ISBLANK(S184),"",VLOOKUP(S184,'[2]plan gier'!$X$1:$AN$65536,14,FALSE))</f>
        <v>17</v>
      </c>
      <c r="AL184" s="75">
        <f>IF(ISBLANK(S184),"",VLOOKUP(S184,'[2]plan gier'!$X$1:$AN$65536,15,FALSE))</f>
        <v>21</v>
      </c>
      <c r="AM184" s="75">
        <f>IF(ISBLANK(S184),"",VLOOKUP(S184,'[2]plan gier'!$X$1:$AN$65536,16,FALSE))</f>
        <v>0</v>
      </c>
      <c r="AN184" s="75">
        <f>IF(ISBLANK(S184),"",VLOOKUP(S184,'[2]plan gier'!$X$1:$AN$65536,17,FALSE))</f>
        <v>0</v>
      </c>
      <c r="AO184" s="76">
        <f t="shared" si="12"/>
        <v>19</v>
      </c>
      <c r="AP184" s="75">
        <f t="shared" si="12"/>
        <v>21</v>
      </c>
      <c r="AQ184" s="77">
        <f t="shared" si="12"/>
        <v>17</v>
      </c>
      <c r="AR184" s="75">
        <f t="shared" si="12"/>
        <v>21</v>
      </c>
      <c r="AS184" s="77">
        <f t="shared" si="12"/>
        <v>0</v>
      </c>
      <c r="AT184" s="75">
        <f t="shared" si="12"/>
        <v>0</v>
      </c>
      <c r="AU184" s="54">
        <f>SUM(AO184:AT184)</f>
        <v>78</v>
      </c>
      <c r="AV184" s="13">
        <v>3</v>
      </c>
      <c r="AW184" s="74">
        <f>IF(AI182&lt;AJ182,1,0)+IF(AK182&lt;AL182,1,0)+IF(AM182&lt;AN182,1,0)</f>
        <v>0</v>
      </c>
      <c r="AX184" s="75">
        <f>BA182</f>
        <v>2</v>
      </c>
      <c r="AY184" s="75">
        <f>IF(AI183&lt;AJ183,1,0)+IF(AK183&lt;AL183,1,0)+IF(AM183&lt;AN183,1,0)</f>
        <v>0</v>
      </c>
      <c r="AZ184" s="75">
        <f>BA183</f>
        <v>2</v>
      </c>
      <c r="BA184" s="78"/>
      <c r="BB184" s="79"/>
      <c r="BE184" s="74">
        <f>AP182+AR182+AT182+AP183+AR183+AT183</f>
        <v>41</v>
      </c>
      <c r="BF184" s="80">
        <f>AO182+AQ182+AS182+AO183+AQ183+AS183</f>
        <v>84</v>
      </c>
      <c r="BG184" s="74">
        <f>AW184+AY184</f>
        <v>0</v>
      </c>
      <c r="BH184" s="80">
        <f>AX184+AZ184</f>
        <v>4</v>
      </c>
      <c r="BI184" s="74">
        <f>IF(AW184&gt;AX184,1,0)+IF(AY184&gt;AZ184,1,0)</f>
        <v>0</v>
      </c>
      <c r="BJ184" s="81">
        <f>IF(AX184&gt;AW184,1,0)+IF(AZ184&gt;AY184,1,0)</f>
        <v>2</v>
      </c>
      <c r="BK184" s="82">
        <f>IF(BI184+BJ184=0,"",IF(BL184=MAX(BL182:BL184),1,IF(BL184=MIN(BL182:BL184),3,2)))</f>
        <v>3</v>
      </c>
      <c r="BL184" s="60">
        <f>IF(BI184+BJ184&lt;&gt;0,BI184+1+(BG184-BH184)/100+(BE184-BF184)/100000+(BE184/BF184)/1000000,0)</f>
        <v>0.95957048809523804</v>
      </c>
    </row>
    <row r="185" spans="1:64" ht="11.45" customHeight="1" x14ac:dyDescent="0.2">
      <c r="A185" s="2"/>
      <c r="J185" s="28"/>
      <c r="K185" s="28"/>
      <c r="L185" s="28"/>
      <c r="O185" s="28"/>
      <c r="P185" s="28"/>
      <c r="Q185" s="2"/>
      <c r="R185" s="2"/>
      <c r="S185" s="2"/>
      <c r="T185" s="241">
        <v>3</v>
      </c>
      <c r="U185" s="244" t="str">
        <f>IF(AND(N186&lt;&gt;"",N187&lt;&gt;""),CONCATENATE(VLOOKUP(N186,[2]zawodnicy!$A$1:$E$65536,1,FALSE)," ",VLOOKUP(N186,[2]zawodnicy!$A$1:$E$65536,2,FALSE)," ",VLOOKUP(N186,[2]zawodnicy!$A$1:$E$65536,3,FALSE)," - ",VLOOKUP(N186,[2]zawodnicy!$A$1:$E$65536,4,FALSE)),"")</f>
        <v>Ł4427 Magda ŁUKASIAK - MKS Orlicz Suchedniów</v>
      </c>
      <c r="V185" s="245"/>
      <c r="W185" s="246"/>
      <c r="X185" s="46" t="str">
        <f>IF(SUM(AO182:AP182)=0,"",AP182&amp;":"&amp;AO182)</f>
        <v>10:21</v>
      </c>
      <c r="Y185" s="83" t="str">
        <f>IF(SUM(AO183:AP183)=0,"",AP183&amp;":"&amp;AO183)</f>
        <v>12:21</v>
      </c>
      <c r="Z185" s="84"/>
      <c r="AA185" s="247" t="str">
        <f>IF(SUM(AW184:AZ184)=0,"",BE184&amp;":"&amp;BF184)</f>
        <v>41:84</v>
      </c>
      <c r="AB185" s="250" t="str">
        <f>IF(SUM(AW184:AZ184)=0,"",BG184&amp;":"&amp;BH184)</f>
        <v>0:4</v>
      </c>
      <c r="AC185" s="250" t="str">
        <f>IF(SUM(AW184:AZ184)=0,"",BI184&amp;":"&amp;BJ184)</f>
        <v>0:2</v>
      </c>
      <c r="AD185" s="253">
        <f>IF(SUM(BI182:BI184)&gt;0,BK184,"")</f>
        <v>3</v>
      </c>
      <c r="AE185" s="2"/>
      <c r="AF185" s="12"/>
      <c r="AG185" s="12"/>
      <c r="BE185" s="19">
        <f>SUM(BE182:BE184)</f>
        <v>203</v>
      </c>
      <c r="BF185" s="19">
        <f>SUM(BF182:BF184)</f>
        <v>203</v>
      </c>
      <c r="BG185" s="19">
        <f>SUM(BG182:BG184)</f>
        <v>6</v>
      </c>
      <c r="BH185" s="19">
        <f>SUM(BH182:BH184)</f>
        <v>6</v>
      </c>
      <c r="BK185" s="19"/>
      <c r="BL185" s="20"/>
    </row>
    <row r="186" spans="1:64" ht="11.45" customHeight="1" x14ac:dyDescent="0.2">
      <c r="A186" s="19"/>
      <c r="J186" s="19"/>
      <c r="K186" s="19"/>
      <c r="L186" s="19"/>
      <c r="N186" s="33" t="s">
        <v>19</v>
      </c>
      <c r="O186" s="34">
        <f>IF(O178&gt;0,(O178&amp;3)*1,"")</f>
        <v>13</v>
      </c>
      <c r="Q186" s="85"/>
      <c r="R186" s="85"/>
      <c r="S186" s="85"/>
      <c r="T186" s="242"/>
      <c r="U186" s="244" t="str">
        <f>IF(AND(N186&lt;&gt;"",N187=""),CONCATENATE(VLOOKUP(N186,[2]zawodnicy!$A$1:$E$65536,1,FALSE)," ",VLOOKUP(N186,[2]zawodnicy!$A$1:$E$65536,2,FALSE)," ",VLOOKUP(N186,[2]zawodnicy!$A$1:$E$65536,3,FALSE)," - ",VLOOKUP(N186,[2]zawodnicy!$A$1:$E$65536,4,FALSE)),"")</f>
        <v/>
      </c>
      <c r="V186" s="245"/>
      <c r="W186" s="246"/>
      <c r="X186" s="61" t="str">
        <f>IF(SUM(AQ182:AR182)=0,"",AR182&amp;":"&amp;AQ182)</f>
        <v>10:21</v>
      </c>
      <c r="Y186" s="36" t="str">
        <f>IF(SUM(AQ183:AR183)=0,"",AR183&amp;":"&amp;AQ183)</f>
        <v>9:21</v>
      </c>
      <c r="Z186" s="86"/>
      <c r="AA186" s="248"/>
      <c r="AB186" s="251"/>
      <c r="AC186" s="251"/>
      <c r="AD186" s="254"/>
      <c r="AE186" s="2"/>
      <c r="AF186" s="12"/>
      <c r="AG186" s="1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row>
    <row r="187" spans="1:64" ht="11.45" customHeight="1" thickBot="1" x14ac:dyDescent="0.25">
      <c r="A187" s="2"/>
      <c r="J187" s="28"/>
      <c r="K187" s="28"/>
      <c r="L187" s="28"/>
      <c r="N187" s="38" t="s">
        <v>24</v>
      </c>
      <c r="O187" s="28"/>
      <c r="P187" s="28"/>
      <c r="Q187" s="2"/>
      <c r="R187" s="2"/>
      <c r="S187" s="2"/>
      <c r="T187" s="243"/>
      <c r="U187" s="256" t="str">
        <f>IF(N187&lt;&gt;"",CONCATENATE(VLOOKUP(N187,[2]zawodnicy!$A$1:$E$65536,1,FALSE)," ",VLOOKUP(N187,[2]zawodnicy!$A$1:$E$65536,2,FALSE)," ",VLOOKUP(N187,[2]zawodnicy!$A$1:$E$65536,3,FALSE)," - ",VLOOKUP(N187,[2]zawodnicy!$A$1:$E$65536,4,FALSE)),"")</f>
        <v>X57 Yuliya PRACH - Vinnica Ukraina</v>
      </c>
      <c r="V187" s="257"/>
      <c r="W187" s="258"/>
      <c r="X187" s="87" t="str">
        <f>IF(SUM(AS182:AT182)=0,"",AT182&amp;":"&amp;AS182)</f>
        <v/>
      </c>
      <c r="Y187" s="88" t="str">
        <f>IF(SUM(AS183:AT183)=0,"",AT183&amp;":"&amp;AS183)</f>
        <v/>
      </c>
      <c r="Z187" s="89"/>
      <c r="AA187" s="249"/>
      <c r="AB187" s="252"/>
      <c r="AC187" s="252"/>
      <c r="AD187" s="255"/>
      <c r="AE187" s="10"/>
      <c r="AF187" s="12"/>
      <c r="AG187" s="1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row>
    <row r="188" spans="1:64" s="19" customFormat="1" ht="5.0999999999999996" customHeight="1" thickBot="1" x14ac:dyDescent="0.25">
      <c r="M188" s="90"/>
      <c r="O188" s="90"/>
      <c r="P188" s="90"/>
      <c r="Q188" s="91"/>
      <c r="R188" s="91"/>
      <c r="S188" s="91"/>
      <c r="T188" s="91"/>
      <c r="U188" s="5"/>
      <c r="V188" s="5"/>
      <c r="W188" s="5"/>
      <c r="AA188" s="92"/>
      <c r="AB188" s="91"/>
      <c r="AC188" s="91"/>
      <c r="AD188" s="91"/>
      <c r="AE188" s="91"/>
      <c r="AF188" s="91"/>
      <c r="AI188" s="93"/>
      <c r="AJ188" s="94"/>
      <c r="AK188" s="94"/>
    </row>
    <row r="189" spans="1:64" ht="11.45" customHeight="1" thickBot="1" x14ac:dyDescent="0.25">
      <c r="N189" s="11"/>
      <c r="O189" s="21">
        <v>2</v>
      </c>
      <c r="Q189" s="277" t="str">
        <f>"Grupa "&amp;O189&amp;"."</f>
        <v>Grupa 2.</v>
      </c>
      <c r="R189" s="277"/>
      <c r="S189" s="277"/>
      <c r="T189" s="22" t="s">
        <v>1</v>
      </c>
      <c r="U189" s="278" t="s">
        <v>2</v>
      </c>
      <c r="V189" s="279"/>
      <c r="W189" s="280"/>
      <c r="X189" s="22">
        <v>1</v>
      </c>
      <c r="Y189" s="23">
        <v>2</v>
      </c>
      <c r="Z189" s="24">
        <v>3</v>
      </c>
      <c r="AA189" s="25" t="s">
        <v>3</v>
      </c>
      <c r="AB189" s="26" t="s">
        <v>4</v>
      </c>
      <c r="AC189" s="26" t="s">
        <v>5</v>
      </c>
      <c r="AD189" s="27" t="s">
        <v>6</v>
      </c>
      <c r="AE189" s="2"/>
      <c r="AF189" s="12"/>
      <c r="AG189" s="12"/>
      <c r="BK189" s="19"/>
      <c r="BL189" s="20"/>
    </row>
    <row r="190" spans="1:64" ht="11.45" customHeight="1" x14ac:dyDescent="0.2">
      <c r="J190" s="28"/>
      <c r="K190" s="28"/>
      <c r="L190" s="28"/>
      <c r="N190" s="29" t="s">
        <v>54</v>
      </c>
      <c r="Q190" s="274" t="s">
        <v>7</v>
      </c>
      <c r="R190" s="274"/>
      <c r="S190" s="275" t="s">
        <v>8</v>
      </c>
      <c r="T190" s="276">
        <v>1</v>
      </c>
      <c r="U190" s="244" t="str">
        <f>IF(AND(N191&lt;&gt;"",N192&lt;&gt;""),CONCATENATE(VLOOKUP(N191,[2]zawodnicy!$A$1:$E$65536,1,FALSE)," ",VLOOKUP(N191,[2]zawodnicy!$A$1:$E$65536,2,FALSE)," ",VLOOKUP(N191,[2]zawodnicy!$A$1:$E$65536,3,FALSE)," - ",VLOOKUP(N191,[2]zawodnicy!$A$1:$E$65536,4,FALSE)),"")</f>
        <v>M3662 Anita MIELNICZEK - UKS Orbitek Straszęcin</v>
      </c>
      <c r="V190" s="245"/>
      <c r="W190" s="246"/>
      <c r="X190" s="30"/>
      <c r="Y190" s="31" t="str">
        <f>IF(SUM(AO195:AP195)=0,"",AO195&amp;":"&amp;AP195)</f>
        <v>21:18</v>
      </c>
      <c r="Z190" s="32" t="str">
        <f>IF(SUM(AO193:AP193)=0,"",AO193&amp;":"&amp;AP193)</f>
        <v>10:21</v>
      </c>
      <c r="AA190" s="270" t="str">
        <f>IF(SUM(AY193:BB193)=0,"",BE193&amp;":"&amp;BF193)</f>
        <v>69:67</v>
      </c>
      <c r="AB190" s="271" t="str">
        <f>IF(SUM(AY193:BB193)=0,"",BG193&amp;":"&amp;BH193)</f>
        <v>2:2</v>
      </c>
      <c r="AC190" s="271" t="str">
        <f>IF(SUM(AY193:BB193)=0,"",BI193&amp;":"&amp;BJ193)</f>
        <v>1:1</v>
      </c>
      <c r="AD190" s="272">
        <f>IF(SUM(BI193:BI195)&gt;0,BK193,"")</f>
        <v>2</v>
      </c>
      <c r="AE190" s="2"/>
      <c r="AF190" s="12"/>
      <c r="AG190" s="12"/>
      <c r="AH190" s="14"/>
      <c r="AI190" s="273" t="s">
        <v>9</v>
      </c>
      <c r="AJ190" s="273"/>
      <c r="AK190" s="273"/>
      <c r="AL190" s="273"/>
      <c r="AM190" s="273"/>
      <c r="AN190" s="273"/>
      <c r="AO190" s="273" t="s">
        <v>10</v>
      </c>
      <c r="AP190" s="273"/>
      <c r="AQ190" s="273"/>
      <c r="AR190" s="273"/>
      <c r="AS190" s="273"/>
      <c r="AT190" s="273"/>
      <c r="BK190" s="19"/>
      <c r="BL190" s="20"/>
    </row>
    <row r="191" spans="1:64" ht="11.45" customHeight="1" thickBot="1" x14ac:dyDescent="0.25">
      <c r="I191" s="2" t="str">
        <f>"1"&amp;O189&amp;N190</f>
        <v>12podwójna kobiet J</v>
      </c>
      <c r="J191" s="10" t="str">
        <f>IF(AD190="","",IF(AD190=1,N191,IF(AD193=1,N194,IF(AD196=1,N197,""))))</f>
        <v>D3155</v>
      </c>
      <c r="K191" s="10" t="str">
        <f>IF(AD190="","",IF(AD190=1,N192,IF(AD193=1,N195,IF(AD196=1,N198,""))))</f>
        <v>T3157</v>
      </c>
      <c r="L191" s="10"/>
      <c r="N191" s="33" t="s">
        <v>57</v>
      </c>
      <c r="O191" s="34">
        <f>IF(O189&gt;0,(O189&amp;1)*1,"")</f>
        <v>21</v>
      </c>
      <c r="Q191" s="274"/>
      <c r="R191" s="274"/>
      <c r="S191" s="275"/>
      <c r="T191" s="242"/>
      <c r="U191" s="244" t="str">
        <f>IF(AND(N191&lt;&gt;"",N192=""),CONCATENATE(VLOOKUP(N191,[2]zawodnicy!$A$1:$E$65536,1,FALSE)," ",VLOOKUP(N191,[2]zawodnicy!$A$1:$E$65536,2,FALSE)," ",VLOOKUP(N191,[2]zawodnicy!$A$1:$E$65536,3,FALSE)," - ",VLOOKUP(N191,[2]zawodnicy!$A$1:$E$65536,4,FALSE)),"")</f>
        <v/>
      </c>
      <c r="V191" s="245"/>
      <c r="W191" s="246"/>
      <c r="X191" s="35"/>
      <c r="Y191" s="36" t="str">
        <f>IF(SUM(AQ195:AR195)=0,"",AQ195&amp;":"&amp;AR195)</f>
        <v>21:7</v>
      </c>
      <c r="Z191" s="37" t="str">
        <f>IF(SUM(AQ193:AR193)=0,"",AQ193&amp;":"&amp;AR193)</f>
        <v>17:21</v>
      </c>
      <c r="AA191" s="248"/>
      <c r="AB191" s="251"/>
      <c r="AC191" s="251"/>
      <c r="AD191" s="254"/>
      <c r="AE191" s="2"/>
      <c r="AF191" s="12"/>
      <c r="AG191" s="12"/>
      <c r="AH191" s="14"/>
      <c r="BE191" s="19">
        <f>SUM(BE193:BE195)</f>
        <v>201</v>
      </c>
      <c r="BF191" s="19">
        <f>SUM(BF193:BF195)</f>
        <v>201</v>
      </c>
      <c r="BG191" s="19">
        <f>SUM(BG193:BG195)</f>
        <v>6</v>
      </c>
      <c r="BH191" s="19">
        <f>SUM(BH193:BH195)</f>
        <v>6</v>
      </c>
      <c r="BK191" s="19"/>
      <c r="BL191" s="20"/>
    </row>
    <row r="192" spans="1:64" ht="11.45" customHeight="1" thickBot="1" x14ac:dyDescent="0.25">
      <c r="J192" s="10"/>
      <c r="K192" s="28"/>
      <c r="L192" s="28"/>
      <c r="N192" s="38" t="s">
        <v>58</v>
      </c>
      <c r="O192" s="28"/>
      <c r="P192" s="28"/>
      <c r="Q192" s="274"/>
      <c r="R192" s="274"/>
      <c r="S192" s="275"/>
      <c r="T192" s="261"/>
      <c r="U192" s="265" t="str">
        <f>IF(N192&lt;&gt;"",CONCATENATE(VLOOKUP(N192,[2]zawodnicy!$A$1:$E$65536,1,FALSE)," ",VLOOKUP(N192,[2]zawodnicy!$A$1:$E$65536,2,FALSE)," ",VLOOKUP(N192,[2]zawodnicy!$A$1:$E$65536,3,FALSE)," - ",VLOOKUP(N192,[2]zawodnicy!$A$1:$E$65536,4,FALSE)),"")</f>
        <v>Ś3664 Gabriela ŚLISZ - UKS Orbitek Straszęcin</v>
      </c>
      <c r="V192" s="266"/>
      <c r="W192" s="267"/>
      <c r="X192" s="35"/>
      <c r="Y192" s="39" t="str">
        <f>IF(SUM(AS195:AT195)=0,"",AS195&amp;":"&amp;AT195)</f>
        <v/>
      </c>
      <c r="Z192" s="40" t="str">
        <f>IF(SUM(AS193:AT193)=0,"",AS193&amp;":"&amp;AT193)</f>
        <v/>
      </c>
      <c r="AA192" s="262"/>
      <c r="AB192" s="263"/>
      <c r="AC192" s="263"/>
      <c r="AD192" s="264"/>
      <c r="AE192" s="2"/>
      <c r="AF192" s="12"/>
      <c r="AG192" s="12"/>
      <c r="AH192" s="14"/>
      <c r="AI192" s="259" t="s">
        <v>12</v>
      </c>
      <c r="AJ192" s="269"/>
      <c r="AK192" s="268" t="s">
        <v>13</v>
      </c>
      <c r="AL192" s="269"/>
      <c r="AM192" s="268" t="s">
        <v>14</v>
      </c>
      <c r="AN192" s="260"/>
      <c r="AO192" s="259" t="s">
        <v>12</v>
      </c>
      <c r="AP192" s="269"/>
      <c r="AQ192" s="268" t="s">
        <v>13</v>
      </c>
      <c r="AR192" s="269"/>
      <c r="AS192" s="268" t="s">
        <v>14</v>
      </c>
      <c r="AT192" s="269"/>
      <c r="AU192" s="12"/>
      <c r="AV192" s="12"/>
      <c r="AW192" s="259">
        <v>1</v>
      </c>
      <c r="AX192" s="269"/>
      <c r="AY192" s="268">
        <v>2</v>
      </c>
      <c r="AZ192" s="269"/>
      <c r="BA192" s="268">
        <v>3</v>
      </c>
      <c r="BB192" s="260"/>
      <c r="BE192" s="259" t="s">
        <v>3</v>
      </c>
      <c r="BF192" s="260"/>
      <c r="BG192" s="259" t="s">
        <v>4</v>
      </c>
      <c r="BH192" s="260"/>
      <c r="BI192" s="259" t="s">
        <v>5</v>
      </c>
      <c r="BJ192" s="260"/>
      <c r="BK192" s="41" t="s">
        <v>6</v>
      </c>
      <c r="BL192" s="20"/>
    </row>
    <row r="193" spans="1:64" ht="11.45" customHeight="1" x14ac:dyDescent="0.2">
      <c r="A193" s="19">
        <f>S193</f>
        <v>48</v>
      </c>
      <c r="B193" s="2" t="str">
        <f>IF(N191="","",N191)</f>
        <v>M3662</v>
      </c>
      <c r="C193" s="2" t="str">
        <f>IF(N192="","",N192)</f>
        <v>Ś3664</v>
      </c>
      <c r="D193" s="2" t="str">
        <f>IF(N197="","",N197)</f>
        <v>D3155</v>
      </c>
      <c r="E193" s="2" t="str">
        <f>IF(N198="","",N198)</f>
        <v>T3157</v>
      </c>
      <c r="I193" s="2" t="str">
        <f>"2"&amp;O189&amp;N190</f>
        <v>22podwójna kobiet J</v>
      </c>
      <c r="J193" s="10" t="str">
        <f>IF(AD193="","",IF(AD190=2,N191,IF(AD193=2,N194,IF(AD196=2,N197,""))))</f>
        <v>M3662</v>
      </c>
      <c r="K193" s="10" t="str">
        <f>IF(AD193="","",IF(AD190=2,N192,IF(AD193=2,N195,IF(AD196=2,N198,""))))</f>
        <v>Ś3664</v>
      </c>
      <c r="M193" s="42" t="str">
        <f>N190</f>
        <v>podwójna kobiet J</v>
      </c>
      <c r="O193" s="28"/>
      <c r="P193" s="28"/>
      <c r="Q193" s="43" t="str">
        <f>IF(AU193&gt;0,"",IF(A193=0,"",IF(VLOOKUP(A193,'[2]plan gier'!A$1:S$65536,19,FALSE)="","",VLOOKUP(A193,'[2]plan gier'!A$1:S$65536,19,FALSE))))</f>
        <v/>
      </c>
      <c r="R193" s="44" t="s">
        <v>15</v>
      </c>
      <c r="S193" s="45">
        <v>48</v>
      </c>
      <c r="T193" s="241">
        <v>2</v>
      </c>
      <c r="U193" s="244" t="str">
        <f>IF(AND(N194&lt;&gt;"",N195&lt;&gt;""),CONCATENATE(VLOOKUP(N194,[2]zawodnicy!$A$1:$E$65536,1,FALSE)," ",VLOOKUP(N194,[2]zawodnicy!$A$1:$E$65536,2,FALSE)," ",VLOOKUP(N194,[2]zawodnicy!$A$1:$E$65536,3,FALSE)," - ",VLOOKUP(N194,[2]zawodnicy!$A$1:$E$65536,4,FALSE)),"")</f>
        <v>K3257 Nikola KOSZMIDER - UKS Feniks Kędzierzyn-Koźle</v>
      </c>
      <c r="V193" s="245"/>
      <c r="W193" s="246"/>
      <c r="X193" s="46" t="str">
        <f>IF(SUM(AO195:AP195)=0,"",AP195&amp;":"&amp;AO195)</f>
        <v>18:21</v>
      </c>
      <c r="Y193" s="47"/>
      <c r="Z193" s="48" t="str">
        <f>IF(SUM(AO194:AP194)=0,"",AO194&amp;":"&amp;AP194)</f>
        <v>12:21</v>
      </c>
      <c r="AA193" s="247" t="str">
        <f>IF(SUM(AW194:AX194,BA194:BB194)=0,"",BE194&amp;":"&amp;BF194)</f>
        <v>48:84</v>
      </c>
      <c r="AB193" s="250" t="str">
        <f>IF(SUM(AW194:AX194,BA194:BB194)=0,"",BG194&amp;":"&amp;BH194)</f>
        <v>0:4</v>
      </c>
      <c r="AC193" s="250" t="str">
        <f>IF(SUM(AW194:AX194,BA194:BB194)=0,"",BI194&amp;":"&amp;BJ194)</f>
        <v>0:2</v>
      </c>
      <c r="AD193" s="253">
        <f>IF(SUM(BI193:BI195)&gt;0,BK194,"")</f>
        <v>3</v>
      </c>
      <c r="AE193" s="2"/>
      <c r="AF193" s="12"/>
      <c r="AG193" s="12"/>
      <c r="AH193" s="44" t="s">
        <v>15</v>
      </c>
      <c r="AI193" s="49">
        <f>IF(ISBLANK(S193),"",VLOOKUP(S193,'[2]plan gier'!$X$1:$AN$65536,12,FALSE))</f>
        <v>10</v>
      </c>
      <c r="AJ193" s="50">
        <f>IF(ISBLANK(S193),"",VLOOKUP(S193,'[2]plan gier'!$X$1:$AN$65536,13,FALSE))</f>
        <v>21</v>
      </c>
      <c r="AK193" s="50">
        <f>IF(ISBLANK(S193),"",VLOOKUP(S193,'[2]plan gier'!$X$1:$AN$65536,14,FALSE))</f>
        <v>17</v>
      </c>
      <c r="AL193" s="50">
        <f>IF(ISBLANK(S193),"",VLOOKUP(S193,'[2]plan gier'!$X$1:$AN$65536,15,FALSE))</f>
        <v>21</v>
      </c>
      <c r="AM193" s="50">
        <f>IF(ISBLANK(S193),"",VLOOKUP(S193,'[2]plan gier'!$X$1:$AN$65536,16,FALSE))</f>
        <v>0</v>
      </c>
      <c r="AN193" s="50">
        <f>IF(ISBLANK(S193),"",VLOOKUP(S193,'[2]plan gier'!$X$1:$AN$65536,17,FALSE))</f>
        <v>0</v>
      </c>
      <c r="AO193" s="51">
        <f t="shared" ref="AO193:AT195" si="13">IF(AI193="",0,AI193)</f>
        <v>10</v>
      </c>
      <c r="AP193" s="52">
        <f t="shared" si="13"/>
        <v>21</v>
      </c>
      <c r="AQ193" s="53">
        <f t="shared" si="13"/>
        <v>17</v>
      </c>
      <c r="AR193" s="52">
        <f t="shared" si="13"/>
        <v>21</v>
      </c>
      <c r="AS193" s="53">
        <f t="shared" si="13"/>
        <v>0</v>
      </c>
      <c r="AT193" s="52">
        <f t="shared" si="13"/>
        <v>0</v>
      </c>
      <c r="AU193" s="54">
        <f>SUM(AO193:AT193)</f>
        <v>69</v>
      </c>
      <c r="AV193" s="13">
        <v>1</v>
      </c>
      <c r="AW193" s="55"/>
      <c r="AX193" s="56"/>
      <c r="AY193" s="50">
        <f>IF(AI195&gt;AJ195,1,0)+IF(AK195&gt;AL195,1,0)+IF(AM195&gt;AN195,1,0)</f>
        <v>2</v>
      </c>
      <c r="AZ193" s="50">
        <f>AW194</f>
        <v>0</v>
      </c>
      <c r="BA193" s="50">
        <f>IF(AI193&gt;AJ193,1,0)+IF(AK193&gt;AL193,1,0)+IF(AM193&gt;AN193,1,0)</f>
        <v>0</v>
      </c>
      <c r="BB193" s="57">
        <f>AW195</f>
        <v>2</v>
      </c>
      <c r="BE193" s="49">
        <f>AO193+AQ193+AS193+AO195+AQ195+AS195</f>
        <v>69</v>
      </c>
      <c r="BF193" s="57">
        <f>AP193+AR193+AT193+AP195+AR195+AT195</f>
        <v>67</v>
      </c>
      <c r="BG193" s="49">
        <f>AY193+BA193</f>
        <v>2</v>
      </c>
      <c r="BH193" s="57">
        <f>AZ193+BB193</f>
        <v>2</v>
      </c>
      <c r="BI193" s="49">
        <f>IF(AY193&gt;AZ193,1,0)+IF(BA193&gt;BB193,1,0)</f>
        <v>1</v>
      </c>
      <c r="BJ193" s="58">
        <f>IF(AZ193&gt;AY193,1,0)+IF(BB193&gt;BA193,1,0)</f>
        <v>1</v>
      </c>
      <c r="BK193" s="59">
        <f>IF(BI193+BJ193=0,"",IF(BL193=MAX(BL193:BL195),1,IF(BL193=MIN(BL193:BL195),3,2)))</f>
        <v>2</v>
      </c>
      <c r="BL193" s="60">
        <f>IF(BI193+BJ193&lt;&gt;0,BI193+1+(BG193-BH193)/100+(BE193-BF193)/100000+(BE193/BF193)/1000000,0)</f>
        <v>2.0000210298507466</v>
      </c>
    </row>
    <row r="194" spans="1:64" ht="11.45" customHeight="1" x14ac:dyDescent="0.2">
      <c r="A194" s="19">
        <f>S194</f>
        <v>113</v>
      </c>
      <c r="B194" s="2" t="str">
        <f>IF(N194="","",N194)</f>
        <v>K3257</v>
      </c>
      <c r="C194" s="2" t="str">
        <f>IF(N195="","",N195)</f>
        <v>S3950</v>
      </c>
      <c r="D194" s="2" t="str">
        <f>IF(N197="","",N197)</f>
        <v>D3155</v>
      </c>
      <c r="E194" s="2" t="str">
        <f>IF(N198="","",N198)</f>
        <v>T3157</v>
      </c>
      <c r="J194" s="10"/>
      <c r="K194" s="19"/>
      <c r="M194" s="42" t="str">
        <f>N190</f>
        <v>podwójna kobiet J</v>
      </c>
      <c r="N194" s="33" t="s">
        <v>34</v>
      </c>
      <c r="O194" s="34">
        <f>IF(O189&gt;0,(O189&amp;2)*1,"")</f>
        <v>22</v>
      </c>
      <c r="Q194" s="43" t="str">
        <f>IF(AU194&gt;0,"",IF(A194=0,"",IF(VLOOKUP(A194,'[2]plan gier'!A$1:S$65536,19,FALSE)="","",VLOOKUP(A194,'[2]plan gier'!A$1:S$65536,19,FALSE))))</f>
        <v/>
      </c>
      <c r="R194" s="44" t="s">
        <v>17</v>
      </c>
      <c r="S194" s="45">
        <v>113</v>
      </c>
      <c r="T194" s="242"/>
      <c r="U194" s="244" t="str">
        <f>IF(AND(N194&lt;&gt;"",N195=""),CONCATENATE(VLOOKUP(N194,[2]zawodnicy!$A$1:$E$65536,1,FALSE)," ",VLOOKUP(N194,[2]zawodnicy!$A$1:$E$65536,2,FALSE)," ",VLOOKUP(N194,[2]zawodnicy!$A$1:$E$65536,3,FALSE)," - ",VLOOKUP(N194,[2]zawodnicy!$A$1:$E$65536,4,FALSE)),"")</f>
        <v/>
      </c>
      <c r="V194" s="245"/>
      <c r="W194" s="246"/>
      <c r="X194" s="61" t="str">
        <f>IF(SUM(AQ195:AR195)=0,"",AR195&amp;":"&amp;AQ195)</f>
        <v>7:21</v>
      </c>
      <c r="Y194" s="62"/>
      <c r="Z194" s="37" t="str">
        <f>IF(SUM(AQ194:AR194)=0,"",AQ194&amp;":"&amp;AR194)</f>
        <v>11:21</v>
      </c>
      <c r="AA194" s="248"/>
      <c r="AB194" s="251"/>
      <c r="AC194" s="251"/>
      <c r="AD194" s="254"/>
      <c r="AE194" s="2"/>
      <c r="AF194" s="12"/>
      <c r="AG194" s="12"/>
      <c r="AH194" s="44" t="s">
        <v>17</v>
      </c>
      <c r="AI194" s="63">
        <f>IF(ISBLANK(S194),"",VLOOKUP(S194,'[2]plan gier'!$X$1:$AN$65536,12,FALSE))</f>
        <v>12</v>
      </c>
      <c r="AJ194" s="64">
        <f>IF(ISBLANK(S194),"",VLOOKUP(S194,'[2]plan gier'!$X$1:$AN$65536,13,FALSE))</f>
        <v>21</v>
      </c>
      <c r="AK194" s="64">
        <f>IF(ISBLANK(S194),"",VLOOKUP(S194,'[2]plan gier'!$X$1:$AN$65536,14,FALSE))</f>
        <v>11</v>
      </c>
      <c r="AL194" s="64">
        <f>IF(ISBLANK(S194),"",VLOOKUP(S194,'[2]plan gier'!$X$1:$AN$65536,15,FALSE))</f>
        <v>21</v>
      </c>
      <c r="AM194" s="64">
        <f>IF(ISBLANK(S194),"",VLOOKUP(S194,'[2]plan gier'!$X$1:$AN$65536,16,FALSE))</f>
        <v>0</v>
      </c>
      <c r="AN194" s="64">
        <f>IF(ISBLANK(S194),"",VLOOKUP(S194,'[2]plan gier'!$X$1:$AN$65536,17,FALSE))</f>
        <v>0</v>
      </c>
      <c r="AO194" s="65">
        <f t="shared" si="13"/>
        <v>12</v>
      </c>
      <c r="AP194" s="64">
        <f t="shared" si="13"/>
        <v>21</v>
      </c>
      <c r="AQ194" s="66">
        <f t="shared" si="13"/>
        <v>11</v>
      </c>
      <c r="AR194" s="64">
        <f t="shared" si="13"/>
        <v>21</v>
      </c>
      <c r="AS194" s="66">
        <f t="shared" si="13"/>
        <v>0</v>
      </c>
      <c r="AT194" s="64">
        <f t="shared" si="13"/>
        <v>0</v>
      </c>
      <c r="AU194" s="54">
        <f>SUM(AO194:AT194)</f>
        <v>65</v>
      </c>
      <c r="AV194" s="13">
        <v>2</v>
      </c>
      <c r="AW194" s="63">
        <f>IF(AI195&lt;AJ195,1,0)+IF(AK195&lt;AL195,1,0)+IF(AM195&lt;AN195,1,0)</f>
        <v>0</v>
      </c>
      <c r="AX194" s="64">
        <f>AY193</f>
        <v>2</v>
      </c>
      <c r="AY194" s="67"/>
      <c r="AZ194" s="68"/>
      <c r="BA194" s="64">
        <f>IF(AI194&gt;AJ194,1,0)+IF(AK194&gt;AL194,1,0)+IF(AM194&gt;AN194,1,0)</f>
        <v>0</v>
      </c>
      <c r="BB194" s="69">
        <f>AY195</f>
        <v>2</v>
      </c>
      <c r="BE194" s="63">
        <f>AO194+AQ194+AS194+AP195+AR195+AT195</f>
        <v>48</v>
      </c>
      <c r="BF194" s="69">
        <f>AP194+AR194+AT194+AO195+AQ195+AS195</f>
        <v>84</v>
      </c>
      <c r="BG194" s="63">
        <f>AW194+BA194</f>
        <v>0</v>
      </c>
      <c r="BH194" s="69">
        <f>AX194+BB194</f>
        <v>4</v>
      </c>
      <c r="BI194" s="63">
        <f>IF(AW194&gt;AX194,1,0)+IF(BA194&gt;BB194,1,0)</f>
        <v>0</v>
      </c>
      <c r="BJ194" s="70">
        <f>IF(AX194&gt;AW194,1,0)+IF(BB194&gt;BA194,1,0)</f>
        <v>2</v>
      </c>
      <c r="BK194" s="71">
        <f>IF(BI194+BJ194=0,"",IF(BL194=MAX(BL193:BL195),1,IF(BL194=MIN(BL193:BL195),3,2)))</f>
        <v>3</v>
      </c>
      <c r="BL194" s="60">
        <f>IF(BI194+BJ194&lt;&gt;0,BI194+1+(BG194-BH194)/100+(BE194-BF194)/100000+(BE194/BF194)/1000000,0)</f>
        <v>0.9596405714285714</v>
      </c>
    </row>
    <row r="195" spans="1:64" ht="11.45" customHeight="1" thickBot="1" x14ac:dyDescent="0.25">
      <c r="A195" s="19">
        <f>S195</f>
        <v>178</v>
      </c>
      <c r="B195" s="2" t="str">
        <f>IF(N191="","",N191)</f>
        <v>M3662</v>
      </c>
      <c r="C195" s="2" t="str">
        <f>IF(N192="","",N192)</f>
        <v>Ś3664</v>
      </c>
      <c r="D195" s="2" t="str">
        <f>IF(N194="","",N194)</f>
        <v>K3257</v>
      </c>
      <c r="E195" s="2" t="str">
        <f>IF(N195="","",N195)</f>
        <v>S3950</v>
      </c>
      <c r="I195" s="2" t="str">
        <f>"3"&amp;O189&amp;N190</f>
        <v>32podwójna kobiet J</v>
      </c>
      <c r="J195" s="10" t="str">
        <f>IF(AD196="","",IF(AD190=3,N191,IF(AD193=3,N194,IF(AD196=3,N197,""))))</f>
        <v>K3257</v>
      </c>
      <c r="K195" s="10" t="str">
        <f>IF(AD196="","",IF(AD190=3,N192,IF(AD193=3,N195,IF(AD196=3,N198,""))))</f>
        <v>S3950</v>
      </c>
      <c r="M195" s="42" t="str">
        <f>N190</f>
        <v>podwójna kobiet J</v>
      </c>
      <c r="N195" s="38" t="s">
        <v>33</v>
      </c>
      <c r="O195" s="28"/>
      <c r="P195" s="28"/>
      <c r="Q195" s="43" t="str">
        <f>IF(AU195&gt;0,"",IF(A195=0,"",IF(VLOOKUP(A195,'[2]plan gier'!A$1:S$65536,19,FALSE)="","",VLOOKUP(A195,'[2]plan gier'!A$1:S$65536,19,FALSE))))</f>
        <v/>
      </c>
      <c r="R195" s="72" t="s">
        <v>18</v>
      </c>
      <c r="S195" s="45">
        <v>178</v>
      </c>
      <c r="T195" s="261"/>
      <c r="U195" s="265" t="str">
        <f>IF(N195&lt;&gt;"",CONCATENATE(VLOOKUP(N195,[2]zawodnicy!$A$1:$E$65536,1,FALSE)," ",VLOOKUP(N195,[2]zawodnicy!$A$1:$E$65536,2,FALSE)," ",VLOOKUP(N195,[2]zawodnicy!$A$1:$E$65536,3,FALSE)," - ",VLOOKUP(N195,[2]zawodnicy!$A$1:$E$65536,4,FALSE)),"")</f>
        <v>S3950 Klaudia SOCHA - KS Chojnik Jelenia Góra</v>
      </c>
      <c r="V195" s="266"/>
      <c r="W195" s="267"/>
      <c r="X195" s="73" t="str">
        <f>IF(SUM(AS195:AT195)=0,"",AT195&amp;":"&amp;AS195)</f>
        <v/>
      </c>
      <c r="Y195" s="62"/>
      <c r="Z195" s="40" t="str">
        <f>IF(SUM(AS194:AT194)=0,"",AS194&amp;":"&amp;AT194)</f>
        <v/>
      </c>
      <c r="AA195" s="262"/>
      <c r="AB195" s="263"/>
      <c r="AC195" s="263"/>
      <c r="AD195" s="264"/>
      <c r="AE195" s="2"/>
      <c r="AF195" s="12"/>
      <c r="AG195" s="12"/>
      <c r="AH195" s="72" t="s">
        <v>18</v>
      </c>
      <c r="AI195" s="74">
        <f>IF(ISBLANK(S195),"",VLOOKUP(S195,'[2]plan gier'!$X$1:$AN$65536,12,FALSE))</f>
        <v>21</v>
      </c>
      <c r="AJ195" s="75">
        <f>IF(ISBLANK(S195),"",VLOOKUP(S195,'[2]plan gier'!$X$1:$AN$65536,13,FALSE))</f>
        <v>18</v>
      </c>
      <c r="AK195" s="75">
        <f>IF(ISBLANK(S195),"",VLOOKUP(S195,'[2]plan gier'!$X$1:$AN$65536,14,FALSE))</f>
        <v>21</v>
      </c>
      <c r="AL195" s="75">
        <f>IF(ISBLANK(S195),"",VLOOKUP(S195,'[2]plan gier'!$X$1:$AN$65536,15,FALSE))</f>
        <v>7</v>
      </c>
      <c r="AM195" s="75">
        <f>IF(ISBLANK(S195),"",VLOOKUP(S195,'[2]plan gier'!$X$1:$AN$65536,16,FALSE))</f>
        <v>0</v>
      </c>
      <c r="AN195" s="75">
        <f>IF(ISBLANK(S195),"",VLOOKUP(S195,'[2]plan gier'!$X$1:$AN$65536,17,FALSE))</f>
        <v>0</v>
      </c>
      <c r="AO195" s="76">
        <f t="shared" si="13"/>
        <v>21</v>
      </c>
      <c r="AP195" s="75">
        <f t="shared" si="13"/>
        <v>18</v>
      </c>
      <c r="AQ195" s="77">
        <f t="shared" si="13"/>
        <v>21</v>
      </c>
      <c r="AR195" s="75">
        <f t="shared" si="13"/>
        <v>7</v>
      </c>
      <c r="AS195" s="77">
        <f t="shared" si="13"/>
        <v>0</v>
      </c>
      <c r="AT195" s="75">
        <f t="shared" si="13"/>
        <v>0</v>
      </c>
      <c r="AU195" s="54">
        <f>SUM(AO195:AT195)</f>
        <v>67</v>
      </c>
      <c r="AV195" s="13">
        <v>3</v>
      </c>
      <c r="AW195" s="74">
        <f>IF(AI193&lt;AJ193,1,0)+IF(AK193&lt;AL193,1,0)+IF(AM193&lt;AN193,1,0)</f>
        <v>2</v>
      </c>
      <c r="AX195" s="75">
        <f>BA193</f>
        <v>0</v>
      </c>
      <c r="AY195" s="75">
        <f>IF(AI194&lt;AJ194,1,0)+IF(AK194&lt;AL194,1,0)+IF(AM194&lt;AN194,1,0)</f>
        <v>2</v>
      </c>
      <c r="AZ195" s="75">
        <f>BA194</f>
        <v>0</v>
      </c>
      <c r="BA195" s="78"/>
      <c r="BB195" s="79"/>
      <c r="BE195" s="74">
        <f>AP193+AR193+AT193+AP194+AR194+AT194</f>
        <v>84</v>
      </c>
      <c r="BF195" s="80">
        <f>AO193+AQ193+AS193+AO194+AQ194+AS194</f>
        <v>50</v>
      </c>
      <c r="BG195" s="74">
        <f>AW195+AY195</f>
        <v>4</v>
      </c>
      <c r="BH195" s="80">
        <f>AX195+AZ195</f>
        <v>0</v>
      </c>
      <c r="BI195" s="74">
        <f>IF(AW195&gt;AX195,1,0)+IF(AY195&gt;AZ195,1,0)</f>
        <v>2</v>
      </c>
      <c r="BJ195" s="81">
        <f>IF(AX195&gt;AW195,1,0)+IF(AZ195&gt;AY195,1,0)</f>
        <v>0</v>
      </c>
      <c r="BK195" s="82">
        <f>IF(BI195+BJ195=0,"",IF(BL195=MAX(BL193:BL195),1,IF(BL195=MIN(BL193:BL195),3,2)))</f>
        <v>1</v>
      </c>
      <c r="BL195" s="60">
        <f>IF(BI195+BJ195&lt;&gt;0,BI195+1+(BG195-BH195)/100+(BE195-BF195)/100000+(BE195/BF195)/1000000,0)</f>
        <v>3.04034168</v>
      </c>
    </row>
    <row r="196" spans="1:64" ht="11.45" customHeight="1" x14ac:dyDescent="0.2">
      <c r="A196" s="2"/>
      <c r="J196" s="28"/>
      <c r="K196" s="28"/>
      <c r="L196" s="28"/>
      <c r="O196" s="28"/>
      <c r="P196" s="28"/>
      <c r="Q196" s="2"/>
      <c r="R196" s="2"/>
      <c r="S196" s="2"/>
      <c r="T196" s="241">
        <v>3</v>
      </c>
      <c r="U196" s="244" t="str">
        <f>IF(AND(N197&lt;&gt;"",N198&lt;&gt;""),CONCATENATE(VLOOKUP(N197,[2]zawodnicy!$A$1:$E$65536,1,FALSE)," ",VLOOKUP(N197,[2]zawodnicy!$A$1:$E$65536,2,FALSE)," ",VLOOKUP(N197,[2]zawodnicy!$A$1:$E$65536,3,FALSE)," - ",VLOOKUP(N197,[2]zawodnicy!$A$1:$E$65536,4,FALSE)),"")</f>
        <v>D3155 Anna DĘBSKA - UKSB Milenium Warszawa</v>
      </c>
      <c r="V196" s="245"/>
      <c r="W196" s="246"/>
      <c r="X196" s="46" t="str">
        <f>IF(SUM(AO193:AP193)=0,"",AP193&amp;":"&amp;AO193)</f>
        <v>21:10</v>
      </c>
      <c r="Y196" s="83" t="str">
        <f>IF(SUM(AO194:AP194)=0,"",AP194&amp;":"&amp;AO194)</f>
        <v>21:12</v>
      </c>
      <c r="Z196" s="84"/>
      <c r="AA196" s="247" t="str">
        <f>IF(SUM(AW195:AZ195)=0,"",BE195&amp;":"&amp;BF195)</f>
        <v>84:50</v>
      </c>
      <c r="AB196" s="250" t="str">
        <f>IF(SUM(AW195:AZ195)=0,"",BG195&amp;":"&amp;BH195)</f>
        <v>4:0</v>
      </c>
      <c r="AC196" s="250" t="str">
        <f>IF(SUM(AW195:AZ195)=0,"",BI195&amp;":"&amp;BJ195)</f>
        <v>2:0</v>
      </c>
      <c r="AD196" s="253">
        <f>IF(SUM(BI193:BI195)&gt;0,BK195,"")</f>
        <v>1</v>
      </c>
      <c r="AE196" s="2"/>
      <c r="AF196" s="12"/>
      <c r="AG196" s="12"/>
      <c r="BE196" s="19">
        <f>SUM(BE193:BE195)</f>
        <v>201</v>
      </c>
      <c r="BF196" s="19">
        <f>SUM(BF193:BF195)</f>
        <v>201</v>
      </c>
      <c r="BG196" s="19">
        <f>SUM(BG193:BG195)</f>
        <v>6</v>
      </c>
      <c r="BH196" s="19">
        <f>SUM(BH193:BH195)</f>
        <v>6</v>
      </c>
      <c r="BK196" s="19"/>
      <c r="BL196" s="20"/>
    </row>
    <row r="197" spans="1:64" ht="11.45" customHeight="1" x14ac:dyDescent="0.2">
      <c r="A197" s="19"/>
      <c r="J197" s="19"/>
      <c r="K197" s="19"/>
      <c r="L197" s="19"/>
      <c r="N197" s="33" t="s">
        <v>32</v>
      </c>
      <c r="O197" s="34">
        <f>IF(O189&gt;0,(O189&amp;3)*1,"")</f>
        <v>23</v>
      </c>
      <c r="Q197" s="85"/>
      <c r="R197" s="85"/>
      <c r="S197" s="85"/>
      <c r="T197" s="242"/>
      <c r="U197" s="244" t="str">
        <f>IF(AND(N197&lt;&gt;"",N198=""),CONCATENATE(VLOOKUP(N197,[2]zawodnicy!$A$1:$E$65536,1,FALSE)," ",VLOOKUP(N197,[2]zawodnicy!$A$1:$E$65536,2,FALSE)," ",VLOOKUP(N197,[2]zawodnicy!$A$1:$E$65536,3,FALSE)," - ",VLOOKUP(N197,[2]zawodnicy!$A$1:$E$65536,4,FALSE)),"")</f>
        <v/>
      </c>
      <c r="V197" s="245"/>
      <c r="W197" s="246"/>
      <c r="X197" s="61" t="str">
        <f>IF(SUM(AQ193:AR193)=0,"",AR193&amp;":"&amp;AQ193)</f>
        <v>21:17</v>
      </c>
      <c r="Y197" s="36" t="str">
        <f>IF(SUM(AQ194:AR194)=0,"",AR194&amp;":"&amp;AQ194)</f>
        <v>21:11</v>
      </c>
      <c r="Z197" s="86"/>
      <c r="AA197" s="248"/>
      <c r="AB197" s="251"/>
      <c r="AC197" s="251"/>
      <c r="AD197" s="254"/>
      <c r="AE197" s="2"/>
      <c r="AF197" s="12"/>
      <c r="AG197" s="1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row>
    <row r="198" spans="1:64" ht="11.45" customHeight="1" thickBot="1" x14ac:dyDescent="0.25">
      <c r="A198" s="2"/>
      <c r="J198" s="28"/>
      <c r="K198" s="28"/>
      <c r="L198" s="28"/>
      <c r="N198" s="38" t="s">
        <v>59</v>
      </c>
      <c r="O198" s="28"/>
      <c r="P198" s="28"/>
      <c r="Q198" s="2"/>
      <c r="R198" s="2"/>
      <c r="S198" s="2"/>
      <c r="T198" s="243"/>
      <c r="U198" s="256" t="str">
        <f>IF(N198&lt;&gt;"",CONCATENATE(VLOOKUP(N198,[2]zawodnicy!$A$1:$E$65536,1,FALSE)," ",VLOOKUP(N198,[2]zawodnicy!$A$1:$E$65536,2,FALSE)," ",VLOOKUP(N198,[2]zawodnicy!$A$1:$E$65536,3,FALSE)," - ",VLOOKUP(N198,[2]zawodnicy!$A$1:$E$65536,4,FALSE)),"")</f>
        <v>T3157 Adrianna TATAJ - UKSB Milenium Warszawa</v>
      </c>
      <c r="V198" s="257"/>
      <c r="W198" s="258"/>
      <c r="X198" s="87" t="str">
        <f>IF(SUM(AS193:AT193)=0,"",AT193&amp;":"&amp;AS193)</f>
        <v/>
      </c>
      <c r="Y198" s="88" t="str">
        <f>IF(SUM(AS194:AT194)=0,"",AT194&amp;":"&amp;AS194)</f>
        <v/>
      </c>
      <c r="Z198" s="89"/>
      <c r="AA198" s="249"/>
      <c r="AB198" s="252"/>
      <c r="AC198" s="252"/>
      <c r="AD198" s="255"/>
      <c r="AE198" s="10"/>
      <c r="AF198" s="12"/>
      <c r="AG198" s="1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row>
    <row r="199" spans="1:64" s="19" customFormat="1" ht="5.0999999999999996" customHeight="1" thickBot="1" x14ac:dyDescent="0.25">
      <c r="M199" s="90"/>
      <c r="O199" s="90"/>
      <c r="P199" s="90"/>
      <c r="Q199" s="91"/>
      <c r="R199" s="91"/>
      <c r="S199" s="91"/>
      <c r="T199" s="91"/>
      <c r="U199" s="5"/>
      <c r="V199" s="5"/>
      <c r="W199" s="5"/>
      <c r="AA199" s="92"/>
      <c r="AB199" s="91"/>
      <c r="AC199" s="91"/>
      <c r="AD199" s="91"/>
      <c r="AE199" s="91"/>
      <c r="AF199" s="91"/>
      <c r="AI199" s="93"/>
      <c r="AJ199" s="94"/>
      <c r="AK199" s="94"/>
    </row>
    <row r="200" spans="1:64" ht="11.45" customHeight="1" thickBot="1" x14ac:dyDescent="0.25">
      <c r="N200" s="11"/>
      <c r="O200" s="21">
        <v>3</v>
      </c>
      <c r="Q200" s="277" t="str">
        <f>"Grupa "&amp;O200&amp;"."</f>
        <v>Grupa 3.</v>
      </c>
      <c r="R200" s="277"/>
      <c r="S200" s="277"/>
      <c r="T200" s="22" t="s">
        <v>1</v>
      </c>
      <c r="U200" s="278" t="s">
        <v>2</v>
      </c>
      <c r="V200" s="279"/>
      <c r="W200" s="280"/>
      <c r="X200" s="22">
        <v>1</v>
      </c>
      <c r="Y200" s="23">
        <v>2</v>
      </c>
      <c r="Z200" s="24">
        <v>3</v>
      </c>
      <c r="AA200" s="25" t="s">
        <v>3</v>
      </c>
      <c r="AB200" s="26" t="s">
        <v>4</v>
      </c>
      <c r="AC200" s="26" t="s">
        <v>5</v>
      </c>
      <c r="AD200" s="27" t="s">
        <v>6</v>
      </c>
      <c r="AE200" s="2"/>
      <c r="AF200" s="12"/>
      <c r="AG200" s="12"/>
      <c r="BK200" s="19"/>
      <c r="BL200" s="20"/>
    </row>
    <row r="201" spans="1:64" ht="11.45" customHeight="1" x14ac:dyDescent="0.2">
      <c r="J201" s="28"/>
      <c r="K201" s="28"/>
      <c r="L201" s="28"/>
      <c r="N201" s="29" t="s">
        <v>54</v>
      </c>
      <c r="Q201" s="274" t="s">
        <v>7</v>
      </c>
      <c r="R201" s="274"/>
      <c r="S201" s="275" t="s">
        <v>8</v>
      </c>
      <c r="T201" s="276">
        <v>1</v>
      </c>
      <c r="U201" s="244" t="str">
        <f>IF(AND(N202&lt;&gt;"",N203&lt;&gt;""),CONCATENATE(VLOOKUP(N202,[2]zawodnicy!$A$1:$E$65536,1,FALSE)," ",VLOOKUP(N202,[2]zawodnicy!$A$1:$E$65536,2,FALSE)," ",VLOOKUP(N202,[2]zawodnicy!$A$1:$E$65536,3,FALSE)," - ",VLOOKUP(N202,[2]zawodnicy!$A$1:$E$65536,4,FALSE)),"")</f>
        <v>G2661 Diana GŁOWACKA - LUKS Księżyno</v>
      </c>
      <c r="V201" s="245"/>
      <c r="W201" s="246"/>
      <c r="X201" s="30"/>
      <c r="Y201" s="31" t="str">
        <f>IF(SUM(AO206:AP206)=0,"",AO206&amp;":"&amp;AP206)</f>
        <v>21:18</v>
      </c>
      <c r="Z201" s="32" t="str">
        <f>IF(SUM(AO204:AP204)=0,"",AO204&amp;":"&amp;AP204)</f>
        <v>21:18</v>
      </c>
      <c r="AA201" s="270" t="str">
        <f>IF(SUM(AY204:BB204)=0,"",BE204&amp;":"&amp;BF204)</f>
        <v>84:69</v>
      </c>
      <c r="AB201" s="271" t="str">
        <f>IF(SUM(AY204:BB204)=0,"",BG204&amp;":"&amp;BH204)</f>
        <v>4:0</v>
      </c>
      <c r="AC201" s="271" t="str">
        <f>IF(SUM(AY204:BB204)=0,"",BI204&amp;":"&amp;BJ204)</f>
        <v>2:0</v>
      </c>
      <c r="AD201" s="272">
        <f>IF(SUM(BI204:BI206)&gt;0,BK204,"")</f>
        <v>1</v>
      </c>
      <c r="AE201" s="2"/>
      <c r="AF201" s="12"/>
      <c r="AG201" s="12"/>
      <c r="AH201" s="14"/>
      <c r="AI201" s="273" t="s">
        <v>9</v>
      </c>
      <c r="AJ201" s="273"/>
      <c r="AK201" s="273"/>
      <c r="AL201" s="273"/>
      <c r="AM201" s="273"/>
      <c r="AN201" s="273"/>
      <c r="AO201" s="273" t="s">
        <v>10</v>
      </c>
      <c r="AP201" s="273"/>
      <c r="AQ201" s="273"/>
      <c r="AR201" s="273"/>
      <c r="AS201" s="273"/>
      <c r="AT201" s="273"/>
      <c r="BK201" s="19"/>
      <c r="BL201" s="20"/>
    </row>
    <row r="202" spans="1:64" ht="11.45" customHeight="1" thickBot="1" x14ac:dyDescent="0.25">
      <c r="I202" s="2" t="str">
        <f>"1"&amp;O200&amp;N201</f>
        <v>13podwójna kobiet J</v>
      </c>
      <c r="J202" s="10" t="str">
        <f>IF(AD201="","",IF(AD201=1,N202,IF(AD204=1,N205,IF(AD207=1,N208,""))))</f>
        <v>G2661</v>
      </c>
      <c r="K202" s="10" t="str">
        <f>IF(AD201="","",IF(AD201=1,N203,IF(AD204=1,N206,IF(AD207=1,N209,""))))</f>
        <v>K3351</v>
      </c>
      <c r="L202" s="10"/>
      <c r="N202" s="33" t="s">
        <v>31</v>
      </c>
      <c r="O202" s="34">
        <f>IF(O200&gt;0,(O200&amp;1)*1,"")</f>
        <v>31</v>
      </c>
      <c r="Q202" s="274"/>
      <c r="R202" s="274"/>
      <c r="S202" s="275"/>
      <c r="T202" s="242"/>
      <c r="U202" s="244" t="str">
        <f>IF(AND(N202&lt;&gt;"",N203=""),CONCATENATE(VLOOKUP(N202,[2]zawodnicy!$A$1:$E$65536,1,FALSE)," ",VLOOKUP(N202,[2]zawodnicy!$A$1:$E$65536,2,FALSE)," ",VLOOKUP(N202,[2]zawodnicy!$A$1:$E$65536,3,FALSE)," - ",VLOOKUP(N202,[2]zawodnicy!$A$1:$E$65536,4,FALSE)),"")</f>
        <v/>
      </c>
      <c r="V202" s="245"/>
      <c r="W202" s="246"/>
      <c r="X202" s="35"/>
      <c r="Y202" s="36" t="str">
        <f>IF(SUM(AQ206:AR206)=0,"",AQ206&amp;":"&amp;AR206)</f>
        <v>21:16</v>
      </c>
      <c r="Z202" s="37" t="str">
        <f>IF(SUM(AQ204:AR204)=0,"",AQ204&amp;":"&amp;AR204)</f>
        <v>21:17</v>
      </c>
      <c r="AA202" s="248"/>
      <c r="AB202" s="251"/>
      <c r="AC202" s="251"/>
      <c r="AD202" s="254"/>
      <c r="AE202" s="2"/>
      <c r="AF202" s="12"/>
      <c r="AG202" s="12"/>
      <c r="AH202" s="14"/>
      <c r="BE202" s="19">
        <f>SUM(BE204:BE206)</f>
        <v>237</v>
      </c>
      <c r="BF202" s="19">
        <f>SUM(BF204:BF206)</f>
        <v>237</v>
      </c>
      <c r="BG202" s="19">
        <f>SUM(BG204:BG206)</f>
        <v>6</v>
      </c>
      <c r="BH202" s="19">
        <f>SUM(BH204:BH206)</f>
        <v>6</v>
      </c>
      <c r="BK202" s="19"/>
      <c r="BL202" s="20"/>
    </row>
    <row r="203" spans="1:64" ht="11.45" customHeight="1" thickBot="1" x14ac:dyDescent="0.25">
      <c r="J203" s="10"/>
      <c r="K203" s="28"/>
      <c r="L203" s="28"/>
      <c r="N203" s="38" t="s">
        <v>22</v>
      </c>
      <c r="O203" s="28"/>
      <c r="P203" s="28"/>
      <c r="Q203" s="274"/>
      <c r="R203" s="274"/>
      <c r="S203" s="275"/>
      <c r="T203" s="261"/>
      <c r="U203" s="265" t="str">
        <f>IF(N203&lt;&gt;"",CONCATENATE(VLOOKUP(N203,[2]zawodnicy!$A$1:$E$65536,1,FALSE)," ",VLOOKUP(N203,[2]zawodnicy!$A$1:$E$65536,2,FALSE)," ",VLOOKUP(N203,[2]zawodnicy!$A$1:$E$65536,3,FALSE)," - ",VLOOKUP(N203,[2]zawodnicy!$A$1:$E$65536,4,FALSE)),"")</f>
        <v>K3351 Paulina KACZOROWSKA - KS Chojnik Jelenia Góra</v>
      </c>
      <c r="V203" s="266"/>
      <c r="W203" s="267"/>
      <c r="X203" s="35"/>
      <c r="Y203" s="39" t="str">
        <f>IF(SUM(AS206:AT206)=0,"",AS206&amp;":"&amp;AT206)</f>
        <v/>
      </c>
      <c r="Z203" s="40" t="str">
        <f>IF(SUM(AS204:AT204)=0,"",AS204&amp;":"&amp;AT204)</f>
        <v/>
      </c>
      <c r="AA203" s="262"/>
      <c r="AB203" s="263"/>
      <c r="AC203" s="263"/>
      <c r="AD203" s="264"/>
      <c r="AE203" s="2"/>
      <c r="AF203" s="12"/>
      <c r="AG203" s="12"/>
      <c r="AH203" s="14"/>
      <c r="AI203" s="259" t="s">
        <v>12</v>
      </c>
      <c r="AJ203" s="269"/>
      <c r="AK203" s="268" t="s">
        <v>13</v>
      </c>
      <c r="AL203" s="269"/>
      <c r="AM203" s="268" t="s">
        <v>14</v>
      </c>
      <c r="AN203" s="260"/>
      <c r="AO203" s="259" t="s">
        <v>12</v>
      </c>
      <c r="AP203" s="269"/>
      <c r="AQ203" s="268" t="s">
        <v>13</v>
      </c>
      <c r="AR203" s="269"/>
      <c r="AS203" s="268" t="s">
        <v>14</v>
      </c>
      <c r="AT203" s="269"/>
      <c r="AU203" s="12"/>
      <c r="AV203" s="12"/>
      <c r="AW203" s="259">
        <v>1</v>
      </c>
      <c r="AX203" s="269"/>
      <c r="AY203" s="268">
        <v>2</v>
      </c>
      <c r="AZ203" s="269"/>
      <c r="BA203" s="268">
        <v>3</v>
      </c>
      <c r="BB203" s="260"/>
      <c r="BE203" s="259" t="s">
        <v>3</v>
      </c>
      <c r="BF203" s="260"/>
      <c r="BG203" s="259" t="s">
        <v>4</v>
      </c>
      <c r="BH203" s="260"/>
      <c r="BI203" s="259" t="s">
        <v>5</v>
      </c>
      <c r="BJ203" s="260"/>
      <c r="BK203" s="41" t="s">
        <v>6</v>
      </c>
      <c r="BL203" s="20"/>
    </row>
    <row r="204" spans="1:64" ht="11.45" customHeight="1" x14ac:dyDescent="0.2">
      <c r="A204" s="19">
        <f>S204</f>
        <v>49</v>
      </c>
      <c r="B204" s="2" t="str">
        <f>IF(N202="","",N202)</f>
        <v>G2661</v>
      </c>
      <c r="C204" s="2" t="str">
        <f>IF(N203="","",N203)</f>
        <v>K3351</v>
      </c>
      <c r="D204" s="2" t="str">
        <f>IF(N208="","",N208)</f>
        <v>B3564</v>
      </c>
      <c r="E204" s="2" t="str">
        <f>IF(N209="","",N209)</f>
        <v>R3364</v>
      </c>
      <c r="I204" s="2" t="str">
        <f>"2"&amp;O200&amp;N201</f>
        <v>23podwójna kobiet J</v>
      </c>
      <c r="J204" s="10" t="str">
        <f>IF(AD204="","",IF(AD201=2,N202,IF(AD204=2,N205,IF(AD207=2,N208,""))))</f>
        <v>B3564</v>
      </c>
      <c r="K204" s="10" t="str">
        <f>IF(AD204="","",IF(AD201=2,N203,IF(AD204=2,N206,IF(AD207=2,N209,""))))</f>
        <v>R3364</v>
      </c>
      <c r="M204" s="42" t="str">
        <f>N201</f>
        <v>podwójna kobiet J</v>
      </c>
      <c r="O204" s="28"/>
      <c r="P204" s="28"/>
      <c r="Q204" s="43" t="str">
        <f>IF(AU204&gt;0,"",IF(A204=0,"",IF(VLOOKUP(A204,'[2]plan gier'!A$1:S$65536,19,FALSE)="","",VLOOKUP(A204,'[2]plan gier'!A$1:S$65536,19,FALSE))))</f>
        <v/>
      </c>
      <c r="R204" s="44" t="s">
        <v>15</v>
      </c>
      <c r="S204" s="45">
        <v>49</v>
      </c>
      <c r="T204" s="241">
        <v>2</v>
      </c>
      <c r="U204" s="244" t="str">
        <f>IF(AND(N205&lt;&gt;"",N206&lt;&gt;""),CONCATENATE(VLOOKUP(N205,[2]zawodnicy!$A$1:$E$65536,1,FALSE)," ",VLOOKUP(N205,[2]zawodnicy!$A$1:$E$65536,2,FALSE)," ",VLOOKUP(N205,[2]zawodnicy!$A$1:$E$65536,3,FALSE)," - ",VLOOKUP(N205,[2]zawodnicy!$A$1:$E$65536,4,FALSE)),"")</f>
        <v>B3862 Aleksandra BIAŁEK - UKS Start Widełka</v>
      </c>
      <c r="V204" s="245"/>
      <c r="W204" s="246"/>
      <c r="X204" s="46" t="str">
        <f>IF(SUM(AO206:AP206)=0,"",AP206&amp;":"&amp;AO206)</f>
        <v>18:21</v>
      </c>
      <c r="Y204" s="47"/>
      <c r="Z204" s="48" t="str">
        <f>IF(SUM(AO205:AP205)=0,"",AO205&amp;":"&amp;AP205)</f>
        <v>20:22</v>
      </c>
      <c r="AA204" s="247" t="str">
        <f>IF(SUM(AW205:AX205,BA205:BB205)=0,"",BE205&amp;":"&amp;BF205)</f>
        <v>74:86</v>
      </c>
      <c r="AB204" s="250" t="str">
        <f>IF(SUM(AW205:AX205,BA205:BB205)=0,"",BG205&amp;":"&amp;BH205)</f>
        <v>0:4</v>
      </c>
      <c r="AC204" s="250" t="str">
        <f>IF(SUM(AW205:AX205,BA205:BB205)=0,"",BI205&amp;":"&amp;BJ205)</f>
        <v>0:2</v>
      </c>
      <c r="AD204" s="253">
        <f>IF(SUM(BI204:BI206)&gt;0,BK205,"")</f>
        <v>3</v>
      </c>
      <c r="AE204" s="2"/>
      <c r="AF204" s="12"/>
      <c r="AG204" s="12"/>
      <c r="AH204" s="44" t="s">
        <v>15</v>
      </c>
      <c r="AI204" s="49">
        <f>IF(ISBLANK(S204),"",VLOOKUP(S204,'[2]plan gier'!$X$1:$AN$65536,12,FALSE))</f>
        <v>21</v>
      </c>
      <c r="AJ204" s="50">
        <f>IF(ISBLANK(S204),"",VLOOKUP(S204,'[2]plan gier'!$X$1:$AN$65536,13,FALSE))</f>
        <v>18</v>
      </c>
      <c r="AK204" s="50">
        <f>IF(ISBLANK(S204),"",VLOOKUP(S204,'[2]plan gier'!$X$1:$AN$65536,14,FALSE))</f>
        <v>21</v>
      </c>
      <c r="AL204" s="50">
        <f>IF(ISBLANK(S204),"",VLOOKUP(S204,'[2]plan gier'!$X$1:$AN$65536,15,FALSE))</f>
        <v>17</v>
      </c>
      <c r="AM204" s="50">
        <f>IF(ISBLANK(S204),"",VLOOKUP(S204,'[2]plan gier'!$X$1:$AN$65536,16,FALSE))</f>
        <v>0</v>
      </c>
      <c r="AN204" s="50">
        <f>IF(ISBLANK(S204),"",VLOOKUP(S204,'[2]plan gier'!$X$1:$AN$65536,17,FALSE))</f>
        <v>0</v>
      </c>
      <c r="AO204" s="51">
        <f t="shared" ref="AO204:AT206" si="14">IF(AI204="",0,AI204)</f>
        <v>21</v>
      </c>
      <c r="AP204" s="52">
        <f t="shared" si="14"/>
        <v>18</v>
      </c>
      <c r="AQ204" s="53">
        <f t="shared" si="14"/>
        <v>21</v>
      </c>
      <c r="AR204" s="52">
        <f t="shared" si="14"/>
        <v>17</v>
      </c>
      <c r="AS204" s="53">
        <f t="shared" si="14"/>
        <v>0</v>
      </c>
      <c r="AT204" s="52">
        <f t="shared" si="14"/>
        <v>0</v>
      </c>
      <c r="AU204" s="54">
        <f>SUM(AO204:AT204)</f>
        <v>77</v>
      </c>
      <c r="AV204" s="13">
        <v>1</v>
      </c>
      <c r="AW204" s="55"/>
      <c r="AX204" s="56"/>
      <c r="AY204" s="50">
        <f>IF(AI206&gt;AJ206,1,0)+IF(AK206&gt;AL206,1,0)+IF(AM206&gt;AN206,1,0)</f>
        <v>2</v>
      </c>
      <c r="AZ204" s="50">
        <f>AW205</f>
        <v>0</v>
      </c>
      <c r="BA204" s="50">
        <f>IF(AI204&gt;AJ204,1,0)+IF(AK204&gt;AL204,1,0)+IF(AM204&gt;AN204,1,0)</f>
        <v>2</v>
      </c>
      <c r="BB204" s="57">
        <f>AW206</f>
        <v>0</v>
      </c>
      <c r="BE204" s="49">
        <f>AO204+AQ204+AS204+AO206+AQ206+AS206</f>
        <v>84</v>
      </c>
      <c r="BF204" s="57">
        <f>AP204+AR204+AT204+AP206+AR206+AT206</f>
        <v>69</v>
      </c>
      <c r="BG204" s="49">
        <f>AY204+BA204</f>
        <v>4</v>
      </c>
      <c r="BH204" s="57">
        <f>AZ204+BB204</f>
        <v>0</v>
      </c>
      <c r="BI204" s="49">
        <f>IF(AY204&gt;AZ204,1,0)+IF(BA204&gt;BB204,1,0)</f>
        <v>2</v>
      </c>
      <c r="BJ204" s="58">
        <f>IF(AZ204&gt;AY204,1,0)+IF(BB204&gt;BA204,1,0)</f>
        <v>0</v>
      </c>
      <c r="BK204" s="59">
        <f>IF(BI204+BJ204=0,"",IF(BL204=MAX(BL204:BL206),1,IF(BL204=MIN(BL204:BL206),3,2)))</f>
        <v>1</v>
      </c>
      <c r="BL204" s="60">
        <f>IF(BI204+BJ204&lt;&gt;0,BI204+1+(BG204-BH204)/100+(BE204-BF204)/100000+(BE204/BF204)/1000000,0)</f>
        <v>3.0401512173913043</v>
      </c>
    </row>
    <row r="205" spans="1:64" ht="11.45" customHeight="1" x14ac:dyDescent="0.2">
      <c r="A205" s="19">
        <f>S205</f>
        <v>114</v>
      </c>
      <c r="B205" s="2" t="str">
        <f>IF(N205="","",N205)</f>
        <v>B3862</v>
      </c>
      <c r="C205" s="2" t="str">
        <f>IF(N206="","",N206)</f>
        <v>G3134</v>
      </c>
      <c r="D205" s="2" t="str">
        <f>IF(N208="","",N208)</f>
        <v>B3564</v>
      </c>
      <c r="E205" s="2" t="str">
        <f>IF(N209="","",N209)</f>
        <v>R3364</v>
      </c>
      <c r="J205" s="10"/>
      <c r="K205" s="19"/>
      <c r="M205" s="42" t="str">
        <f>N201</f>
        <v>podwójna kobiet J</v>
      </c>
      <c r="N205" s="33" t="s">
        <v>60</v>
      </c>
      <c r="O205" s="34">
        <f>IF(O200&gt;0,(O200&amp;2)*1,"")</f>
        <v>32</v>
      </c>
      <c r="Q205" s="43" t="str">
        <f>IF(AU205&gt;0,"",IF(A205=0,"",IF(VLOOKUP(A205,'[2]plan gier'!A$1:S$65536,19,FALSE)="","",VLOOKUP(A205,'[2]plan gier'!A$1:S$65536,19,FALSE))))</f>
        <v/>
      </c>
      <c r="R205" s="44" t="s">
        <v>17</v>
      </c>
      <c r="S205" s="45">
        <v>114</v>
      </c>
      <c r="T205" s="242"/>
      <c r="U205" s="244" t="str">
        <f>IF(AND(N205&lt;&gt;"",N206=""),CONCATENATE(VLOOKUP(N205,[2]zawodnicy!$A$1:$E$65536,1,FALSE)," ",VLOOKUP(N205,[2]zawodnicy!$A$1:$E$65536,2,FALSE)," ",VLOOKUP(N205,[2]zawodnicy!$A$1:$E$65536,3,FALSE)," - ",VLOOKUP(N205,[2]zawodnicy!$A$1:$E$65536,4,FALSE)),"")</f>
        <v/>
      </c>
      <c r="V205" s="245"/>
      <c r="W205" s="246"/>
      <c r="X205" s="61" t="str">
        <f>IF(SUM(AQ206:AR206)=0,"",AR206&amp;":"&amp;AQ206)</f>
        <v>16:21</v>
      </c>
      <c r="Y205" s="62"/>
      <c r="Z205" s="37" t="str">
        <f>IF(SUM(AQ205:AR205)=0,"",AQ205&amp;":"&amp;AR205)</f>
        <v>20:22</v>
      </c>
      <c r="AA205" s="248"/>
      <c r="AB205" s="251"/>
      <c r="AC205" s="251"/>
      <c r="AD205" s="254"/>
      <c r="AE205" s="2"/>
      <c r="AF205" s="12"/>
      <c r="AG205" s="12"/>
      <c r="AH205" s="44" t="s">
        <v>17</v>
      </c>
      <c r="AI205" s="63">
        <f>IF(ISBLANK(S205),"",VLOOKUP(S205,'[2]plan gier'!$X$1:$AN$65536,12,FALSE))</f>
        <v>20</v>
      </c>
      <c r="AJ205" s="64">
        <f>IF(ISBLANK(S205),"",VLOOKUP(S205,'[2]plan gier'!$X$1:$AN$65536,13,FALSE))</f>
        <v>22</v>
      </c>
      <c r="AK205" s="64">
        <f>IF(ISBLANK(S205),"",VLOOKUP(S205,'[2]plan gier'!$X$1:$AN$65536,14,FALSE))</f>
        <v>20</v>
      </c>
      <c r="AL205" s="64">
        <f>IF(ISBLANK(S205),"",VLOOKUP(S205,'[2]plan gier'!$X$1:$AN$65536,15,FALSE))</f>
        <v>22</v>
      </c>
      <c r="AM205" s="64">
        <f>IF(ISBLANK(S205),"",VLOOKUP(S205,'[2]plan gier'!$X$1:$AN$65536,16,FALSE))</f>
        <v>0</v>
      </c>
      <c r="AN205" s="64">
        <f>IF(ISBLANK(S205),"",VLOOKUP(S205,'[2]plan gier'!$X$1:$AN$65536,17,FALSE))</f>
        <v>0</v>
      </c>
      <c r="AO205" s="65">
        <f t="shared" si="14"/>
        <v>20</v>
      </c>
      <c r="AP205" s="64">
        <f t="shared" si="14"/>
        <v>22</v>
      </c>
      <c r="AQ205" s="66">
        <f t="shared" si="14"/>
        <v>20</v>
      </c>
      <c r="AR205" s="64">
        <f t="shared" si="14"/>
        <v>22</v>
      </c>
      <c r="AS205" s="66">
        <f t="shared" si="14"/>
        <v>0</v>
      </c>
      <c r="AT205" s="64">
        <f t="shared" si="14"/>
        <v>0</v>
      </c>
      <c r="AU205" s="54">
        <f>SUM(AO205:AT205)</f>
        <v>84</v>
      </c>
      <c r="AV205" s="13">
        <v>2</v>
      </c>
      <c r="AW205" s="63">
        <f>IF(AI206&lt;AJ206,1,0)+IF(AK206&lt;AL206,1,0)+IF(AM206&lt;AN206,1,0)</f>
        <v>0</v>
      </c>
      <c r="AX205" s="64">
        <f>AY204</f>
        <v>2</v>
      </c>
      <c r="AY205" s="67"/>
      <c r="AZ205" s="68"/>
      <c r="BA205" s="64">
        <f>IF(AI205&gt;AJ205,1,0)+IF(AK205&gt;AL205,1,0)+IF(AM205&gt;AN205,1,0)</f>
        <v>0</v>
      </c>
      <c r="BB205" s="69">
        <f>AY206</f>
        <v>2</v>
      </c>
      <c r="BE205" s="63">
        <f>AO205+AQ205+AS205+AP206+AR206+AT206</f>
        <v>74</v>
      </c>
      <c r="BF205" s="69">
        <f>AP205+AR205+AT205+AO206+AQ206+AS206</f>
        <v>86</v>
      </c>
      <c r="BG205" s="63">
        <f>AW205+BA205</f>
        <v>0</v>
      </c>
      <c r="BH205" s="69">
        <f>AX205+BB205</f>
        <v>4</v>
      </c>
      <c r="BI205" s="63">
        <f>IF(AW205&gt;AX205,1,0)+IF(BA205&gt;BB205,1,0)</f>
        <v>0</v>
      </c>
      <c r="BJ205" s="70">
        <f>IF(AX205&gt;AW205,1,0)+IF(BB205&gt;BA205,1,0)</f>
        <v>2</v>
      </c>
      <c r="BK205" s="71">
        <f>IF(BI205+BJ205=0,"",IF(BL205=MAX(BL204:BL206),1,IF(BL205=MIN(BL204:BL206),3,2)))</f>
        <v>3</v>
      </c>
      <c r="BL205" s="60">
        <f>IF(BI205+BJ205&lt;&gt;0,BI205+1+(BG205-BH205)/100+(BE205-BF205)/100000+(BE205/BF205)/1000000,0)</f>
        <v>0.95988086046511623</v>
      </c>
    </row>
    <row r="206" spans="1:64" ht="11.45" customHeight="1" thickBot="1" x14ac:dyDescent="0.25">
      <c r="A206" s="19">
        <f>S206</f>
        <v>179</v>
      </c>
      <c r="B206" s="2" t="str">
        <f>IF(N202="","",N202)</f>
        <v>G2661</v>
      </c>
      <c r="C206" s="2" t="str">
        <f>IF(N203="","",N203)</f>
        <v>K3351</v>
      </c>
      <c r="D206" s="2" t="str">
        <f>IF(N205="","",N205)</f>
        <v>B3862</v>
      </c>
      <c r="E206" s="2" t="str">
        <f>IF(N206="","",N206)</f>
        <v>G3134</v>
      </c>
      <c r="I206" s="2" t="str">
        <f>"3"&amp;O200&amp;N201</f>
        <v>33podwójna kobiet J</v>
      </c>
      <c r="J206" s="10" t="str">
        <f>IF(AD207="","",IF(AD201=3,N202,IF(AD204=3,N205,IF(AD207=3,N208,""))))</f>
        <v>B3862</v>
      </c>
      <c r="K206" s="10" t="str">
        <f>IF(AD207="","",IF(AD201=3,N203,IF(AD204=3,N206,IF(AD207=3,N209,""))))</f>
        <v>G3134</v>
      </c>
      <c r="M206" s="42" t="str">
        <f>N201</f>
        <v>podwójna kobiet J</v>
      </c>
      <c r="N206" s="38" t="s">
        <v>61</v>
      </c>
      <c r="O206" s="28"/>
      <c r="P206" s="28"/>
      <c r="Q206" s="43" t="str">
        <f>IF(AU206&gt;0,"",IF(A206=0,"",IF(VLOOKUP(A206,'[2]plan gier'!A$1:S$65536,19,FALSE)="","",VLOOKUP(A206,'[2]plan gier'!A$1:S$65536,19,FALSE))))</f>
        <v/>
      </c>
      <c r="R206" s="72" t="s">
        <v>18</v>
      </c>
      <c r="S206" s="45">
        <v>179</v>
      </c>
      <c r="T206" s="261"/>
      <c r="U206" s="265" t="str">
        <f>IF(N206&lt;&gt;"",CONCATENATE(VLOOKUP(N206,[2]zawodnicy!$A$1:$E$65536,1,FALSE)," ",VLOOKUP(N206,[2]zawodnicy!$A$1:$E$65536,2,FALSE)," ",VLOOKUP(N206,[2]zawodnicy!$A$1:$E$65536,3,FALSE)," - ",VLOOKUP(N206,[2]zawodnicy!$A$1:$E$65536,4,FALSE)),"")</f>
        <v>G3134 Katarzyna GRUSZKA - UKS Orbitek Straszęcin</v>
      </c>
      <c r="V206" s="266"/>
      <c r="W206" s="267"/>
      <c r="X206" s="73" t="str">
        <f>IF(SUM(AS206:AT206)=0,"",AT206&amp;":"&amp;AS206)</f>
        <v/>
      </c>
      <c r="Y206" s="62"/>
      <c r="Z206" s="40" t="str">
        <f>IF(SUM(AS205:AT205)=0,"",AS205&amp;":"&amp;AT205)</f>
        <v/>
      </c>
      <c r="AA206" s="262"/>
      <c r="AB206" s="263"/>
      <c r="AC206" s="263"/>
      <c r="AD206" s="264"/>
      <c r="AE206" s="2"/>
      <c r="AF206" s="12"/>
      <c r="AG206" s="12"/>
      <c r="AH206" s="72" t="s">
        <v>18</v>
      </c>
      <c r="AI206" s="74">
        <f>IF(ISBLANK(S206),"",VLOOKUP(S206,'[2]plan gier'!$X$1:$AN$65536,12,FALSE))</f>
        <v>21</v>
      </c>
      <c r="AJ206" s="75">
        <f>IF(ISBLANK(S206),"",VLOOKUP(S206,'[2]plan gier'!$X$1:$AN$65536,13,FALSE))</f>
        <v>18</v>
      </c>
      <c r="AK206" s="75">
        <f>IF(ISBLANK(S206),"",VLOOKUP(S206,'[2]plan gier'!$X$1:$AN$65536,14,FALSE))</f>
        <v>21</v>
      </c>
      <c r="AL206" s="75">
        <f>IF(ISBLANK(S206),"",VLOOKUP(S206,'[2]plan gier'!$X$1:$AN$65536,15,FALSE))</f>
        <v>16</v>
      </c>
      <c r="AM206" s="75">
        <f>IF(ISBLANK(S206),"",VLOOKUP(S206,'[2]plan gier'!$X$1:$AN$65536,16,FALSE))</f>
        <v>0</v>
      </c>
      <c r="AN206" s="75">
        <f>IF(ISBLANK(S206),"",VLOOKUP(S206,'[2]plan gier'!$X$1:$AN$65536,17,FALSE))</f>
        <v>0</v>
      </c>
      <c r="AO206" s="76">
        <f t="shared" si="14"/>
        <v>21</v>
      </c>
      <c r="AP206" s="75">
        <f t="shared" si="14"/>
        <v>18</v>
      </c>
      <c r="AQ206" s="77">
        <f t="shared" si="14"/>
        <v>21</v>
      </c>
      <c r="AR206" s="75">
        <f t="shared" si="14"/>
        <v>16</v>
      </c>
      <c r="AS206" s="77">
        <f t="shared" si="14"/>
        <v>0</v>
      </c>
      <c r="AT206" s="75">
        <f t="shared" si="14"/>
        <v>0</v>
      </c>
      <c r="AU206" s="54">
        <f>SUM(AO206:AT206)</f>
        <v>76</v>
      </c>
      <c r="AV206" s="13">
        <v>3</v>
      </c>
      <c r="AW206" s="74">
        <f>IF(AI204&lt;AJ204,1,0)+IF(AK204&lt;AL204,1,0)+IF(AM204&lt;AN204,1,0)</f>
        <v>0</v>
      </c>
      <c r="AX206" s="75">
        <f>BA204</f>
        <v>2</v>
      </c>
      <c r="AY206" s="75">
        <f>IF(AI205&lt;AJ205,1,0)+IF(AK205&lt;AL205,1,0)+IF(AM205&lt;AN205,1,0)</f>
        <v>2</v>
      </c>
      <c r="AZ206" s="75">
        <f>BA205</f>
        <v>0</v>
      </c>
      <c r="BA206" s="78"/>
      <c r="BB206" s="79"/>
      <c r="BE206" s="74">
        <f>AP204+AR204+AT204+AP205+AR205+AT205</f>
        <v>79</v>
      </c>
      <c r="BF206" s="80">
        <f>AO204+AQ204+AS204+AO205+AQ205+AS205</f>
        <v>82</v>
      </c>
      <c r="BG206" s="74">
        <f>AW206+AY206</f>
        <v>2</v>
      </c>
      <c r="BH206" s="80">
        <f>AX206+AZ206</f>
        <v>2</v>
      </c>
      <c r="BI206" s="74">
        <f>IF(AW206&gt;AX206,1,0)+IF(AY206&gt;AZ206,1,0)</f>
        <v>1</v>
      </c>
      <c r="BJ206" s="81">
        <f>IF(AX206&gt;AW206,1,0)+IF(AZ206&gt;AY206,1,0)</f>
        <v>1</v>
      </c>
      <c r="BK206" s="82">
        <f>IF(BI206+BJ206=0,"",IF(BL206=MAX(BL204:BL206),1,IF(BL206=MIN(BL204:BL206),3,2)))</f>
        <v>2</v>
      </c>
      <c r="BL206" s="60">
        <f>IF(BI206+BJ206&lt;&gt;0,BI206+1+(BG206-BH206)/100+(BE206-BF206)/100000+(BE206/BF206)/1000000,0)</f>
        <v>1.9999709634146341</v>
      </c>
    </row>
    <row r="207" spans="1:64" ht="11.45" customHeight="1" x14ac:dyDescent="0.2">
      <c r="A207" s="2"/>
      <c r="J207" s="28"/>
      <c r="K207" s="28"/>
      <c r="L207" s="28"/>
      <c r="O207" s="28"/>
      <c r="P207" s="28"/>
      <c r="Q207" s="2"/>
      <c r="R207" s="2"/>
      <c r="S207" s="2"/>
      <c r="T207" s="241">
        <v>3</v>
      </c>
      <c r="U207" s="244" t="str">
        <f>IF(AND(N208&lt;&gt;"",N209&lt;&gt;""),CONCATENATE(VLOOKUP(N208,[2]zawodnicy!$A$1:$E$65536,1,FALSE)," ",VLOOKUP(N208,[2]zawodnicy!$A$1:$E$65536,2,FALSE)," ",VLOOKUP(N208,[2]zawodnicy!$A$1:$E$65536,3,FALSE)," - ",VLOOKUP(N208,[2]zawodnicy!$A$1:$E$65536,4,FALSE)),"")</f>
        <v>B3564 Kinga BARNA - UKS 2 Sobótka</v>
      </c>
      <c r="V207" s="245"/>
      <c r="W207" s="246"/>
      <c r="X207" s="46" t="str">
        <f>IF(SUM(AO204:AP204)=0,"",AP204&amp;":"&amp;AO204)</f>
        <v>18:21</v>
      </c>
      <c r="Y207" s="83" t="str">
        <f>IF(SUM(AO205:AP205)=0,"",AP205&amp;":"&amp;AO205)</f>
        <v>22:20</v>
      </c>
      <c r="Z207" s="84"/>
      <c r="AA207" s="247" t="str">
        <f>IF(SUM(AW206:AZ206)=0,"",BE206&amp;":"&amp;BF206)</f>
        <v>79:82</v>
      </c>
      <c r="AB207" s="250" t="str">
        <f>IF(SUM(AW206:AZ206)=0,"",BG206&amp;":"&amp;BH206)</f>
        <v>2:2</v>
      </c>
      <c r="AC207" s="250" t="str">
        <f>IF(SUM(AW206:AZ206)=0,"",BI206&amp;":"&amp;BJ206)</f>
        <v>1:1</v>
      </c>
      <c r="AD207" s="253">
        <f>IF(SUM(BI204:BI206)&gt;0,BK206,"")</f>
        <v>2</v>
      </c>
      <c r="AE207" s="2"/>
      <c r="AF207" s="12"/>
      <c r="AG207" s="12"/>
      <c r="BE207" s="19">
        <f>SUM(BE204:BE206)</f>
        <v>237</v>
      </c>
      <c r="BF207" s="19">
        <f>SUM(BF204:BF206)</f>
        <v>237</v>
      </c>
      <c r="BG207" s="19">
        <f>SUM(BG204:BG206)</f>
        <v>6</v>
      </c>
      <c r="BH207" s="19">
        <f>SUM(BH204:BH206)</f>
        <v>6</v>
      </c>
      <c r="BK207" s="19"/>
      <c r="BL207" s="20"/>
    </row>
    <row r="208" spans="1:64" ht="11.45" customHeight="1" x14ac:dyDescent="0.2">
      <c r="A208" s="19"/>
      <c r="J208" s="19"/>
      <c r="K208" s="19"/>
      <c r="L208" s="19"/>
      <c r="N208" s="33" t="s">
        <v>16</v>
      </c>
      <c r="O208" s="34">
        <f>IF(O200&gt;0,(O200&amp;3)*1,"")</f>
        <v>33</v>
      </c>
      <c r="Q208" s="85"/>
      <c r="R208" s="85"/>
      <c r="S208" s="85"/>
      <c r="T208" s="242"/>
      <c r="U208" s="244" t="str">
        <f>IF(AND(N208&lt;&gt;"",N209=""),CONCATENATE(VLOOKUP(N208,[2]zawodnicy!$A$1:$E$65536,1,FALSE)," ",VLOOKUP(N208,[2]zawodnicy!$A$1:$E$65536,2,FALSE)," ",VLOOKUP(N208,[2]zawodnicy!$A$1:$E$65536,3,FALSE)," - ",VLOOKUP(N208,[2]zawodnicy!$A$1:$E$65536,4,FALSE)),"")</f>
        <v/>
      </c>
      <c r="V208" s="245"/>
      <c r="W208" s="246"/>
      <c r="X208" s="61" t="str">
        <f>IF(SUM(AQ204:AR204)=0,"",AR204&amp;":"&amp;AQ204)</f>
        <v>17:21</v>
      </c>
      <c r="Y208" s="36" t="str">
        <f>IF(SUM(AQ205:AR205)=0,"",AR205&amp;":"&amp;AQ205)</f>
        <v>22:20</v>
      </c>
      <c r="Z208" s="86"/>
      <c r="AA208" s="248"/>
      <c r="AB208" s="251"/>
      <c r="AC208" s="251"/>
      <c r="AD208" s="254"/>
      <c r="AE208" s="2"/>
      <c r="AF208" s="12"/>
      <c r="AG208" s="1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row>
    <row r="209" spans="1:64" ht="11.45" customHeight="1" thickBot="1" x14ac:dyDescent="0.25">
      <c r="A209" s="2"/>
      <c r="J209" s="28"/>
      <c r="K209" s="28"/>
      <c r="L209" s="28"/>
      <c r="N209" s="38" t="s">
        <v>29</v>
      </c>
      <c r="O209" s="28"/>
      <c r="P209" s="28"/>
      <c r="Q209" s="2"/>
      <c r="R209" s="2"/>
      <c r="S209" s="2"/>
      <c r="T209" s="243"/>
      <c r="U209" s="256" t="str">
        <f>IF(N209&lt;&gt;"",CONCATENATE(VLOOKUP(N209,[2]zawodnicy!$A$1:$E$65536,1,FALSE)," ",VLOOKUP(N209,[2]zawodnicy!$A$1:$E$65536,2,FALSE)," ",VLOOKUP(N209,[2]zawodnicy!$A$1:$E$65536,3,FALSE)," - ",VLOOKUP(N209,[2]zawodnicy!$A$1:$E$65536,4,FALSE)),"")</f>
        <v>R3364 Kinga ROGALSKA - UKS 2 Sobótka</v>
      </c>
      <c r="V209" s="257"/>
      <c r="W209" s="258"/>
      <c r="X209" s="87" t="str">
        <f>IF(SUM(AS204:AT204)=0,"",AT204&amp;":"&amp;AS204)</f>
        <v/>
      </c>
      <c r="Y209" s="88" t="str">
        <f>IF(SUM(AS205:AT205)=0,"",AT205&amp;":"&amp;AS205)</f>
        <v/>
      </c>
      <c r="Z209" s="89"/>
      <c r="AA209" s="249"/>
      <c r="AB209" s="252"/>
      <c r="AC209" s="252"/>
      <c r="AD209" s="255"/>
      <c r="AE209" s="10"/>
      <c r="AF209" s="12"/>
      <c r="AG209" s="1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row>
    <row r="210" spans="1:64" s="19" customFormat="1" ht="5.0999999999999996" customHeight="1" x14ac:dyDescent="0.2">
      <c r="M210" s="90"/>
      <c r="O210" s="90"/>
      <c r="P210" s="90"/>
      <c r="Q210" s="91"/>
      <c r="R210" s="91"/>
      <c r="S210" s="91"/>
      <c r="T210" s="91"/>
      <c r="U210" s="5"/>
      <c r="V210" s="5"/>
      <c r="W210" s="5"/>
      <c r="AA210" s="92"/>
      <c r="AB210" s="91"/>
      <c r="AC210" s="91"/>
      <c r="AD210" s="91"/>
      <c r="AE210" s="91"/>
      <c r="AF210" s="91"/>
      <c r="AI210" s="93"/>
      <c r="AJ210" s="94"/>
      <c r="AK210" s="94"/>
    </row>
    <row r="211" spans="1:64" ht="12.75" x14ac:dyDescent="0.2">
      <c r="J211" s="2"/>
      <c r="K211" s="2"/>
      <c r="L211" s="2"/>
      <c r="M211" s="95"/>
      <c r="N211" s="96">
        <v>1</v>
      </c>
      <c r="O211" s="97">
        <v>3</v>
      </c>
      <c r="P211" s="98"/>
      <c r="Q211" s="1"/>
      <c r="R211" s="1"/>
      <c r="S211" s="1"/>
      <c r="T211" s="229"/>
      <c r="U211" s="229"/>
      <c r="V211" s="229"/>
      <c r="W211" s="229"/>
      <c r="X211" s="229"/>
      <c r="Y211" s="229"/>
      <c r="Z211" s="229"/>
      <c r="AA211" s="229"/>
      <c r="AB211" s="229"/>
      <c r="AC211" s="229"/>
      <c r="AD211" s="114"/>
      <c r="AE211" s="114"/>
      <c r="AF211" s="114"/>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row>
    <row r="212" spans="1:64" ht="12.75" x14ac:dyDescent="0.2">
      <c r="J212" s="2"/>
      <c r="K212" s="2"/>
      <c r="L212" s="2"/>
      <c r="N212" s="99" t="s">
        <v>54</v>
      </c>
      <c r="P212" s="98"/>
      <c r="Q212" s="1"/>
      <c r="R212" s="1"/>
      <c r="S212" s="1"/>
      <c r="T212" s="1"/>
      <c r="U212" s="1"/>
      <c r="V212" s="101"/>
      <c r="W212" s="101"/>
      <c r="X212" s="101"/>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row>
    <row r="213" spans="1:64" ht="12.75" x14ac:dyDescent="0.2">
      <c r="J213" s="2"/>
      <c r="K213" s="2"/>
      <c r="L213" s="2"/>
      <c r="M213" s="95"/>
      <c r="N213" s="119"/>
      <c r="O213" s="120">
        <f>IF(P213="","",1)</f>
        <v>1</v>
      </c>
      <c r="P213" s="121">
        <f>IF(O211&gt;2,1,"")</f>
        <v>1</v>
      </c>
      <c r="Q213" s="113">
        <f>O213</f>
        <v>1</v>
      </c>
      <c r="R213" s="113"/>
      <c r="S213" s="113"/>
      <c r="T213" s="234" t="str">
        <f>UPPER(IF(O213="","",IF(ISTEXT(N213),N213,IF(AND(N211&gt;0,O213&gt;0),VLOOKUP(N211&amp;O213&amp;N212,I:K,2,FALSE),""))))</f>
        <v>M3309</v>
      </c>
      <c r="U213" s="235"/>
      <c r="V213" s="122" t="str">
        <f>IF(T213&lt;&gt;"",CONCATENATE(VLOOKUP(T213,[2]zawodnicy!$A$1:$E$65536,2,FALSE)," ",VLOOKUP(T213,[2]zawodnicy!$A$1:$E$65536,3,FALSE)," - ",VLOOKUP(T213,[2]zawodnicy!$A$1:$E$65536,4,FALSE)),"")</f>
        <v>Edyta MIETŁA - MKS Spartakus Niepołomice</v>
      </c>
      <c r="W213" s="123"/>
      <c r="X213" s="228" t="str">
        <f>IF(ISBLANK(W214),IF(AND(LEN(T213)&gt;0,LEN(T215)=0),VLOOKUP(T213,[2]zawodnicy!$A$1:$E$65536,3,FALSE),IF(AND(LEN(T215)&gt;0,LEN(T213)=0),VLOOKUP(T215,[2]zawodnicy!$A$1:$E$65536,3,FALSE),"")),IF((VLOOKUP(W214,'[2]plan gier'!$X$1:$AF$65536,7,FALSE))="","",VLOOKUP(VLOOKUP(W214,'[2]plan gier'!$X$1:$AF$65536,7,FALSE),[2]zawodnicy!$A$1:$E$65536,3,FALSE)))</f>
        <v>MIETŁA</v>
      </c>
      <c r="Y213" s="229"/>
      <c r="Z213" s="229"/>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row>
    <row r="214" spans="1:64" ht="12.75" x14ac:dyDescent="0.2">
      <c r="A214" s="102">
        <f>W214</f>
        <v>0</v>
      </c>
      <c r="B214" s="2" t="str">
        <f>IF(TYPE(T213)=16,"",T213)</f>
        <v>M3309</v>
      </c>
      <c r="C214" s="2" t="str">
        <f>IF(TYPE(T214)=16,"",T214)</f>
        <v>P2838</v>
      </c>
      <c r="D214" s="2" t="str">
        <f>IF(TYPE(T215)=16,"",T215)</f>
        <v/>
      </c>
      <c r="E214" s="2" t="str">
        <f>IF(TYPE(T216)=16,"",T216)</f>
        <v/>
      </c>
      <c r="F214" s="2" t="str">
        <f>IF(A214=0,IF(AND(LEN(B214)&gt;1,LEN(D214)=0),VLOOKUP(B214,[2]zawodnicy!$A$1:$E$65536,1,FALSE),IF(AND(LEN(D214)&gt;1,LEN(B214)=0),VLOOKUP(D214,[2]zawodnicy!$A$1:$E$65536,1,FALSE),"")),IF((VLOOKUP(A214,'[2]plan gier'!$X$1:$AF$65536,7,FALSE))="","",VLOOKUP(VLOOKUP(A214,'[2]plan gier'!$X$1:$AF$65536,7,FALSE),[2]zawodnicy!$A$1:$E$65536,1,FALSE)))</f>
        <v>M3309</v>
      </c>
      <c r="G214" s="2" t="str">
        <f>IF(A214=0,IF(AND(LEN(C214)&gt;1,LEN(E214)=0),VLOOKUP(C214,[2]zawodnicy!$A$1:$E$65536,1,FALSE),IF(AND(LEN(E214)&gt;1,LEN(C214)=0),VLOOKUP(E214,[2]zawodnicy!$A$1:$E$65536,1,FALSE),"")),IF((VLOOKUP(A214,'[2]plan gier'!$X$1:$AF$65536,8,FALSE))="","",VLOOKUP(VLOOKUP(A214,'[2]plan gier'!$X$1:$AF$65536,8,FALSE),[2]zawodnicy!$A$1:$E$65536,1,FALSE)))</f>
        <v>P2838</v>
      </c>
      <c r="H214" s="2" t="str">
        <f>IF(A214=0,"",IF((VLOOKUP(A214,'[2]plan gier'!$X$1:$AF$65536,7,FALSE))="","",VLOOKUP(A214,'[2]plan gier'!$X$1:$AF$65536,9,FALSE)))</f>
        <v/>
      </c>
      <c r="L214" s="124" t="str">
        <f>IF(A214=0,"",IF(VLOOKUP(A214,'[2]plan gier'!A$1:S$65536,19,FALSE)="","",VLOOKUP(A214,'[2]plan gier'!A$1:S$65536,19,FALSE)))</f>
        <v/>
      </c>
      <c r="M214" s="2" t="str">
        <f>N212</f>
        <v>podwójna kobiet J</v>
      </c>
      <c r="N214" s="125"/>
      <c r="O214" s="121"/>
      <c r="P214" s="121"/>
      <c r="Q214" s="114"/>
      <c r="R214" s="114"/>
      <c r="S214" s="114"/>
      <c r="T214" s="224" t="str">
        <f>UPPER(IF(O213="","",IF(ISTEXT(N214),N214,IF(AND(N211&gt;0,O213&gt;0),VLOOKUP(N211&amp;O213&amp;N212,I:K,3,FALSE),""))))</f>
        <v>P2838</v>
      </c>
      <c r="U214" s="225"/>
      <c r="V214" s="126" t="str">
        <f>IF(T214&lt;&gt;"",CONCATENATE(VLOOKUP(T214,[2]zawodnicy!$A$1:$E$65536,2,FALSE)," ",VLOOKUP(T214,[2]zawodnicy!$A$1:$E$65536,3,FALSE)," - ",VLOOKUP(T214,[2]zawodnicy!$A$1:$E$65536,4,FALSE)),"")</f>
        <v>Aleksandra PAPRZYCKA - MKB Lednik Miastko</v>
      </c>
      <c r="W214" s="127"/>
      <c r="X214" s="231" t="str">
        <f>IF(ISBLANK(W214),IF(AND(LEN(T214)&gt;0,LEN(T216)=0),VLOOKUP(T214,[2]zawodnicy!$A$1:$E$65536,3,FALSE),IF(AND(LEN(T216)&gt;0,LEN(T214)=0),VLOOKUP(T216,[2]zawodnicy!$A$1:$E$65536,3,FALSE),"")),IF((VLOOKUP(W214,'[2]plan gier'!$X$1:$AF$65536,8,FALSE))="","",VLOOKUP(VLOOKUP(W214,'[2]plan gier'!$X$1:$AF$65536,8,FALSE),[2]zawodnicy!$A$1:$E$65536,3,FALSE)))</f>
        <v>PAPRZYCKA</v>
      </c>
      <c r="Y214" s="232"/>
      <c r="Z214" s="23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row>
    <row r="215" spans="1:64" ht="12.75" x14ac:dyDescent="0.2">
      <c r="J215" s="2"/>
      <c r="K215" s="2"/>
      <c r="L215" s="2"/>
      <c r="M215" s="95"/>
      <c r="N215" s="125"/>
      <c r="O215" s="120" t="str">
        <f>IF(P215="","",MAX(O213:O214)+1)</f>
        <v/>
      </c>
      <c r="P215" s="121" t="str">
        <f>IF(O211&gt;3,9,"")</f>
        <v/>
      </c>
      <c r="Q215" s="113" t="str">
        <f>O215</f>
        <v/>
      </c>
      <c r="R215" s="113"/>
      <c r="S215" s="113"/>
      <c r="T215" s="234" t="str">
        <f>UPPER(IF(O215="","",IF(ISTEXT(N215),N215,IF(AND(N211&gt;0,O215&gt;0),VLOOKUP(N211&amp;O215&amp;N212,I:K,2,FALSE),""))))</f>
        <v/>
      </c>
      <c r="U215" s="235"/>
      <c r="V215" s="122" t="str">
        <f>IF(T215&lt;&gt;"",CONCATENATE(VLOOKUP(T215,[2]zawodnicy!$A$1:$E$65536,2,FALSE)," ",VLOOKUP(T215,[2]zawodnicy!$A$1:$E$65536,3,FALSE)," - ",VLOOKUP(T215,[2]zawodnicy!$A$1:$E$65536,4,FALSE)),"")</f>
        <v/>
      </c>
      <c r="W215" s="128"/>
      <c r="X215" s="237" t="str">
        <f>IF(ISBLANK(W214),"",IF((VLOOKUP(W214,'[2]plan gier'!$X$1:$AF$65536,7,FALSE))="",L214,VLOOKUP(W214,'[2]plan gier'!$X$1:$AF$65536,9,FALSE)))</f>
        <v/>
      </c>
      <c r="Y215" s="237"/>
      <c r="Z215" s="240"/>
      <c r="AA215" s="229" t="str">
        <f>IF(ISBLANK(Z216),IF(AND(LEN(X213)&gt;0,LEN(X217)=0),X213,IF(AND(LEN(X217)&gt;0,LEN(X213)=0),X217,"")),IF((VLOOKUP(Z216,'[2]plan gier'!$X$1:$AF$65536,7,FALSE))="","",VLOOKUP(VLOOKUP(Z216,'[2]plan gier'!$X$1:$AF$65536,7,FALSE),[2]zawodnicy!$A$1:$E$65536,3,FALSE)))</f>
        <v>DĘBSKA</v>
      </c>
      <c r="AB215" s="229"/>
      <c r="AC215" s="229"/>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row>
    <row r="216" spans="1:64" ht="13.5" thickBot="1" x14ac:dyDescent="0.25">
      <c r="A216" s="111">
        <f>Z216</f>
        <v>237</v>
      </c>
      <c r="B216" s="2" t="str">
        <f>F214</f>
        <v>M3309</v>
      </c>
      <c r="C216" s="2" t="str">
        <f>G214</f>
        <v>P2838</v>
      </c>
      <c r="D216" s="2" t="str">
        <f>F218</f>
        <v>D3155</v>
      </c>
      <c r="E216" s="2" t="str">
        <f>G218</f>
        <v>T3157</v>
      </c>
      <c r="F216" s="2" t="str">
        <f>IF(A216=0,IF(AND(LEN(B216)&gt;0,LEN(D216)=0),B216,IF(AND(LEN(D216)&gt;0,LEN(B216)=0),D216,"")),IF((VLOOKUP(A216,'[2]plan gier'!$X$1:$AF$65536,7,FALSE))="","",VLOOKUP(VLOOKUP(A216,'[2]plan gier'!$X$1:$AF$65536,7,FALSE),[2]zawodnicy!$A$1:$E$65536,1,FALSE)))</f>
        <v>D3155</v>
      </c>
      <c r="G216" s="2" t="str">
        <f>IF(A216=0,IF(AND(LEN(C216)&gt;0,LEN(E216)=0),C216,IF(AND(LEN(E216)&gt;0,LEN(C216)=0),E216,"")),IF((VLOOKUP(A216,'[2]plan gier'!$X$1:$AF$65536,8,FALSE))="","",VLOOKUP(VLOOKUP(A216,'[2]plan gier'!$X$1:$AF$65536,8,FALSE),[2]zawodnicy!$A$1:$E$65536,1,FALSE)))</f>
        <v>T3157</v>
      </c>
      <c r="H216" s="2" t="str">
        <f>IF(A216=0,"",IF((VLOOKUP(A216,'[2]plan gier'!$X$1:$AF$65536,7,FALSE))="","",VLOOKUP(A216,'[2]plan gier'!$X$1:$AF$65536,9,FALSE)))</f>
        <v>21:17,22:20</v>
      </c>
      <c r="L216" s="124" t="str">
        <f>IF(A216=0,"",IF(VLOOKUP(A216,'[2]plan gier'!A$1:S$65536,19,FALSE)="","",VLOOKUP(A216,'[2]plan gier'!A$1:S$65536,19,FALSE)))</f>
        <v>nie 11:30</v>
      </c>
      <c r="M216" s="2" t="str">
        <f>N212</f>
        <v>podwójna kobiet J</v>
      </c>
      <c r="N216" s="129"/>
      <c r="O216" s="121"/>
      <c r="P216" s="121"/>
      <c r="Q216" s="114"/>
      <c r="R216" s="114"/>
      <c r="S216" s="114"/>
      <c r="T216" s="238" t="str">
        <f>UPPER(IF(O215="","",IF(ISTEXT(N216),N216,IF(AND(N211&gt;0,O215&gt;0),VLOOKUP(N211&amp;O215&amp;N212,I:K,3,FALSE),""))))</f>
        <v/>
      </c>
      <c r="U216" s="239"/>
      <c r="V216" s="130" t="str">
        <f>IF(T216&lt;&gt;"",CONCATENATE(VLOOKUP(T216,[2]zawodnicy!$A$1:$E$65536,2,FALSE)," ",VLOOKUP(T216,[2]zawodnicy!$A$1:$E$65536,3,FALSE)," - ",VLOOKUP(T216,[2]zawodnicy!$A$1:$E$65536,4,FALSE)),"")</f>
        <v/>
      </c>
      <c r="W216" s="131"/>
      <c r="X216" s="114"/>
      <c r="Y216" s="10"/>
      <c r="Z216" s="115">
        <v>237</v>
      </c>
      <c r="AA216" s="231" t="str">
        <f>IF(ISBLANK(Z216),IF(AND(LEN(X214)&gt;0,LEN(X218)=0),X214,IF(AND(LEN(X218)&gt;0,LEN(X214)=0),X218,"")),IF((VLOOKUP(Z216,'[2]plan gier'!$X$1:$AF$65536,8,FALSE))="","",VLOOKUP(VLOOKUP(Z216,'[2]plan gier'!$X$1:$AF$65536,8,FALSE),[2]zawodnicy!$A$1:$E$65536,3,FALSE)))</f>
        <v>TATAJ</v>
      </c>
      <c r="AB216" s="232"/>
      <c r="AC216" s="23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row>
    <row r="217" spans="1:64" ht="13.5" thickTop="1" x14ac:dyDescent="0.2">
      <c r="J217" s="2"/>
      <c r="K217" s="2"/>
      <c r="L217" s="2"/>
      <c r="M217" s="95"/>
      <c r="N217" s="132"/>
      <c r="O217" s="120">
        <f>IF(P217="","",MAX(O213:O216)+1)</f>
        <v>2</v>
      </c>
      <c r="P217" s="121">
        <f>IF(O211&gt;2,24,"")</f>
        <v>24</v>
      </c>
      <c r="Q217" s="113">
        <f>O217</f>
        <v>2</v>
      </c>
      <c r="R217" s="113"/>
      <c r="S217" s="113"/>
      <c r="T217" s="226" t="str">
        <f>UPPER(IF(O217="","",IF(ISTEXT(N217),N217,IF(AND(N211&gt;0,O217&gt;0),VLOOKUP(N211&amp;O217&amp;N212,I:K,2,FALSE),""))))</f>
        <v>D3155</v>
      </c>
      <c r="U217" s="227"/>
      <c r="V217" s="133" t="str">
        <f>IF(T217&lt;&gt;"",CONCATENATE(VLOOKUP(T217,[2]zawodnicy!$A$1:$E$65536,2,FALSE)," ",VLOOKUP(T217,[2]zawodnicy!$A$1:$E$65536,3,FALSE)," - ",VLOOKUP(T217,[2]zawodnicy!$A$1:$E$65536,4,FALSE)),"")</f>
        <v>Anna DĘBSKA - UKSB Milenium Warszawa</v>
      </c>
      <c r="W217" s="134"/>
      <c r="X217" s="228" t="str">
        <f>IF(ISBLANK(W218),IF(AND(LEN(T217)&gt;0,LEN(T219)=0),VLOOKUP(T217,[2]zawodnicy!$A$1:$E$65536,3,FALSE),IF(AND(LEN(T219)&gt;0,LEN(T217)=0),VLOOKUP(T219,[2]zawodnicy!$A$1:$E$65536,3,FALSE),"")),IF((VLOOKUP(W218,'[2]plan gier'!$X$1:$AF$65536,7,FALSE))="","",VLOOKUP(VLOOKUP(W218,'[2]plan gier'!$X$1:$AF$65536,7,FALSE),[2]zawodnicy!$A$1:$E$65536,3,FALSE)))</f>
        <v>DĘBSKA</v>
      </c>
      <c r="Y217" s="229"/>
      <c r="Z217" s="230"/>
      <c r="AA217" s="229" t="str">
        <f>IF(ISBLANK(Z216),"",IF((VLOOKUP(Z216,'[2]plan gier'!$X$1:$AF$65536,7,FALSE))="",L216,VLOOKUP(Z216,'[2]plan gier'!$X$1:$AF$65536,9,FALSE)))</f>
        <v>21:17,22:20</v>
      </c>
      <c r="AB217" s="229"/>
      <c r="AC217" s="229"/>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row>
    <row r="218" spans="1:64" ht="12.75" x14ac:dyDescent="0.2">
      <c r="A218" s="102">
        <f>W218</f>
        <v>224</v>
      </c>
      <c r="B218" s="2" t="str">
        <f>IF(TYPE(T217)=16,"",T217)</f>
        <v>D3155</v>
      </c>
      <c r="C218" s="2" t="str">
        <f>IF(TYPE(T218)=16,"",T218)</f>
        <v>T3157</v>
      </c>
      <c r="D218" s="2" t="str">
        <f>IF(TYPE(T219)=16,"",T219)</f>
        <v>G2661</v>
      </c>
      <c r="E218" s="2" t="str">
        <f>IF(TYPE(T220)=16,"",T220)</f>
        <v>K3351</v>
      </c>
      <c r="F218" s="2" t="str">
        <f>IF(A218=0,IF(AND(LEN(B218)&gt;1,LEN(D218)=0),VLOOKUP(B218,[2]zawodnicy!$A$1:$E$65536,1,FALSE),IF(AND(LEN(D218)&gt;1,LEN(B218)=0),VLOOKUP(D218,[2]zawodnicy!$A$1:$E$65536,1,FALSE),"")),IF((VLOOKUP(A218,'[2]plan gier'!$X$1:$AF$65536,7,FALSE))="","",VLOOKUP(VLOOKUP(A218,'[2]plan gier'!$X$1:$AF$65536,7,FALSE),[2]zawodnicy!$A$1:$E$65536,1,FALSE)))</f>
        <v>D3155</v>
      </c>
      <c r="G218" s="2" t="str">
        <f>IF(A218=0,IF(AND(LEN(C218)&gt;1,LEN(E218)=0),VLOOKUP(C218,[2]zawodnicy!$A$1:$E$65536,1,FALSE),IF(AND(LEN(E218)&gt;1,LEN(C218)=0),VLOOKUP(E218,[2]zawodnicy!$A$1:$E$65536,1,FALSE),"")),IF((VLOOKUP(A218,'[2]plan gier'!$X$1:$AF$65536,8,FALSE))="","",VLOOKUP(VLOOKUP(A218,'[2]plan gier'!$X$1:$AF$65536,8,FALSE),[2]zawodnicy!$A$1:$E$65536,1,FALSE)))</f>
        <v>T3157</v>
      </c>
      <c r="H218" s="2" t="str">
        <f>IF(A218=0,"",IF((VLOOKUP(A218,'[2]plan gier'!$X$1:$AF$65536,7,FALSE))="","",VLOOKUP(A218,'[2]plan gier'!$X$1:$AF$65536,9,FALSE)))</f>
        <v>21:10,21:15</v>
      </c>
      <c r="L218" s="124" t="str">
        <f>IF(A218=0,"",IF(VLOOKUP(A218,'[2]plan gier'!A$1:S$65536,19,FALSE)="","",VLOOKUP(A218,'[2]plan gier'!A$1:S$65536,19,FALSE)))</f>
        <v>sob 17:30</v>
      </c>
      <c r="M218" s="2" t="str">
        <f>N212</f>
        <v>podwójna kobiet J</v>
      </c>
      <c r="N218" s="125"/>
      <c r="O218" s="121"/>
      <c r="P218" s="121"/>
      <c r="Q218" s="114"/>
      <c r="R218" s="114"/>
      <c r="S218" s="114"/>
      <c r="T218" s="224" t="str">
        <f>UPPER(IF(O217="","",IF(ISTEXT(N218),N218,IF(AND(N211&gt;0,O217&gt;0),VLOOKUP(N211&amp;O217&amp;N212,I:K,3,FALSE),""))))</f>
        <v>T3157</v>
      </c>
      <c r="U218" s="225"/>
      <c r="V218" s="126" t="str">
        <f>IF(T218&lt;&gt;"",CONCATENATE(VLOOKUP(T218,[2]zawodnicy!$A$1:$E$65536,2,FALSE)," ",VLOOKUP(T218,[2]zawodnicy!$A$1:$E$65536,3,FALSE)," - ",VLOOKUP(T218,[2]zawodnicy!$A$1:$E$65536,4,FALSE)),"")</f>
        <v>Adrianna TATAJ - UKSB Milenium Warszawa</v>
      </c>
      <c r="W218" s="127">
        <v>224</v>
      </c>
      <c r="X218" s="231" t="str">
        <f>IF(ISBLANK(W218),IF(AND(LEN(T218)&gt;0,LEN(T220)=0),VLOOKUP(T218,[2]zawodnicy!$A$1:$E$65536,3,FALSE),IF(AND(LEN(T220)&gt;0,LEN(T218)=0),VLOOKUP(T220,[2]zawodnicy!$A$1:$E$65536,3,FALSE),"")),IF((VLOOKUP(W218,'[2]plan gier'!$X$1:$AF$65536,8,FALSE))="","",VLOOKUP(VLOOKUP(W218,'[2]plan gier'!$X$1:$AF$65536,8,FALSE),[2]zawodnicy!$A$1:$E$65536,3,FALSE)))</f>
        <v>TATAJ</v>
      </c>
      <c r="Y218" s="232"/>
      <c r="Z218" s="233"/>
      <c r="AA218" s="10"/>
      <c r="AB218" s="10"/>
      <c r="AC218" s="10"/>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row>
    <row r="219" spans="1:64" ht="12.75" x14ac:dyDescent="0.2">
      <c r="J219" s="2"/>
      <c r="K219" s="2"/>
      <c r="L219" s="2"/>
      <c r="M219" s="95"/>
      <c r="N219" s="125"/>
      <c r="O219" s="120">
        <f>IF(P219="","",MAX(O213:O218)+1)</f>
        <v>3</v>
      </c>
      <c r="P219" s="121">
        <f>IF(O211&gt;2,32,"")</f>
        <v>32</v>
      </c>
      <c r="Q219" s="113">
        <f>O219</f>
        <v>3</v>
      </c>
      <c r="R219" s="113"/>
      <c r="S219" s="113"/>
      <c r="T219" s="234" t="str">
        <f>UPPER(IF(O219="","",IF(ISTEXT(N219),N219,IF(AND(N211&gt;0,O219&gt;0),VLOOKUP(N211&amp;O219&amp;N212,I:K,2,FALSE),""))))</f>
        <v>G2661</v>
      </c>
      <c r="U219" s="235"/>
      <c r="V219" s="122" t="str">
        <f>IF(T219&lt;&gt;"",CONCATENATE(VLOOKUP(T219,[2]zawodnicy!$A$1:$E$65536,2,FALSE)," ",VLOOKUP(T219,[2]zawodnicy!$A$1:$E$65536,3,FALSE)," - ",VLOOKUP(T219,[2]zawodnicy!$A$1:$E$65536,4,FALSE)),"")</f>
        <v>Diana GŁOWACKA - LUKS Księżyno</v>
      </c>
      <c r="W219" s="128"/>
      <c r="X219" s="236" t="str">
        <f>IF(ISBLANK(W218),"",IF((VLOOKUP(W218,'[2]plan gier'!$X$1:$AF$65536,7,FALSE))="",L218,VLOOKUP(W218,'[2]plan gier'!$X$1:$AF$65536,9,FALSE)))</f>
        <v>21:10,21:15</v>
      </c>
      <c r="Y219" s="237"/>
      <c r="Z219" s="237"/>
      <c r="AA219" s="10"/>
      <c r="AB219" s="10"/>
      <c r="AC219" s="114"/>
      <c r="AD219" s="114"/>
      <c r="AE219" s="114"/>
      <c r="AF219" s="114"/>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row>
    <row r="220" spans="1:64" ht="12.75" x14ac:dyDescent="0.2">
      <c r="A220" s="135"/>
      <c r="B220" s="16"/>
      <c r="C220" s="16"/>
      <c r="D220" s="16"/>
      <c r="E220" s="16"/>
      <c r="F220" s="16"/>
      <c r="G220" s="16"/>
      <c r="H220" s="16"/>
      <c r="I220" s="16"/>
      <c r="M220" s="16"/>
      <c r="N220" s="125"/>
      <c r="O220" s="121"/>
      <c r="P220" s="121"/>
      <c r="Q220" s="114"/>
      <c r="R220" s="114"/>
      <c r="S220" s="114"/>
      <c r="T220" s="224" t="str">
        <f>UPPER(IF(O219="","",IF(ISTEXT(N220),N220,IF(AND(N211&gt;0,O219&gt;0),VLOOKUP(N211&amp;O219&amp;N212,I:K,3,FALSE),""))))</f>
        <v>K3351</v>
      </c>
      <c r="U220" s="225"/>
      <c r="V220" s="126" t="str">
        <f>IF(T220&lt;&gt;"",CONCATENATE(VLOOKUP(T220,[2]zawodnicy!$A$1:$E$65536,2,FALSE)," ",VLOOKUP(T220,[2]zawodnicy!$A$1:$E$65536,3,FALSE)," - ",VLOOKUP(T220,[2]zawodnicy!$A$1:$E$65536,4,FALSE)),"")</f>
        <v>Paulina KACZOROWSKA - KS Chojnik Jelenia Góra</v>
      </c>
      <c r="W220" s="136"/>
      <c r="X220" s="10"/>
      <c r="Y220" s="10"/>
      <c r="Z220" s="10"/>
      <c r="AA220" s="10"/>
      <c r="AB220" s="10"/>
      <c r="AC220" s="137"/>
      <c r="AD220" s="114"/>
      <c r="AE220" s="114"/>
      <c r="AF220" s="114"/>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row>
    <row r="221" spans="1:64" ht="12.75" x14ac:dyDescent="0.2">
      <c r="BK221" s="19"/>
      <c r="BL221" s="20"/>
    </row>
    <row r="222" spans="1:64" ht="11.45" customHeight="1" x14ac:dyDescent="0.2">
      <c r="M222" s="16"/>
      <c r="N222" s="17" t="s">
        <v>62</v>
      </c>
      <c r="Q222" s="5" t="s">
        <v>55</v>
      </c>
      <c r="R222" s="18"/>
      <c r="S222" s="18"/>
      <c r="T222" s="277" t="str">
        <f>"Gra "&amp;N222</f>
        <v>Gra podwójna mężczyzn J</v>
      </c>
      <c r="U222" s="277"/>
      <c r="V222" s="277"/>
      <c r="W222" s="277"/>
      <c r="X222" s="277"/>
      <c r="Y222" s="277"/>
      <c r="Z222" s="277"/>
      <c r="AA222" s="277"/>
      <c r="AB222" s="277"/>
      <c r="AC222" s="277"/>
      <c r="AD222" s="277"/>
      <c r="AE222" s="18"/>
    </row>
    <row r="223" spans="1:64" ht="11.45" customHeight="1" thickBot="1" x14ac:dyDescent="0.25"/>
    <row r="224" spans="1:64" ht="11.45" customHeight="1" thickBot="1" x14ac:dyDescent="0.25">
      <c r="B224" s="2" t="s">
        <v>63</v>
      </c>
      <c r="N224" s="138"/>
      <c r="O224" s="21">
        <v>1</v>
      </c>
      <c r="Q224" s="277" t="str">
        <f>"Grupa "&amp;O224&amp;"."</f>
        <v>Grupa 1.</v>
      </c>
      <c r="R224" s="277"/>
      <c r="S224" s="277"/>
      <c r="T224" s="22" t="s">
        <v>1</v>
      </c>
      <c r="U224" s="278" t="s">
        <v>2</v>
      </c>
      <c r="V224" s="279"/>
      <c r="W224" s="280"/>
      <c r="X224" s="22">
        <v>1</v>
      </c>
      <c r="Y224" s="139">
        <v>2</v>
      </c>
      <c r="Z224" s="23">
        <v>3</v>
      </c>
      <c r="AA224" s="140">
        <v>4</v>
      </c>
      <c r="AB224" s="141" t="s">
        <v>3</v>
      </c>
      <c r="AC224" s="142" t="s">
        <v>4</v>
      </c>
      <c r="AD224" s="26" t="s">
        <v>5</v>
      </c>
      <c r="AE224" s="143" t="s">
        <v>6</v>
      </c>
      <c r="AF224" s="12"/>
      <c r="AG224" s="12"/>
      <c r="AI224" s="273" t="s">
        <v>9</v>
      </c>
      <c r="AJ224" s="273"/>
      <c r="AK224" s="273"/>
      <c r="AL224" s="273"/>
      <c r="AM224" s="273"/>
      <c r="AN224" s="273"/>
      <c r="AO224" s="273" t="s">
        <v>10</v>
      </c>
      <c r="AP224" s="273"/>
      <c r="AQ224" s="273"/>
      <c r="AR224" s="273"/>
      <c r="AS224" s="273"/>
      <c r="AT224" s="273"/>
      <c r="BK224" s="19"/>
      <c r="BL224" s="20"/>
    </row>
    <row r="225" spans="1:64" ht="11.45" customHeight="1" x14ac:dyDescent="0.2">
      <c r="N225" s="29" t="s">
        <v>62</v>
      </c>
      <c r="Q225" s="274" t="s">
        <v>7</v>
      </c>
      <c r="R225" s="274"/>
      <c r="S225" s="275" t="s">
        <v>8</v>
      </c>
      <c r="T225" s="242">
        <v>1</v>
      </c>
      <c r="U225" s="244" t="str">
        <f>IF(AND(N226&lt;&gt;"",N227&lt;&gt;""),CONCATENATE(VLOOKUP(N226,[2]zawodnicy!$A$1:$E$65536,1,FALSE)," ",VLOOKUP(N226,[2]zawodnicy!$A$1:$E$65536,2,FALSE)," ",VLOOKUP(N226,[2]zawodnicy!$A$1:$E$65536,3,FALSE)," - ",VLOOKUP(N226,[2]zawodnicy!$A$1:$E$65536,4,FALSE)),"")</f>
        <v>K4230 Wiktor KRAWCZYK - UKSB Milenium Warszawa</v>
      </c>
      <c r="V225" s="245"/>
      <c r="W225" s="246"/>
      <c r="X225" s="35"/>
      <c r="Y225" s="36" t="str">
        <f>IF(SUM(AO233:AP233)=0,"",AO233&amp;":"&amp;AP233)</f>
        <v>12:21</v>
      </c>
      <c r="Z225" s="36" t="str">
        <f>IF(SUM(AO228:AP228)=0,"",AO228&amp;":"&amp;AP228)</f>
        <v>22:20</v>
      </c>
      <c r="AA225" s="144" t="str">
        <f>IF(SUM(AO230:AP230)=0,"",AO230&amp;":"&amp;AP230)</f>
        <v>25:27</v>
      </c>
      <c r="AB225" s="242" t="str">
        <f>IF(SUM(AY228:BD228)=0,"",BE228&amp;":"&amp;BF228)</f>
        <v>153:169</v>
      </c>
      <c r="AC225" s="251" t="str">
        <f>IF(SUM(AY228:BD228)=0,"",BG228&amp;":"&amp;BH228)</f>
        <v>2:6</v>
      </c>
      <c r="AD225" s="251" t="str">
        <f>IF(SUM(AY228:BD228)=0,"",BI228&amp;":"&amp;BJ228)</f>
        <v>0:3</v>
      </c>
      <c r="AE225" s="254">
        <f>IF(SUM(BI228:BI231)&gt;0,BK228,"")</f>
        <v>4</v>
      </c>
      <c r="AF225" s="12"/>
      <c r="AG225" s="12"/>
      <c r="BK225" s="19"/>
      <c r="BL225" s="20"/>
    </row>
    <row r="226" spans="1:64" ht="11.45" customHeight="1" thickBot="1" x14ac:dyDescent="0.25">
      <c r="H226" s="10"/>
      <c r="I226" s="2" t="str">
        <f>"1"&amp;O224&amp;N225</f>
        <v>11podwójna mężczyzn J</v>
      </c>
      <c r="J226" s="10" t="str">
        <f>IF(AE225="","",IF(AE225=1,N226,IF(AE228=1,N229,IF(AE231=1,N232,IF(AE234=1,N235,"")))))</f>
        <v>K3935</v>
      </c>
      <c r="K226" s="10" t="str">
        <f>IF(AE225="","",IF(AE225=1,N227,IF(AE228=1,N230,IF(AE231=1,N233,IF(AE234=1,N236,"")))))</f>
        <v>S3502</v>
      </c>
      <c r="L226" s="10"/>
      <c r="N226" s="33" t="s">
        <v>64</v>
      </c>
      <c r="O226" s="34">
        <f>IF(O224&gt;0,(O224&amp;1)*1,"")</f>
        <v>11</v>
      </c>
      <c r="Q226" s="274"/>
      <c r="R226" s="274"/>
      <c r="S226" s="275"/>
      <c r="T226" s="242"/>
      <c r="U226" s="244" t="str">
        <f>IF(AND(N226&lt;&gt;"",N227=""),CONCATENATE(VLOOKUP(N226,[2]zawodnicy!$A$1:$E$65536,1,FALSE)," ",VLOOKUP(N226,[2]zawodnicy!$A$1:$E$65536,2,FALSE)," ",VLOOKUP(N226,[2]zawodnicy!$A$1:$E$65536,3,FALSE)," - ",VLOOKUP(N226,[2]zawodnicy!$A$1:$E$65536,4,FALSE)),"")</f>
        <v/>
      </c>
      <c r="V226" s="245"/>
      <c r="W226" s="246"/>
      <c r="X226" s="35"/>
      <c r="Y226" s="36" t="str">
        <f>IF(SUM(AQ233:AR233)=0,"",AQ233&amp;":"&amp;AR233)</f>
        <v>21:15</v>
      </c>
      <c r="Z226" s="36" t="str">
        <f>IF(SUM(AQ228:AR228)=0,"",AQ228&amp;":"&amp;AR228)</f>
        <v>17:21</v>
      </c>
      <c r="AA226" s="144" t="str">
        <f>IF(SUM(AQ230:AR230)=0,"",AQ230&amp;":"&amp;AR230)</f>
        <v>16:21</v>
      </c>
      <c r="AB226" s="242"/>
      <c r="AC226" s="251"/>
      <c r="AD226" s="251"/>
      <c r="AE226" s="254"/>
      <c r="AF226" s="12"/>
      <c r="AG226" s="12"/>
      <c r="BK226" s="19"/>
      <c r="BL226" s="20"/>
    </row>
    <row r="227" spans="1:64" ht="11.45" customHeight="1" thickBot="1" x14ac:dyDescent="0.25">
      <c r="J227" s="10"/>
      <c r="K227" s="28"/>
      <c r="L227" s="28"/>
      <c r="N227" s="38" t="s">
        <v>65</v>
      </c>
      <c r="O227" s="28"/>
      <c r="P227" s="28"/>
      <c r="Q227" s="274"/>
      <c r="R227" s="274"/>
      <c r="S227" s="275"/>
      <c r="T227" s="261"/>
      <c r="U227" s="265" t="str">
        <f>IF(N227&lt;&gt;"",CONCATENATE(VLOOKUP(N227,[2]zawodnicy!$A$1:$E$65536,1,FALSE)," ",VLOOKUP(N227,[2]zawodnicy!$A$1:$E$65536,2,FALSE)," ",VLOOKUP(N227,[2]zawodnicy!$A$1:$E$65536,3,FALSE)," - ",VLOOKUP(N227,[2]zawodnicy!$A$1:$E$65536,4,FALSE)),"")</f>
        <v>N3148 Kamil NASIŁOWSKI - UKSB Milenium Warszawa</v>
      </c>
      <c r="V227" s="266"/>
      <c r="W227" s="267"/>
      <c r="X227" s="35"/>
      <c r="Y227" s="39" t="str">
        <f>IF(SUM(AS233:AT233)=0,"",AS233&amp;":"&amp;AT233)</f>
        <v>21:23</v>
      </c>
      <c r="Z227" s="39" t="str">
        <f>IF(SUM(AS228:AT228)=0,"",AS228&amp;":"&amp;AT228)</f>
        <v>19:21</v>
      </c>
      <c r="AA227" s="145" t="str">
        <f>IF(SUM(AS230:AT230)=0,"",AS230&amp;":"&amp;AT230)</f>
        <v/>
      </c>
      <c r="AB227" s="242"/>
      <c r="AC227" s="251"/>
      <c r="AD227" s="251"/>
      <c r="AE227" s="254"/>
      <c r="AF227" s="12"/>
      <c r="AG227" s="12"/>
      <c r="AI227" s="283" t="s">
        <v>12</v>
      </c>
      <c r="AJ227" s="281"/>
      <c r="AK227" s="281" t="s">
        <v>13</v>
      </c>
      <c r="AL227" s="281"/>
      <c r="AM227" s="281" t="s">
        <v>14</v>
      </c>
      <c r="AN227" s="281"/>
      <c r="AO227" s="283" t="s">
        <v>12</v>
      </c>
      <c r="AP227" s="281"/>
      <c r="AQ227" s="281" t="s">
        <v>13</v>
      </c>
      <c r="AR227" s="281"/>
      <c r="AS227" s="281" t="s">
        <v>14</v>
      </c>
      <c r="AT227" s="282"/>
      <c r="AW227" s="283">
        <v>1</v>
      </c>
      <c r="AX227" s="281"/>
      <c r="AY227" s="281">
        <v>2</v>
      </c>
      <c r="AZ227" s="281"/>
      <c r="BA227" s="281">
        <v>3</v>
      </c>
      <c r="BB227" s="281"/>
      <c r="BC227" s="281">
        <v>4</v>
      </c>
      <c r="BD227" s="282"/>
      <c r="BE227" s="283" t="s">
        <v>3</v>
      </c>
      <c r="BF227" s="282"/>
      <c r="BG227" s="283" t="s">
        <v>4</v>
      </c>
      <c r="BH227" s="282"/>
      <c r="BI227" s="283" t="s">
        <v>5</v>
      </c>
      <c r="BJ227" s="268"/>
      <c r="BK227" s="41" t="s">
        <v>6</v>
      </c>
      <c r="BL227" s="20"/>
    </row>
    <row r="228" spans="1:64" ht="11.45" customHeight="1" x14ac:dyDescent="0.2">
      <c r="A228" s="19">
        <f t="shared" ref="A228:A233" si="15">S228</f>
        <v>50</v>
      </c>
      <c r="B228" s="19" t="str">
        <f>IF(N226="","",N226)</f>
        <v>K4230</v>
      </c>
      <c r="C228" s="19" t="str">
        <f>IF(N227="","",N227)</f>
        <v>N3148</v>
      </c>
      <c r="D228" s="19" t="str">
        <f>IF(N232="","",N232)</f>
        <v>K3935</v>
      </c>
      <c r="E228" s="19" t="str">
        <f>IF(N233="","",N233)</f>
        <v>S3502</v>
      </c>
      <c r="H228" s="10"/>
      <c r="I228" s="2" t="str">
        <f>"2"&amp;O224&amp;N225</f>
        <v>21podwójna mężczyzn J</v>
      </c>
      <c r="J228" s="10" t="str">
        <f>IF(AE228="","",IF(AE225=2,N226,IF(AE228=2,N229,IF(AE231=2,N232,IF(AE234=2,N235,"")))))</f>
        <v>P3707</v>
      </c>
      <c r="K228" s="10" t="str">
        <f>IF(AE228="","",IF(AE225=2,N227,IF(AE228=2,N230,IF(AE231=2,N233,IF(AE234=2,N236,"")))))</f>
        <v>S3365</v>
      </c>
      <c r="L228" s="10"/>
      <c r="M228" s="42" t="str">
        <f>N225</f>
        <v>podwójna mężczyzn J</v>
      </c>
      <c r="O228" s="28"/>
      <c r="P228" s="28"/>
      <c r="Q228" s="43" t="str">
        <f>IF(AU228&gt;0,"",IF(A228=0,"",IF(VLOOKUP(A228,'[2]plan gier'!A$1:S$65536,19,FALSE)="","",VLOOKUP(A228,'[2]plan gier'!A$1:S$65536,19,FALSE))))</f>
        <v/>
      </c>
      <c r="R228" s="44" t="s">
        <v>15</v>
      </c>
      <c r="S228" s="146">
        <v>50</v>
      </c>
      <c r="T228" s="241">
        <v>2</v>
      </c>
      <c r="U228" s="244" t="str">
        <f>IF(AND(N229&lt;&gt;"",N230&lt;&gt;""),CONCATENATE(VLOOKUP(N229,[2]zawodnicy!$A$1:$E$65536,1,FALSE)," ",VLOOKUP(N229,[2]zawodnicy!$A$1:$E$65536,2,FALSE)," ",VLOOKUP(N229,[2]zawodnicy!$A$1:$E$65536,3,FALSE)," - ",VLOOKUP(N229,[2]zawodnicy!$A$1:$E$65536,4,FALSE)),"")</f>
        <v>P3707 Bartosz PIEKARZ - UKS Orliki Ropica Polska</v>
      </c>
      <c r="V228" s="245"/>
      <c r="W228" s="246"/>
      <c r="X228" s="46" t="str">
        <f>IF(SUM(AO233:AP233)=0,"",AP233&amp;":"&amp;AO233)</f>
        <v>21:12</v>
      </c>
      <c r="Y228" s="147"/>
      <c r="Z228" s="83" t="str">
        <f>IF(SUM(AO231:AP231)=0,"",AO231&amp;":"&amp;AP231)</f>
        <v>18:21</v>
      </c>
      <c r="AA228" s="48" t="str">
        <f>IF(SUM(AO229:AP229)=0,"",AO229&amp;":"&amp;AP229)</f>
        <v>21:18</v>
      </c>
      <c r="AB228" s="241" t="str">
        <f>IF(SUM(AW229:AX229,BA229:BD229)=0,"",BE229&amp;":"&amp;BF229)</f>
        <v>136:127</v>
      </c>
      <c r="AC228" s="250" t="str">
        <f>IF(SUM(AW229:AX229,BA229:BD229)=0,"",BG229&amp;":"&amp;BH229)</f>
        <v>4:3</v>
      </c>
      <c r="AD228" s="250" t="str">
        <f>IF(SUM(AW229:AX229,BA229:BD229)=0,"",BI229&amp;":"&amp;BJ229)</f>
        <v>2:1</v>
      </c>
      <c r="AE228" s="253">
        <f>IF(SUM(BI228:BI231)&gt;0,BK229,"")</f>
        <v>2</v>
      </c>
      <c r="AF228" s="12"/>
      <c r="AG228" s="12"/>
      <c r="AH228" s="44" t="s">
        <v>15</v>
      </c>
      <c r="AI228" s="148">
        <f>IF(ISBLANK(S228),"",VLOOKUP(S228,'[2]plan gier'!$X$1:$AN$65536,12,FALSE))</f>
        <v>22</v>
      </c>
      <c r="AJ228" s="52">
        <f>IF(ISBLANK(S228),"",VLOOKUP(S228,'[2]plan gier'!$X$1:$AN$65536,13,FALSE))</f>
        <v>20</v>
      </c>
      <c r="AK228" s="52">
        <f>IF(ISBLANK(S228),"",VLOOKUP(S228,'[2]plan gier'!$X$1:$AN$65536,14,FALSE))</f>
        <v>17</v>
      </c>
      <c r="AL228" s="52">
        <f>IF(ISBLANK(S228),"",VLOOKUP(S228,'[2]plan gier'!$X$1:$AN$65536,15,FALSE))</f>
        <v>21</v>
      </c>
      <c r="AM228" s="52">
        <f>IF(ISBLANK(S228),"",VLOOKUP(S228,'[2]plan gier'!$X$1:$AN$65536,16,FALSE))</f>
        <v>19</v>
      </c>
      <c r="AN228" s="52">
        <f>IF(ISBLANK(S228),"",VLOOKUP(S228,'[2]plan gier'!$X$1:$AN$65536,17,FALSE))</f>
        <v>21</v>
      </c>
      <c r="AO228" s="49">
        <f t="shared" ref="AO228:AT233" si="16">IF(AI228="",0,AI228)</f>
        <v>22</v>
      </c>
      <c r="AP228" s="50">
        <f t="shared" si="16"/>
        <v>20</v>
      </c>
      <c r="AQ228" s="50">
        <f t="shared" si="16"/>
        <v>17</v>
      </c>
      <c r="AR228" s="50">
        <f t="shared" si="16"/>
        <v>21</v>
      </c>
      <c r="AS228" s="50">
        <f t="shared" si="16"/>
        <v>19</v>
      </c>
      <c r="AT228" s="57">
        <f t="shared" si="16"/>
        <v>21</v>
      </c>
      <c r="AU228" s="149">
        <f t="shared" ref="AU228:AU233" si="17">SUM(AO228:AT228)</f>
        <v>120</v>
      </c>
      <c r="AV228" s="5">
        <v>1</v>
      </c>
      <c r="AW228" s="284"/>
      <c r="AX228" s="285"/>
      <c r="AY228" s="50">
        <f>IF(AI233&gt;AJ233,1,0)+IF(AK233&gt;AL233,1,0)+IF(AM233&gt;AN233,1,0)</f>
        <v>1</v>
      </c>
      <c r="AZ228" s="50">
        <f>AW229</f>
        <v>2</v>
      </c>
      <c r="BA228" s="50">
        <f>IF(AI228&gt;AJ228,1,0)+IF(AK228&gt;AL228,1,0)+IF(AM228&gt;AN228,1,0)</f>
        <v>1</v>
      </c>
      <c r="BB228" s="52">
        <f>AW230</f>
        <v>2</v>
      </c>
      <c r="BC228" s="150">
        <f>IF(AI230&gt;AJ230,1,0)+IF(AK230&gt;AL230,1,0)+IF(AM230&gt;AN230,1,0)</f>
        <v>0</v>
      </c>
      <c r="BD228" s="58">
        <f>AW231</f>
        <v>2</v>
      </c>
      <c r="BE228" s="148">
        <f>AO228+AQ228+AS228+AO230+AQ230+AS230+AO233+AQ233+AS233</f>
        <v>153</v>
      </c>
      <c r="BF228" s="151">
        <f>AP228+AR228+AT228+AP230+AR230+AT230+AP233+AR233+AT233</f>
        <v>169</v>
      </c>
      <c r="BG228" s="148">
        <f>AY228+BA228+BC228</f>
        <v>2</v>
      </c>
      <c r="BH228" s="152">
        <f>AZ228+BB228+BD228</f>
        <v>6</v>
      </c>
      <c r="BI228" s="148">
        <f>IF(AY228&gt;AZ228,1,0)+IF(BA228&gt;BB228,1,0)+IF(BC228&gt;BD228,1,0)</f>
        <v>0</v>
      </c>
      <c r="BJ228" s="152">
        <f>IF(AZ228&gt;AY228,1,0)+IF(BB228&gt;BA228,1,0)+IF(BD228&gt;BC228,1,0)</f>
        <v>3</v>
      </c>
      <c r="BK228" s="153">
        <f>IF(BI228+BJ228=0,"",IF(BL228=MAX(BL228:BL231),1,IF(BL228=LARGE(BL228:BL231,2),2,IF(BL228=MIN(BL228:BL231),4,3))))</f>
        <v>4</v>
      </c>
      <c r="BL228" s="60">
        <f>IF(BI228+BJ228&lt;&gt;0,BI228+1+(BG228-BH228)/100+(BE228-BF228)/100000+(BE228/BF228)/1000000,0)</f>
        <v>0.95984090532544375</v>
      </c>
    </row>
    <row r="229" spans="1:64" ht="11.45" customHeight="1" x14ac:dyDescent="0.2">
      <c r="A229" s="19">
        <f t="shared" si="15"/>
        <v>51</v>
      </c>
      <c r="B229" s="19" t="str">
        <f>IF(N229="","",N229)</f>
        <v>P3707</v>
      </c>
      <c r="C229" s="19" t="str">
        <f>IF(N230="","",N230)</f>
        <v>S3365</v>
      </c>
      <c r="D229" s="19" t="str">
        <f>IF(N235="","",N235)</f>
        <v>U4307</v>
      </c>
      <c r="E229" s="19" t="str">
        <f>IF(N236="","",N236)</f>
        <v>W3545</v>
      </c>
      <c r="J229" s="10"/>
      <c r="K229" s="19"/>
      <c r="L229" s="19"/>
      <c r="M229" s="42" t="str">
        <f>N225</f>
        <v>podwójna mężczyzn J</v>
      </c>
      <c r="N229" s="33" t="s">
        <v>53</v>
      </c>
      <c r="O229" s="34">
        <f>IF(O224&gt;0,(O224&amp;2)*1,"")</f>
        <v>12</v>
      </c>
      <c r="Q229" s="43" t="str">
        <f>IF(AU229&gt;0,"",IF(A229=0,"",IF(VLOOKUP(A229,'[2]plan gier'!A$1:S$65536,19,FALSE)="","",VLOOKUP(A229,'[2]plan gier'!A$1:S$65536,19,FALSE))))</f>
        <v/>
      </c>
      <c r="R229" s="44" t="s">
        <v>66</v>
      </c>
      <c r="S229" s="146">
        <v>51</v>
      </c>
      <c r="T229" s="242"/>
      <c r="U229" s="244" t="str">
        <f>IF(AND(N229&lt;&gt;"",N230=""),CONCATENATE(VLOOKUP(N229,[2]zawodnicy!$A$1:$E$65536,1,FALSE)," ",VLOOKUP(N229,[2]zawodnicy!$A$1:$E$65536,2,FALSE)," ",VLOOKUP(N229,[2]zawodnicy!$A$1:$E$65536,3,FALSE)," - ",VLOOKUP(N229,[2]zawodnicy!$A$1:$E$65536,4,FALSE)),"")</f>
        <v/>
      </c>
      <c r="V229" s="245"/>
      <c r="W229" s="246"/>
      <c r="X229" s="61" t="str">
        <f>IF(SUM(AQ233:AR233)=0,"",AR233&amp;":"&amp;AQ233)</f>
        <v>15:21</v>
      </c>
      <c r="Y229" s="154"/>
      <c r="Z229" s="36" t="str">
        <f>IF(SUM(AQ231:AR231)=0,"",AQ231&amp;":"&amp;AR231)</f>
        <v>17:21</v>
      </c>
      <c r="AA229" s="37" t="str">
        <f>IF(SUM(AQ229:AR229)=0,"",AQ229&amp;":"&amp;AR229)</f>
        <v>21:13</v>
      </c>
      <c r="AB229" s="242"/>
      <c r="AC229" s="251"/>
      <c r="AD229" s="251"/>
      <c r="AE229" s="254"/>
      <c r="AF229" s="12"/>
      <c r="AG229" s="12"/>
      <c r="AH229" s="44" t="s">
        <v>66</v>
      </c>
      <c r="AI229" s="49">
        <f>IF(ISBLANK(S229),"",VLOOKUP(S229,'[2]plan gier'!$X$1:$AN$65536,12,FALSE))</f>
        <v>21</v>
      </c>
      <c r="AJ229" s="50">
        <f>IF(ISBLANK(S229),"",VLOOKUP(S229,'[2]plan gier'!$X$1:$AN$65536,13,FALSE))</f>
        <v>18</v>
      </c>
      <c r="AK229" s="50">
        <f>IF(ISBLANK(S229),"",VLOOKUP(S229,'[2]plan gier'!$X$1:$AN$65536,14,FALSE))</f>
        <v>21</v>
      </c>
      <c r="AL229" s="50">
        <f>IF(ISBLANK(S229),"",VLOOKUP(S229,'[2]plan gier'!$X$1:$AN$65536,15,FALSE))</f>
        <v>13</v>
      </c>
      <c r="AM229" s="50">
        <f>IF(ISBLANK(S229),"",VLOOKUP(S229,'[2]plan gier'!$X$1:$AN$65536,16,FALSE))</f>
        <v>0</v>
      </c>
      <c r="AN229" s="50">
        <f>IF(ISBLANK(S229),"",VLOOKUP(S229,'[2]plan gier'!$X$1:$AN$65536,17,FALSE))</f>
        <v>0</v>
      </c>
      <c r="AO229" s="63">
        <f t="shared" si="16"/>
        <v>21</v>
      </c>
      <c r="AP229" s="64">
        <f t="shared" si="16"/>
        <v>18</v>
      </c>
      <c r="AQ229" s="64">
        <f t="shared" si="16"/>
        <v>21</v>
      </c>
      <c r="AR229" s="64">
        <f t="shared" si="16"/>
        <v>13</v>
      </c>
      <c r="AS229" s="64">
        <f t="shared" si="16"/>
        <v>0</v>
      </c>
      <c r="AT229" s="69">
        <f t="shared" si="16"/>
        <v>0</v>
      </c>
      <c r="AU229" s="149">
        <f t="shared" si="17"/>
        <v>73</v>
      </c>
      <c r="AV229" s="5">
        <v>2</v>
      </c>
      <c r="AW229" s="63">
        <f>IF(AI233&lt;AJ233,1,0)+IF(AK233&lt;AL233,1,0)+IF(AM233&lt;AN233,1,0)</f>
        <v>2</v>
      </c>
      <c r="AX229" s="64">
        <f>AY228</f>
        <v>1</v>
      </c>
      <c r="AY229" s="155"/>
      <c r="AZ229" s="156"/>
      <c r="BA229" s="64">
        <f>IF(AI231&gt;AJ231,1,0)+IF(AK231&gt;AL231,1,0)+IF(AM231&gt;AN231,1,0)</f>
        <v>0</v>
      </c>
      <c r="BB229" s="64">
        <f>AY230</f>
        <v>2</v>
      </c>
      <c r="BC229" s="157">
        <f>IF(AI229&gt;AJ229,1,0)+IF(AK229&gt;AL229,1,0)+IF(AM229&gt;AN229,1,0)</f>
        <v>2</v>
      </c>
      <c r="BD229" s="70">
        <f>AY231</f>
        <v>0</v>
      </c>
      <c r="BE229" s="63">
        <f>AO229+AQ229+AS229+AO231+AQ231+AS231+AP233+AR233+AT233</f>
        <v>136</v>
      </c>
      <c r="BF229" s="70">
        <f>AP229+AR229+AT229+AP231+AR231+AT231+AO233+AQ233+AS233</f>
        <v>127</v>
      </c>
      <c r="BG229" s="63">
        <f>AW229+BA229+BC229</f>
        <v>4</v>
      </c>
      <c r="BH229" s="69">
        <f>AX229+BB229+BD229</f>
        <v>3</v>
      </c>
      <c r="BI229" s="63">
        <f>IF(AW229&gt;AX229,1,0)+IF(BA229&gt;BB229,1,0)+IF(BC229&gt;BD229,1,0)</f>
        <v>2</v>
      </c>
      <c r="BJ229" s="69">
        <f>IF(AX229&gt;AW229,1,0)+IF(BB229&gt;BA229,1,0)+IF(BD229&gt;BC229,1,0)</f>
        <v>1</v>
      </c>
      <c r="BK229" s="71">
        <f>IF(BI229+BJ229=0,"",IF(BL229=MAX(BL228:BL231),1,IF(BL229=LARGE(BL228:BL231,2),2,IF(BL229=MIN(BL228:BL231),4,3))))</f>
        <v>2</v>
      </c>
      <c r="BL229" s="60">
        <f>IF(BI229+BJ229&lt;&gt;0,BI229+1+(BG229-BH229)/100+(BE229-BF229)/100000+(BE229/BF229)/1000000,0)</f>
        <v>3.0100910708661415</v>
      </c>
    </row>
    <row r="230" spans="1:64" ht="11.45" customHeight="1" x14ac:dyDescent="0.2">
      <c r="A230" s="19">
        <f t="shared" si="15"/>
        <v>115</v>
      </c>
      <c r="B230" s="19" t="str">
        <f>IF(N226="","",N226)</f>
        <v>K4230</v>
      </c>
      <c r="C230" s="19" t="str">
        <f>IF(N227="","",N227)</f>
        <v>N3148</v>
      </c>
      <c r="D230" s="19" t="str">
        <f>IF(N235="","",N235)</f>
        <v>U4307</v>
      </c>
      <c r="E230" s="19" t="str">
        <f>IF(N236="","",N236)</f>
        <v>W3545</v>
      </c>
      <c r="H230" s="10"/>
      <c r="I230" s="2" t="str">
        <f>"3"&amp;O224&amp;N225</f>
        <v>31podwójna mężczyzn J</v>
      </c>
      <c r="J230" s="10" t="str">
        <f>IF(AE231="","",IF(AE225=3,N226,IF(AE228=3,N229,IF(AE231=3,N232,IF(AE234=3,N235,"")))))</f>
        <v>U4307</v>
      </c>
      <c r="K230" s="10" t="str">
        <f>IF(AE231="","",IF(AE225=3,N227,IF(AE228=3,N230,IF(AE231=3,N233,IF(AE234=3,N236,"")))))</f>
        <v>W3545</v>
      </c>
      <c r="L230" s="10"/>
      <c r="M230" s="42" t="str">
        <f>N225</f>
        <v>podwójna mężczyzn J</v>
      </c>
      <c r="N230" s="38" t="s">
        <v>67</v>
      </c>
      <c r="O230" s="28"/>
      <c r="P230" s="28"/>
      <c r="Q230" s="43" t="str">
        <f>IF(AU230&gt;0,"",IF(A230=0,"",IF(VLOOKUP(A230,'[2]plan gier'!A$1:S$65536,19,FALSE)="","",VLOOKUP(A230,'[2]plan gier'!A$1:S$65536,19,FALSE))))</f>
        <v/>
      </c>
      <c r="R230" s="44" t="s">
        <v>68</v>
      </c>
      <c r="S230" s="146">
        <v>115</v>
      </c>
      <c r="T230" s="261"/>
      <c r="U230" s="265" t="str">
        <f>IF(N230&lt;&gt;"",CONCATENATE(VLOOKUP(N230,[2]zawodnicy!$A$1:$E$65536,1,FALSE)," ",VLOOKUP(N230,[2]zawodnicy!$A$1:$E$65536,2,FALSE)," ",VLOOKUP(N230,[2]zawodnicy!$A$1:$E$65536,3,FALSE)," - ",VLOOKUP(N230,[2]zawodnicy!$A$1:$E$65536,4,FALSE)),"")</f>
        <v>S3365 Bartosz SZUKAŁA - UKS Orkan Przeźmierowo</v>
      </c>
      <c r="V230" s="266"/>
      <c r="W230" s="267"/>
      <c r="X230" s="73" t="str">
        <f>IF(SUM(AS233:AT233)=0,"",AT233&amp;":"&amp;AS233)</f>
        <v>23:21</v>
      </c>
      <c r="Y230" s="154"/>
      <c r="Z230" s="39" t="str">
        <f>IF(SUM(AS231:AT231)=0,"",AS231&amp;":"&amp;AT231)</f>
        <v/>
      </c>
      <c r="AA230" s="40" t="str">
        <f>IF(SUM(AS229:AT229)=0,"",AS229&amp;":"&amp;AT229)</f>
        <v/>
      </c>
      <c r="AB230" s="242"/>
      <c r="AC230" s="251"/>
      <c r="AD230" s="251"/>
      <c r="AE230" s="254"/>
      <c r="AF230" s="12"/>
      <c r="AG230" s="12"/>
      <c r="AH230" s="44" t="s">
        <v>68</v>
      </c>
      <c r="AI230" s="49">
        <f>IF(ISBLANK(S230),"",VLOOKUP(S230,'[2]plan gier'!$X$1:$AN$65536,12,FALSE))</f>
        <v>25</v>
      </c>
      <c r="AJ230" s="50">
        <f>IF(ISBLANK(S230),"",VLOOKUP(S230,'[2]plan gier'!$X$1:$AN$65536,13,FALSE))</f>
        <v>27</v>
      </c>
      <c r="AK230" s="50">
        <f>IF(ISBLANK(S230),"",VLOOKUP(S230,'[2]plan gier'!$X$1:$AN$65536,14,FALSE))</f>
        <v>16</v>
      </c>
      <c r="AL230" s="50">
        <f>IF(ISBLANK(S230),"",VLOOKUP(S230,'[2]plan gier'!$X$1:$AN$65536,15,FALSE))</f>
        <v>21</v>
      </c>
      <c r="AM230" s="50">
        <f>IF(ISBLANK(S230),"",VLOOKUP(S230,'[2]plan gier'!$X$1:$AN$65536,16,FALSE))</f>
        <v>0</v>
      </c>
      <c r="AN230" s="50">
        <f>IF(ISBLANK(S230),"",VLOOKUP(S230,'[2]plan gier'!$X$1:$AN$65536,17,FALSE))</f>
        <v>0</v>
      </c>
      <c r="AO230" s="63">
        <f t="shared" si="16"/>
        <v>25</v>
      </c>
      <c r="AP230" s="64">
        <f t="shared" si="16"/>
        <v>27</v>
      </c>
      <c r="AQ230" s="64">
        <f t="shared" si="16"/>
        <v>16</v>
      </c>
      <c r="AR230" s="64">
        <f t="shared" si="16"/>
        <v>21</v>
      </c>
      <c r="AS230" s="64">
        <f t="shared" si="16"/>
        <v>0</v>
      </c>
      <c r="AT230" s="69">
        <f t="shared" si="16"/>
        <v>0</v>
      </c>
      <c r="AU230" s="149">
        <f t="shared" si="17"/>
        <v>89</v>
      </c>
      <c r="AV230" s="5">
        <v>3</v>
      </c>
      <c r="AW230" s="63">
        <f>IF(AI228&lt;AJ228,1,0)+IF(AK228&lt;AL228,1,0)+IF(AM228&lt;AN228,1,0)</f>
        <v>2</v>
      </c>
      <c r="AX230" s="64">
        <f>BA228</f>
        <v>1</v>
      </c>
      <c r="AY230" s="64">
        <f>IF(AI231&lt;AJ231,1,0)+IF(AK231&lt;AL231,1,0)+IF(AM231&lt;AN231,1,0)</f>
        <v>2</v>
      </c>
      <c r="AZ230" s="64">
        <f>BA229</f>
        <v>0</v>
      </c>
      <c r="BA230" s="155"/>
      <c r="BB230" s="156"/>
      <c r="BC230" s="64">
        <f>IF(AI232&gt;AJ232,1,0)+IF(AK232&gt;AL232,1,0)+IF(AM232&gt;AN232,1,0)</f>
        <v>2</v>
      </c>
      <c r="BD230" s="70">
        <f>BA231</f>
        <v>0</v>
      </c>
      <c r="BE230" s="158">
        <f>AP228+AR228+AT228+AP231+AR231+AT231+AO232+AQ232+AS232</f>
        <v>146</v>
      </c>
      <c r="BF230" s="159">
        <f>AO228+AQ228+AS228+AO231+AQ231+AS231+AP232+AR232+AT232</f>
        <v>125</v>
      </c>
      <c r="BG230" s="158">
        <f>AW230+AY230+BC230</f>
        <v>6</v>
      </c>
      <c r="BH230" s="160">
        <f>AX230+AZ230+BD230</f>
        <v>1</v>
      </c>
      <c r="BI230" s="63">
        <f>IF(AW230&gt;AX230,1,0)+IF(AY230&gt;AZ230,1,0)+IF(BC230&gt;BD230,1,0)</f>
        <v>3</v>
      </c>
      <c r="BJ230" s="69">
        <f>IF(AX230&gt;AW230,1,0)+IF(AZ230&gt;AY230,1,0)+IF(BD230&gt;BC230,1,0)</f>
        <v>0</v>
      </c>
      <c r="BK230" s="71">
        <f>IF(BI230+BJ230=0,"",IF(BL230=MAX(BL228:BL231),1,IF(BL230=LARGE(BL228:BL231,2),2,IF(BL230=MIN(BL228:BL231),4,3))))</f>
        <v>1</v>
      </c>
      <c r="BL230" s="60">
        <f>IF(BI230+BJ230&lt;&gt;0,BI230+1+(BG230-BH230)/100+(BE230-BF230)/100000+(BE230/BF230)/1000000,0)</f>
        <v>4.0502111679999997</v>
      </c>
    </row>
    <row r="231" spans="1:64" ht="11.45" customHeight="1" thickBot="1" x14ac:dyDescent="0.25">
      <c r="A231" s="19">
        <f t="shared" si="15"/>
        <v>116</v>
      </c>
      <c r="B231" s="19" t="str">
        <f>IF(N229="","",N229)</f>
        <v>P3707</v>
      </c>
      <c r="C231" s="19" t="str">
        <f>IF(N230="","",N230)</f>
        <v>S3365</v>
      </c>
      <c r="D231" s="19" t="str">
        <f>IF(N232="","",N232)</f>
        <v>K3935</v>
      </c>
      <c r="E231" s="19" t="str">
        <f>IF(N233="","",N233)</f>
        <v>S3502</v>
      </c>
      <c r="J231" s="10"/>
      <c r="K231" s="28"/>
      <c r="L231" s="28"/>
      <c r="M231" s="42" t="str">
        <f>N225</f>
        <v>podwójna mężczyzn J</v>
      </c>
      <c r="O231" s="28"/>
      <c r="P231" s="28"/>
      <c r="Q231" s="43" t="str">
        <f>IF(AU231&gt;0,"",IF(A231=0,"",IF(VLOOKUP(A231,'[2]plan gier'!A$1:S$65536,19,FALSE)="","",VLOOKUP(A231,'[2]plan gier'!A$1:S$65536,19,FALSE))))</f>
        <v/>
      </c>
      <c r="R231" s="44" t="s">
        <v>17</v>
      </c>
      <c r="S231" s="146">
        <v>116</v>
      </c>
      <c r="T231" s="241">
        <v>3</v>
      </c>
      <c r="U231" s="244" t="str">
        <f>IF(AND(N232&lt;&gt;"",N233&lt;&gt;""),CONCATENATE(VLOOKUP(N232,[2]zawodnicy!$A$1:$E$65536,1,FALSE)," ",VLOOKUP(N232,[2]zawodnicy!$A$1:$E$65536,2,FALSE)," ",VLOOKUP(N232,[2]zawodnicy!$A$1:$E$65536,3,FALSE)," - ",VLOOKUP(N232,[2]zawodnicy!$A$1:$E$65536,4,FALSE)),"")</f>
        <v>K3935 Michał KAŹMIERCZAK - UKS Feniks Kędzierzyn-Koźle</v>
      </c>
      <c r="V231" s="245"/>
      <c r="W231" s="246"/>
      <c r="X231" s="46" t="str">
        <f>IF(SUM(AO228:AP228)=0,"",AP228&amp;":"&amp;AO228)</f>
        <v>20:22</v>
      </c>
      <c r="Y231" s="83" t="str">
        <f>IF(SUM(AO231:AP231)=0,"",AP231&amp;":"&amp;AO231)</f>
        <v>21:18</v>
      </c>
      <c r="Z231" s="47"/>
      <c r="AA231" s="48" t="str">
        <f>IF(SUM(AO232:AP232)=0,"",AO232&amp;":"&amp;AP232)</f>
        <v>21:16</v>
      </c>
      <c r="AB231" s="241" t="str">
        <f>IF(SUM(AW230:AZ230,BC230:BD230)=0,"",BE230&amp;":"&amp;BF230)</f>
        <v>146:125</v>
      </c>
      <c r="AC231" s="250" t="str">
        <f>IF(SUM(AW230:AZ230,BC230:BD230)=0,"",BG230&amp;":"&amp;BH230)</f>
        <v>6:1</v>
      </c>
      <c r="AD231" s="250" t="str">
        <f>IF(SUM(AW230:AZ230,BC230:BD230)=0,"",BI230&amp;":"&amp;BJ230)</f>
        <v>3:0</v>
      </c>
      <c r="AE231" s="253">
        <f>IF(SUM(BI228:BI231)&gt;0,BK230,"")</f>
        <v>1</v>
      </c>
      <c r="AF231" s="12"/>
      <c r="AG231" s="12"/>
      <c r="AH231" s="44" t="s">
        <v>17</v>
      </c>
      <c r="AI231" s="49">
        <f>IF(ISBLANK(S231),"",VLOOKUP(S231,'[2]plan gier'!$X$1:$AN$65536,12,FALSE))</f>
        <v>18</v>
      </c>
      <c r="AJ231" s="50">
        <f>IF(ISBLANK(S231),"",VLOOKUP(S231,'[2]plan gier'!$X$1:$AN$65536,13,FALSE))</f>
        <v>21</v>
      </c>
      <c r="AK231" s="50">
        <f>IF(ISBLANK(S231),"",VLOOKUP(S231,'[2]plan gier'!$X$1:$AN$65536,14,FALSE))</f>
        <v>17</v>
      </c>
      <c r="AL231" s="50">
        <f>IF(ISBLANK(S231),"",VLOOKUP(S231,'[2]plan gier'!$X$1:$AN$65536,15,FALSE))</f>
        <v>21</v>
      </c>
      <c r="AM231" s="50">
        <f>IF(ISBLANK(S231),"",VLOOKUP(S231,'[2]plan gier'!$X$1:$AN$65536,16,FALSE))</f>
        <v>0</v>
      </c>
      <c r="AN231" s="50">
        <f>IF(ISBLANK(S231),"",VLOOKUP(S231,'[2]plan gier'!$X$1:$AN$65536,17,FALSE))</f>
        <v>0</v>
      </c>
      <c r="AO231" s="63">
        <f t="shared" si="16"/>
        <v>18</v>
      </c>
      <c r="AP231" s="64">
        <f t="shared" si="16"/>
        <v>21</v>
      </c>
      <c r="AQ231" s="64">
        <f t="shared" si="16"/>
        <v>17</v>
      </c>
      <c r="AR231" s="64">
        <f t="shared" si="16"/>
        <v>21</v>
      </c>
      <c r="AS231" s="64">
        <f t="shared" si="16"/>
        <v>0</v>
      </c>
      <c r="AT231" s="69">
        <f t="shared" si="16"/>
        <v>0</v>
      </c>
      <c r="AU231" s="149">
        <f t="shared" si="17"/>
        <v>77</v>
      </c>
      <c r="AV231" s="5">
        <v>4</v>
      </c>
      <c r="AW231" s="161">
        <f>IF(AI230&lt;AJ230,1,0)+IF(AK230&lt;AL230,1,0)+IF(AM230&lt;AN230,1,0)</f>
        <v>2</v>
      </c>
      <c r="AX231" s="162">
        <f>BC228</f>
        <v>0</v>
      </c>
      <c r="AY231" s="162">
        <f>IF(AI229&lt;AJ229,1,0)+IF(AK229&lt;AL229,1,0)+IF(AM229&lt;AN229,1,0)</f>
        <v>0</v>
      </c>
      <c r="AZ231" s="162">
        <f>BC229</f>
        <v>2</v>
      </c>
      <c r="BA231" s="75">
        <f>IF(AI232&lt;AJ232,1,0)+IF(AK232&lt;AL232,1,0)+IF(AM232&lt;AN232,1,0)</f>
        <v>0</v>
      </c>
      <c r="BB231" s="75">
        <f>BC230</f>
        <v>2</v>
      </c>
      <c r="BC231" s="163"/>
      <c r="BD231" s="164"/>
      <c r="BE231" s="74">
        <f>AP229+AR229+AT229+AP230+AR230+AT230+AP232+AR232+AT232</f>
        <v>111</v>
      </c>
      <c r="BF231" s="81">
        <f>AO229+AQ229+AS229+AO230+AQ230+AS230+AO232+AQ232+AS232</f>
        <v>125</v>
      </c>
      <c r="BG231" s="74">
        <f>AW231+AY231+BA231</f>
        <v>2</v>
      </c>
      <c r="BH231" s="80">
        <f>AX231+AZ231+BB231</f>
        <v>4</v>
      </c>
      <c r="BI231" s="74">
        <f>IF(AW231&gt;AX231,1,0)+IF(AY231&gt;AZ231,1,0)+IF(BA231&gt;BB231,1,0)</f>
        <v>1</v>
      </c>
      <c r="BJ231" s="80">
        <f>IF(AX231&gt;AW231,1,0)+IF(AZ231&gt;AY231,1,0)+IF(BB231&gt;BA231,1,0)</f>
        <v>2</v>
      </c>
      <c r="BK231" s="82">
        <f>IF(BI231+BJ231=0,"",IF(BL231=MAX(BL228:BL231),1,IF(BL231=LARGE(BL228:BL231,2),2,IF(BL231=MIN(BL228:BL231),4,3))))</f>
        <v>3</v>
      </c>
      <c r="BL231" s="60">
        <f>IF(BI231+BJ231&lt;&gt;0,BI231+1+(BG231-BH231)/100+(BE231-BF231)/100000+(BE231/BF231)/1000000,0)</f>
        <v>1.9798608879999999</v>
      </c>
    </row>
    <row r="232" spans="1:64" ht="11.45" customHeight="1" x14ac:dyDescent="0.2">
      <c r="A232" s="19">
        <f t="shared" si="15"/>
        <v>180</v>
      </c>
      <c r="B232" s="19" t="str">
        <f>IF(N232="","",N232)</f>
        <v>K3935</v>
      </c>
      <c r="C232" s="19" t="str">
        <f>IF(N233="","",N233)</f>
        <v>S3502</v>
      </c>
      <c r="D232" s="19" t="str">
        <f>IF(N235="","",N235)</f>
        <v>U4307</v>
      </c>
      <c r="E232" s="19" t="str">
        <f>IF(N236="","",N236)</f>
        <v>W3545</v>
      </c>
      <c r="H232" s="10"/>
      <c r="I232" s="2" t="str">
        <f>"4"&amp;O224&amp;N225</f>
        <v>41podwójna mężczyzn J</v>
      </c>
      <c r="J232" s="10" t="str">
        <f>IF(AE234="","",IF(AE225=4,N226,IF(AE228=4,N229,IF(AE231=4,N232,IF(AE234=4,N235,"")))))</f>
        <v>K4230</v>
      </c>
      <c r="K232" s="10" t="str">
        <f>IF(AE234="","",IF(AE225=4,N227,IF(AE228=4,N230,IF(AE231=4,N233,IF(AE234=4,N236,"")))))</f>
        <v>N3148</v>
      </c>
      <c r="L232" s="10"/>
      <c r="M232" s="42" t="str">
        <f>N225</f>
        <v>podwójna mężczyzn J</v>
      </c>
      <c r="N232" s="33" t="s">
        <v>46</v>
      </c>
      <c r="O232" s="34">
        <f>IF(O224&gt;0,(O224&amp;3)*1,"")</f>
        <v>13</v>
      </c>
      <c r="Q232" s="43" t="str">
        <f>IF(AU232&gt;0,"",IF(A232=0,"",IF(VLOOKUP(A232,'[2]plan gier'!A$1:S$65536,19,FALSE)="","",VLOOKUP(A232,'[2]plan gier'!A$1:S$65536,19,FALSE))))</f>
        <v/>
      </c>
      <c r="R232" s="44" t="s">
        <v>69</v>
      </c>
      <c r="S232" s="146">
        <v>180</v>
      </c>
      <c r="T232" s="242"/>
      <c r="U232" s="244" t="str">
        <f>IF(AND(N232&lt;&gt;"",N233=""),CONCATENATE(VLOOKUP(N232,[2]zawodnicy!$A$1:$E$65536,1,FALSE)," ",VLOOKUP(N232,[2]zawodnicy!$A$1:$E$65536,2,FALSE)," ",VLOOKUP(N232,[2]zawodnicy!$A$1:$E$65536,3,FALSE)," - ",VLOOKUP(N232,[2]zawodnicy!$A$1:$E$65536,4,FALSE)),"")</f>
        <v/>
      </c>
      <c r="V232" s="245"/>
      <c r="W232" s="246"/>
      <c r="X232" s="61" t="str">
        <f>IF(SUM(AQ228:AR228)=0,"",AR228&amp;":"&amp;AQ228)</f>
        <v>21:17</v>
      </c>
      <c r="Y232" s="36" t="str">
        <f>IF(SUM(AQ231:AR231)=0,"",AR231&amp;":"&amp;AQ231)</f>
        <v>21:17</v>
      </c>
      <c r="Z232" s="62"/>
      <c r="AA232" s="37" t="str">
        <f>IF(SUM(AQ232:AR232)=0,"",AQ232&amp;":"&amp;AR232)</f>
        <v>21:16</v>
      </c>
      <c r="AB232" s="242"/>
      <c r="AC232" s="251"/>
      <c r="AD232" s="251"/>
      <c r="AE232" s="254"/>
      <c r="AF232" s="12"/>
      <c r="AG232" s="12"/>
      <c r="AH232" s="44" t="s">
        <v>69</v>
      </c>
      <c r="AI232" s="49">
        <f>IF(ISBLANK(S232),"",VLOOKUP(S232,'[2]plan gier'!$X$1:$AN$65536,12,FALSE))</f>
        <v>21</v>
      </c>
      <c r="AJ232" s="50">
        <f>IF(ISBLANK(S232),"",VLOOKUP(S232,'[2]plan gier'!$X$1:$AN$65536,13,FALSE))</f>
        <v>16</v>
      </c>
      <c r="AK232" s="50">
        <f>IF(ISBLANK(S232),"",VLOOKUP(S232,'[2]plan gier'!$X$1:$AN$65536,14,FALSE))</f>
        <v>21</v>
      </c>
      <c r="AL232" s="50">
        <f>IF(ISBLANK(S232),"",VLOOKUP(S232,'[2]plan gier'!$X$1:$AN$65536,15,FALSE))</f>
        <v>16</v>
      </c>
      <c r="AM232" s="50">
        <f>IF(ISBLANK(S232),"",VLOOKUP(S232,'[2]plan gier'!$X$1:$AN$65536,16,FALSE))</f>
        <v>0</v>
      </c>
      <c r="AN232" s="50">
        <f>IF(ISBLANK(S232),"",VLOOKUP(S232,'[2]plan gier'!$X$1:$AN$65536,17,FALSE))</f>
        <v>0</v>
      </c>
      <c r="AO232" s="63">
        <f t="shared" si="16"/>
        <v>21</v>
      </c>
      <c r="AP232" s="64">
        <f t="shared" si="16"/>
        <v>16</v>
      </c>
      <c r="AQ232" s="64">
        <f t="shared" si="16"/>
        <v>21</v>
      </c>
      <c r="AR232" s="64">
        <f t="shared" si="16"/>
        <v>16</v>
      </c>
      <c r="AS232" s="64">
        <f t="shared" si="16"/>
        <v>0</v>
      </c>
      <c r="AT232" s="69">
        <f t="shared" si="16"/>
        <v>0</v>
      </c>
      <c r="AU232" s="149">
        <f t="shared" si="17"/>
        <v>74</v>
      </c>
      <c r="BE232" s="19">
        <f t="shared" ref="BE232:BJ232" si="18">SUM(BE228:BE231)</f>
        <v>546</v>
      </c>
      <c r="BF232" s="19">
        <f t="shared" si="18"/>
        <v>546</v>
      </c>
      <c r="BG232" s="19">
        <f t="shared" si="18"/>
        <v>14</v>
      </c>
      <c r="BH232" s="19">
        <f t="shared" si="18"/>
        <v>14</v>
      </c>
      <c r="BI232" s="19">
        <f t="shared" si="18"/>
        <v>6</v>
      </c>
      <c r="BJ232" s="19">
        <f t="shared" si="18"/>
        <v>6</v>
      </c>
      <c r="BK232" s="19"/>
      <c r="BL232" s="20"/>
    </row>
    <row r="233" spans="1:64" ht="11.45" customHeight="1" thickBot="1" x14ac:dyDescent="0.25">
      <c r="A233" s="19">
        <f t="shared" si="15"/>
        <v>181</v>
      </c>
      <c r="B233" s="19" t="str">
        <f>IF(N226="","",N226)</f>
        <v>K4230</v>
      </c>
      <c r="C233" s="19" t="str">
        <f>IF(N227="","",N227)</f>
        <v>N3148</v>
      </c>
      <c r="D233" s="19" t="str">
        <f>IF(N229="","",N229)</f>
        <v>P3707</v>
      </c>
      <c r="E233" s="19" t="str">
        <f>IF(N230="","",N230)</f>
        <v>S3365</v>
      </c>
      <c r="J233" s="28"/>
      <c r="K233" s="28"/>
      <c r="L233" s="28"/>
      <c r="M233" s="42" t="str">
        <f>N225</f>
        <v>podwójna mężczyzn J</v>
      </c>
      <c r="N233" s="38" t="s">
        <v>70</v>
      </c>
      <c r="O233" s="28"/>
      <c r="P233" s="28"/>
      <c r="Q233" s="43" t="str">
        <f>IF(AU233&gt;0,"",IF(A233=0,"",IF(VLOOKUP(A233,'[2]plan gier'!A$1:S$65536,19,FALSE)="","",VLOOKUP(A233,'[2]plan gier'!A$1:S$65536,19,FALSE))))</f>
        <v/>
      </c>
      <c r="R233" s="44" t="s">
        <v>18</v>
      </c>
      <c r="S233" s="146">
        <v>181</v>
      </c>
      <c r="T233" s="261"/>
      <c r="U233" s="265" t="str">
        <f>IF(N233&lt;&gt;"",CONCATENATE(VLOOKUP(N233,[2]zawodnicy!$A$1:$E$65536,1,FALSE)," ",VLOOKUP(N233,[2]zawodnicy!$A$1:$E$65536,2,FALSE)," ",VLOOKUP(N233,[2]zawodnicy!$A$1:$E$65536,3,FALSE)," - ",VLOOKUP(N233,[2]zawodnicy!$A$1:$E$65536,4,FALSE)),"")</f>
        <v>S3502 Jakub SMAJDA - UKS Ząbkowice Dąbrowa Górn.</v>
      </c>
      <c r="V233" s="266"/>
      <c r="W233" s="267"/>
      <c r="X233" s="73" t="str">
        <f>IF(SUM(AS228:AT228)=0,"",AT228&amp;":"&amp;AS228)</f>
        <v>21:19</v>
      </c>
      <c r="Y233" s="39" t="str">
        <f>IF(SUM(AS231:AT231)=0,"",AT231&amp;":"&amp;AS231)</f>
        <v/>
      </c>
      <c r="Z233" s="62"/>
      <c r="AA233" s="40" t="str">
        <f>IF(SUM(AS232:AT232)=0,"",AS232&amp;":"&amp;AT232)</f>
        <v/>
      </c>
      <c r="AB233" s="242"/>
      <c r="AC233" s="251"/>
      <c r="AD233" s="251"/>
      <c r="AE233" s="254"/>
      <c r="AF233" s="12"/>
      <c r="AG233" s="12"/>
      <c r="AH233" s="44" t="s">
        <v>18</v>
      </c>
      <c r="AI233" s="161">
        <f>IF(ISBLANK(S233),"",VLOOKUP(S233,'[2]plan gier'!$X$1:$AN$65536,12,FALSE))</f>
        <v>12</v>
      </c>
      <c r="AJ233" s="162">
        <f>IF(ISBLANK(S233),"",VLOOKUP(S233,'[2]plan gier'!$X$1:$AN$65536,13,FALSE))</f>
        <v>21</v>
      </c>
      <c r="AK233" s="162">
        <f>IF(ISBLANK(S233),"",VLOOKUP(S233,'[2]plan gier'!$X$1:$AN$65536,14,FALSE))</f>
        <v>21</v>
      </c>
      <c r="AL233" s="162">
        <f>IF(ISBLANK(S233),"",VLOOKUP(S233,'[2]plan gier'!$X$1:$AN$65536,15,FALSE))</f>
        <v>15</v>
      </c>
      <c r="AM233" s="162">
        <f>IF(ISBLANK(S233),"",VLOOKUP(S233,'[2]plan gier'!$X$1:$AN$65536,16,FALSE))</f>
        <v>21</v>
      </c>
      <c r="AN233" s="162">
        <f>IF(ISBLANK(S233),"",VLOOKUP(S233,'[2]plan gier'!$X$1:$AN$65536,17,FALSE))</f>
        <v>23</v>
      </c>
      <c r="AO233" s="74">
        <f t="shared" si="16"/>
        <v>12</v>
      </c>
      <c r="AP233" s="75">
        <f t="shared" si="16"/>
        <v>21</v>
      </c>
      <c r="AQ233" s="75">
        <f t="shared" si="16"/>
        <v>21</v>
      </c>
      <c r="AR233" s="75">
        <f t="shared" si="16"/>
        <v>15</v>
      </c>
      <c r="AS233" s="75">
        <f t="shared" si="16"/>
        <v>21</v>
      </c>
      <c r="AT233" s="80">
        <f t="shared" si="16"/>
        <v>23</v>
      </c>
      <c r="AU233" s="149">
        <f t="shared" si="17"/>
        <v>113</v>
      </c>
      <c r="BK233" s="19"/>
      <c r="BL233" s="20"/>
    </row>
    <row r="234" spans="1:64" ht="11.45" customHeight="1" x14ac:dyDescent="0.2">
      <c r="A234" s="2"/>
      <c r="J234" s="28"/>
      <c r="K234" s="28"/>
      <c r="L234" s="28"/>
      <c r="O234" s="28"/>
      <c r="P234" s="28"/>
      <c r="Q234" s="2"/>
      <c r="R234" s="2"/>
      <c r="S234" s="2"/>
      <c r="T234" s="241">
        <v>4</v>
      </c>
      <c r="U234" s="244" t="str">
        <f>IF(AND(N235&lt;&gt;"",N236&lt;&gt;""),CONCATENATE(VLOOKUP(N235,[2]zawodnicy!$A$1:$E$65536,1,FALSE)," ",VLOOKUP(N235,[2]zawodnicy!$A$1:$E$65536,2,FALSE)," ",VLOOKUP(N235,[2]zawodnicy!$A$1:$E$65536,3,FALSE)," - ",VLOOKUP(N235,[2]zawodnicy!$A$1:$E$65536,4,FALSE)),"")</f>
        <v>U4307 Michał USTIMOWICZ - LKS Technik Głubczyce</v>
      </c>
      <c r="V234" s="245"/>
      <c r="W234" s="246"/>
      <c r="X234" s="46" t="str">
        <f>IF(SUM(AO230:AP230)=0,"",AP230&amp;":"&amp;AO230)</f>
        <v>27:25</v>
      </c>
      <c r="Y234" s="83" t="str">
        <f>IF(SUM(AO229:AP229)=0,"",AP229&amp;":"&amp;AO229)</f>
        <v>18:21</v>
      </c>
      <c r="Z234" s="83" t="str">
        <f>IF(SUM(AO232:AP232)=0,"",AP232&amp;":"&amp;AO232)</f>
        <v>16:21</v>
      </c>
      <c r="AA234" s="165"/>
      <c r="AB234" s="241" t="str">
        <f>IF(SUM(AW231:BB231)=0,"",BE231&amp;":"&amp;BF231)</f>
        <v>111:125</v>
      </c>
      <c r="AC234" s="250" t="str">
        <f>IF(SUM(AW231:BB231)=0,"",BG231&amp;":"&amp;BH231)</f>
        <v>2:4</v>
      </c>
      <c r="AD234" s="250" t="str">
        <f>IF(SUM(AW231:BB231)=0,"",BI231&amp;":"&amp;BJ231)</f>
        <v>1:2</v>
      </c>
      <c r="AE234" s="253">
        <f>IF(SUM(BI228:BI231)&gt;0,BK231,"")</f>
        <v>3</v>
      </c>
      <c r="AF234" s="12"/>
      <c r="AG234" s="12"/>
      <c r="AH234" s="2"/>
      <c r="AI234" s="2"/>
      <c r="AJ234" s="2"/>
      <c r="AK234" s="2"/>
      <c r="AL234" s="2"/>
      <c r="AM234" s="2"/>
      <c r="AN234" s="2"/>
      <c r="AO234" s="2"/>
      <c r="AP234" s="2"/>
      <c r="AQ234" s="2"/>
      <c r="AR234" s="2"/>
      <c r="AS234" s="2"/>
      <c r="AT234" s="2"/>
      <c r="AU234" s="2"/>
      <c r="BK234" s="19"/>
      <c r="BL234" s="20"/>
    </row>
    <row r="235" spans="1:64" ht="11.45" customHeight="1" x14ac:dyDescent="0.2">
      <c r="A235" s="19"/>
      <c r="B235" s="19"/>
      <c r="C235" s="19"/>
      <c r="D235" s="19"/>
      <c r="E235" s="19"/>
      <c r="H235" s="10"/>
      <c r="J235" s="19"/>
      <c r="K235" s="19"/>
      <c r="L235" s="19"/>
      <c r="N235" s="33" t="s">
        <v>37</v>
      </c>
      <c r="O235" s="34">
        <f>IF(O224&gt;0,(O224&amp;4)*1,"")</f>
        <v>14</v>
      </c>
      <c r="Q235" s="85"/>
      <c r="R235" s="85"/>
      <c r="S235" s="85"/>
      <c r="T235" s="242"/>
      <c r="U235" s="244" t="str">
        <f>IF(AND(N235&lt;&gt;"",N236=""),CONCATENATE(VLOOKUP(N235,[2]zawodnicy!$A$1:$E$65536,1,FALSE)," ",VLOOKUP(N235,[2]zawodnicy!$A$1:$E$65536,2,FALSE)," ",VLOOKUP(N235,[2]zawodnicy!$A$1:$E$65536,3,FALSE)," - ",VLOOKUP(N235,[2]zawodnicy!$A$1:$E$65536,4,FALSE)),"")</f>
        <v/>
      </c>
      <c r="V235" s="245"/>
      <c r="W235" s="246"/>
      <c r="X235" s="61" t="str">
        <f>IF(SUM(AQ230:AR230)=0,"",AR230&amp;":"&amp;AQ230)</f>
        <v>21:16</v>
      </c>
      <c r="Y235" s="36" t="str">
        <f>IF(SUM(AQ229:AR229)=0,"",AR229&amp;":"&amp;AQ229)</f>
        <v>13:21</v>
      </c>
      <c r="Z235" s="36" t="str">
        <f>IF(SUM(AQ232:AR232)=0,"",AR232&amp;":"&amp;AQ232)</f>
        <v>16:21</v>
      </c>
      <c r="AA235" s="166"/>
      <c r="AB235" s="242"/>
      <c r="AC235" s="251"/>
      <c r="AD235" s="251"/>
      <c r="AE235" s="254"/>
      <c r="AF235" s="12"/>
      <c r="AG235" s="1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row>
    <row r="236" spans="1:64" ht="11.45" customHeight="1" thickBot="1" x14ac:dyDescent="0.25">
      <c r="A236" s="2"/>
      <c r="J236" s="28"/>
      <c r="K236" s="28"/>
      <c r="L236" s="28"/>
      <c r="N236" s="38" t="s">
        <v>44</v>
      </c>
      <c r="O236" s="28"/>
      <c r="P236" s="28"/>
      <c r="Q236" s="2"/>
      <c r="R236" s="2"/>
      <c r="S236" s="2"/>
      <c r="T236" s="243"/>
      <c r="U236" s="256" t="str">
        <f>IF(N236&lt;&gt;"",CONCATENATE(VLOOKUP(N236,[2]zawodnicy!$A$1:$E$65536,1,FALSE)," ",VLOOKUP(N236,[2]zawodnicy!$A$1:$E$65536,2,FALSE)," ",VLOOKUP(N236,[2]zawodnicy!$A$1:$E$65536,3,FALSE)," - ",VLOOKUP(N236,[2]zawodnicy!$A$1:$E$65536,4,FALSE)),"")</f>
        <v>W3545 Marcin WNUK - MKS Orlicz Suchedniów</v>
      </c>
      <c r="V236" s="257"/>
      <c r="W236" s="258"/>
      <c r="X236" s="87" t="str">
        <f>IF(SUM(AS230:AT230)=0,"",AT230&amp;":"&amp;AS230)</f>
        <v/>
      </c>
      <c r="Y236" s="88" t="str">
        <f>IF(SUM(AS229:AT229)=0,"",AT229&amp;":"&amp;AS229)</f>
        <v/>
      </c>
      <c r="Z236" s="88" t="str">
        <f>IF(SUM(AS232:AT232)=0,"",AT232&amp;":"&amp;AS232)</f>
        <v/>
      </c>
      <c r="AA236" s="89"/>
      <c r="AB236" s="243"/>
      <c r="AC236" s="252"/>
      <c r="AD236" s="252"/>
      <c r="AE236" s="255"/>
      <c r="AF236" s="12"/>
      <c r="AG236" s="1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row>
    <row r="237" spans="1:64" ht="5.0999999999999996" customHeight="1" thickBot="1" x14ac:dyDescent="0.25">
      <c r="BK237" s="19"/>
      <c r="BL237" s="20"/>
    </row>
    <row r="238" spans="1:64" ht="11.45" customHeight="1" thickBot="1" x14ac:dyDescent="0.25">
      <c r="B238" s="2" t="s">
        <v>63</v>
      </c>
      <c r="N238" s="138"/>
      <c r="O238" s="21">
        <v>2</v>
      </c>
      <c r="Q238" s="277" t="str">
        <f>"Grupa "&amp;O238&amp;"."</f>
        <v>Grupa 2.</v>
      </c>
      <c r="R238" s="277"/>
      <c r="S238" s="277"/>
      <c r="T238" s="22" t="s">
        <v>1</v>
      </c>
      <c r="U238" s="278" t="s">
        <v>2</v>
      </c>
      <c r="V238" s="279"/>
      <c r="W238" s="280"/>
      <c r="X238" s="22">
        <v>1</v>
      </c>
      <c r="Y238" s="139">
        <v>2</v>
      </c>
      <c r="Z238" s="23">
        <v>3</v>
      </c>
      <c r="AA238" s="140">
        <v>4</v>
      </c>
      <c r="AB238" s="141" t="s">
        <v>3</v>
      </c>
      <c r="AC238" s="142" t="s">
        <v>4</v>
      </c>
      <c r="AD238" s="26" t="s">
        <v>5</v>
      </c>
      <c r="AE238" s="143" t="s">
        <v>6</v>
      </c>
      <c r="AF238" s="12"/>
      <c r="AG238" s="12"/>
      <c r="AI238" s="273" t="s">
        <v>9</v>
      </c>
      <c r="AJ238" s="273"/>
      <c r="AK238" s="273"/>
      <c r="AL238" s="273"/>
      <c r="AM238" s="273"/>
      <c r="AN238" s="273"/>
      <c r="AO238" s="273" t="s">
        <v>10</v>
      </c>
      <c r="AP238" s="273"/>
      <c r="AQ238" s="273"/>
      <c r="AR238" s="273"/>
      <c r="AS238" s="273"/>
      <c r="AT238" s="273"/>
      <c r="BK238" s="19"/>
      <c r="BL238" s="20"/>
    </row>
    <row r="239" spans="1:64" ht="11.45" customHeight="1" x14ac:dyDescent="0.2">
      <c r="N239" s="29" t="s">
        <v>62</v>
      </c>
      <c r="Q239" s="274" t="s">
        <v>7</v>
      </c>
      <c r="R239" s="274"/>
      <c r="S239" s="275" t="s">
        <v>8</v>
      </c>
      <c r="T239" s="242">
        <v>1</v>
      </c>
      <c r="U239" s="244" t="str">
        <f>IF(AND(N240&lt;&gt;"",N241&lt;&gt;""),CONCATENATE(VLOOKUP(N240,[2]zawodnicy!$A$1:$E$65536,1,FALSE)," ",VLOOKUP(N240,[2]zawodnicy!$A$1:$E$65536,2,FALSE)," ",VLOOKUP(N240,[2]zawodnicy!$A$1:$E$65536,3,FALSE)," - ",VLOOKUP(N240,[2]zawodnicy!$A$1:$E$65536,4,FALSE)),"")</f>
        <v>P3934 Patryk PŁAZA - UKS Smecz Bogatynia</v>
      </c>
      <c r="V239" s="245"/>
      <c r="W239" s="246"/>
      <c r="X239" s="35"/>
      <c r="Y239" s="36" t="str">
        <f>IF(SUM(AO247:AP247)=0,"",AO247&amp;":"&amp;AP247)</f>
        <v>17:21</v>
      </c>
      <c r="Z239" s="36" t="str">
        <f>IF(SUM(AO242:AP242)=0,"",AO242&amp;":"&amp;AP242)</f>
        <v>23:25</v>
      </c>
      <c r="AA239" s="144" t="str">
        <f>IF(SUM(AO244:AP244)=0,"",AO244&amp;":"&amp;AP244)</f>
        <v>21:19</v>
      </c>
      <c r="AB239" s="242" t="str">
        <f>IF(SUM(AY242:BD242)=0,"",BE242&amp;":"&amp;BF242)</f>
        <v>123:142</v>
      </c>
      <c r="AC239" s="251" t="str">
        <f>IF(SUM(AY242:BD242)=0,"",BG242&amp;":"&amp;BH242)</f>
        <v>3:4</v>
      </c>
      <c r="AD239" s="251" t="str">
        <f>IF(SUM(AY242:BD242)=0,"",BI242&amp;":"&amp;BJ242)</f>
        <v>1:2</v>
      </c>
      <c r="AE239" s="254">
        <f>IF(SUM(BI242:BI245)&gt;0,BK242,"")</f>
        <v>3</v>
      </c>
      <c r="AF239" s="12"/>
      <c r="AG239" s="12"/>
      <c r="BK239" s="19"/>
      <c r="BL239" s="20"/>
    </row>
    <row r="240" spans="1:64" ht="11.45" customHeight="1" thickBot="1" x14ac:dyDescent="0.25">
      <c r="H240" s="10"/>
      <c r="I240" s="2" t="str">
        <f>"1"&amp;O238&amp;N239</f>
        <v>12podwójna mężczyzn J</v>
      </c>
      <c r="J240" s="10" t="str">
        <f>IF(AE239="","",IF(AE239=1,N240,IF(AE242=1,N243,IF(AE245=1,N246,IF(AE248=1,N249,"")))))</f>
        <v>B2621</v>
      </c>
      <c r="K240" s="10" t="str">
        <f>IF(AE239="","",IF(AE239=1,N241,IF(AE242=1,N244,IF(AE245=1,N247,IF(AE248=1,N250,"")))))</f>
        <v>S2695</v>
      </c>
      <c r="L240" s="10"/>
      <c r="N240" s="33" t="s">
        <v>49</v>
      </c>
      <c r="O240" s="34">
        <f>IF(O238&gt;0,(O238&amp;1)*1,"")</f>
        <v>21</v>
      </c>
      <c r="Q240" s="274"/>
      <c r="R240" s="274"/>
      <c r="S240" s="275"/>
      <c r="T240" s="242"/>
      <c r="U240" s="244" t="str">
        <f>IF(AND(N240&lt;&gt;"",N241=""),CONCATENATE(VLOOKUP(N240,[2]zawodnicy!$A$1:$E$65536,1,FALSE)," ",VLOOKUP(N240,[2]zawodnicy!$A$1:$E$65536,2,FALSE)," ",VLOOKUP(N240,[2]zawodnicy!$A$1:$E$65536,3,FALSE)," - ",VLOOKUP(N240,[2]zawodnicy!$A$1:$E$65536,4,FALSE)),"")</f>
        <v/>
      </c>
      <c r="V240" s="245"/>
      <c r="W240" s="246"/>
      <c r="X240" s="35"/>
      <c r="Y240" s="36" t="str">
        <f>IF(SUM(AQ247:AR247)=0,"",AQ247&amp;":"&amp;AR247)</f>
        <v>10:21</v>
      </c>
      <c r="Z240" s="36" t="str">
        <f>IF(SUM(AQ242:AR242)=0,"",AQ242&amp;":"&amp;AR242)</f>
        <v>21:18</v>
      </c>
      <c r="AA240" s="144" t="str">
        <f>IF(SUM(AQ244:AR244)=0,"",AQ244&amp;":"&amp;AR244)</f>
        <v>21:17</v>
      </c>
      <c r="AB240" s="242"/>
      <c r="AC240" s="251"/>
      <c r="AD240" s="251"/>
      <c r="AE240" s="254"/>
      <c r="AF240" s="12"/>
      <c r="AG240" s="12"/>
      <c r="BK240" s="19"/>
      <c r="BL240" s="20"/>
    </row>
    <row r="241" spans="1:64" ht="11.45" customHeight="1" thickBot="1" x14ac:dyDescent="0.25">
      <c r="J241" s="10"/>
      <c r="K241" s="28"/>
      <c r="L241" s="28"/>
      <c r="N241" s="38" t="s">
        <v>38</v>
      </c>
      <c r="O241" s="28"/>
      <c r="P241" s="28"/>
      <c r="Q241" s="274"/>
      <c r="R241" s="274"/>
      <c r="S241" s="275"/>
      <c r="T241" s="261"/>
      <c r="U241" s="265" t="str">
        <f>IF(N241&lt;&gt;"",CONCATENATE(VLOOKUP(N241,[2]zawodnicy!$A$1:$E$65536,1,FALSE)," ",VLOOKUP(N241,[2]zawodnicy!$A$1:$E$65536,2,FALSE)," ",VLOOKUP(N241,[2]zawodnicy!$A$1:$E$65536,3,FALSE)," - ",VLOOKUP(N241,[2]zawodnicy!$A$1:$E$65536,4,FALSE)),"")</f>
        <v>S3245 Arkadiusz SŁUPEK - KS Chojnik Jelenia Góra</v>
      </c>
      <c r="V241" s="266"/>
      <c r="W241" s="267"/>
      <c r="X241" s="35"/>
      <c r="Y241" s="39" t="str">
        <f>IF(SUM(AS247:AT247)=0,"",AS247&amp;":"&amp;AT247)</f>
        <v/>
      </c>
      <c r="Z241" s="39" t="str">
        <f>IF(SUM(AS242:AT242)=0,"",AS242&amp;":"&amp;AT242)</f>
        <v>10:21</v>
      </c>
      <c r="AA241" s="145" t="str">
        <f>IF(SUM(AS244:AT244)=0,"",AS244&amp;":"&amp;AT244)</f>
        <v/>
      </c>
      <c r="AB241" s="242"/>
      <c r="AC241" s="251"/>
      <c r="AD241" s="251"/>
      <c r="AE241" s="254"/>
      <c r="AF241" s="12"/>
      <c r="AG241" s="12"/>
      <c r="AI241" s="283" t="s">
        <v>12</v>
      </c>
      <c r="AJ241" s="281"/>
      <c r="AK241" s="281" t="s">
        <v>13</v>
      </c>
      <c r="AL241" s="281"/>
      <c r="AM241" s="281" t="s">
        <v>14</v>
      </c>
      <c r="AN241" s="281"/>
      <c r="AO241" s="283" t="s">
        <v>12</v>
      </c>
      <c r="AP241" s="281"/>
      <c r="AQ241" s="281" t="s">
        <v>13</v>
      </c>
      <c r="AR241" s="281"/>
      <c r="AS241" s="281" t="s">
        <v>14</v>
      </c>
      <c r="AT241" s="282"/>
      <c r="AW241" s="283">
        <v>1</v>
      </c>
      <c r="AX241" s="281"/>
      <c r="AY241" s="281">
        <v>2</v>
      </c>
      <c r="AZ241" s="281"/>
      <c r="BA241" s="281">
        <v>3</v>
      </c>
      <c r="BB241" s="281"/>
      <c r="BC241" s="281">
        <v>4</v>
      </c>
      <c r="BD241" s="282"/>
      <c r="BE241" s="283" t="s">
        <v>3</v>
      </c>
      <c r="BF241" s="282"/>
      <c r="BG241" s="283" t="s">
        <v>4</v>
      </c>
      <c r="BH241" s="282"/>
      <c r="BI241" s="283" t="s">
        <v>5</v>
      </c>
      <c r="BJ241" s="268"/>
      <c r="BK241" s="41" t="s">
        <v>6</v>
      </c>
      <c r="BL241" s="20"/>
    </row>
    <row r="242" spans="1:64" ht="11.45" customHeight="1" x14ac:dyDescent="0.2">
      <c r="A242" s="19">
        <f t="shared" ref="A242:A247" si="19">S242</f>
        <v>52</v>
      </c>
      <c r="B242" s="19" t="str">
        <f>IF(N240="","",N240)</f>
        <v>P3934</v>
      </c>
      <c r="C242" s="19" t="str">
        <f>IF(N241="","",N241)</f>
        <v>S3245</v>
      </c>
      <c r="D242" s="19" t="str">
        <f>IF(N246="","",N246)</f>
        <v>K3149</v>
      </c>
      <c r="E242" s="19" t="str">
        <f>IF(N247="","",N247)</f>
        <v>T3923</v>
      </c>
      <c r="H242" s="10"/>
      <c r="I242" s="2" t="str">
        <f>"2"&amp;O238&amp;N239</f>
        <v>22podwójna mężczyzn J</v>
      </c>
      <c r="J242" s="10" t="str">
        <f>IF(AE242="","",IF(AE239=2,N240,IF(AE242=2,N243,IF(AE245=2,N246,IF(AE248=2,N249,"")))))</f>
        <v>K3149</v>
      </c>
      <c r="K242" s="10" t="str">
        <f>IF(AE242="","",IF(AE239=2,N241,IF(AE242=2,N244,IF(AE245=2,N247,IF(AE248=2,N250,"")))))</f>
        <v>T3923</v>
      </c>
      <c r="L242" s="10"/>
      <c r="M242" s="42" t="str">
        <f>N239</f>
        <v>podwójna mężczyzn J</v>
      </c>
      <c r="O242" s="28"/>
      <c r="P242" s="28"/>
      <c r="Q242" s="43" t="str">
        <f>IF(AU242&gt;0,"",IF(A242=0,"",IF(VLOOKUP(A242,'[2]plan gier'!A$1:S$65536,19,FALSE)="","",VLOOKUP(A242,'[2]plan gier'!A$1:S$65536,19,FALSE))))</f>
        <v/>
      </c>
      <c r="R242" s="44" t="s">
        <v>15</v>
      </c>
      <c r="S242" s="146">
        <v>52</v>
      </c>
      <c r="T242" s="241">
        <v>2</v>
      </c>
      <c r="U242" s="244" t="str">
        <f>IF(AND(N243&lt;&gt;"",N244&lt;&gt;""),CONCATENATE(VLOOKUP(N243,[2]zawodnicy!$A$1:$E$65536,1,FALSE)," ",VLOOKUP(N243,[2]zawodnicy!$A$1:$E$65536,2,FALSE)," ",VLOOKUP(N243,[2]zawodnicy!$A$1:$E$65536,3,FALSE)," - ",VLOOKUP(N243,[2]zawodnicy!$A$1:$E$65536,4,FALSE)),"")</f>
        <v>B2621 Mateusz BIERNACKI - UKS Hubal Białystok</v>
      </c>
      <c r="V242" s="245"/>
      <c r="W242" s="246"/>
      <c r="X242" s="46" t="str">
        <f>IF(SUM(AO247:AP247)=0,"",AP247&amp;":"&amp;AO247)</f>
        <v>21:17</v>
      </c>
      <c r="Y242" s="147"/>
      <c r="Z242" s="83" t="str">
        <f>IF(SUM(AO245:AP245)=0,"",AO245&amp;":"&amp;AP245)</f>
        <v>21:11</v>
      </c>
      <c r="AA242" s="48" t="str">
        <f>IF(SUM(AO243:AP243)=0,"",AO243&amp;":"&amp;AP243)</f>
        <v>21:10</v>
      </c>
      <c r="AB242" s="241" t="str">
        <f>IF(SUM(AW243:AX243,BA243:BD243)=0,"",BE243&amp;":"&amp;BF243)</f>
        <v>126:71</v>
      </c>
      <c r="AC242" s="250" t="str">
        <f>IF(SUM(AW243:AX243,BA243:BD243)=0,"",BG243&amp;":"&amp;BH243)</f>
        <v>6:0</v>
      </c>
      <c r="AD242" s="250" t="str">
        <f>IF(SUM(AW243:AX243,BA243:BD243)=0,"",BI243&amp;":"&amp;BJ243)</f>
        <v>3:0</v>
      </c>
      <c r="AE242" s="253">
        <f>IF(SUM(BI242:BI245)&gt;0,BK243,"")</f>
        <v>1</v>
      </c>
      <c r="AF242" s="12"/>
      <c r="AG242" s="12"/>
      <c r="AH242" s="44" t="s">
        <v>15</v>
      </c>
      <c r="AI242" s="148">
        <f>IF(ISBLANK(S242),"",VLOOKUP(S242,'[2]plan gier'!$X$1:$AN$65536,12,FALSE))</f>
        <v>23</v>
      </c>
      <c r="AJ242" s="52">
        <f>IF(ISBLANK(S242),"",VLOOKUP(S242,'[2]plan gier'!$X$1:$AN$65536,13,FALSE))</f>
        <v>25</v>
      </c>
      <c r="AK242" s="52">
        <f>IF(ISBLANK(S242),"",VLOOKUP(S242,'[2]plan gier'!$X$1:$AN$65536,14,FALSE))</f>
        <v>21</v>
      </c>
      <c r="AL242" s="52">
        <f>IF(ISBLANK(S242),"",VLOOKUP(S242,'[2]plan gier'!$X$1:$AN$65536,15,FALSE))</f>
        <v>18</v>
      </c>
      <c r="AM242" s="52">
        <f>IF(ISBLANK(S242),"",VLOOKUP(S242,'[2]plan gier'!$X$1:$AN$65536,16,FALSE))</f>
        <v>10</v>
      </c>
      <c r="AN242" s="52">
        <f>IF(ISBLANK(S242),"",VLOOKUP(S242,'[2]plan gier'!$X$1:$AN$65536,17,FALSE))</f>
        <v>21</v>
      </c>
      <c r="AO242" s="49">
        <f t="shared" ref="AO242:AT247" si="20">IF(AI242="",0,AI242)</f>
        <v>23</v>
      </c>
      <c r="AP242" s="50">
        <f t="shared" si="20"/>
        <v>25</v>
      </c>
      <c r="AQ242" s="50">
        <f t="shared" si="20"/>
        <v>21</v>
      </c>
      <c r="AR242" s="50">
        <f t="shared" si="20"/>
        <v>18</v>
      </c>
      <c r="AS242" s="50">
        <f t="shared" si="20"/>
        <v>10</v>
      </c>
      <c r="AT242" s="57">
        <f t="shared" si="20"/>
        <v>21</v>
      </c>
      <c r="AU242" s="149">
        <f t="shared" ref="AU242:AU247" si="21">SUM(AO242:AT242)</f>
        <v>118</v>
      </c>
      <c r="AV242" s="5">
        <v>1</v>
      </c>
      <c r="AW242" s="284"/>
      <c r="AX242" s="285"/>
      <c r="AY242" s="50">
        <f>IF(AI247&gt;AJ247,1,0)+IF(AK247&gt;AL247,1,0)+IF(AM247&gt;AN247,1,0)</f>
        <v>0</v>
      </c>
      <c r="AZ242" s="50">
        <f>AW243</f>
        <v>2</v>
      </c>
      <c r="BA242" s="50">
        <f>IF(AI242&gt;AJ242,1,0)+IF(AK242&gt;AL242,1,0)+IF(AM242&gt;AN242,1,0)</f>
        <v>1</v>
      </c>
      <c r="BB242" s="52">
        <f>AW244</f>
        <v>2</v>
      </c>
      <c r="BC242" s="150">
        <f>IF(AI244&gt;AJ244,1,0)+IF(AK244&gt;AL244,1,0)+IF(AM244&gt;AN244,1,0)</f>
        <v>2</v>
      </c>
      <c r="BD242" s="58">
        <f>AW245</f>
        <v>0</v>
      </c>
      <c r="BE242" s="148">
        <f>AO242+AQ242+AS242+AO244+AQ244+AS244+AO247+AQ247+AS247</f>
        <v>123</v>
      </c>
      <c r="BF242" s="151">
        <f>AP242+AR242+AT242+AP244+AR244+AT244+AP247+AR247+AT247</f>
        <v>142</v>
      </c>
      <c r="BG242" s="148">
        <f>AY242+BA242+BC242</f>
        <v>3</v>
      </c>
      <c r="BH242" s="152">
        <f>AZ242+BB242+BD242</f>
        <v>4</v>
      </c>
      <c r="BI242" s="148">
        <f>IF(AY242&gt;AZ242,1,0)+IF(BA242&gt;BB242,1,0)+IF(BC242&gt;BD242,1,0)</f>
        <v>1</v>
      </c>
      <c r="BJ242" s="152">
        <f>IF(AZ242&gt;AY242,1,0)+IF(BB242&gt;BA242,1,0)+IF(BD242&gt;BC242,1,0)</f>
        <v>2</v>
      </c>
      <c r="BK242" s="153">
        <f>IF(BI242+BJ242=0,"",IF(BL242=MAX(BL242:BL245),1,IF(BL242=LARGE(BL242:BL245,2),2,IF(BL242=MIN(BL242:BL245),4,3))))</f>
        <v>3</v>
      </c>
      <c r="BL242" s="60">
        <f>IF(BI242+BJ242&lt;&gt;0,BI242+1+(BG242-BH242)/100+(BE242-BF242)/100000+(BE242/BF242)/1000000,0)</f>
        <v>1.9898108661971832</v>
      </c>
    </row>
    <row r="243" spans="1:64" ht="11.45" customHeight="1" x14ac:dyDescent="0.2">
      <c r="A243" s="19">
        <f t="shared" si="19"/>
        <v>53</v>
      </c>
      <c r="B243" s="19" t="str">
        <f>IF(N243="","",N243)</f>
        <v>B2621</v>
      </c>
      <c r="C243" s="19" t="str">
        <f>IF(N244="","",N244)</f>
        <v>S2695</v>
      </c>
      <c r="D243" s="19" t="str">
        <f>IF(N249="","",N249)</f>
        <v>R3804</v>
      </c>
      <c r="E243" s="19" t="str">
        <f>IF(N250="","",N250)</f>
        <v>W3805</v>
      </c>
      <c r="J243" s="10"/>
      <c r="K243" s="19"/>
      <c r="L243" s="19"/>
      <c r="M243" s="42" t="str">
        <f>N239</f>
        <v>podwójna mężczyzn J</v>
      </c>
      <c r="N243" s="33" t="s">
        <v>39</v>
      </c>
      <c r="O243" s="34">
        <f>IF(O238&gt;0,(O238&amp;2)*1,"")</f>
        <v>22</v>
      </c>
      <c r="Q243" s="43" t="str">
        <f>IF(AU243&gt;0,"",IF(A243=0,"",IF(VLOOKUP(A243,'[2]plan gier'!A$1:S$65536,19,FALSE)="","",VLOOKUP(A243,'[2]plan gier'!A$1:S$65536,19,FALSE))))</f>
        <v/>
      </c>
      <c r="R243" s="44" t="s">
        <v>66</v>
      </c>
      <c r="S243" s="146">
        <v>53</v>
      </c>
      <c r="T243" s="242"/>
      <c r="U243" s="244" t="str">
        <f>IF(AND(N243&lt;&gt;"",N244=""),CONCATENATE(VLOOKUP(N243,[2]zawodnicy!$A$1:$E$65536,1,FALSE)," ",VLOOKUP(N243,[2]zawodnicy!$A$1:$E$65536,2,FALSE)," ",VLOOKUP(N243,[2]zawodnicy!$A$1:$E$65536,3,FALSE)," - ",VLOOKUP(N243,[2]zawodnicy!$A$1:$E$65536,4,FALSE)),"")</f>
        <v/>
      </c>
      <c r="V243" s="245"/>
      <c r="W243" s="246"/>
      <c r="X243" s="61" t="str">
        <f>IF(SUM(AQ247:AR247)=0,"",AR247&amp;":"&amp;AQ247)</f>
        <v>21:10</v>
      </c>
      <c r="Y243" s="154"/>
      <c r="Z243" s="36" t="str">
        <f>IF(SUM(AQ245:AR245)=0,"",AQ245&amp;":"&amp;AR245)</f>
        <v>21:16</v>
      </c>
      <c r="AA243" s="37" t="str">
        <f>IF(SUM(AQ243:AR243)=0,"",AQ243&amp;":"&amp;AR243)</f>
        <v>21:7</v>
      </c>
      <c r="AB243" s="242"/>
      <c r="AC243" s="251"/>
      <c r="AD243" s="251"/>
      <c r="AE243" s="254"/>
      <c r="AF243" s="12"/>
      <c r="AG243" s="12"/>
      <c r="AH243" s="44" t="s">
        <v>66</v>
      </c>
      <c r="AI243" s="49">
        <f>IF(ISBLANK(S243),"",VLOOKUP(S243,'[2]plan gier'!$X$1:$AN$65536,12,FALSE))</f>
        <v>21</v>
      </c>
      <c r="AJ243" s="50">
        <f>IF(ISBLANK(S243),"",VLOOKUP(S243,'[2]plan gier'!$X$1:$AN$65536,13,FALSE))</f>
        <v>10</v>
      </c>
      <c r="AK243" s="50">
        <f>IF(ISBLANK(S243),"",VLOOKUP(S243,'[2]plan gier'!$X$1:$AN$65536,14,FALSE))</f>
        <v>21</v>
      </c>
      <c r="AL243" s="50">
        <f>IF(ISBLANK(S243),"",VLOOKUP(S243,'[2]plan gier'!$X$1:$AN$65536,15,FALSE))</f>
        <v>7</v>
      </c>
      <c r="AM243" s="50">
        <f>IF(ISBLANK(S243),"",VLOOKUP(S243,'[2]plan gier'!$X$1:$AN$65536,16,FALSE))</f>
        <v>0</v>
      </c>
      <c r="AN243" s="50">
        <f>IF(ISBLANK(S243),"",VLOOKUP(S243,'[2]plan gier'!$X$1:$AN$65536,17,FALSE))</f>
        <v>0</v>
      </c>
      <c r="AO243" s="63">
        <f t="shared" si="20"/>
        <v>21</v>
      </c>
      <c r="AP243" s="64">
        <f t="shared" si="20"/>
        <v>10</v>
      </c>
      <c r="AQ243" s="64">
        <f t="shared" si="20"/>
        <v>21</v>
      </c>
      <c r="AR243" s="64">
        <f t="shared" si="20"/>
        <v>7</v>
      </c>
      <c r="AS243" s="64">
        <f t="shared" si="20"/>
        <v>0</v>
      </c>
      <c r="AT243" s="69">
        <f t="shared" si="20"/>
        <v>0</v>
      </c>
      <c r="AU243" s="149">
        <f t="shared" si="21"/>
        <v>59</v>
      </c>
      <c r="AV243" s="5">
        <v>2</v>
      </c>
      <c r="AW243" s="63">
        <f>IF(AI247&lt;AJ247,1,0)+IF(AK247&lt;AL247,1,0)+IF(AM247&lt;AN247,1,0)</f>
        <v>2</v>
      </c>
      <c r="AX243" s="64">
        <f>AY242</f>
        <v>0</v>
      </c>
      <c r="AY243" s="155"/>
      <c r="AZ243" s="156"/>
      <c r="BA243" s="64">
        <f>IF(AI245&gt;AJ245,1,0)+IF(AK245&gt;AL245,1,0)+IF(AM245&gt;AN245,1,0)</f>
        <v>2</v>
      </c>
      <c r="BB243" s="64">
        <f>AY244</f>
        <v>0</v>
      </c>
      <c r="BC243" s="157">
        <f>IF(AI243&gt;AJ243,1,0)+IF(AK243&gt;AL243,1,0)+IF(AM243&gt;AN243,1,0)</f>
        <v>2</v>
      </c>
      <c r="BD243" s="70">
        <f>AY245</f>
        <v>0</v>
      </c>
      <c r="BE243" s="63">
        <f>AO243+AQ243+AS243+AO245+AQ245+AS245+AP247+AR247+AT247</f>
        <v>126</v>
      </c>
      <c r="BF243" s="70">
        <f>AP243+AR243+AT243+AP245+AR245+AT245+AO247+AQ247+AS247</f>
        <v>71</v>
      </c>
      <c r="BG243" s="63">
        <f>AW243+BA243+BC243</f>
        <v>6</v>
      </c>
      <c r="BH243" s="69">
        <f>AX243+BB243+BD243</f>
        <v>0</v>
      </c>
      <c r="BI243" s="63">
        <f>IF(AW243&gt;AX243,1,0)+IF(BA243&gt;BB243,1,0)+IF(BC243&gt;BD243,1,0)</f>
        <v>3</v>
      </c>
      <c r="BJ243" s="69">
        <f>IF(AX243&gt;AW243,1,0)+IF(BB243&gt;BA243,1,0)+IF(BD243&gt;BC243,1,0)</f>
        <v>0</v>
      </c>
      <c r="BK243" s="71">
        <f>IF(BI243+BJ243=0,"",IF(BL243=MAX(BL242:BL245),1,IF(BL243=LARGE(BL242:BL245,2),2,IF(BL243=MIN(BL242:BL245),4,3))))</f>
        <v>1</v>
      </c>
      <c r="BL243" s="60">
        <f>IF(BI243+BJ243&lt;&gt;0,BI243+1+(BG243-BH243)/100+(BE243-BF243)/100000+(BE243/BF243)/1000000,0)</f>
        <v>4.0605517746478865</v>
      </c>
    </row>
    <row r="244" spans="1:64" ht="11.45" customHeight="1" x14ac:dyDescent="0.2">
      <c r="A244" s="19">
        <f t="shared" si="19"/>
        <v>117</v>
      </c>
      <c r="B244" s="19" t="str">
        <f>IF(N240="","",N240)</f>
        <v>P3934</v>
      </c>
      <c r="C244" s="19" t="str">
        <f>IF(N241="","",N241)</f>
        <v>S3245</v>
      </c>
      <c r="D244" s="19" t="str">
        <f>IF(N249="","",N249)</f>
        <v>R3804</v>
      </c>
      <c r="E244" s="19" t="str">
        <f>IF(N250="","",N250)</f>
        <v>W3805</v>
      </c>
      <c r="H244" s="10"/>
      <c r="I244" s="2" t="str">
        <f>"3"&amp;O238&amp;N239</f>
        <v>32podwójna mężczyzn J</v>
      </c>
      <c r="J244" s="10" t="str">
        <f>IF(AE245="","",IF(AE239=3,N240,IF(AE242=3,N243,IF(AE245=3,N246,IF(AE248=3,N249,"")))))</f>
        <v>P3934</v>
      </c>
      <c r="K244" s="10" t="str">
        <f>IF(AE245="","",IF(AE239=3,N241,IF(AE242=3,N244,IF(AE245=3,N247,IF(AE248=3,N250,"")))))</f>
        <v>S3245</v>
      </c>
      <c r="L244" s="10"/>
      <c r="M244" s="42" t="str">
        <f>N239</f>
        <v>podwójna mężczyzn J</v>
      </c>
      <c r="N244" s="38" t="s">
        <v>43</v>
      </c>
      <c r="O244" s="28"/>
      <c r="P244" s="28"/>
      <c r="Q244" s="43" t="str">
        <f>IF(AU244&gt;0,"",IF(A244=0,"",IF(VLOOKUP(A244,'[2]plan gier'!A$1:S$65536,19,FALSE)="","",VLOOKUP(A244,'[2]plan gier'!A$1:S$65536,19,FALSE))))</f>
        <v/>
      </c>
      <c r="R244" s="44" t="s">
        <v>68</v>
      </c>
      <c r="S244" s="146">
        <v>117</v>
      </c>
      <c r="T244" s="261"/>
      <c r="U244" s="265" t="str">
        <f>IF(N244&lt;&gt;"",CONCATENATE(VLOOKUP(N244,[2]zawodnicy!$A$1:$E$65536,1,FALSE)," ",VLOOKUP(N244,[2]zawodnicy!$A$1:$E$65536,2,FALSE)," ",VLOOKUP(N244,[2]zawodnicy!$A$1:$E$65536,3,FALSE)," - ",VLOOKUP(N244,[2]zawodnicy!$A$1:$E$65536,4,FALSE)),"")</f>
        <v>S2695 Przemysław SZYDŁOWSKI - LKS Technik Głubczyce</v>
      </c>
      <c r="V244" s="266"/>
      <c r="W244" s="267"/>
      <c r="X244" s="73" t="str">
        <f>IF(SUM(AS247:AT247)=0,"",AT247&amp;":"&amp;AS247)</f>
        <v/>
      </c>
      <c r="Y244" s="154"/>
      <c r="Z244" s="39" t="str">
        <f>IF(SUM(AS245:AT245)=0,"",AS245&amp;":"&amp;AT245)</f>
        <v/>
      </c>
      <c r="AA244" s="40" t="str">
        <f>IF(SUM(AS243:AT243)=0,"",AS243&amp;":"&amp;AT243)</f>
        <v/>
      </c>
      <c r="AB244" s="242"/>
      <c r="AC244" s="251"/>
      <c r="AD244" s="251"/>
      <c r="AE244" s="254"/>
      <c r="AF244" s="12"/>
      <c r="AG244" s="12"/>
      <c r="AH244" s="44" t="s">
        <v>68</v>
      </c>
      <c r="AI244" s="49">
        <f>IF(ISBLANK(S244),"",VLOOKUP(S244,'[2]plan gier'!$X$1:$AN$65536,12,FALSE))</f>
        <v>21</v>
      </c>
      <c r="AJ244" s="50">
        <f>IF(ISBLANK(S244),"",VLOOKUP(S244,'[2]plan gier'!$X$1:$AN$65536,13,FALSE))</f>
        <v>19</v>
      </c>
      <c r="AK244" s="50">
        <f>IF(ISBLANK(S244),"",VLOOKUP(S244,'[2]plan gier'!$X$1:$AN$65536,14,FALSE))</f>
        <v>21</v>
      </c>
      <c r="AL244" s="50">
        <f>IF(ISBLANK(S244),"",VLOOKUP(S244,'[2]plan gier'!$X$1:$AN$65536,15,FALSE))</f>
        <v>17</v>
      </c>
      <c r="AM244" s="50">
        <f>IF(ISBLANK(S244),"",VLOOKUP(S244,'[2]plan gier'!$X$1:$AN$65536,16,FALSE))</f>
        <v>0</v>
      </c>
      <c r="AN244" s="50">
        <f>IF(ISBLANK(S244),"",VLOOKUP(S244,'[2]plan gier'!$X$1:$AN$65536,17,FALSE))</f>
        <v>0</v>
      </c>
      <c r="AO244" s="63">
        <f t="shared" si="20"/>
        <v>21</v>
      </c>
      <c r="AP244" s="64">
        <f t="shared" si="20"/>
        <v>19</v>
      </c>
      <c r="AQ244" s="64">
        <f t="shared" si="20"/>
        <v>21</v>
      </c>
      <c r="AR244" s="64">
        <f t="shared" si="20"/>
        <v>17</v>
      </c>
      <c r="AS244" s="64">
        <f t="shared" si="20"/>
        <v>0</v>
      </c>
      <c r="AT244" s="69">
        <f t="shared" si="20"/>
        <v>0</v>
      </c>
      <c r="AU244" s="149">
        <f t="shared" si="21"/>
        <v>78</v>
      </c>
      <c r="AV244" s="5">
        <v>3</v>
      </c>
      <c r="AW244" s="63">
        <f>IF(AI242&lt;AJ242,1,0)+IF(AK242&lt;AL242,1,0)+IF(AM242&lt;AN242,1,0)</f>
        <v>2</v>
      </c>
      <c r="AX244" s="64">
        <f>BA242</f>
        <v>1</v>
      </c>
      <c r="AY244" s="64">
        <f>IF(AI245&lt;AJ245,1,0)+IF(AK245&lt;AL245,1,0)+IF(AM245&lt;AN245,1,0)</f>
        <v>0</v>
      </c>
      <c r="AZ244" s="64">
        <f>BA243</f>
        <v>2</v>
      </c>
      <c r="BA244" s="155"/>
      <c r="BB244" s="156"/>
      <c r="BC244" s="64">
        <f>IF(AI246&gt;AJ246,1,0)+IF(AK246&gt;AL246,1,0)+IF(AM246&gt;AN246,1,0)</f>
        <v>2</v>
      </c>
      <c r="BD244" s="70">
        <f>BA245</f>
        <v>0</v>
      </c>
      <c r="BE244" s="158">
        <f>AP242+AR242+AT242+AP245+AR245+AT245+AO246+AQ246+AS246</f>
        <v>133</v>
      </c>
      <c r="BF244" s="159">
        <f>AO242+AQ242+AS242+AO245+AQ245+AS245+AP246+AR246+AT246</f>
        <v>127</v>
      </c>
      <c r="BG244" s="158">
        <f>AW244+AY244+BC244</f>
        <v>4</v>
      </c>
      <c r="BH244" s="160">
        <f>AX244+AZ244+BD244</f>
        <v>3</v>
      </c>
      <c r="BI244" s="63">
        <f>IF(AW244&gt;AX244,1,0)+IF(AY244&gt;AZ244,1,0)+IF(BC244&gt;BD244,1,0)</f>
        <v>2</v>
      </c>
      <c r="BJ244" s="69">
        <f>IF(AX244&gt;AW244,1,0)+IF(AZ244&gt;AY244,1,0)+IF(BD244&gt;BC244,1,0)</f>
        <v>1</v>
      </c>
      <c r="BK244" s="71">
        <f>IF(BI244+BJ244=0,"",IF(BL244=MAX(BL242:BL245),1,IF(BL244=LARGE(BL242:BL245,2),2,IF(BL244=MIN(BL242:BL245),4,3))))</f>
        <v>2</v>
      </c>
      <c r="BL244" s="60">
        <f>IF(BI244+BJ244&lt;&gt;0,BI244+1+(BG244-BH244)/100+(BE244-BF244)/100000+(BE244/BF244)/1000000,0)</f>
        <v>3.0100610472440943</v>
      </c>
    </row>
    <row r="245" spans="1:64" ht="11.45" customHeight="1" thickBot="1" x14ac:dyDescent="0.25">
      <c r="A245" s="19">
        <f t="shared" si="19"/>
        <v>118</v>
      </c>
      <c r="B245" s="19" t="str">
        <f>IF(N243="","",N243)</f>
        <v>B2621</v>
      </c>
      <c r="C245" s="19" t="str">
        <f>IF(N244="","",N244)</f>
        <v>S2695</v>
      </c>
      <c r="D245" s="19" t="str">
        <f>IF(N246="","",N246)</f>
        <v>K3149</v>
      </c>
      <c r="E245" s="19" t="str">
        <f>IF(N247="","",N247)</f>
        <v>T3923</v>
      </c>
      <c r="J245" s="10"/>
      <c r="K245" s="28"/>
      <c r="L245" s="28"/>
      <c r="M245" s="42" t="str">
        <f>N239</f>
        <v>podwójna mężczyzn J</v>
      </c>
      <c r="O245" s="28"/>
      <c r="P245" s="28"/>
      <c r="Q245" s="43" t="str">
        <f>IF(AU245&gt;0,"",IF(A245=0,"",IF(VLOOKUP(A245,'[2]plan gier'!A$1:S$65536,19,FALSE)="","",VLOOKUP(A245,'[2]plan gier'!A$1:S$65536,19,FALSE))))</f>
        <v/>
      </c>
      <c r="R245" s="44" t="s">
        <v>17</v>
      </c>
      <c r="S245" s="146">
        <v>118</v>
      </c>
      <c r="T245" s="241">
        <v>3</v>
      </c>
      <c r="U245" s="244" t="str">
        <f>IF(AND(N246&lt;&gt;"",N247&lt;&gt;""),CONCATENATE(VLOOKUP(N246,[2]zawodnicy!$A$1:$E$65536,1,FALSE)," ",VLOOKUP(N246,[2]zawodnicy!$A$1:$E$65536,2,FALSE)," ",VLOOKUP(N246,[2]zawodnicy!$A$1:$E$65536,3,FALSE)," - ",VLOOKUP(N246,[2]zawodnicy!$A$1:$E$65536,4,FALSE)),"")</f>
        <v>K3149 Dominik KRZĘCIO - AZSWAT Warszawa</v>
      </c>
      <c r="V245" s="245"/>
      <c r="W245" s="246"/>
      <c r="X245" s="46" t="str">
        <f>IF(SUM(AO242:AP242)=0,"",AP242&amp;":"&amp;AO242)</f>
        <v>25:23</v>
      </c>
      <c r="Y245" s="83" t="str">
        <f>IF(SUM(AO245:AP245)=0,"",AP245&amp;":"&amp;AO245)</f>
        <v>11:21</v>
      </c>
      <c r="Z245" s="47"/>
      <c r="AA245" s="48" t="str">
        <f>IF(SUM(AO246:AP246)=0,"",AO246&amp;":"&amp;AP246)</f>
        <v>21:19</v>
      </c>
      <c r="AB245" s="241" t="str">
        <f>IF(SUM(AW244:AZ244,BC244:BD244)=0,"",BE244&amp;":"&amp;BF244)</f>
        <v>133:127</v>
      </c>
      <c r="AC245" s="250" t="str">
        <f>IF(SUM(AW244:AZ244,BC244:BD244)=0,"",BG244&amp;":"&amp;BH244)</f>
        <v>4:3</v>
      </c>
      <c r="AD245" s="250" t="str">
        <f>IF(SUM(AW244:AZ244,BC244:BD244)=0,"",BI244&amp;":"&amp;BJ244)</f>
        <v>2:1</v>
      </c>
      <c r="AE245" s="253">
        <f>IF(SUM(BI242:BI245)&gt;0,BK244,"")</f>
        <v>2</v>
      </c>
      <c r="AF245" s="12"/>
      <c r="AG245" s="12"/>
      <c r="AH245" s="44" t="s">
        <v>17</v>
      </c>
      <c r="AI245" s="49">
        <f>IF(ISBLANK(S245),"",VLOOKUP(S245,'[2]plan gier'!$X$1:$AN$65536,12,FALSE))</f>
        <v>21</v>
      </c>
      <c r="AJ245" s="50">
        <f>IF(ISBLANK(S245),"",VLOOKUP(S245,'[2]plan gier'!$X$1:$AN$65536,13,FALSE))</f>
        <v>11</v>
      </c>
      <c r="AK245" s="50">
        <f>IF(ISBLANK(S245),"",VLOOKUP(S245,'[2]plan gier'!$X$1:$AN$65536,14,FALSE))</f>
        <v>21</v>
      </c>
      <c r="AL245" s="50">
        <f>IF(ISBLANK(S245),"",VLOOKUP(S245,'[2]plan gier'!$X$1:$AN$65536,15,FALSE))</f>
        <v>16</v>
      </c>
      <c r="AM245" s="50">
        <f>IF(ISBLANK(S245),"",VLOOKUP(S245,'[2]plan gier'!$X$1:$AN$65536,16,FALSE))</f>
        <v>0</v>
      </c>
      <c r="AN245" s="50">
        <f>IF(ISBLANK(S245),"",VLOOKUP(S245,'[2]plan gier'!$X$1:$AN$65536,17,FALSE))</f>
        <v>0</v>
      </c>
      <c r="AO245" s="63">
        <f t="shared" si="20"/>
        <v>21</v>
      </c>
      <c r="AP245" s="64">
        <f t="shared" si="20"/>
        <v>11</v>
      </c>
      <c r="AQ245" s="64">
        <f t="shared" si="20"/>
        <v>21</v>
      </c>
      <c r="AR245" s="64">
        <f t="shared" si="20"/>
        <v>16</v>
      </c>
      <c r="AS245" s="64">
        <f t="shared" si="20"/>
        <v>0</v>
      </c>
      <c r="AT245" s="69">
        <f t="shared" si="20"/>
        <v>0</v>
      </c>
      <c r="AU245" s="149">
        <f t="shared" si="21"/>
        <v>69</v>
      </c>
      <c r="AV245" s="5">
        <v>4</v>
      </c>
      <c r="AW245" s="161">
        <f>IF(AI244&lt;AJ244,1,0)+IF(AK244&lt;AL244,1,0)+IF(AM244&lt;AN244,1,0)</f>
        <v>0</v>
      </c>
      <c r="AX245" s="162">
        <f>BC242</f>
        <v>2</v>
      </c>
      <c r="AY245" s="162">
        <f>IF(AI243&lt;AJ243,1,0)+IF(AK243&lt;AL243,1,0)+IF(AM243&lt;AN243,1,0)</f>
        <v>0</v>
      </c>
      <c r="AZ245" s="162">
        <f>BC243</f>
        <v>2</v>
      </c>
      <c r="BA245" s="75">
        <f>IF(AI246&lt;AJ246,1,0)+IF(AK246&lt;AL246,1,0)+IF(AM246&lt;AN246,1,0)</f>
        <v>0</v>
      </c>
      <c r="BB245" s="75">
        <f>BC244</f>
        <v>2</v>
      </c>
      <c r="BC245" s="163"/>
      <c r="BD245" s="164"/>
      <c r="BE245" s="74">
        <f>AP243+AR243+AT243+AP244+AR244+AT244+AP246+AR246+AT246</f>
        <v>84</v>
      </c>
      <c r="BF245" s="81">
        <f>AO243+AQ243+AS243+AO244+AQ244+AS244+AO246+AQ246+AS246</f>
        <v>126</v>
      </c>
      <c r="BG245" s="74">
        <f>AW245+AY245+BA245</f>
        <v>0</v>
      </c>
      <c r="BH245" s="80">
        <f>AX245+AZ245+BB245</f>
        <v>6</v>
      </c>
      <c r="BI245" s="74">
        <f>IF(AW245&gt;AX245,1,0)+IF(AY245&gt;AZ245,1,0)+IF(BA245&gt;BB245,1,0)</f>
        <v>0</v>
      </c>
      <c r="BJ245" s="80">
        <f>IF(AX245&gt;AW245,1,0)+IF(AZ245&gt;AY245,1,0)+IF(BB245&gt;BA245,1,0)</f>
        <v>3</v>
      </c>
      <c r="BK245" s="82">
        <f>IF(BI245+BJ245=0,"",IF(BL245=MAX(BL242:BL245),1,IF(BL245=LARGE(BL242:BL245,2),2,IF(BL245=MIN(BL242:BL245),4,3))))</f>
        <v>4</v>
      </c>
      <c r="BL245" s="60">
        <f>IF(BI245+BJ245&lt;&gt;0,BI245+1+(BG245-BH245)/100+(BE245-BF245)/100000+(BE245/BF245)/1000000,0)</f>
        <v>0.93958066666666662</v>
      </c>
    </row>
    <row r="246" spans="1:64" ht="11.45" customHeight="1" x14ac:dyDescent="0.2">
      <c r="A246" s="19">
        <f t="shared" si="19"/>
        <v>182</v>
      </c>
      <c r="B246" s="19" t="str">
        <f>IF(N246="","",N246)</f>
        <v>K3149</v>
      </c>
      <c r="C246" s="19" t="str">
        <f>IF(N247="","",N247)</f>
        <v>T3923</v>
      </c>
      <c r="D246" s="19" t="str">
        <f>IF(N249="","",N249)</f>
        <v>R3804</v>
      </c>
      <c r="E246" s="19" t="str">
        <f>IF(N250="","",N250)</f>
        <v>W3805</v>
      </c>
      <c r="H246" s="10"/>
      <c r="I246" s="2" t="str">
        <f>"4"&amp;O238&amp;N239</f>
        <v>42podwójna mężczyzn J</v>
      </c>
      <c r="J246" s="10" t="str">
        <f>IF(AE248="","",IF(AE239=4,N240,IF(AE242=4,N243,IF(AE245=4,N246,IF(AE248=4,N249,"")))))</f>
        <v>R3804</v>
      </c>
      <c r="K246" s="10" t="str">
        <f>IF(AE248="","",IF(AE239=4,N241,IF(AE242=4,N244,IF(AE245=4,N247,IF(AE248=4,N250,"")))))</f>
        <v>W3805</v>
      </c>
      <c r="L246" s="10"/>
      <c r="M246" s="42" t="str">
        <f>N239</f>
        <v>podwójna mężczyzn J</v>
      </c>
      <c r="N246" s="33" t="s">
        <v>71</v>
      </c>
      <c r="O246" s="34">
        <f>IF(O238&gt;0,(O238&amp;3)*1,"")</f>
        <v>23</v>
      </c>
      <c r="Q246" s="43" t="str">
        <f>IF(AU246&gt;0,"",IF(A246=0,"",IF(VLOOKUP(A246,'[2]plan gier'!A$1:S$65536,19,FALSE)="","",VLOOKUP(A246,'[2]plan gier'!A$1:S$65536,19,FALSE))))</f>
        <v/>
      </c>
      <c r="R246" s="44" t="s">
        <v>69</v>
      </c>
      <c r="S246" s="146">
        <v>182</v>
      </c>
      <c r="T246" s="242"/>
      <c r="U246" s="244" t="str">
        <f>IF(AND(N246&lt;&gt;"",N247=""),CONCATENATE(VLOOKUP(N246,[2]zawodnicy!$A$1:$E$65536,1,FALSE)," ",VLOOKUP(N246,[2]zawodnicy!$A$1:$E$65536,2,FALSE)," ",VLOOKUP(N246,[2]zawodnicy!$A$1:$E$65536,3,FALSE)," - ",VLOOKUP(N246,[2]zawodnicy!$A$1:$E$65536,4,FALSE)),"")</f>
        <v/>
      </c>
      <c r="V246" s="245"/>
      <c r="W246" s="246"/>
      <c r="X246" s="61" t="str">
        <f>IF(SUM(AQ242:AR242)=0,"",AR242&amp;":"&amp;AQ242)</f>
        <v>18:21</v>
      </c>
      <c r="Y246" s="36" t="str">
        <f>IF(SUM(AQ245:AR245)=0,"",AR245&amp;":"&amp;AQ245)</f>
        <v>16:21</v>
      </c>
      <c r="Z246" s="62"/>
      <c r="AA246" s="37" t="str">
        <f>IF(SUM(AQ246:AR246)=0,"",AQ246&amp;":"&amp;AR246)</f>
        <v>21:12</v>
      </c>
      <c r="AB246" s="242"/>
      <c r="AC246" s="251"/>
      <c r="AD246" s="251"/>
      <c r="AE246" s="254"/>
      <c r="AF246" s="12"/>
      <c r="AG246" s="12"/>
      <c r="AH246" s="44" t="s">
        <v>69</v>
      </c>
      <c r="AI246" s="49">
        <f>IF(ISBLANK(S246),"",VLOOKUP(S246,'[2]plan gier'!$X$1:$AN$65536,12,FALSE))</f>
        <v>21</v>
      </c>
      <c r="AJ246" s="50">
        <f>IF(ISBLANK(S246),"",VLOOKUP(S246,'[2]plan gier'!$X$1:$AN$65536,13,FALSE))</f>
        <v>19</v>
      </c>
      <c r="AK246" s="50">
        <f>IF(ISBLANK(S246),"",VLOOKUP(S246,'[2]plan gier'!$X$1:$AN$65536,14,FALSE))</f>
        <v>21</v>
      </c>
      <c r="AL246" s="50">
        <f>IF(ISBLANK(S246),"",VLOOKUP(S246,'[2]plan gier'!$X$1:$AN$65536,15,FALSE))</f>
        <v>12</v>
      </c>
      <c r="AM246" s="50">
        <f>IF(ISBLANK(S246),"",VLOOKUP(S246,'[2]plan gier'!$X$1:$AN$65536,16,FALSE))</f>
        <v>0</v>
      </c>
      <c r="AN246" s="50">
        <f>IF(ISBLANK(S246),"",VLOOKUP(S246,'[2]plan gier'!$X$1:$AN$65536,17,FALSE))</f>
        <v>0</v>
      </c>
      <c r="AO246" s="63">
        <f t="shared" si="20"/>
        <v>21</v>
      </c>
      <c r="AP246" s="64">
        <f t="shared" si="20"/>
        <v>19</v>
      </c>
      <c r="AQ246" s="64">
        <f t="shared" si="20"/>
        <v>21</v>
      </c>
      <c r="AR246" s="64">
        <f t="shared" si="20"/>
        <v>12</v>
      </c>
      <c r="AS246" s="64">
        <f t="shared" si="20"/>
        <v>0</v>
      </c>
      <c r="AT246" s="69">
        <f t="shared" si="20"/>
        <v>0</v>
      </c>
      <c r="AU246" s="149">
        <f t="shared" si="21"/>
        <v>73</v>
      </c>
      <c r="BE246" s="19">
        <f t="shared" ref="BE246:BJ246" si="22">SUM(BE242:BE245)</f>
        <v>466</v>
      </c>
      <c r="BF246" s="19">
        <f t="shared" si="22"/>
        <v>466</v>
      </c>
      <c r="BG246" s="19">
        <f t="shared" si="22"/>
        <v>13</v>
      </c>
      <c r="BH246" s="19">
        <f t="shared" si="22"/>
        <v>13</v>
      </c>
      <c r="BI246" s="19">
        <f t="shared" si="22"/>
        <v>6</v>
      </c>
      <c r="BJ246" s="19">
        <f t="shared" si="22"/>
        <v>6</v>
      </c>
      <c r="BK246" s="19"/>
      <c r="BL246" s="20"/>
    </row>
    <row r="247" spans="1:64" ht="11.45" customHeight="1" thickBot="1" x14ac:dyDescent="0.25">
      <c r="A247" s="19">
        <f t="shared" si="19"/>
        <v>183</v>
      </c>
      <c r="B247" s="19" t="str">
        <f>IF(N240="","",N240)</f>
        <v>P3934</v>
      </c>
      <c r="C247" s="19" t="str">
        <f>IF(N241="","",N241)</f>
        <v>S3245</v>
      </c>
      <c r="D247" s="19" t="str">
        <f>IF(N243="","",N243)</f>
        <v>B2621</v>
      </c>
      <c r="E247" s="19" t="str">
        <f>IF(N244="","",N244)</f>
        <v>S2695</v>
      </c>
      <c r="J247" s="28"/>
      <c r="K247" s="28"/>
      <c r="L247" s="28"/>
      <c r="M247" s="42" t="str">
        <f>N239</f>
        <v>podwójna mężczyzn J</v>
      </c>
      <c r="N247" s="38" t="s">
        <v>72</v>
      </c>
      <c r="O247" s="28"/>
      <c r="P247" s="28"/>
      <c r="Q247" s="43" t="str">
        <f>IF(AU247&gt;0,"",IF(A247=0,"",IF(VLOOKUP(A247,'[2]plan gier'!A$1:S$65536,19,FALSE)="","",VLOOKUP(A247,'[2]plan gier'!A$1:S$65536,19,FALSE))))</f>
        <v/>
      </c>
      <c r="R247" s="44" t="s">
        <v>18</v>
      </c>
      <c r="S247" s="146">
        <v>183</v>
      </c>
      <c r="T247" s="261"/>
      <c r="U247" s="265" t="str">
        <f>IF(N247&lt;&gt;"",CONCATENATE(VLOOKUP(N247,[2]zawodnicy!$A$1:$E$65536,1,FALSE)," ",VLOOKUP(N247,[2]zawodnicy!$A$1:$E$65536,2,FALSE)," ",VLOOKUP(N247,[2]zawodnicy!$A$1:$E$65536,3,FALSE)," - ",VLOOKUP(N247,[2]zawodnicy!$A$1:$E$65536,4,FALSE)),"")</f>
        <v>T3923 Paweł TOMASZEWSKI - MKS Orlicz Suchedniów</v>
      </c>
      <c r="V247" s="266"/>
      <c r="W247" s="267"/>
      <c r="X247" s="73" t="str">
        <f>IF(SUM(AS242:AT242)=0,"",AT242&amp;":"&amp;AS242)</f>
        <v>21:10</v>
      </c>
      <c r="Y247" s="39" t="str">
        <f>IF(SUM(AS245:AT245)=0,"",AT245&amp;":"&amp;AS245)</f>
        <v/>
      </c>
      <c r="Z247" s="62"/>
      <c r="AA247" s="40" t="str">
        <f>IF(SUM(AS246:AT246)=0,"",AS246&amp;":"&amp;AT246)</f>
        <v/>
      </c>
      <c r="AB247" s="242"/>
      <c r="AC247" s="251"/>
      <c r="AD247" s="251"/>
      <c r="AE247" s="254"/>
      <c r="AF247" s="12"/>
      <c r="AG247" s="12"/>
      <c r="AH247" s="44" t="s">
        <v>18</v>
      </c>
      <c r="AI247" s="161">
        <f>IF(ISBLANK(S247),"",VLOOKUP(S247,'[2]plan gier'!$X$1:$AN$65536,12,FALSE))</f>
        <v>17</v>
      </c>
      <c r="AJ247" s="162">
        <f>IF(ISBLANK(S247),"",VLOOKUP(S247,'[2]plan gier'!$X$1:$AN$65536,13,FALSE))</f>
        <v>21</v>
      </c>
      <c r="AK247" s="162">
        <f>IF(ISBLANK(S247),"",VLOOKUP(S247,'[2]plan gier'!$X$1:$AN$65536,14,FALSE))</f>
        <v>10</v>
      </c>
      <c r="AL247" s="162">
        <f>IF(ISBLANK(S247),"",VLOOKUP(S247,'[2]plan gier'!$X$1:$AN$65536,15,FALSE))</f>
        <v>21</v>
      </c>
      <c r="AM247" s="162">
        <f>IF(ISBLANK(S247),"",VLOOKUP(S247,'[2]plan gier'!$X$1:$AN$65536,16,FALSE))</f>
        <v>0</v>
      </c>
      <c r="AN247" s="162">
        <f>IF(ISBLANK(S247),"",VLOOKUP(S247,'[2]plan gier'!$X$1:$AN$65536,17,FALSE))</f>
        <v>0</v>
      </c>
      <c r="AO247" s="74">
        <f t="shared" si="20"/>
        <v>17</v>
      </c>
      <c r="AP247" s="75">
        <f t="shared" si="20"/>
        <v>21</v>
      </c>
      <c r="AQ247" s="75">
        <f t="shared" si="20"/>
        <v>10</v>
      </c>
      <c r="AR247" s="75">
        <f t="shared" si="20"/>
        <v>21</v>
      </c>
      <c r="AS247" s="75">
        <f t="shared" si="20"/>
        <v>0</v>
      </c>
      <c r="AT247" s="80">
        <f t="shared" si="20"/>
        <v>0</v>
      </c>
      <c r="AU247" s="149">
        <f t="shared" si="21"/>
        <v>69</v>
      </c>
      <c r="BK247" s="19"/>
      <c r="BL247" s="20"/>
    </row>
    <row r="248" spans="1:64" ht="11.45" customHeight="1" x14ac:dyDescent="0.2">
      <c r="A248" s="2"/>
      <c r="J248" s="28"/>
      <c r="K248" s="28"/>
      <c r="L248" s="28"/>
      <c r="O248" s="28"/>
      <c r="P248" s="28"/>
      <c r="Q248" s="2"/>
      <c r="R248" s="2"/>
      <c r="S248" s="2"/>
      <c r="T248" s="241">
        <v>4</v>
      </c>
      <c r="U248" s="244" t="str">
        <f>IF(AND(N249&lt;&gt;"",N250&lt;&gt;""),CONCATENATE(VLOOKUP(N249,[2]zawodnicy!$A$1:$E$65536,1,FALSE)," ",VLOOKUP(N249,[2]zawodnicy!$A$1:$E$65536,2,FALSE)," ",VLOOKUP(N249,[2]zawodnicy!$A$1:$E$65536,3,FALSE)," - ",VLOOKUP(N249,[2]zawodnicy!$A$1:$E$65536,4,FALSE)),"")</f>
        <v>R3804 Sebastian REGEŃCZUK - KS Match Point Ślęza</v>
      </c>
      <c r="V248" s="245"/>
      <c r="W248" s="246"/>
      <c r="X248" s="46" t="str">
        <f>IF(SUM(AO244:AP244)=0,"",AP244&amp;":"&amp;AO244)</f>
        <v>19:21</v>
      </c>
      <c r="Y248" s="83" t="str">
        <f>IF(SUM(AO243:AP243)=0,"",AP243&amp;":"&amp;AO243)</f>
        <v>10:21</v>
      </c>
      <c r="Z248" s="83" t="str">
        <f>IF(SUM(AO246:AP246)=0,"",AP246&amp;":"&amp;AO246)</f>
        <v>19:21</v>
      </c>
      <c r="AA248" s="165"/>
      <c r="AB248" s="241" t="str">
        <f>IF(SUM(AW245:BB245)=0,"",BE245&amp;":"&amp;BF245)</f>
        <v>84:126</v>
      </c>
      <c r="AC248" s="250" t="str">
        <f>IF(SUM(AW245:BB245)=0,"",BG245&amp;":"&amp;BH245)</f>
        <v>0:6</v>
      </c>
      <c r="AD248" s="250" t="str">
        <f>IF(SUM(AW245:BB245)=0,"",BI245&amp;":"&amp;BJ245)</f>
        <v>0:3</v>
      </c>
      <c r="AE248" s="253">
        <f>IF(SUM(BI242:BI245)&gt;0,BK245,"")</f>
        <v>4</v>
      </c>
      <c r="AF248" s="12"/>
      <c r="AG248" s="12"/>
      <c r="AH248" s="2"/>
      <c r="AI248" s="2"/>
      <c r="AJ248" s="2"/>
      <c r="AK248" s="2"/>
      <c r="AL248" s="2"/>
      <c r="AM248" s="2"/>
      <c r="AN248" s="2"/>
      <c r="AO248" s="2"/>
      <c r="AP248" s="2"/>
      <c r="AQ248" s="2"/>
      <c r="AR248" s="2"/>
      <c r="AS248" s="2"/>
      <c r="AT248" s="2"/>
      <c r="AU248" s="2"/>
      <c r="BK248" s="19"/>
      <c r="BL248" s="20"/>
    </row>
    <row r="249" spans="1:64" ht="11.45" customHeight="1" x14ac:dyDescent="0.2">
      <c r="A249" s="19"/>
      <c r="B249" s="19"/>
      <c r="C249" s="19"/>
      <c r="D249" s="19"/>
      <c r="E249" s="19"/>
      <c r="H249" s="10"/>
      <c r="J249" s="19"/>
      <c r="K249" s="19"/>
      <c r="L249" s="19"/>
      <c r="N249" s="33" t="s">
        <v>52</v>
      </c>
      <c r="O249" s="34">
        <f>IF(O238&gt;0,(O238&amp;4)*1,"")</f>
        <v>24</v>
      </c>
      <c r="Q249" s="85"/>
      <c r="R249" s="85"/>
      <c r="S249" s="85"/>
      <c r="T249" s="242"/>
      <c r="U249" s="244" t="str">
        <f>IF(AND(N249&lt;&gt;"",N250=""),CONCATENATE(VLOOKUP(N249,[2]zawodnicy!$A$1:$E$65536,1,FALSE)," ",VLOOKUP(N249,[2]zawodnicy!$A$1:$E$65536,2,FALSE)," ",VLOOKUP(N249,[2]zawodnicy!$A$1:$E$65536,3,FALSE)," - ",VLOOKUP(N249,[2]zawodnicy!$A$1:$E$65536,4,FALSE)),"")</f>
        <v/>
      </c>
      <c r="V249" s="245"/>
      <c r="W249" s="246"/>
      <c r="X249" s="61" t="str">
        <f>IF(SUM(AQ244:AR244)=0,"",AR244&amp;":"&amp;AQ244)</f>
        <v>17:21</v>
      </c>
      <c r="Y249" s="36" t="str">
        <f>IF(SUM(AQ243:AR243)=0,"",AR243&amp;":"&amp;AQ243)</f>
        <v>7:21</v>
      </c>
      <c r="Z249" s="36" t="str">
        <f>IF(SUM(AQ246:AR246)=0,"",AR246&amp;":"&amp;AQ246)</f>
        <v>12:21</v>
      </c>
      <c r="AA249" s="166"/>
      <c r="AB249" s="242"/>
      <c r="AC249" s="251"/>
      <c r="AD249" s="251"/>
      <c r="AE249" s="254"/>
      <c r="AF249" s="12"/>
      <c r="AG249" s="1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row>
    <row r="250" spans="1:64" ht="11.45" customHeight="1" thickBot="1" x14ac:dyDescent="0.25">
      <c r="A250" s="2"/>
      <c r="J250" s="28"/>
      <c r="K250" s="28"/>
      <c r="L250" s="28"/>
      <c r="N250" s="38" t="s">
        <v>40</v>
      </c>
      <c r="O250" s="28"/>
      <c r="P250" s="28"/>
      <c r="Q250" s="2"/>
      <c r="R250" s="2"/>
      <c r="S250" s="2"/>
      <c r="T250" s="243"/>
      <c r="U250" s="256" t="str">
        <f>IF(N250&lt;&gt;"",CONCATENATE(VLOOKUP(N250,[2]zawodnicy!$A$1:$E$65536,1,FALSE)," ",VLOOKUP(N250,[2]zawodnicy!$A$1:$E$65536,2,FALSE)," ",VLOOKUP(N250,[2]zawodnicy!$A$1:$E$65536,3,FALSE)," - ",VLOOKUP(N250,[2]zawodnicy!$A$1:$E$65536,4,FALSE)),"")</f>
        <v>W3805 Jan WOLAŃCZYK - KS Match Point Ślęza</v>
      </c>
      <c r="V250" s="257"/>
      <c r="W250" s="258"/>
      <c r="X250" s="87" t="str">
        <f>IF(SUM(AS244:AT244)=0,"",AT244&amp;":"&amp;AS244)</f>
        <v/>
      </c>
      <c r="Y250" s="88" t="str">
        <f>IF(SUM(AS243:AT243)=0,"",AT243&amp;":"&amp;AS243)</f>
        <v/>
      </c>
      <c r="Z250" s="88" t="str">
        <f>IF(SUM(AS246:AT246)=0,"",AT246&amp;":"&amp;AS246)</f>
        <v/>
      </c>
      <c r="AA250" s="89"/>
      <c r="AB250" s="243"/>
      <c r="AC250" s="252"/>
      <c r="AD250" s="252"/>
      <c r="AE250" s="255"/>
      <c r="AF250" s="12"/>
      <c r="AG250" s="1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row>
    <row r="251" spans="1:64" ht="5.0999999999999996" customHeight="1" x14ac:dyDescent="0.2">
      <c r="BK251" s="19"/>
      <c r="BL251" s="20"/>
    </row>
    <row r="253" spans="1:64" ht="11.45" customHeight="1" x14ac:dyDescent="0.2">
      <c r="J253" s="2"/>
      <c r="K253" s="2"/>
      <c r="L253" s="2"/>
      <c r="M253" s="95"/>
      <c r="N253" s="167">
        <v>1</v>
      </c>
      <c r="O253" s="98"/>
      <c r="P253" s="98"/>
      <c r="Q253" s="1"/>
      <c r="R253" s="1"/>
      <c r="S253" s="1"/>
      <c r="T253" s="229"/>
      <c r="U253" s="229"/>
      <c r="V253" s="229"/>
      <c r="W253" s="229"/>
      <c r="X253" s="229"/>
      <c r="Y253" s="229"/>
      <c r="Z253" s="229"/>
      <c r="AA253" s="114"/>
      <c r="AB253" s="114"/>
      <c r="AC253" s="114"/>
      <c r="AD253" s="114"/>
      <c r="AE253" s="114"/>
      <c r="AF253" s="114"/>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row>
    <row r="254" spans="1:64" ht="11.45" customHeight="1" x14ac:dyDescent="0.2">
      <c r="J254" s="2"/>
      <c r="K254" s="2"/>
      <c r="L254" s="2"/>
      <c r="N254" s="99" t="s">
        <v>62</v>
      </c>
      <c r="P254" s="98"/>
      <c r="Q254" s="1"/>
      <c r="R254" s="1"/>
      <c r="S254" s="1"/>
      <c r="T254" s="1"/>
      <c r="U254" s="1"/>
      <c r="V254" s="101"/>
      <c r="W254" s="101"/>
      <c r="X254" s="101"/>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row>
    <row r="255" spans="1:64" ht="11.45" customHeight="1" x14ac:dyDescent="0.2">
      <c r="J255" s="2"/>
      <c r="K255" s="2"/>
      <c r="L255" s="2"/>
      <c r="M255" s="95"/>
      <c r="N255" s="119"/>
      <c r="O255" s="120">
        <v>1</v>
      </c>
      <c r="P255" s="121"/>
      <c r="Q255" s="113">
        <f>O255</f>
        <v>1</v>
      </c>
      <c r="R255" s="113"/>
      <c r="S255" s="113"/>
      <c r="T255" s="234" t="str">
        <f>UPPER(IF(O255="","",IF(ISTEXT(N255),N255,IF(AND(N253&gt;0,O255&gt;0),VLOOKUP(N253&amp;O255&amp;N254,I:K,2,FALSE),""))))</f>
        <v>K3935</v>
      </c>
      <c r="U255" s="235"/>
      <c r="V255" s="122" t="str">
        <f>IF(T255&lt;&gt;"",CONCATENATE(VLOOKUP(T255,[2]zawodnicy!$A$1:$E$65536,2,FALSE)," ",VLOOKUP(T255,[2]zawodnicy!$A$1:$E$65536,3,FALSE)," - ",VLOOKUP(T255,[2]zawodnicy!$A$1:$E$65536,4,FALSE)),"")</f>
        <v>Michał KAŹMIERCZAK - UKS Feniks Kędzierzyn-Koźle</v>
      </c>
      <c r="W255" s="123"/>
      <c r="X255" s="228" t="str">
        <f>IF(F256="","",VLOOKUP(F256,[2]zawodnicy!$A$1:$D$65536,3,FALSE))</f>
        <v>BIERNACKI</v>
      </c>
      <c r="Y255" s="229"/>
      <c r="Z255" s="229"/>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row>
    <row r="256" spans="1:64" ht="11.45" customHeight="1" x14ac:dyDescent="0.2">
      <c r="A256" s="102">
        <f>W256</f>
        <v>239</v>
      </c>
      <c r="B256" s="2" t="str">
        <f>IF(TYPE(T255)=16,"",T255)</f>
        <v>K3935</v>
      </c>
      <c r="C256" s="2" t="str">
        <f>IF(TYPE(T256)=16,"",T256)</f>
        <v>S3502</v>
      </c>
      <c r="D256" s="2" t="str">
        <f>IF(TYPE(T257)=16,"",T257)</f>
        <v>B2621</v>
      </c>
      <c r="E256" s="2" t="str">
        <f>IF(TYPE(T258)=16,"",T258)</f>
        <v>S2695</v>
      </c>
      <c r="F256" s="2" t="str">
        <f>IF(A256=0,IF(AND(LEN(B256)&gt;1,LEN(D256)=0),VLOOKUP(B256,[2]zawodnicy!$A$1:$E$65536,1,FALSE),IF(AND(LEN(D256)&gt;1,LEN(B256)=0),VLOOKUP(D256,[2]zawodnicy!$A$1:$E$65536,1,FALSE),"")),IF((VLOOKUP(A256,'[2]plan gier'!$X$1:$AF$65536,7,FALSE))="","",VLOOKUP(VLOOKUP(A256,'[2]plan gier'!$X$1:$AF$65536,7,FALSE),[2]zawodnicy!$A$1:$E$65536,1,FALSE)))</f>
        <v>B2621</v>
      </c>
      <c r="G256" s="2" t="str">
        <f>IF(A256=0,IF(AND(LEN(C256)&gt;1,LEN(E256)=0),VLOOKUP(C256,[2]zawodnicy!$A$1:$E$65536,1,FALSE),IF(AND(LEN(E256)&gt;1,LEN(C256)=0),VLOOKUP(E256,[2]zawodnicy!$A$1:$E$65536,1,FALSE),"")),IF((VLOOKUP(A256,'[2]plan gier'!$X$1:$AF$65536,8,FALSE))="","",VLOOKUP(VLOOKUP(A256,'[2]plan gier'!$X$1:$AF$65536,8,FALSE),[2]zawodnicy!$A$1:$E$65536,1,FALSE)))</f>
        <v>S2695</v>
      </c>
      <c r="H256" s="2" t="str">
        <f>IF(A256=0,"",IF((VLOOKUP(A256,'[2]plan gier'!$X$1:$AF$65536,7,FALSE))="","",VLOOKUP(A256,'[2]plan gier'!$X$1:$AF$65536,9,FALSE)))</f>
        <v>21:17,21:19</v>
      </c>
      <c r="L256" s="124" t="str">
        <f>IF(A256=0,"",IF(VLOOKUP(A256,'[2]plan gier'!A$1:S$65536,19,FALSE)="","",VLOOKUP(A256,'[2]plan gier'!A$1:S$65536,19,FALSE)))</f>
        <v>nie 11:30</v>
      </c>
      <c r="M256" s="2" t="str">
        <f>N254</f>
        <v>podwójna mężczyzn J</v>
      </c>
      <c r="N256" s="125"/>
      <c r="O256" s="121"/>
      <c r="P256" s="121"/>
      <c r="Q256" s="114"/>
      <c r="R256" s="114"/>
      <c r="S256" s="114"/>
      <c r="T256" s="224" t="str">
        <f>UPPER(IF(O255="","",IF(ISTEXT(N256),N256,IF(AND(N253&gt;0,O255&gt;0),VLOOKUP(N253&amp;O255&amp;N254,I:K,3,FALSE),""))))</f>
        <v>S3502</v>
      </c>
      <c r="U256" s="225"/>
      <c r="V256" s="126" t="str">
        <f>IF(T256&lt;&gt;"",CONCATENATE(VLOOKUP(T256,[2]zawodnicy!$A$1:$E$65536,2,FALSE)," ",VLOOKUP(T256,[2]zawodnicy!$A$1:$E$65536,3,FALSE)," - ",VLOOKUP(T256,[2]zawodnicy!$A$1:$E$65536,4,FALSE)),"")</f>
        <v>Jakub SMAJDA - UKS Ząbkowice Dąbrowa Górn.</v>
      </c>
      <c r="W256" s="127">
        <v>239</v>
      </c>
      <c r="X256" s="231" t="str">
        <f>IF(G256="","",VLOOKUP(G256,[2]zawodnicy!$A$1:$D$65536,3,FALSE))</f>
        <v>SZYDŁOWSKI</v>
      </c>
      <c r="Y256" s="232"/>
      <c r="Z256" s="23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row>
    <row r="257" spans="1:64" ht="11.45" customHeight="1" x14ac:dyDescent="0.2">
      <c r="J257" s="2"/>
      <c r="K257" s="2"/>
      <c r="L257" s="2"/>
      <c r="M257" s="95"/>
      <c r="N257" s="125"/>
      <c r="O257" s="120">
        <v>2</v>
      </c>
      <c r="P257" s="121"/>
      <c r="Q257" s="113">
        <f>O257</f>
        <v>2</v>
      </c>
      <c r="R257" s="113"/>
      <c r="S257" s="113"/>
      <c r="T257" s="234" t="str">
        <f>UPPER(IF(O257="","",IF(ISTEXT(N257),N257,IF(AND(N253&gt;0,O257&gt;0),VLOOKUP(N253&amp;O257&amp;N254,I:K,2,FALSE),""))))</f>
        <v>B2621</v>
      </c>
      <c r="U257" s="235"/>
      <c r="V257" s="122" t="str">
        <f>IF(T257&lt;&gt;"",CONCATENATE(VLOOKUP(T257,[2]zawodnicy!$A$1:$E$65536,2,FALSE)," ",VLOOKUP(T257,[2]zawodnicy!$A$1:$E$65536,3,FALSE)," - ",VLOOKUP(T257,[2]zawodnicy!$A$1:$E$65536,4,FALSE)),"")</f>
        <v>Mateusz BIERNACKI - UKS Hubal Białystok</v>
      </c>
      <c r="W257" s="128"/>
      <c r="X257" s="236" t="str">
        <f>IF(H256="",L256,H256)</f>
        <v>21:17,21:19</v>
      </c>
      <c r="Y257" s="237"/>
      <c r="Z257" s="237"/>
      <c r="AA257" s="114"/>
      <c r="AB257" s="114"/>
      <c r="AC257" s="114"/>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row>
    <row r="258" spans="1:64" ht="11.45" customHeight="1" x14ac:dyDescent="0.2">
      <c r="A258" s="168"/>
      <c r="B258" s="169"/>
      <c r="C258" s="169"/>
      <c r="D258" s="169"/>
      <c r="E258" s="169"/>
      <c r="F258" s="169"/>
      <c r="G258" s="169"/>
      <c r="H258" s="169"/>
      <c r="I258" s="169"/>
      <c r="M258" s="169"/>
      <c r="N258" s="125"/>
      <c r="O258" s="121"/>
      <c r="P258" s="121"/>
      <c r="Q258" s="114"/>
      <c r="R258" s="114"/>
      <c r="S258" s="114"/>
      <c r="T258" s="224" t="str">
        <f>UPPER(IF(O257="","",IF(ISTEXT(N258),N258,IF(AND(N253&gt;0,O257&gt;0),VLOOKUP(N253&amp;O257&amp;N254,I:K,3,FALSE),""))))</f>
        <v>S2695</v>
      </c>
      <c r="U258" s="225"/>
      <c r="V258" s="126" t="str">
        <f>IF(T258&lt;&gt;"",CONCATENATE(VLOOKUP(T258,[2]zawodnicy!$A$1:$E$65536,2,FALSE)," ",VLOOKUP(T258,[2]zawodnicy!$A$1:$E$65536,3,FALSE)," - ",VLOOKUP(T258,[2]zawodnicy!$A$1:$E$65536,4,FALSE)),"")</f>
        <v>Przemysław SZYDŁOWSKI - LKS Technik Głubczyce</v>
      </c>
      <c r="W258" s="136"/>
      <c r="X258" s="170"/>
      <c r="Y258" s="10"/>
      <c r="Z258" s="137"/>
      <c r="AA258" s="114"/>
      <c r="AB258" s="114"/>
      <c r="AC258" s="114"/>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row>
    <row r="260" spans="1:64" ht="11.45" customHeight="1" x14ac:dyDescent="0.2">
      <c r="M260" s="16"/>
      <c r="N260" s="17" t="s">
        <v>73</v>
      </c>
      <c r="Q260" s="5" t="s">
        <v>55</v>
      </c>
      <c r="R260" s="18"/>
      <c r="S260" s="18"/>
      <c r="T260" s="277" t="str">
        <f>"Gra "&amp;N260</f>
        <v>Gra mieszana J</v>
      </c>
      <c r="U260" s="277"/>
      <c r="V260" s="277"/>
      <c r="W260" s="277"/>
      <c r="X260" s="277"/>
      <c r="Y260" s="277"/>
      <c r="Z260" s="277"/>
      <c r="AA260" s="277"/>
      <c r="AB260" s="277"/>
      <c r="AC260" s="277"/>
      <c r="AD260" s="277"/>
      <c r="AE260" s="18"/>
    </row>
    <row r="261" spans="1:64" ht="11.45" customHeight="1" thickBot="1" x14ac:dyDescent="0.25"/>
    <row r="262" spans="1:64" ht="11.45" customHeight="1" thickBot="1" x14ac:dyDescent="0.25">
      <c r="B262" s="2" t="s">
        <v>63</v>
      </c>
      <c r="N262" s="138"/>
      <c r="O262" s="21">
        <v>1</v>
      </c>
      <c r="Q262" s="277" t="str">
        <f>"Grupa "&amp;O262&amp;"."</f>
        <v>Grupa 1.</v>
      </c>
      <c r="R262" s="277"/>
      <c r="S262" s="277"/>
      <c r="T262" s="22" t="s">
        <v>1</v>
      </c>
      <c r="U262" s="278" t="s">
        <v>2</v>
      </c>
      <c r="V262" s="279"/>
      <c r="W262" s="280"/>
      <c r="X262" s="22">
        <v>1</v>
      </c>
      <c r="Y262" s="139">
        <v>2</v>
      </c>
      <c r="Z262" s="23">
        <v>3</v>
      </c>
      <c r="AA262" s="140">
        <v>4</v>
      </c>
      <c r="AB262" s="141" t="s">
        <v>3</v>
      </c>
      <c r="AC262" s="142" t="s">
        <v>4</v>
      </c>
      <c r="AD262" s="26" t="s">
        <v>5</v>
      </c>
      <c r="AE262" s="143" t="s">
        <v>6</v>
      </c>
      <c r="AF262" s="12"/>
      <c r="AG262" s="12"/>
      <c r="AI262" s="273" t="s">
        <v>9</v>
      </c>
      <c r="AJ262" s="273"/>
      <c r="AK262" s="273"/>
      <c r="AL262" s="273"/>
      <c r="AM262" s="273"/>
      <c r="AN262" s="273"/>
      <c r="AO262" s="273" t="s">
        <v>10</v>
      </c>
      <c r="AP262" s="273"/>
      <c r="AQ262" s="273"/>
      <c r="AR262" s="273"/>
      <c r="AS262" s="273"/>
      <c r="AT262" s="273"/>
      <c r="BK262" s="19"/>
      <c r="BL262" s="20"/>
    </row>
    <row r="263" spans="1:64" ht="11.45" customHeight="1" x14ac:dyDescent="0.2">
      <c r="N263" s="29" t="s">
        <v>73</v>
      </c>
      <c r="Q263" s="274" t="s">
        <v>7</v>
      </c>
      <c r="R263" s="274"/>
      <c r="S263" s="275" t="s">
        <v>8</v>
      </c>
      <c r="T263" s="242">
        <v>1</v>
      </c>
      <c r="U263" s="244" t="str">
        <f>IF(AND(N264&lt;&gt;"",N265&lt;&gt;""),CONCATENATE(VLOOKUP(N264,[2]zawodnicy!$A$1:$E$65536,1,FALSE)," ",VLOOKUP(N264,[2]zawodnicy!$A$1:$E$65536,2,FALSE)," ",VLOOKUP(N264,[2]zawodnicy!$A$1:$E$65536,3,FALSE)," - ",VLOOKUP(N264,[2]zawodnicy!$A$1:$E$65536,4,FALSE)),"")</f>
        <v>W2914 Piotr WASILUK - LUKS Badminton Choroszcz</v>
      </c>
      <c r="V263" s="245"/>
      <c r="W263" s="246"/>
      <c r="X263" s="35"/>
      <c r="Y263" s="36" t="str">
        <f>IF(SUM(AO271:AP271)=0,"",AO271&amp;":"&amp;AP271)</f>
        <v>21:9</v>
      </c>
      <c r="Z263" s="36" t="str">
        <f>IF(SUM(AO266:AP266)=0,"",AO266&amp;":"&amp;AP266)</f>
        <v>21:16</v>
      </c>
      <c r="AA263" s="144" t="str">
        <f>IF(SUM(AO268:AP268)=0,"",AO268&amp;":"&amp;AP268)</f>
        <v>21:15</v>
      </c>
      <c r="AB263" s="242" t="str">
        <f>IF(SUM(AY266:BD266)=0,"",BE266&amp;":"&amp;BF266)</f>
        <v>146:90</v>
      </c>
      <c r="AC263" s="251" t="str">
        <f>IF(SUM(AY266:BD266)=0,"",BG266&amp;":"&amp;BH266)</f>
        <v>6:1</v>
      </c>
      <c r="AD263" s="251" t="str">
        <f>IF(SUM(AY266:BD266)=0,"",BI266&amp;":"&amp;BJ266)</f>
        <v>3:0</v>
      </c>
      <c r="AE263" s="254">
        <f>IF(SUM(BI266:BI269)&gt;0,BK266,"")</f>
        <v>1</v>
      </c>
      <c r="AF263" s="12"/>
      <c r="AG263" s="12"/>
      <c r="BK263" s="19"/>
      <c r="BL263" s="20"/>
    </row>
    <row r="264" spans="1:64" ht="11.45" customHeight="1" thickBot="1" x14ac:dyDescent="0.25">
      <c r="H264" s="10"/>
      <c r="I264" s="2" t="str">
        <f>"1"&amp;O262&amp;N263</f>
        <v>11mieszana J</v>
      </c>
      <c r="J264" s="10" t="str">
        <f>IF(AE263="","",IF(AE263=1,N264,IF(AE266=1,N267,IF(AE269=1,N270,IF(AE272=1,N273,"")))))</f>
        <v>W2914</v>
      </c>
      <c r="K264" s="10" t="str">
        <f>IF(AE263="","",IF(AE263=1,N265,IF(AE266=1,N268,IF(AE269=1,N271,IF(AE272=1,N274,"")))))</f>
        <v>J2971</v>
      </c>
      <c r="L264" s="10"/>
      <c r="N264" s="33" t="s">
        <v>36</v>
      </c>
      <c r="O264" s="34">
        <f>IF(O262&gt;0,(O262&amp;1)*1,"")</f>
        <v>11</v>
      </c>
      <c r="Q264" s="274"/>
      <c r="R264" s="274"/>
      <c r="S264" s="275"/>
      <c r="T264" s="242"/>
      <c r="U264" s="244" t="str">
        <f>IF(AND(N264&lt;&gt;"",N265=""),CONCATENATE(VLOOKUP(N264,[2]zawodnicy!$A$1:$E$65536,1,FALSE)," ",VLOOKUP(N264,[2]zawodnicy!$A$1:$E$65536,2,FALSE)," ",VLOOKUP(N264,[2]zawodnicy!$A$1:$E$65536,3,FALSE)," - ",VLOOKUP(N264,[2]zawodnicy!$A$1:$E$65536,4,FALSE)),"")</f>
        <v/>
      </c>
      <c r="V264" s="245"/>
      <c r="W264" s="246"/>
      <c r="X264" s="35"/>
      <c r="Y264" s="36" t="str">
        <f>IF(SUM(AQ271:AR271)=0,"",AQ271&amp;":"&amp;AR271)</f>
        <v>21:11</v>
      </c>
      <c r="Z264" s="36" t="str">
        <f>IF(SUM(AQ266:AR266)=0,"",AQ266&amp;":"&amp;AR266)</f>
        <v>21:10</v>
      </c>
      <c r="AA264" s="144" t="str">
        <f>IF(SUM(AQ268:AR268)=0,"",AQ268&amp;":"&amp;AR268)</f>
        <v>20:22</v>
      </c>
      <c r="AB264" s="242"/>
      <c r="AC264" s="251"/>
      <c r="AD264" s="251"/>
      <c r="AE264" s="254"/>
      <c r="AF264" s="12"/>
      <c r="AG264" s="12"/>
      <c r="BK264" s="19"/>
      <c r="BL264" s="20"/>
    </row>
    <row r="265" spans="1:64" ht="11.45" customHeight="1" thickBot="1" x14ac:dyDescent="0.25">
      <c r="J265" s="10"/>
      <c r="K265" s="28"/>
      <c r="L265" s="28"/>
      <c r="N265" s="38" t="s">
        <v>11</v>
      </c>
      <c r="O265" s="28"/>
      <c r="P265" s="28"/>
      <c r="Q265" s="274"/>
      <c r="R265" s="274"/>
      <c r="S265" s="275"/>
      <c r="T265" s="261"/>
      <c r="U265" s="265" t="str">
        <f>IF(N265&lt;&gt;"",CONCATENATE(VLOOKUP(N265,[2]zawodnicy!$A$1:$E$65536,1,FALSE)," ",VLOOKUP(N265,[2]zawodnicy!$A$1:$E$65536,2,FALSE)," ",VLOOKUP(N265,[2]zawodnicy!$A$1:$E$65536,3,FALSE)," - ",VLOOKUP(N265,[2]zawodnicy!$A$1:$E$65536,4,FALSE)),"")</f>
        <v>J2971 Karolina JANOWSKA - UKS Hubal Białystok</v>
      </c>
      <c r="V265" s="266"/>
      <c r="W265" s="267"/>
      <c r="X265" s="35"/>
      <c r="Y265" s="39" t="str">
        <f>IF(SUM(AS271:AT271)=0,"",AS271&amp;":"&amp;AT271)</f>
        <v/>
      </c>
      <c r="Z265" s="39" t="str">
        <f>IF(SUM(AS266:AT266)=0,"",AS266&amp;":"&amp;AT266)</f>
        <v/>
      </c>
      <c r="AA265" s="145" t="str">
        <f>IF(SUM(AS268:AT268)=0,"",AS268&amp;":"&amp;AT268)</f>
        <v>21:7</v>
      </c>
      <c r="AB265" s="242"/>
      <c r="AC265" s="251"/>
      <c r="AD265" s="251"/>
      <c r="AE265" s="254"/>
      <c r="AF265" s="12"/>
      <c r="AG265" s="12"/>
      <c r="AI265" s="283" t="s">
        <v>12</v>
      </c>
      <c r="AJ265" s="281"/>
      <c r="AK265" s="281" t="s">
        <v>13</v>
      </c>
      <c r="AL265" s="281"/>
      <c r="AM265" s="281" t="s">
        <v>14</v>
      </c>
      <c r="AN265" s="281"/>
      <c r="AO265" s="283" t="s">
        <v>12</v>
      </c>
      <c r="AP265" s="281"/>
      <c r="AQ265" s="281" t="s">
        <v>13</v>
      </c>
      <c r="AR265" s="281"/>
      <c r="AS265" s="281" t="s">
        <v>14</v>
      </c>
      <c r="AT265" s="282"/>
      <c r="AW265" s="283">
        <v>1</v>
      </c>
      <c r="AX265" s="281"/>
      <c r="AY265" s="281">
        <v>2</v>
      </c>
      <c r="AZ265" s="281"/>
      <c r="BA265" s="281">
        <v>3</v>
      </c>
      <c r="BB265" s="281"/>
      <c r="BC265" s="281">
        <v>4</v>
      </c>
      <c r="BD265" s="282"/>
      <c r="BE265" s="283" t="s">
        <v>3</v>
      </c>
      <c r="BF265" s="282"/>
      <c r="BG265" s="283" t="s">
        <v>4</v>
      </c>
      <c r="BH265" s="282"/>
      <c r="BI265" s="283" t="s">
        <v>5</v>
      </c>
      <c r="BJ265" s="268"/>
      <c r="BK265" s="41" t="s">
        <v>6</v>
      </c>
      <c r="BL265" s="20"/>
    </row>
    <row r="266" spans="1:64" ht="11.45" customHeight="1" x14ac:dyDescent="0.2">
      <c r="A266" s="19">
        <f t="shared" ref="A266:A271" si="23">S266</f>
        <v>39</v>
      </c>
      <c r="B266" s="19" t="str">
        <f>IF(N264="","",N264)</f>
        <v>W2914</v>
      </c>
      <c r="C266" s="19" t="str">
        <f>IF(N265="","",N265)</f>
        <v>J2971</v>
      </c>
      <c r="D266" s="19" t="str">
        <f>IF(N270="","",N270)</f>
        <v>K3935</v>
      </c>
      <c r="E266" s="19" t="str">
        <f>IF(N271="","",N271)</f>
        <v>Ś3664</v>
      </c>
      <c r="H266" s="10"/>
      <c r="I266" s="2" t="str">
        <f>"2"&amp;O262&amp;N263</f>
        <v>21mieszana J</v>
      </c>
      <c r="J266" s="10" t="str">
        <f>IF(AE266="","",IF(AE263=2,N264,IF(AE266=2,N267,IF(AE269=2,N270,IF(AE272=2,N273,"")))))</f>
        <v>P3707</v>
      </c>
      <c r="K266" s="10" t="str">
        <f>IF(AE266="","",IF(AE263=2,N265,IF(AE266=2,N268,IF(AE269=2,N271,IF(AE272=2,N274,"")))))</f>
        <v>M3309</v>
      </c>
      <c r="L266" s="10"/>
      <c r="M266" s="42" t="str">
        <f>N263</f>
        <v>mieszana J</v>
      </c>
      <c r="O266" s="28"/>
      <c r="P266" s="28"/>
      <c r="Q266" s="43" t="str">
        <f>IF(AU266&gt;0,"",IF(A266=0,"",IF(VLOOKUP(A266,'[2]plan gier'!A$1:S$65536,19,FALSE)="","",VLOOKUP(A266,'[2]plan gier'!A$1:S$65536,19,FALSE))))</f>
        <v/>
      </c>
      <c r="R266" s="44" t="s">
        <v>15</v>
      </c>
      <c r="S266" s="146">
        <v>39</v>
      </c>
      <c r="T266" s="241">
        <v>2</v>
      </c>
      <c r="U266" s="244" t="str">
        <f>IF(AND(N267&lt;&gt;"",N268&lt;&gt;""),CONCATENATE(VLOOKUP(N267,[2]zawodnicy!$A$1:$E$65536,1,FALSE)," ",VLOOKUP(N267,[2]zawodnicy!$A$1:$E$65536,2,FALSE)," ",VLOOKUP(N267,[2]zawodnicy!$A$1:$E$65536,3,FALSE)," - ",VLOOKUP(N267,[2]zawodnicy!$A$1:$E$65536,4,FALSE)),"")</f>
        <v>P3707 Bartosz PIEKARZ - UKS Orliki Ropica Polska</v>
      </c>
      <c r="V266" s="245"/>
      <c r="W266" s="246"/>
      <c r="X266" s="46" t="str">
        <f>IF(SUM(AO271:AP271)=0,"",AP271&amp;":"&amp;AO271)</f>
        <v>9:21</v>
      </c>
      <c r="Y266" s="147"/>
      <c r="Z266" s="83" t="str">
        <f>IF(SUM(AO269:AP269)=0,"",AO269&amp;":"&amp;AP269)</f>
        <v>21:19</v>
      </c>
      <c r="AA266" s="48" t="str">
        <f>IF(SUM(AO267:AP267)=0,"",AO267&amp;":"&amp;AP267)</f>
        <v>21:14</v>
      </c>
      <c r="AB266" s="241" t="str">
        <f>IF(SUM(AW267:AX267,BA267:BD267)=0,"",BE267&amp;":"&amp;BF267)</f>
        <v>121:126</v>
      </c>
      <c r="AC266" s="250" t="str">
        <f>IF(SUM(AW267:AX267,BA267:BD267)=0,"",BG267&amp;":"&amp;BH267)</f>
        <v>4:3</v>
      </c>
      <c r="AD266" s="250" t="str">
        <f>IF(SUM(AW267:AX267,BA267:BD267)=0,"",BI267&amp;":"&amp;BJ267)</f>
        <v>2:1</v>
      </c>
      <c r="AE266" s="253">
        <f>IF(SUM(BI266:BI269)&gt;0,BK267,"")</f>
        <v>2</v>
      </c>
      <c r="AF266" s="12"/>
      <c r="AG266" s="12"/>
      <c r="AH266" s="44" t="s">
        <v>15</v>
      </c>
      <c r="AI266" s="148">
        <f>IF(ISBLANK(S266),"",VLOOKUP(S266,'[2]plan gier'!$X$1:$AN$65536,12,FALSE))</f>
        <v>21</v>
      </c>
      <c r="AJ266" s="52">
        <f>IF(ISBLANK(S266),"",VLOOKUP(S266,'[2]plan gier'!$X$1:$AN$65536,13,FALSE))</f>
        <v>16</v>
      </c>
      <c r="AK266" s="52">
        <f>IF(ISBLANK(S266),"",VLOOKUP(S266,'[2]plan gier'!$X$1:$AN$65536,14,FALSE))</f>
        <v>21</v>
      </c>
      <c r="AL266" s="52">
        <f>IF(ISBLANK(S266),"",VLOOKUP(S266,'[2]plan gier'!$X$1:$AN$65536,15,FALSE))</f>
        <v>10</v>
      </c>
      <c r="AM266" s="52">
        <f>IF(ISBLANK(S266),"",VLOOKUP(S266,'[2]plan gier'!$X$1:$AN$65536,16,FALSE))</f>
        <v>0</v>
      </c>
      <c r="AN266" s="52">
        <f>IF(ISBLANK(S266),"",VLOOKUP(S266,'[2]plan gier'!$X$1:$AN$65536,17,FALSE))</f>
        <v>0</v>
      </c>
      <c r="AO266" s="49">
        <f t="shared" ref="AO266:AT271" si="24">IF(AI266="",0,AI266)</f>
        <v>21</v>
      </c>
      <c r="AP266" s="50">
        <f t="shared" si="24"/>
        <v>16</v>
      </c>
      <c r="AQ266" s="50">
        <f t="shared" si="24"/>
        <v>21</v>
      </c>
      <c r="AR266" s="50">
        <f t="shared" si="24"/>
        <v>10</v>
      </c>
      <c r="AS266" s="50">
        <f t="shared" si="24"/>
        <v>0</v>
      </c>
      <c r="AT266" s="57">
        <f t="shared" si="24"/>
        <v>0</v>
      </c>
      <c r="AU266" s="149">
        <f t="shared" ref="AU266:AU271" si="25">SUM(AO266:AT266)</f>
        <v>68</v>
      </c>
      <c r="AV266" s="5">
        <v>1</v>
      </c>
      <c r="AW266" s="284"/>
      <c r="AX266" s="285"/>
      <c r="AY266" s="50">
        <f>IF(AI271&gt;AJ271,1,0)+IF(AK271&gt;AL271,1,0)+IF(AM271&gt;AN271,1,0)</f>
        <v>2</v>
      </c>
      <c r="AZ266" s="50">
        <f>AW267</f>
        <v>0</v>
      </c>
      <c r="BA266" s="50">
        <f>IF(AI266&gt;AJ266,1,0)+IF(AK266&gt;AL266,1,0)+IF(AM266&gt;AN266,1,0)</f>
        <v>2</v>
      </c>
      <c r="BB266" s="52">
        <f>AW268</f>
        <v>0</v>
      </c>
      <c r="BC266" s="150">
        <f>IF(AI268&gt;AJ268,1,0)+IF(AK268&gt;AL268,1,0)+IF(AM268&gt;AN268,1,0)</f>
        <v>2</v>
      </c>
      <c r="BD266" s="58">
        <f>AW269</f>
        <v>1</v>
      </c>
      <c r="BE266" s="148">
        <f>AO266+AQ266+AS266+AO268+AQ268+AS268+AO271+AQ271+AS271</f>
        <v>146</v>
      </c>
      <c r="BF266" s="151">
        <f>AP266+AR266+AT266+AP268+AR268+AT268+AP271+AR271+AT271</f>
        <v>90</v>
      </c>
      <c r="BG266" s="148">
        <f>AY266+BA266+BC266</f>
        <v>6</v>
      </c>
      <c r="BH266" s="152">
        <f>AZ266+BB266+BD266</f>
        <v>1</v>
      </c>
      <c r="BI266" s="148">
        <f>IF(AY266&gt;AZ266,1,0)+IF(BA266&gt;BB266,1,0)+IF(BC266&gt;BD266,1,0)</f>
        <v>3</v>
      </c>
      <c r="BJ266" s="152">
        <f>IF(AZ266&gt;AY266,1,0)+IF(BB266&gt;BA266,1,0)+IF(BD266&gt;BC266,1,0)</f>
        <v>0</v>
      </c>
      <c r="BK266" s="153">
        <f>IF(BI266+BJ266=0,"",IF(BL266=MAX(BL266:BL269),1,IF(BL266=LARGE(BL266:BL269,2),2,IF(BL266=MIN(BL266:BL269),4,3))))</f>
        <v>1</v>
      </c>
      <c r="BL266" s="60">
        <f>IF(BI266+BJ266&lt;&gt;0,BI266+1+(BG266-BH266)/100+(BE266-BF266)/100000+(BE266/BF266)/1000000,0)</f>
        <v>4.0505616222222223</v>
      </c>
    </row>
    <row r="267" spans="1:64" ht="11.45" customHeight="1" x14ac:dyDescent="0.2">
      <c r="A267" s="19">
        <f t="shared" si="23"/>
        <v>40</v>
      </c>
      <c r="B267" s="19" t="str">
        <f>IF(N267="","",N267)</f>
        <v>P3707</v>
      </c>
      <c r="C267" s="19" t="str">
        <f>IF(N268="","",N268)</f>
        <v>M3309</v>
      </c>
      <c r="D267" s="19" t="str">
        <f>IF(N273="","",N273)</f>
        <v>S3365</v>
      </c>
      <c r="E267" s="19" t="str">
        <f>IF(N274="","",N274)</f>
        <v>P2838</v>
      </c>
      <c r="J267" s="10"/>
      <c r="K267" s="19"/>
      <c r="L267" s="19"/>
      <c r="M267" s="42" t="str">
        <f>N263</f>
        <v>mieszana J</v>
      </c>
      <c r="N267" s="33" t="s">
        <v>53</v>
      </c>
      <c r="O267" s="34">
        <f>IF(O262&gt;0,(O262&amp;2)*1,"")</f>
        <v>12</v>
      </c>
      <c r="Q267" s="43" t="str">
        <f>IF(AU267&gt;0,"",IF(A267=0,"",IF(VLOOKUP(A267,'[2]plan gier'!A$1:S$65536,19,FALSE)="","",VLOOKUP(A267,'[2]plan gier'!A$1:S$65536,19,FALSE))))</f>
        <v/>
      </c>
      <c r="R267" s="44" t="s">
        <v>66</v>
      </c>
      <c r="S267" s="146">
        <v>40</v>
      </c>
      <c r="T267" s="242"/>
      <c r="U267" s="244" t="str">
        <f>IF(AND(N267&lt;&gt;"",N268=""),CONCATENATE(VLOOKUP(N267,[2]zawodnicy!$A$1:$E$65536,1,FALSE)," ",VLOOKUP(N267,[2]zawodnicy!$A$1:$E$65536,2,FALSE)," ",VLOOKUP(N267,[2]zawodnicy!$A$1:$E$65536,3,FALSE)," - ",VLOOKUP(N267,[2]zawodnicy!$A$1:$E$65536,4,FALSE)),"")</f>
        <v/>
      </c>
      <c r="V267" s="245"/>
      <c r="W267" s="246"/>
      <c r="X267" s="61" t="str">
        <f>IF(SUM(AQ271:AR271)=0,"",AR271&amp;":"&amp;AQ271)</f>
        <v>11:21</v>
      </c>
      <c r="Y267" s="154"/>
      <c r="Z267" s="36" t="str">
        <f>IF(SUM(AQ269:AR269)=0,"",AQ269&amp;":"&amp;AR269)</f>
        <v>21:19</v>
      </c>
      <c r="AA267" s="37" t="str">
        <f>IF(SUM(AQ267:AR267)=0,"",AQ267&amp;":"&amp;AR267)</f>
        <v>17:21</v>
      </c>
      <c r="AB267" s="242"/>
      <c r="AC267" s="251"/>
      <c r="AD267" s="251"/>
      <c r="AE267" s="254"/>
      <c r="AF267" s="12"/>
      <c r="AG267" s="12"/>
      <c r="AH267" s="44" t="s">
        <v>66</v>
      </c>
      <c r="AI267" s="49">
        <f>IF(ISBLANK(S267),"",VLOOKUP(S267,'[2]plan gier'!$X$1:$AN$65536,12,FALSE))</f>
        <v>21</v>
      </c>
      <c r="AJ267" s="50">
        <f>IF(ISBLANK(S267),"",VLOOKUP(S267,'[2]plan gier'!$X$1:$AN$65536,13,FALSE))</f>
        <v>14</v>
      </c>
      <c r="AK267" s="50">
        <f>IF(ISBLANK(S267),"",VLOOKUP(S267,'[2]plan gier'!$X$1:$AN$65536,14,FALSE))</f>
        <v>17</v>
      </c>
      <c r="AL267" s="50">
        <f>IF(ISBLANK(S267),"",VLOOKUP(S267,'[2]plan gier'!$X$1:$AN$65536,15,FALSE))</f>
        <v>21</v>
      </c>
      <c r="AM267" s="50">
        <f>IF(ISBLANK(S267),"",VLOOKUP(S267,'[2]plan gier'!$X$1:$AN$65536,16,FALSE))</f>
        <v>21</v>
      </c>
      <c r="AN267" s="50">
        <f>IF(ISBLANK(S267),"",VLOOKUP(S267,'[2]plan gier'!$X$1:$AN$65536,17,FALSE))</f>
        <v>11</v>
      </c>
      <c r="AO267" s="63">
        <f t="shared" si="24"/>
        <v>21</v>
      </c>
      <c r="AP267" s="64">
        <f t="shared" si="24"/>
        <v>14</v>
      </c>
      <c r="AQ267" s="64">
        <f t="shared" si="24"/>
        <v>17</v>
      </c>
      <c r="AR267" s="64">
        <f t="shared" si="24"/>
        <v>21</v>
      </c>
      <c r="AS267" s="64">
        <f t="shared" si="24"/>
        <v>21</v>
      </c>
      <c r="AT267" s="69">
        <f t="shared" si="24"/>
        <v>11</v>
      </c>
      <c r="AU267" s="149">
        <f t="shared" si="25"/>
        <v>105</v>
      </c>
      <c r="AV267" s="5">
        <v>2</v>
      </c>
      <c r="AW267" s="63">
        <f>IF(AI271&lt;AJ271,1,0)+IF(AK271&lt;AL271,1,0)+IF(AM271&lt;AN271,1,0)</f>
        <v>0</v>
      </c>
      <c r="AX267" s="64">
        <f>AY266</f>
        <v>2</v>
      </c>
      <c r="AY267" s="155"/>
      <c r="AZ267" s="156"/>
      <c r="BA267" s="64">
        <f>IF(AI269&gt;AJ269,1,0)+IF(AK269&gt;AL269,1,0)+IF(AM269&gt;AN269,1,0)</f>
        <v>2</v>
      </c>
      <c r="BB267" s="64">
        <f>AY268</f>
        <v>0</v>
      </c>
      <c r="BC267" s="157">
        <f>IF(AI267&gt;AJ267,1,0)+IF(AK267&gt;AL267,1,0)+IF(AM267&gt;AN267,1,0)</f>
        <v>2</v>
      </c>
      <c r="BD267" s="70">
        <f>AY269</f>
        <v>1</v>
      </c>
      <c r="BE267" s="63">
        <f>AO267+AQ267+AS267+AO269+AQ269+AS269+AP271+AR271+AT271</f>
        <v>121</v>
      </c>
      <c r="BF267" s="70">
        <f>AP267+AR267+AT267+AP269+AR269+AT269+AO271+AQ271+AS271</f>
        <v>126</v>
      </c>
      <c r="BG267" s="63">
        <f>AW267+BA267+BC267</f>
        <v>4</v>
      </c>
      <c r="BH267" s="69">
        <f>AX267+BB267+BD267</f>
        <v>3</v>
      </c>
      <c r="BI267" s="63">
        <f>IF(AW267&gt;AX267,1,0)+IF(BA267&gt;BB267,1,0)+IF(BC267&gt;BD267,1,0)</f>
        <v>2</v>
      </c>
      <c r="BJ267" s="69">
        <f>IF(AX267&gt;AW267,1,0)+IF(BB267&gt;BA267,1,0)+IF(BD267&gt;BC267,1,0)</f>
        <v>1</v>
      </c>
      <c r="BK267" s="71">
        <f>IF(BI267+BJ267=0,"",IF(BL267=MAX(BL266:BL269),1,IF(BL267=LARGE(BL266:BL269,2),2,IF(BL267=MIN(BL266:BL269),4,3))))</f>
        <v>2</v>
      </c>
      <c r="BL267" s="60">
        <f>IF(BI267+BJ267&lt;&gt;0,BI267+1+(BG267-BH267)/100+(BE267-BF267)/100000+(BE267/BF267)/1000000,0)</f>
        <v>3.0099509603174601</v>
      </c>
    </row>
    <row r="268" spans="1:64" ht="11.45" customHeight="1" x14ac:dyDescent="0.2">
      <c r="A268" s="19">
        <f t="shared" si="23"/>
        <v>104</v>
      </c>
      <c r="B268" s="19" t="str">
        <f>IF(N264="","",N264)</f>
        <v>W2914</v>
      </c>
      <c r="C268" s="19" t="str">
        <f>IF(N265="","",N265)</f>
        <v>J2971</v>
      </c>
      <c r="D268" s="19" t="str">
        <f>IF(N273="","",N273)</f>
        <v>S3365</v>
      </c>
      <c r="E268" s="19" t="str">
        <f>IF(N274="","",N274)</f>
        <v>P2838</v>
      </c>
      <c r="H268" s="10"/>
      <c r="I268" s="2" t="str">
        <f>"3"&amp;O262&amp;N263</f>
        <v>31mieszana J</v>
      </c>
      <c r="J268" s="10" t="str">
        <f>IF(AE269="","",IF(AE263=3,N264,IF(AE266=3,N267,IF(AE269=3,N270,IF(AE272=3,N273,"")))))</f>
        <v>S3365</v>
      </c>
      <c r="K268" s="10" t="str">
        <f>IF(AE269="","",IF(AE263=3,N265,IF(AE266=3,N268,IF(AE269=3,N271,IF(AE272=3,N274,"")))))</f>
        <v>P2838</v>
      </c>
      <c r="L268" s="10"/>
      <c r="M268" s="42" t="str">
        <f>N263</f>
        <v>mieszana J</v>
      </c>
      <c r="N268" s="38" t="s">
        <v>20</v>
      </c>
      <c r="O268" s="28"/>
      <c r="P268" s="28"/>
      <c r="Q268" s="43" t="str">
        <f>IF(AU268&gt;0,"",IF(A268=0,"",IF(VLOOKUP(A268,'[2]plan gier'!A$1:S$65536,19,FALSE)="","",VLOOKUP(A268,'[2]plan gier'!A$1:S$65536,19,FALSE))))</f>
        <v/>
      </c>
      <c r="R268" s="44" t="s">
        <v>68</v>
      </c>
      <c r="S268" s="146">
        <v>104</v>
      </c>
      <c r="T268" s="261"/>
      <c r="U268" s="265" t="str">
        <f>IF(N268&lt;&gt;"",CONCATENATE(VLOOKUP(N268,[2]zawodnicy!$A$1:$E$65536,1,FALSE)," ",VLOOKUP(N268,[2]zawodnicy!$A$1:$E$65536,2,FALSE)," ",VLOOKUP(N268,[2]zawodnicy!$A$1:$E$65536,3,FALSE)," - ",VLOOKUP(N268,[2]zawodnicy!$A$1:$E$65536,4,FALSE)),"")</f>
        <v>M3309 Edyta MIETŁA - MKS Spartakus Niepołomice</v>
      </c>
      <c r="V268" s="266"/>
      <c r="W268" s="267"/>
      <c r="X268" s="73" t="str">
        <f>IF(SUM(AS271:AT271)=0,"",AT271&amp;":"&amp;AS271)</f>
        <v/>
      </c>
      <c r="Y268" s="154"/>
      <c r="Z268" s="39" t="str">
        <f>IF(SUM(AS269:AT269)=0,"",AS269&amp;":"&amp;AT269)</f>
        <v/>
      </c>
      <c r="AA268" s="40" t="str">
        <f>IF(SUM(AS267:AT267)=0,"",AS267&amp;":"&amp;AT267)</f>
        <v>21:11</v>
      </c>
      <c r="AB268" s="242"/>
      <c r="AC268" s="251"/>
      <c r="AD268" s="251"/>
      <c r="AE268" s="254"/>
      <c r="AF268" s="12"/>
      <c r="AG268" s="12"/>
      <c r="AH268" s="44" t="s">
        <v>68</v>
      </c>
      <c r="AI268" s="49">
        <f>IF(ISBLANK(S268),"",VLOOKUP(S268,'[2]plan gier'!$X$1:$AN$65536,12,FALSE))</f>
        <v>21</v>
      </c>
      <c r="AJ268" s="50">
        <f>IF(ISBLANK(S268),"",VLOOKUP(S268,'[2]plan gier'!$X$1:$AN$65536,13,FALSE))</f>
        <v>15</v>
      </c>
      <c r="AK268" s="50">
        <f>IF(ISBLANK(S268),"",VLOOKUP(S268,'[2]plan gier'!$X$1:$AN$65536,14,FALSE))</f>
        <v>20</v>
      </c>
      <c r="AL268" s="50">
        <f>IF(ISBLANK(S268),"",VLOOKUP(S268,'[2]plan gier'!$X$1:$AN$65536,15,FALSE))</f>
        <v>22</v>
      </c>
      <c r="AM268" s="50">
        <f>IF(ISBLANK(S268),"",VLOOKUP(S268,'[2]plan gier'!$X$1:$AN$65536,16,FALSE))</f>
        <v>21</v>
      </c>
      <c r="AN268" s="50">
        <f>IF(ISBLANK(S268),"",VLOOKUP(S268,'[2]plan gier'!$X$1:$AN$65536,17,FALSE))</f>
        <v>7</v>
      </c>
      <c r="AO268" s="63">
        <f t="shared" si="24"/>
        <v>21</v>
      </c>
      <c r="AP268" s="64">
        <f t="shared" si="24"/>
        <v>15</v>
      </c>
      <c r="AQ268" s="64">
        <f t="shared" si="24"/>
        <v>20</v>
      </c>
      <c r="AR268" s="64">
        <f t="shared" si="24"/>
        <v>22</v>
      </c>
      <c r="AS268" s="64">
        <f t="shared" si="24"/>
        <v>21</v>
      </c>
      <c r="AT268" s="69">
        <f t="shared" si="24"/>
        <v>7</v>
      </c>
      <c r="AU268" s="149">
        <f t="shared" si="25"/>
        <v>106</v>
      </c>
      <c r="AV268" s="5">
        <v>3</v>
      </c>
      <c r="AW268" s="63">
        <f>IF(AI266&lt;AJ266,1,0)+IF(AK266&lt;AL266,1,0)+IF(AM266&lt;AN266,1,0)</f>
        <v>0</v>
      </c>
      <c r="AX268" s="64">
        <f>BA266</f>
        <v>2</v>
      </c>
      <c r="AY268" s="64">
        <f>IF(AI269&lt;AJ269,1,0)+IF(AK269&lt;AL269,1,0)+IF(AM269&lt;AN269,1,0)</f>
        <v>0</v>
      </c>
      <c r="AZ268" s="64">
        <f>BA267</f>
        <v>2</v>
      </c>
      <c r="BA268" s="155"/>
      <c r="BB268" s="156"/>
      <c r="BC268" s="64">
        <f>IF(AI270&gt;AJ270,1,0)+IF(AK270&gt;AL270,1,0)+IF(AM270&gt;AN270,1,0)</f>
        <v>0</v>
      </c>
      <c r="BD268" s="70">
        <f>BA269</f>
        <v>2</v>
      </c>
      <c r="BE268" s="158">
        <f>AP266+AR266+AT266+AP269+AR269+AT269+AO270+AQ270+AS270</f>
        <v>90</v>
      </c>
      <c r="BF268" s="159">
        <f>AO266+AQ266+AS266+AO269+AQ269+AS269+AP270+AR270+AT270</f>
        <v>126</v>
      </c>
      <c r="BG268" s="158">
        <f>AW268+AY268+BC268</f>
        <v>0</v>
      </c>
      <c r="BH268" s="160">
        <f>AX268+AZ268+BD268</f>
        <v>6</v>
      </c>
      <c r="BI268" s="63">
        <f>IF(AW268&gt;AX268,1,0)+IF(AY268&gt;AZ268,1,0)+IF(BC268&gt;BD268,1,0)</f>
        <v>0</v>
      </c>
      <c r="BJ268" s="69">
        <f>IF(AX268&gt;AW268,1,0)+IF(AZ268&gt;AY268,1,0)+IF(BD268&gt;BC268,1,0)</f>
        <v>3</v>
      </c>
      <c r="BK268" s="71">
        <f>IF(BI268+BJ268=0,"",IF(BL268=MAX(BL266:BL269),1,IF(BL268=LARGE(BL266:BL269,2),2,IF(BL268=MIN(BL266:BL269),4,3))))</f>
        <v>4</v>
      </c>
      <c r="BL268" s="60">
        <f>IF(BI268+BJ268&lt;&gt;0,BI268+1+(BG268-BH268)/100+(BE268-BF268)/100000+(BE268/BF268)/1000000,0)</f>
        <v>0.93964071428571416</v>
      </c>
    </row>
    <row r="269" spans="1:64" ht="11.45" customHeight="1" thickBot="1" x14ac:dyDescent="0.25">
      <c r="A269" s="19">
        <f t="shared" si="23"/>
        <v>105</v>
      </c>
      <c r="B269" s="19" t="str">
        <f>IF(N267="","",N267)</f>
        <v>P3707</v>
      </c>
      <c r="C269" s="19" t="str">
        <f>IF(N268="","",N268)</f>
        <v>M3309</v>
      </c>
      <c r="D269" s="19" t="str">
        <f>IF(N270="","",N270)</f>
        <v>K3935</v>
      </c>
      <c r="E269" s="19" t="str">
        <f>IF(N271="","",N271)</f>
        <v>Ś3664</v>
      </c>
      <c r="J269" s="10"/>
      <c r="K269" s="28"/>
      <c r="L269" s="28"/>
      <c r="M269" s="42" t="str">
        <f>N263</f>
        <v>mieszana J</v>
      </c>
      <c r="O269" s="28"/>
      <c r="P269" s="28"/>
      <c r="Q269" s="43" t="str">
        <f>IF(AU269&gt;0,"",IF(A269=0,"",IF(VLOOKUP(A269,'[2]plan gier'!A$1:S$65536,19,FALSE)="","",VLOOKUP(A269,'[2]plan gier'!A$1:S$65536,19,FALSE))))</f>
        <v/>
      </c>
      <c r="R269" s="44" t="s">
        <v>17</v>
      </c>
      <c r="S269" s="146">
        <v>105</v>
      </c>
      <c r="T269" s="241">
        <v>3</v>
      </c>
      <c r="U269" s="244" t="str">
        <f>IF(AND(N270&lt;&gt;"",N271&lt;&gt;""),CONCATENATE(VLOOKUP(N270,[2]zawodnicy!$A$1:$E$65536,1,FALSE)," ",VLOOKUP(N270,[2]zawodnicy!$A$1:$E$65536,2,FALSE)," ",VLOOKUP(N270,[2]zawodnicy!$A$1:$E$65536,3,FALSE)," - ",VLOOKUP(N270,[2]zawodnicy!$A$1:$E$65536,4,FALSE)),"")</f>
        <v>K3935 Michał KAŹMIERCZAK - UKS Feniks Kędzierzyn-Koźle</v>
      </c>
      <c r="V269" s="245"/>
      <c r="W269" s="246"/>
      <c r="X269" s="46" t="str">
        <f>IF(SUM(AO266:AP266)=0,"",AP266&amp;":"&amp;AO266)</f>
        <v>16:21</v>
      </c>
      <c r="Y269" s="83" t="str">
        <f>IF(SUM(AO269:AP269)=0,"",AP269&amp;":"&amp;AO269)</f>
        <v>19:21</v>
      </c>
      <c r="Z269" s="47"/>
      <c r="AA269" s="48" t="str">
        <f>IF(SUM(AO270:AP270)=0,"",AO270&amp;":"&amp;AP270)</f>
        <v>14:21</v>
      </c>
      <c r="AB269" s="241" t="str">
        <f>IF(SUM(AW268:AZ268,BC268:BD268)=0,"",BE268&amp;":"&amp;BF268)</f>
        <v>90:126</v>
      </c>
      <c r="AC269" s="250" t="str">
        <f>IF(SUM(AW268:AZ268,BC268:BD268)=0,"",BG268&amp;":"&amp;BH268)</f>
        <v>0:6</v>
      </c>
      <c r="AD269" s="250" t="str">
        <f>IF(SUM(AW268:AZ268,BC268:BD268)=0,"",BI268&amp;":"&amp;BJ268)</f>
        <v>0:3</v>
      </c>
      <c r="AE269" s="253">
        <f>IF(SUM(BI266:BI269)&gt;0,BK268,"")</f>
        <v>4</v>
      </c>
      <c r="AF269" s="12"/>
      <c r="AG269" s="12"/>
      <c r="AH269" s="44" t="s">
        <v>17</v>
      </c>
      <c r="AI269" s="49">
        <f>IF(ISBLANK(S269),"",VLOOKUP(S269,'[2]plan gier'!$X$1:$AN$65536,12,FALSE))</f>
        <v>21</v>
      </c>
      <c r="AJ269" s="50">
        <f>IF(ISBLANK(S269),"",VLOOKUP(S269,'[2]plan gier'!$X$1:$AN$65536,13,FALSE))</f>
        <v>19</v>
      </c>
      <c r="AK269" s="50">
        <f>IF(ISBLANK(S269),"",VLOOKUP(S269,'[2]plan gier'!$X$1:$AN$65536,14,FALSE))</f>
        <v>21</v>
      </c>
      <c r="AL269" s="50">
        <f>IF(ISBLANK(S269),"",VLOOKUP(S269,'[2]plan gier'!$X$1:$AN$65536,15,FALSE))</f>
        <v>19</v>
      </c>
      <c r="AM269" s="50">
        <f>IF(ISBLANK(S269),"",VLOOKUP(S269,'[2]plan gier'!$X$1:$AN$65536,16,FALSE))</f>
        <v>0</v>
      </c>
      <c r="AN269" s="50">
        <f>IF(ISBLANK(S269),"",VLOOKUP(S269,'[2]plan gier'!$X$1:$AN$65536,17,FALSE))</f>
        <v>0</v>
      </c>
      <c r="AO269" s="63">
        <f t="shared" si="24"/>
        <v>21</v>
      </c>
      <c r="AP269" s="64">
        <f t="shared" si="24"/>
        <v>19</v>
      </c>
      <c r="AQ269" s="64">
        <f t="shared" si="24"/>
        <v>21</v>
      </c>
      <c r="AR269" s="64">
        <f t="shared" si="24"/>
        <v>19</v>
      </c>
      <c r="AS269" s="64">
        <f t="shared" si="24"/>
        <v>0</v>
      </c>
      <c r="AT269" s="69">
        <f t="shared" si="24"/>
        <v>0</v>
      </c>
      <c r="AU269" s="149">
        <f t="shared" si="25"/>
        <v>80</v>
      </c>
      <c r="AV269" s="5">
        <v>4</v>
      </c>
      <c r="AW269" s="161">
        <f>IF(AI268&lt;AJ268,1,0)+IF(AK268&lt;AL268,1,0)+IF(AM268&lt;AN268,1,0)</f>
        <v>1</v>
      </c>
      <c r="AX269" s="162">
        <f>BC266</f>
        <v>2</v>
      </c>
      <c r="AY269" s="162">
        <f>IF(AI267&lt;AJ267,1,0)+IF(AK267&lt;AL267,1,0)+IF(AM267&lt;AN267,1,0)</f>
        <v>1</v>
      </c>
      <c r="AZ269" s="162">
        <f>BC267</f>
        <v>2</v>
      </c>
      <c r="BA269" s="75">
        <f>IF(AI270&lt;AJ270,1,0)+IF(AK270&lt;AL270,1,0)+IF(AM270&lt;AN270,1,0)</f>
        <v>2</v>
      </c>
      <c r="BB269" s="75">
        <f>BC268</f>
        <v>0</v>
      </c>
      <c r="BC269" s="163"/>
      <c r="BD269" s="164"/>
      <c r="BE269" s="74">
        <f>AP267+AR267+AT267+AP268+AR268+AT268+AP270+AR270+AT270</f>
        <v>132</v>
      </c>
      <c r="BF269" s="81">
        <f>AO267+AQ267+AS267+AO268+AQ268+AS268+AO270+AQ270+AS270</f>
        <v>147</v>
      </c>
      <c r="BG269" s="74">
        <f>AW269+AY269+BA269</f>
        <v>4</v>
      </c>
      <c r="BH269" s="80">
        <f>AX269+AZ269+BB269</f>
        <v>4</v>
      </c>
      <c r="BI269" s="74">
        <f>IF(AW269&gt;AX269,1,0)+IF(AY269&gt;AZ269,1,0)+IF(BA269&gt;BB269,1,0)</f>
        <v>1</v>
      </c>
      <c r="BJ269" s="80">
        <f>IF(AX269&gt;AW269,1,0)+IF(AZ269&gt;AY269,1,0)+IF(BB269&gt;BA269,1,0)</f>
        <v>2</v>
      </c>
      <c r="BK269" s="82">
        <f>IF(BI269+BJ269=0,"",IF(BL269=MAX(BL266:BL269),1,IF(BL269=LARGE(BL266:BL269,2),2,IF(BL269=MIN(BL266:BL269),4,3))))</f>
        <v>3</v>
      </c>
      <c r="BL269" s="60">
        <f>IF(BI269+BJ269&lt;&gt;0,BI269+1+(BG269-BH269)/100+(BE269-BF269)/100000+(BE269/BF269)/1000000,0)</f>
        <v>1.9998508979591836</v>
      </c>
    </row>
    <row r="270" spans="1:64" ht="11.45" customHeight="1" x14ac:dyDescent="0.2">
      <c r="A270" s="19">
        <f t="shared" si="23"/>
        <v>169</v>
      </c>
      <c r="B270" s="19" t="str">
        <f>IF(N270="","",N270)</f>
        <v>K3935</v>
      </c>
      <c r="C270" s="19" t="str">
        <f>IF(N271="","",N271)</f>
        <v>Ś3664</v>
      </c>
      <c r="D270" s="19" t="str">
        <f>IF(N273="","",N273)</f>
        <v>S3365</v>
      </c>
      <c r="E270" s="19" t="str">
        <f>IF(N274="","",N274)</f>
        <v>P2838</v>
      </c>
      <c r="H270" s="10"/>
      <c r="I270" s="2" t="str">
        <f>"4"&amp;O262&amp;N263</f>
        <v>41mieszana J</v>
      </c>
      <c r="J270" s="10" t="str">
        <f>IF(AE272="","",IF(AE263=4,N264,IF(AE266=4,N267,IF(AE269=4,N270,IF(AE272=4,N273,"")))))</f>
        <v>K3935</v>
      </c>
      <c r="K270" s="10" t="str">
        <f>IF(AE272="","",IF(AE263=4,N265,IF(AE266=4,N268,IF(AE269=4,N271,IF(AE272=4,N274,"")))))</f>
        <v>Ś3664</v>
      </c>
      <c r="L270" s="10"/>
      <c r="M270" s="42" t="str">
        <f>N263</f>
        <v>mieszana J</v>
      </c>
      <c r="N270" s="33" t="s">
        <v>46</v>
      </c>
      <c r="O270" s="34">
        <f>IF(O262&gt;0,(O262&amp;3)*1,"")</f>
        <v>13</v>
      </c>
      <c r="Q270" s="43" t="str">
        <f>IF(AU270&gt;0,"",IF(A270=0,"",IF(VLOOKUP(A270,'[2]plan gier'!A$1:S$65536,19,FALSE)="","",VLOOKUP(A270,'[2]plan gier'!A$1:S$65536,19,FALSE))))</f>
        <v/>
      </c>
      <c r="R270" s="44" t="s">
        <v>69</v>
      </c>
      <c r="S270" s="146">
        <v>169</v>
      </c>
      <c r="T270" s="242"/>
      <c r="U270" s="244" t="str">
        <f>IF(AND(N270&lt;&gt;"",N271=""),CONCATENATE(VLOOKUP(N270,[2]zawodnicy!$A$1:$E$65536,1,FALSE)," ",VLOOKUP(N270,[2]zawodnicy!$A$1:$E$65536,2,FALSE)," ",VLOOKUP(N270,[2]zawodnicy!$A$1:$E$65536,3,FALSE)," - ",VLOOKUP(N270,[2]zawodnicy!$A$1:$E$65536,4,FALSE)),"")</f>
        <v/>
      </c>
      <c r="V270" s="245"/>
      <c r="W270" s="246"/>
      <c r="X270" s="61" t="str">
        <f>IF(SUM(AQ266:AR266)=0,"",AR266&amp;":"&amp;AQ266)</f>
        <v>10:21</v>
      </c>
      <c r="Y270" s="36" t="str">
        <f>IF(SUM(AQ269:AR269)=0,"",AR269&amp;":"&amp;AQ269)</f>
        <v>19:21</v>
      </c>
      <c r="Z270" s="62"/>
      <c r="AA270" s="37" t="str">
        <f>IF(SUM(AQ270:AR270)=0,"",AQ270&amp;":"&amp;AR270)</f>
        <v>12:21</v>
      </c>
      <c r="AB270" s="242"/>
      <c r="AC270" s="251"/>
      <c r="AD270" s="251"/>
      <c r="AE270" s="254"/>
      <c r="AF270" s="12"/>
      <c r="AG270" s="12"/>
      <c r="AH270" s="44" t="s">
        <v>69</v>
      </c>
      <c r="AI270" s="49">
        <f>IF(ISBLANK(S270),"",VLOOKUP(S270,'[2]plan gier'!$X$1:$AN$65536,12,FALSE))</f>
        <v>14</v>
      </c>
      <c r="AJ270" s="50">
        <f>IF(ISBLANK(S270),"",VLOOKUP(S270,'[2]plan gier'!$X$1:$AN$65536,13,FALSE))</f>
        <v>21</v>
      </c>
      <c r="AK270" s="50">
        <f>IF(ISBLANK(S270),"",VLOOKUP(S270,'[2]plan gier'!$X$1:$AN$65536,14,FALSE))</f>
        <v>12</v>
      </c>
      <c r="AL270" s="50">
        <f>IF(ISBLANK(S270),"",VLOOKUP(S270,'[2]plan gier'!$X$1:$AN$65536,15,FALSE))</f>
        <v>21</v>
      </c>
      <c r="AM270" s="50">
        <f>IF(ISBLANK(S270),"",VLOOKUP(S270,'[2]plan gier'!$X$1:$AN$65536,16,FALSE))</f>
        <v>0</v>
      </c>
      <c r="AN270" s="50">
        <f>IF(ISBLANK(S270),"",VLOOKUP(S270,'[2]plan gier'!$X$1:$AN$65536,17,FALSE))</f>
        <v>0</v>
      </c>
      <c r="AO270" s="63">
        <f t="shared" si="24"/>
        <v>14</v>
      </c>
      <c r="AP270" s="64">
        <f t="shared" si="24"/>
        <v>21</v>
      </c>
      <c r="AQ270" s="64">
        <f t="shared" si="24"/>
        <v>12</v>
      </c>
      <c r="AR270" s="64">
        <f t="shared" si="24"/>
        <v>21</v>
      </c>
      <c r="AS270" s="64">
        <f t="shared" si="24"/>
        <v>0</v>
      </c>
      <c r="AT270" s="69">
        <f t="shared" si="24"/>
        <v>0</v>
      </c>
      <c r="AU270" s="149">
        <f t="shared" si="25"/>
        <v>68</v>
      </c>
      <c r="BE270" s="19">
        <f t="shared" ref="BE270:BJ270" si="26">SUM(BE266:BE269)</f>
        <v>489</v>
      </c>
      <c r="BF270" s="19">
        <f t="shared" si="26"/>
        <v>489</v>
      </c>
      <c r="BG270" s="19">
        <f t="shared" si="26"/>
        <v>14</v>
      </c>
      <c r="BH270" s="19">
        <f t="shared" si="26"/>
        <v>14</v>
      </c>
      <c r="BI270" s="19">
        <f t="shared" si="26"/>
        <v>6</v>
      </c>
      <c r="BJ270" s="19">
        <f t="shared" si="26"/>
        <v>6</v>
      </c>
      <c r="BK270" s="19"/>
      <c r="BL270" s="20"/>
    </row>
    <row r="271" spans="1:64" ht="11.45" customHeight="1" thickBot="1" x14ac:dyDescent="0.25">
      <c r="A271" s="19">
        <f t="shared" si="23"/>
        <v>170</v>
      </c>
      <c r="B271" s="19" t="str">
        <f>IF(N264="","",N264)</f>
        <v>W2914</v>
      </c>
      <c r="C271" s="19" t="str">
        <f>IF(N265="","",N265)</f>
        <v>J2971</v>
      </c>
      <c r="D271" s="19" t="str">
        <f>IF(N267="","",N267)</f>
        <v>P3707</v>
      </c>
      <c r="E271" s="19" t="str">
        <f>IF(N268="","",N268)</f>
        <v>M3309</v>
      </c>
      <c r="J271" s="28"/>
      <c r="K271" s="28"/>
      <c r="L271" s="28"/>
      <c r="M271" s="42" t="str">
        <f>N263</f>
        <v>mieszana J</v>
      </c>
      <c r="N271" s="38" t="s">
        <v>58</v>
      </c>
      <c r="O271" s="28"/>
      <c r="P271" s="28"/>
      <c r="Q271" s="43" t="str">
        <f>IF(AU271&gt;0,"",IF(A271=0,"",IF(VLOOKUP(A271,'[2]plan gier'!A$1:S$65536,19,FALSE)="","",VLOOKUP(A271,'[2]plan gier'!A$1:S$65536,19,FALSE))))</f>
        <v/>
      </c>
      <c r="R271" s="44" t="s">
        <v>18</v>
      </c>
      <c r="S271" s="146">
        <v>170</v>
      </c>
      <c r="T271" s="261"/>
      <c r="U271" s="265" t="str">
        <f>IF(N271&lt;&gt;"",CONCATENATE(VLOOKUP(N271,[2]zawodnicy!$A$1:$E$65536,1,FALSE)," ",VLOOKUP(N271,[2]zawodnicy!$A$1:$E$65536,2,FALSE)," ",VLOOKUP(N271,[2]zawodnicy!$A$1:$E$65536,3,FALSE)," - ",VLOOKUP(N271,[2]zawodnicy!$A$1:$E$65536,4,FALSE)),"")</f>
        <v>Ś3664 Gabriela ŚLISZ - UKS Orbitek Straszęcin</v>
      </c>
      <c r="V271" s="266"/>
      <c r="W271" s="267"/>
      <c r="X271" s="73" t="str">
        <f>IF(SUM(AS266:AT266)=0,"",AT266&amp;":"&amp;AS266)</f>
        <v/>
      </c>
      <c r="Y271" s="39" t="str">
        <f>IF(SUM(AS269:AT269)=0,"",AT269&amp;":"&amp;AS269)</f>
        <v/>
      </c>
      <c r="Z271" s="62"/>
      <c r="AA271" s="40" t="str">
        <f>IF(SUM(AS270:AT270)=0,"",AS270&amp;":"&amp;AT270)</f>
        <v/>
      </c>
      <c r="AB271" s="242"/>
      <c r="AC271" s="251"/>
      <c r="AD271" s="251"/>
      <c r="AE271" s="254"/>
      <c r="AF271" s="12"/>
      <c r="AG271" s="12"/>
      <c r="AH271" s="44" t="s">
        <v>18</v>
      </c>
      <c r="AI271" s="161">
        <f>IF(ISBLANK(S271),"",VLOOKUP(S271,'[2]plan gier'!$X$1:$AN$65536,12,FALSE))</f>
        <v>21</v>
      </c>
      <c r="AJ271" s="162">
        <f>IF(ISBLANK(S271),"",VLOOKUP(S271,'[2]plan gier'!$X$1:$AN$65536,13,FALSE))</f>
        <v>9</v>
      </c>
      <c r="AK271" s="162">
        <f>IF(ISBLANK(S271),"",VLOOKUP(S271,'[2]plan gier'!$X$1:$AN$65536,14,FALSE))</f>
        <v>21</v>
      </c>
      <c r="AL271" s="162">
        <f>IF(ISBLANK(S271),"",VLOOKUP(S271,'[2]plan gier'!$X$1:$AN$65536,15,FALSE))</f>
        <v>11</v>
      </c>
      <c r="AM271" s="162">
        <f>IF(ISBLANK(S271),"",VLOOKUP(S271,'[2]plan gier'!$X$1:$AN$65536,16,FALSE))</f>
        <v>0</v>
      </c>
      <c r="AN271" s="162">
        <f>IF(ISBLANK(S271),"",VLOOKUP(S271,'[2]plan gier'!$X$1:$AN$65536,17,FALSE))</f>
        <v>0</v>
      </c>
      <c r="AO271" s="74">
        <f t="shared" si="24"/>
        <v>21</v>
      </c>
      <c r="AP271" s="75">
        <f t="shared" si="24"/>
        <v>9</v>
      </c>
      <c r="AQ271" s="75">
        <f t="shared" si="24"/>
        <v>21</v>
      </c>
      <c r="AR271" s="75">
        <f t="shared" si="24"/>
        <v>11</v>
      </c>
      <c r="AS271" s="75">
        <f t="shared" si="24"/>
        <v>0</v>
      </c>
      <c r="AT271" s="80">
        <f t="shared" si="24"/>
        <v>0</v>
      </c>
      <c r="AU271" s="149">
        <f t="shared" si="25"/>
        <v>62</v>
      </c>
      <c r="BK271" s="19"/>
      <c r="BL271" s="20"/>
    </row>
    <row r="272" spans="1:64" ht="11.45" customHeight="1" x14ac:dyDescent="0.2">
      <c r="A272" s="2"/>
      <c r="J272" s="28"/>
      <c r="K272" s="28"/>
      <c r="L272" s="28"/>
      <c r="O272" s="28"/>
      <c r="P272" s="28"/>
      <c r="Q272" s="2"/>
      <c r="R272" s="2"/>
      <c r="S272" s="2"/>
      <c r="T272" s="241">
        <v>4</v>
      </c>
      <c r="U272" s="244" t="str">
        <f>IF(AND(N273&lt;&gt;"",N274&lt;&gt;""),CONCATENATE(VLOOKUP(N273,[2]zawodnicy!$A$1:$E$65536,1,FALSE)," ",VLOOKUP(N273,[2]zawodnicy!$A$1:$E$65536,2,FALSE)," ",VLOOKUP(N273,[2]zawodnicy!$A$1:$E$65536,3,FALSE)," - ",VLOOKUP(N273,[2]zawodnicy!$A$1:$E$65536,4,FALSE)),"")</f>
        <v>S3365 Bartosz SZUKAŁA - UKS Orkan Przeźmierowo</v>
      </c>
      <c r="V272" s="245"/>
      <c r="W272" s="246"/>
      <c r="X272" s="46" t="str">
        <f>IF(SUM(AO268:AP268)=0,"",AP268&amp;":"&amp;AO268)</f>
        <v>15:21</v>
      </c>
      <c r="Y272" s="83" t="str">
        <f>IF(SUM(AO267:AP267)=0,"",AP267&amp;":"&amp;AO267)</f>
        <v>14:21</v>
      </c>
      <c r="Z272" s="83" t="str">
        <f>IF(SUM(AO270:AP270)=0,"",AP270&amp;":"&amp;AO270)</f>
        <v>21:14</v>
      </c>
      <c r="AA272" s="165"/>
      <c r="AB272" s="241" t="str">
        <f>IF(SUM(AW269:BB269)=0,"",BE269&amp;":"&amp;BF269)</f>
        <v>132:147</v>
      </c>
      <c r="AC272" s="250" t="str">
        <f>IF(SUM(AW269:BB269)=0,"",BG269&amp;":"&amp;BH269)</f>
        <v>4:4</v>
      </c>
      <c r="AD272" s="250" t="str">
        <f>IF(SUM(AW269:BB269)=0,"",BI269&amp;":"&amp;BJ269)</f>
        <v>1:2</v>
      </c>
      <c r="AE272" s="253">
        <f>IF(SUM(BI266:BI269)&gt;0,BK269,"")</f>
        <v>3</v>
      </c>
      <c r="AF272" s="12"/>
      <c r="AG272" s="12"/>
      <c r="AH272" s="2"/>
      <c r="AI272" s="2"/>
      <c r="AJ272" s="2"/>
      <c r="AK272" s="2"/>
      <c r="AL272" s="2"/>
      <c r="AM272" s="2"/>
      <c r="AN272" s="2"/>
      <c r="AO272" s="2"/>
      <c r="AP272" s="2"/>
      <c r="AQ272" s="2"/>
      <c r="AR272" s="2"/>
      <c r="AS272" s="2"/>
      <c r="AT272" s="2"/>
      <c r="AU272" s="2"/>
      <c r="BK272" s="19"/>
      <c r="BL272" s="20"/>
    </row>
    <row r="273" spans="1:64" ht="11.45" customHeight="1" x14ac:dyDescent="0.2">
      <c r="A273" s="19"/>
      <c r="B273" s="19"/>
      <c r="C273" s="19"/>
      <c r="D273" s="19"/>
      <c r="E273" s="19"/>
      <c r="H273" s="10"/>
      <c r="J273" s="19"/>
      <c r="K273" s="19"/>
      <c r="L273" s="19"/>
      <c r="N273" s="33" t="s">
        <v>67</v>
      </c>
      <c r="O273" s="34">
        <f>IF(O262&gt;0,(O262&amp;4)*1,"")</f>
        <v>14</v>
      </c>
      <c r="Q273" s="85"/>
      <c r="R273" s="85"/>
      <c r="S273" s="85"/>
      <c r="T273" s="242"/>
      <c r="U273" s="244" t="str">
        <f>IF(AND(N273&lt;&gt;"",N274=""),CONCATENATE(VLOOKUP(N273,[2]zawodnicy!$A$1:$E$65536,1,FALSE)," ",VLOOKUP(N273,[2]zawodnicy!$A$1:$E$65536,2,FALSE)," ",VLOOKUP(N273,[2]zawodnicy!$A$1:$E$65536,3,FALSE)," - ",VLOOKUP(N273,[2]zawodnicy!$A$1:$E$65536,4,FALSE)),"")</f>
        <v/>
      </c>
      <c r="V273" s="245"/>
      <c r="W273" s="246"/>
      <c r="X273" s="61" t="str">
        <f>IF(SUM(AQ268:AR268)=0,"",AR268&amp;":"&amp;AQ268)</f>
        <v>22:20</v>
      </c>
      <c r="Y273" s="36" t="str">
        <f>IF(SUM(AQ267:AR267)=0,"",AR267&amp;":"&amp;AQ267)</f>
        <v>21:17</v>
      </c>
      <c r="Z273" s="36" t="str">
        <f>IF(SUM(AQ270:AR270)=0,"",AR270&amp;":"&amp;AQ270)</f>
        <v>21:12</v>
      </c>
      <c r="AA273" s="166"/>
      <c r="AB273" s="242"/>
      <c r="AC273" s="251"/>
      <c r="AD273" s="251"/>
      <c r="AE273" s="254"/>
      <c r="AF273" s="12"/>
      <c r="AG273" s="1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row>
    <row r="274" spans="1:64" ht="11.45" customHeight="1" thickBot="1" x14ac:dyDescent="0.25">
      <c r="A274" s="2"/>
      <c r="J274" s="28"/>
      <c r="K274" s="28"/>
      <c r="L274" s="28"/>
      <c r="N274" s="38" t="s">
        <v>30</v>
      </c>
      <c r="O274" s="28"/>
      <c r="P274" s="28"/>
      <c r="Q274" s="2"/>
      <c r="R274" s="2"/>
      <c r="S274" s="2"/>
      <c r="T274" s="243"/>
      <c r="U274" s="256" t="str">
        <f>IF(N274&lt;&gt;"",CONCATENATE(VLOOKUP(N274,[2]zawodnicy!$A$1:$E$65536,1,FALSE)," ",VLOOKUP(N274,[2]zawodnicy!$A$1:$E$65536,2,FALSE)," ",VLOOKUP(N274,[2]zawodnicy!$A$1:$E$65536,3,FALSE)," - ",VLOOKUP(N274,[2]zawodnicy!$A$1:$E$65536,4,FALSE)),"")</f>
        <v>P2838 Aleksandra PAPRZYCKA - MKB Lednik Miastko</v>
      </c>
      <c r="V274" s="257"/>
      <c r="W274" s="258"/>
      <c r="X274" s="87" t="str">
        <f>IF(SUM(AS268:AT268)=0,"",AT268&amp;":"&amp;AS268)</f>
        <v>7:21</v>
      </c>
      <c r="Y274" s="88" t="str">
        <f>IF(SUM(AS267:AT267)=0,"",AT267&amp;":"&amp;AS267)</f>
        <v>11:21</v>
      </c>
      <c r="Z274" s="88" t="str">
        <f>IF(SUM(AS270:AT270)=0,"",AT270&amp;":"&amp;AS270)</f>
        <v/>
      </c>
      <c r="AA274" s="89"/>
      <c r="AB274" s="243"/>
      <c r="AC274" s="252"/>
      <c r="AD274" s="252"/>
      <c r="AE274" s="255"/>
      <c r="AF274" s="12"/>
      <c r="AG274" s="1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row>
    <row r="275" spans="1:64" ht="5.0999999999999996" customHeight="1" thickBot="1" x14ac:dyDescent="0.25">
      <c r="BK275" s="19"/>
      <c r="BL275" s="20"/>
    </row>
    <row r="276" spans="1:64" ht="11.45" customHeight="1" thickBot="1" x14ac:dyDescent="0.25">
      <c r="N276" s="11"/>
      <c r="O276" s="21">
        <v>2</v>
      </c>
      <c r="Q276" s="277" t="str">
        <f>"Grupa "&amp;O276&amp;"."</f>
        <v>Grupa 2.</v>
      </c>
      <c r="R276" s="277"/>
      <c r="S276" s="277"/>
      <c r="T276" s="22" t="s">
        <v>1</v>
      </c>
      <c r="U276" s="278" t="s">
        <v>2</v>
      </c>
      <c r="V276" s="279"/>
      <c r="W276" s="280"/>
      <c r="X276" s="22">
        <v>1</v>
      </c>
      <c r="Y276" s="23">
        <v>2</v>
      </c>
      <c r="Z276" s="24">
        <v>3</v>
      </c>
      <c r="AA276" s="25" t="s">
        <v>3</v>
      </c>
      <c r="AB276" s="26" t="s">
        <v>4</v>
      </c>
      <c r="AC276" s="26" t="s">
        <v>5</v>
      </c>
      <c r="AD276" s="27" t="s">
        <v>6</v>
      </c>
      <c r="AE276" s="2"/>
      <c r="AF276" s="12"/>
      <c r="AG276" s="12"/>
      <c r="BK276" s="19"/>
      <c r="BL276" s="20"/>
    </row>
    <row r="277" spans="1:64" ht="11.45" customHeight="1" x14ac:dyDescent="0.2">
      <c r="J277" s="28"/>
      <c r="K277" s="28"/>
      <c r="L277" s="28"/>
      <c r="N277" s="29" t="s">
        <v>73</v>
      </c>
      <c r="Q277" s="274" t="s">
        <v>7</v>
      </c>
      <c r="R277" s="274"/>
      <c r="S277" s="275" t="s">
        <v>8</v>
      </c>
      <c r="T277" s="276">
        <v>1</v>
      </c>
      <c r="U277" s="244" t="str">
        <f>IF(AND(N278&lt;&gt;"",N279&lt;&gt;""),CONCATENATE(VLOOKUP(N278,[2]zawodnicy!$A$1:$E$65536,1,FALSE)," ",VLOOKUP(N278,[2]zawodnicy!$A$1:$E$65536,2,FALSE)," ",VLOOKUP(N278,[2]zawodnicy!$A$1:$E$65536,3,FALSE)," - ",VLOOKUP(N278,[2]zawodnicy!$A$1:$E$65536,4,FALSE)),"")</f>
        <v>O3926 Sebastian OBRYCKI - LKS Technik Głubczyce</v>
      </c>
      <c r="V277" s="245"/>
      <c r="W277" s="246"/>
      <c r="X277" s="30"/>
      <c r="Y277" s="31" t="str">
        <f>IF(SUM(AO282:AP282)=0,"",AO282&amp;":"&amp;AP282)</f>
        <v>21:17</v>
      </c>
      <c r="Z277" s="32" t="str">
        <f>IF(SUM(AO280:AP280)=0,"",AO280&amp;":"&amp;AP280)</f>
        <v>11:21</v>
      </c>
      <c r="AA277" s="270" t="str">
        <f>IF(SUM(AY280:BB280)=0,"",BE280&amp;":"&amp;BF280)</f>
        <v>77:101</v>
      </c>
      <c r="AB277" s="271" t="str">
        <f>IF(SUM(AY280:BB280)=0,"",BG280&amp;":"&amp;BH280)</f>
        <v>1:4</v>
      </c>
      <c r="AC277" s="271" t="str">
        <f>IF(SUM(AY280:BB280)=0,"",BI280&amp;":"&amp;BJ280)</f>
        <v>0:2</v>
      </c>
      <c r="AD277" s="272">
        <f>IF(SUM(BI280:BI282)&gt;0,BK280,"")</f>
        <v>3</v>
      </c>
      <c r="AE277" s="2"/>
      <c r="AF277" s="12"/>
      <c r="AG277" s="12"/>
      <c r="AH277" s="14"/>
      <c r="AI277" s="273" t="s">
        <v>9</v>
      </c>
      <c r="AJ277" s="273"/>
      <c r="AK277" s="273"/>
      <c r="AL277" s="273"/>
      <c r="AM277" s="273"/>
      <c r="AN277" s="273"/>
      <c r="AO277" s="273" t="s">
        <v>10</v>
      </c>
      <c r="AP277" s="273"/>
      <c r="AQ277" s="273"/>
      <c r="AR277" s="273"/>
      <c r="AS277" s="273"/>
      <c r="AT277" s="273"/>
      <c r="BK277" s="19"/>
      <c r="BL277" s="20"/>
    </row>
    <row r="278" spans="1:64" ht="11.45" customHeight="1" thickBot="1" x14ac:dyDescent="0.25">
      <c r="I278" s="2" t="str">
        <f>"1"&amp;O276&amp;N277</f>
        <v>12mieszana J</v>
      </c>
      <c r="J278" s="10" t="str">
        <f>IF(AD277="","",IF(AD277=1,N278,IF(AD280=1,N281,IF(AD283=1,N284,""))))</f>
        <v>N3148</v>
      </c>
      <c r="K278" s="10" t="str">
        <f>IF(AD277="","",IF(AD277=1,N279,IF(AD280=1,N282,IF(AD283=1,N285,""))))</f>
        <v>T3157</v>
      </c>
      <c r="L278" s="10"/>
      <c r="N278" s="33" t="s">
        <v>50</v>
      </c>
      <c r="O278" s="34">
        <f>IF(O276&gt;0,(O276&amp;1)*1,"")</f>
        <v>21</v>
      </c>
      <c r="Q278" s="274"/>
      <c r="R278" s="274"/>
      <c r="S278" s="275"/>
      <c r="T278" s="242"/>
      <c r="U278" s="244" t="str">
        <f>IF(AND(N278&lt;&gt;"",N279=""),CONCATENATE(VLOOKUP(N278,[2]zawodnicy!$A$1:$E$65536,1,FALSE)," ",VLOOKUP(N278,[2]zawodnicy!$A$1:$E$65536,2,FALSE)," ",VLOOKUP(N278,[2]zawodnicy!$A$1:$E$65536,3,FALSE)," - ",VLOOKUP(N278,[2]zawodnicy!$A$1:$E$65536,4,FALSE)),"")</f>
        <v/>
      </c>
      <c r="V278" s="245"/>
      <c r="W278" s="246"/>
      <c r="X278" s="35"/>
      <c r="Y278" s="36" t="str">
        <f>IF(SUM(AQ282:AR282)=0,"",AQ282&amp;":"&amp;AR282)</f>
        <v>11:21</v>
      </c>
      <c r="Z278" s="37" t="str">
        <f>IF(SUM(AQ280:AR280)=0,"",AQ280&amp;":"&amp;AR280)</f>
        <v>15:21</v>
      </c>
      <c r="AA278" s="248"/>
      <c r="AB278" s="251"/>
      <c r="AC278" s="251"/>
      <c r="AD278" s="254"/>
      <c r="AE278" s="2"/>
      <c r="AF278" s="12"/>
      <c r="AG278" s="12"/>
      <c r="AH278" s="14"/>
      <c r="BE278" s="19">
        <f>SUM(BE280:BE282)</f>
        <v>244</v>
      </c>
      <c r="BF278" s="19">
        <f>SUM(BF280:BF282)</f>
        <v>244</v>
      </c>
      <c r="BG278" s="19">
        <f>SUM(BG280:BG282)</f>
        <v>7</v>
      </c>
      <c r="BH278" s="19">
        <f>SUM(BH280:BH282)</f>
        <v>7</v>
      </c>
      <c r="BK278" s="19"/>
      <c r="BL278" s="20"/>
    </row>
    <row r="279" spans="1:64" ht="11.45" customHeight="1" thickBot="1" x14ac:dyDescent="0.25">
      <c r="J279" s="10"/>
      <c r="K279" s="28"/>
      <c r="L279" s="28"/>
      <c r="N279" s="38" t="s">
        <v>60</v>
      </c>
      <c r="O279" s="28"/>
      <c r="P279" s="28"/>
      <c r="Q279" s="274"/>
      <c r="R279" s="274"/>
      <c r="S279" s="275"/>
      <c r="T279" s="261"/>
      <c r="U279" s="265" t="str">
        <f>IF(N279&lt;&gt;"",CONCATENATE(VLOOKUP(N279,[2]zawodnicy!$A$1:$E$65536,1,FALSE)," ",VLOOKUP(N279,[2]zawodnicy!$A$1:$E$65536,2,FALSE)," ",VLOOKUP(N279,[2]zawodnicy!$A$1:$E$65536,3,FALSE)," - ",VLOOKUP(N279,[2]zawodnicy!$A$1:$E$65536,4,FALSE)),"")</f>
        <v>B3862 Aleksandra BIAŁEK - UKS Start Widełka</v>
      </c>
      <c r="V279" s="266"/>
      <c r="W279" s="267"/>
      <c r="X279" s="35"/>
      <c r="Y279" s="39" t="str">
        <f>IF(SUM(AS282:AT282)=0,"",AS282&amp;":"&amp;AT282)</f>
        <v>19:21</v>
      </c>
      <c r="Z279" s="40" t="str">
        <f>IF(SUM(AS280:AT280)=0,"",AS280&amp;":"&amp;AT280)</f>
        <v/>
      </c>
      <c r="AA279" s="262"/>
      <c r="AB279" s="263"/>
      <c r="AC279" s="263"/>
      <c r="AD279" s="264"/>
      <c r="AE279" s="2"/>
      <c r="AF279" s="12"/>
      <c r="AG279" s="12"/>
      <c r="AH279" s="14"/>
      <c r="AI279" s="259" t="s">
        <v>12</v>
      </c>
      <c r="AJ279" s="269"/>
      <c r="AK279" s="268" t="s">
        <v>13</v>
      </c>
      <c r="AL279" s="269"/>
      <c r="AM279" s="268" t="s">
        <v>14</v>
      </c>
      <c r="AN279" s="260"/>
      <c r="AO279" s="259" t="s">
        <v>12</v>
      </c>
      <c r="AP279" s="269"/>
      <c r="AQ279" s="268" t="s">
        <v>13</v>
      </c>
      <c r="AR279" s="269"/>
      <c r="AS279" s="268" t="s">
        <v>14</v>
      </c>
      <c r="AT279" s="269"/>
      <c r="AU279" s="12"/>
      <c r="AV279" s="12"/>
      <c r="AW279" s="259">
        <v>1</v>
      </c>
      <c r="AX279" s="269"/>
      <c r="AY279" s="268">
        <v>2</v>
      </c>
      <c r="AZ279" s="269"/>
      <c r="BA279" s="268">
        <v>3</v>
      </c>
      <c r="BB279" s="260"/>
      <c r="BE279" s="259" t="s">
        <v>3</v>
      </c>
      <c r="BF279" s="260"/>
      <c r="BG279" s="259" t="s">
        <v>4</v>
      </c>
      <c r="BH279" s="260"/>
      <c r="BI279" s="259" t="s">
        <v>5</v>
      </c>
      <c r="BJ279" s="260"/>
      <c r="BK279" s="41" t="s">
        <v>6</v>
      </c>
      <c r="BL279" s="20"/>
    </row>
    <row r="280" spans="1:64" ht="11.45" customHeight="1" x14ac:dyDescent="0.2">
      <c r="A280" s="19">
        <f>S280</f>
        <v>41</v>
      </c>
      <c r="B280" s="2" t="str">
        <f>IF(N278="","",N278)</f>
        <v>O3926</v>
      </c>
      <c r="C280" s="2" t="str">
        <f>IF(N279="","",N279)</f>
        <v>B3862</v>
      </c>
      <c r="D280" s="2" t="str">
        <f>IF(N284="","",N284)</f>
        <v>L3566</v>
      </c>
      <c r="E280" s="2" t="str">
        <f>IF(N285="","",N285)</f>
        <v>P3555</v>
      </c>
      <c r="I280" s="2" t="str">
        <f>"2"&amp;O276&amp;N277</f>
        <v>22mieszana J</v>
      </c>
      <c r="J280" s="10" t="str">
        <f>IF(AD280="","",IF(AD277=2,N278,IF(AD280=2,N281,IF(AD283=2,N284,""))))</f>
        <v>L3566</v>
      </c>
      <c r="K280" s="10" t="str">
        <f>IF(AD280="","",IF(AD277=2,N279,IF(AD280=2,N282,IF(AD283=2,N285,""))))</f>
        <v>P3555</v>
      </c>
      <c r="M280" s="42" t="str">
        <f>N277</f>
        <v>mieszana J</v>
      </c>
      <c r="O280" s="28"/>
      <c r="P280" s="28"/>
      <c r="Q280" s="43" t="str">
        <f>IF(AU280&gt;0,"",IF(A280=0,"",IF(VLOOKUP(A280,'[2]plan gier'!A$1:S$65536,19,FALSE)="","",VLOOKUP(A280,'[2]plan gier'!A$1:S$65536,19,FALSE))))</f>
        <v/>
      </c>
      <c r="R280" s="44" t="s">
        <v>15</v>
      </c>
      <c r="S280" s="45">
        <v>41</v>
      </c>
      <c r="T280" s="241">
        <v>2</v>
      </c>
      <c r="U280" s="244" t="str">
        <f>IF(AND(N281&lt;&gt;"",N282&lt;&gt;""),CONCATENATE(VLOOKUP(N281,[2]zawodnicy!$A$1:$E$65536,1,FALSE)," ",VLOOKUP(N281,[2]zawodnicy!$A$1:$E$65536,2,FALSE)," ",VLOOKUP(N281,[2]zawodnicy!$A$1:$E$65536,3,FALSE)," - ",VLOOKUP(N281,[2]zawodnicy!$A$1:$E$65536,4,FALSE)),"")</f>
        <v>N3148 Kamil NASIŁOWSKI - UKSB Milenium Warszawa</v>
      </c>
      <c r="V280" s="245"/>
      <c r="W280" s="246"/>
      <c r="X280" s="46" t="str">
        <f>IF(SUM(AO282:AP282)=0,"",AP282&amp;":"&amp;AO282)</f>
        <v>17:21</v>
      </c>
      <c r="Y280" s="47"/>
      <c r="Z280" s="48" t="str">
        <f>IF(SUM(AO281:AP281)=0,"",AO281&amp;":"&amp;AP281)</f>
        <v>21:15</v>
      </c>
      <c r="AA280" s="247" t="str">
        <f>IF(SUM(AW281:AX281,BA281:BB281)=0,"",BE281&amp;":"&amp;BF281)</f>
        <v>101:75</v>
      </c>
      <c r="AB280" s="250" t="str">
        <f>IF(SUM(AW281:AX281,BA281:BB281)=0,"",BG281&amp;":"&amp;BH281)</f>
        <v>4:1</v>
      </c>
      <c r="AC280" s="250" t="str">
        <f>IF(SUM(AW281:AX281,BA281:BB281)=0,"",BI281&amp;":"&amp;BJ281)</f>
        <v>2:0</v>
      </c>
      <c r="AD280" s="253">
        <f>IF(SUM(BI280:BI282)&gt;0,BK281,"")</f>
        <v>1</v>
      </c>
      <c r="AE280" s="2"/>
      <c r="AF280" s="12"/>
      <c r="AG280" s="12"/>
      <c r="AH280" s="44" t="s">
        <v>15</v>
      </c>
      <c r="AI280" s="49">
        <f>IF(ISBLANK(S280),"",VLOOKUP(S280,'[2]plan gier'!$X$1:$AN$65536,12,FALSE))</f>
        <v>11</v>
      </c>
      <c r="AJ280" s="50">
        <f>IF(ISBLANK(S280),"",VLOOKUP(S280,'[2]plan gier'!$X$1:$AN$65536,13,FALSE))</f>
        <v>21</v>
      </c>
      <c r="AK280" s="50">
        <f>IF(ISBLANK(S280),"",VLOOKUP(S280,'[2]plan gier'!$X$1:$AN$65536,14,FALSE))</f>
        <v>15</v>
      </c>
      <c r="AL280" s="50">
        <f>IF(ISBLANK(S280),"",VLOOKUP(S280,'[2]plan gier'!$X$1:$AN$65536,15,FALSE))</f>
        <v>21</v>
      </c>
      <c r="AM280" s="50">
        <f>IF(ISBLANK(S280),"",VLOOKUP(S280,'[2]plan gier'!$X$1:$AN$65536,16,FALSE))</f>
        <v>0</v>
      </c>
      <c r="AN280" s="50">
        <f>IF(ISBLANK(S280),"",VLOOKUP(S280,'[2]plan gier'!$X$1:$AN$65536,17,FALSE))</f>
        <v>0</v>
      </c>
      <c r="AO280" s="51">
        <f t="shared" ref="AO280:AT282" si="27">IF(AI280="",0,AI280)</f>
        <v>11</v>
      </c>
      <c r="AP280" s="52">
        <f t="shared" si="27"/>
        <v>21</v>
      </c>
      <c r="AQ280" s="53">
        <f t="shared" si="27"/>
        <v>15</v>
      </c>
      <c r="AR280" s="52">
        <f t="shared" si="27"/>
        <v>21</v>
      </c>
      <c r="AS280" s="53">
        <f t="shared" si="27"/>
        <v>0</v>
      </c>
      <c r="AT280" s="52">
        <f t="shared" si="27"/>
        <v>0</v>
      </c>
      <c r="AU280" s="54">
        <f>SUM(AO280:AT280)</f>
        <v>68</v>
      </c>
      <c r="AV280" s="13">
        <v>1</v>
      </c>
      <c r="AW280" s="55"/>
      <c r="AX280" s="56"/>
      <c r="AY280" s="50">
        <f>IF(AI282&gt;AJ282,1,0)+IF(AK282&gt;AL282,1,0)+IF(AM282&gt;AN282,1,0)</f>
        <v>1</v>
      </c>
      <c r="AZ280" s="50">
        <f>AW281</f>
        <v>2</v>
      </c>
      <c r="BA280" s="50">
        <f>IF(AI280&gt;AJ280,1,0)+IF(AK280&gt;AL280,1,0)+IF(AM280&gt;AN280,1,0)</f>
        <v>0</v>
      </c>
      <c r="BB280" s="57">
        <f>AW282</f>
        <v>2</v>
      </c>
      <c r="BE280" s="49">
        <f>AO280+AQ280+AS280+AO282+AQ282+AS282</f>
        <v>77</v>
      </c>
      <c r="BF280" s="57">
        <f>AP280+AR280+AT280+AP282+AR282+AT282</f>
        <v>101</v>
      </c>
      <c r="BG280" s="49">
        <f>AY280+BA280</f>
        <v>1</v>
      </c>
      <c r="BH280" s="57">
        <f>AZ280+BB280</f>
        <v>4</v>
      </c>
      <c r="BI280" s="49">
        <f>IF(AY280&gt;AZ280,1,0)+IF(BA280&gt;BB280,1,0)</f>
        <v>0</v>
      </c>
      <c r="BJ280" s="58">
        <f>IF(AZ280&gt;AY280,1,0)+IF(BB280&gt;BA280,1,0)</f>
        <v>2</v>
      </c>
      <c r="BK280" s="59">
        <f>IF(BI280+BJ280=0,"",IF(BL280=MAX(BL280:BL282),1,IF(BL280=MIN(BL280:BL282),3,2)))</f>
        <v>3</v>
      </c>
      <c r="BL280" s="60">
        <f>IF(BI280+BJ280&lt;&gt;0,BI280+1+(BG280-BH280)/100+(BE280-BF280)/100000+(BE280/BF280)/1000000,0)</f>
        <v>0.96976076237623754</v>
      </c>
    </row>
    <row r="281" spans="1:64" ht="11.45" customHeight="1" x14ac:dyDescent="0.2">
      <c r="A281" s="19">
        <f>S281</f>
        <v>106</v>
      </c>
      <c r="B281" s="2" t="str">
        <f>IF(N281="","",N281)</f>
        <v>N3148</v>
      </c>
      <c r="C281" s="2" t="str">
        <f>IF(N282="","",N282)</f>
        <v>T3157</v>
      </c>
      <c r="D281" s="2" t="str">
        <f>IF(N284="","",N284)</f>
        <v>L3566</v>
      </c>
      <c r="E281" s="2" t="str">
        <f>IF(N285="","",N285)</f>
        <v>P3555</v>
      </c>
      <c r="J281" s="10"/>
      <c r="K281" s="19"/>
      <c r="M281" s="42" t="str">
        <f>N277</f>
        <v>mieszana J</v>
      </c>
      <c r="N281" s="33" t="s">
        <v>65</v>
      </c>
      <c r="O281" s="34">
        <f>IF(O276&gt;0,(O276&amp;2)*1,"")</f>
        <v>22</v>
      </c>
      <c r="Q281" s="43" t="str">
        <f>IF(AU281&gt;0,"",IF(A281=0,"",IF(VLOOKUP(A281,'[2]plan gier'!A$1:S$65536,19,FALSE)="","",VLOOKUP(A281,'[2]plan gier'!A$1:S$65536,19,FALSE))))</f>
        <v/>
      </c>
      <c r="R281" s="44" t="s">
        <v>17</v>
      </c>
      <c r="S281" s="45">
        <v>106</v>
      </c>
      <c r="T281" s="242"/>
      <c r="U281" s="244" t="str">
        <f>IF(AND(N281&lt;&gt;"",N282=""),CONCATENATE(VLOOKUP(N281,[2]zawodnicy!$A$1:$E$65536,1,FALSE)," ",VLOOKUP(N281,[2]zawodnicy!$A$1:$E$65536,2,FALSE)," ",VLOOKUP(N281,[2]zawodnicy!$A$1:$E$65536,3,FALSE)," - ",VLOOKUP(N281,[2]zawodnicy!$A$1:$E$65536,4,FALSE)),"")</f>
        <v/>
      </c>
      <c r="V281" s="245"/>
      <c r="W281" s="246"/>
      <c r="X281" s="61" t="str">
        <f>IF(SUM(AQ282:AR282)=0,"",AR282&amp;":"&amp;AQ282)</f>
        <v>21:11</v>
      </c>
      <c r="Y281" s="62"/>
      <c r="Z281" s="37" t="str">
        <f>IF(SUM(AQ281:AR281)=0,"",AQ281&amp;":"&amp;AR281)</f>
        <v>21:9</v>
      </c>
      <c r="AA281" s="248"/>
      <c r="AB281" s="251"/>
      <c r="AC281" s="251"/>
      <c r="AD281" s="254"/>
      <c r="AE281" s="2"/>
      <c r="AF281" s="12"/>
      <c r="AG281" s="12"/>
      <c r="AH281" s="44" t="s">
        <v>17</v>
      </c>
      <c r="AI281" s="63">
        <f>IF(ISBLANK(S281),"",VLOOKUP(S281,'[2]plan gier'!$X$1:$AN$65536,12,FALSE))</f>
        <v>21</v>
      </c>
      <c r="AJ281" s="64">
        <f>IF(ISBLANK(S281),"",VLOOKUP(S281,'[2]plan gier'!$X$1:$AN$65536,13,FALSE))</f>
        <v>15</v>
      </c>
      <c r="AK281" s="64">
        <f>IF(ISBLANK(S281),"",VLOOKUP(S281,'[2]plan gier'!$X$1:$AN$65536,14,FALSE))</f>
        <v>21</v>
      </c>
      <c r="AL281" s="64">
        <f>IF(ISBLANK(S281),"",VLOOKUP(S281,'[2]plan gier'!$X$1:$AN$65536,15,FALSE))</f>
        <v>9</v>
      </c>
      <c r="AM281" s="64">
        <f>IF(ISBLANK(S281),"",VLOOKUP(S281,'[2]plan gier'!$X$1:$AN$65536,16,FALSE))</f>
        <v>0</v>
      </c>
      <c r="AN281" s="64">
        <f>IF(ISBLANK(S281),"",VLOOKUP(S281,'[2]plan gier'!$X$1:$AN$65536,17,FALSE))</f>
        <v>0</v>
      </c>
      <c r="AO281" s="65">
        <f t="shared" si="27"/>
        <v>21</v>
      </c>
      <c r="AP281" s="64">
        <f t="shared" si="27"/>
        <v>15</v>
      </c>
      <c r="AQ281" s="66">
        <f t="shared" si="27"/>
        <v>21</v>
      </c>
      <c r="AR281" s="64">
        <f t="shared" si="27"/>
        <v>9</v>
      </c>
      <c r="AS281" s="66">
        <f t="shared" si="27"/>
        <v>0</v>
      </c>
      <c r="AT281" s="64">
        <f t="shared" si="27"/>
        <v>0</v>
      </c>
      <c r="AU281" s="54">
        <f>SUM(AO281:AT281)</f>
        <v>66</v>
      </c>
      <c r="AV281" s="13">
        <v>2</v>
      </c>
      <c r="AW281" s="63">
        <f>IF(AI282&lt;AJ282,1,0)+IF(AK282&lt;AL282,1,0)+IF(AM282&lt;AN282,1,0)</f>
        <v>2</v>
      </c>
      <c r="AX281" s="64">
        <f>AY280</f>
        <v>1</v>
      </c>
      <c r="AY281" s="67"/>
      <c r="AZ281" s="68"/>
      <c r="BA281" s="64">
        <f>IF(AI281&gt;AJ281,1,0)+IF(AK281&gt;AL281,1,0)+IF(AM281&gt;AN281,1,0)</f>
        <v>2</v>
      </c>
      <c r="BB281" s="69">
        <f>AY282</f>
        <v>0</v>
      </c>
      <c r="BE281" s="63">
        <f>AO281+AQ281+AS281+AP282+AR282+AT282</f>
        <v>101</v>
      </c>
      <c r="BF281" s="69">
        <f>AP281+AR281+AT281+AO282+AQ282+AS282</f>
        <v>75</v>
      </c>
      <c r="BG281" s="63">
        <f>AW281+BA281</f>
        <v>4</v>
      </c>
      <c r="BH281" s="69">
        <f>AX281+BB281</f>
        <v>1</v>
      </c>
      <c r="BI281" s="63">
        <f>IF(AW281&gt;AX281,1,0)+IF(BA281&gt;BB281,1,0)</f>
        <v>2</v>
      </c>
      <c r="BJ281" s="70">
        <f>IF(AX281&gt;AW281,1,0)+IF(BB281&gt;BA281,1,0)</f>
        <v>0</v>
      </c>
      <c r="BK281" s="71">
        <f>IF(BI281+BJ281=0,"",IF(BL281=MAX(BL280:BL282),1,IF(BL281=MIN(BL280:BL282),3,2)))</f>
        <v>1</v>
      </c>
      <c r="BL281" s="60">
        <f>IF(BI281+BJ281&lt;&gt;0,BI281+1+(BG281-BH281)/100+(BE281-BF281)/100000+(BE281/BF281)/1000000,0)</f>
        <v>3.0302613466666664</v>
      </c>
    </row>
    <row r="282" spans="1:64" ht="11.45" customHeight="1" thickBot="1" x14ac:dyDescent="0.25">
      <c r="A282" s="19">
        <f>S282</f>
        <v>171</v>
      </c>
      <c r="B282" s="2" t="str">
        <f>IF(N278="","",N278)</f>
        <v>O3926</v>
      </c>
      <c r="C282" s="2" t="str">
        <f>IF(N279="","",N279)</f>
        <v>B3862</v>
      </c>
      <c r="D282" s="2" t="str">
        <f>IF(N281="","",N281)</f>
        <v>N3148</v>
      </c>
      <c r="E282" s="2" t="str">
        <f>IF(N282="","",N282)</f>
        <v>T3157</v>
      </c>
      <c r="I282" s="2" t="str">
        <f>"3"&amp;O276&amp;N277</f>
        <v>32mieszana J</v>
      </c>
      <c r="J282" s="10" t="str">
        <f>IF(AD283="","",IF(AD277=3,N278,IF(AD280=3,N281,IF(AD283=3,N284,""))))</f>
        <v>O3926</v>
      </c>
      <c r="K282" s="10" t="str">
        <f>IF(AD283="","",IF(AD277=3,N279,IF(AD280=3,N282,IF(AD283=3,N285,""))))</f>
        <v>B3862</v>
      </c>
      <c r="M282" s="42" t="str">
        <f>N277</f>
        <v>mieszana J</v>
      </c>
      <c r="N282" s="38" t="s">
        <v>59</v>
      </c>
      <c r="O282" s="28"/>
      <c r="P282" s="28"/>
      <c r="Q282" s="43" t="str">
        <f>IF(AU282&gt;0,"",IF(A282=0,"",IF(VLOOKUP(A282,'[2]plan gier'!A$1:S$65536,19,FALSE)="","",VLOOKUP(A282,'[2]plan gier'!A$1:S$65536,19,FALSE))))</f>
        <v/>
      </c>
      <c r="R282" s="72" t="s">
        <v>18</v>
      </c>
      <c r="S282" s="45">
        <v>171</v>
      </c>
      <c r="T282" s="261"/>
      <c r="U282" s="265" t="str">
        <f>IF(N282&lt;&gt;"",CONCATENATE(VLOOKUP(N282,[2]zawodnicy!$A$1:$E$65536,1,FALSE)," ",VLOOKUP(N282,[2]zawodnicy!$A$1:$E$65536,2,FALSE)," ",VLOOKUP(N282,[2]zawodnicy!$A$1:$E$65536,3,FALSE)," - ",VLOOKUP(N282,[2]zawodnicy!$A$1:$E$65536,4,FALSE)),"")</f>
        <v>T3157 Adrianna TATAJ - UKSB Milenium Warszawa</v>
      </c>
      <c r="V282" s="266"/>
      <c r="W282" s="267"/>
      <c r="X282" s="73" t="str">
        <f>IF(SUM(AS282:AT282)=0,"",AT282&amp;":"&amp;AS282)</f>
        <v>21:19</v>
      </c>
      <c r="Y282" s="62"/>
      <c r="Z282" s="40" t="str">
        <f>IF(SUM(AS281:AT281)=0,"",AS281&amp;":"&amp;AT281)</f>
        <v/>
      </c>
      <c r="AA282" s="262"/>
      <c r="AB282" s="263"/>
      <c r="AC282" s="263"/>
      <c r="AD282" s="264"/>
      <c r="AE282" s="2"/>
      <c r="AF282" s="12"/>
      <c r="AG282" s="12"/>
      <c r="AH282" s="72" t="s">
        <v>18</v>
      </c>
      <c r="AI282" s="74">
        <f>IF(ISBLANK(S282),"",VLOOKUP(S282,'[2]plan gier'!$X$1:$AN$65536,12,FALSE))</f>
        <v>21</v>
      </c>
      <c r="AJ282" s="75">
        <f>IF(ISBLANK(S282),"",VLOOKUP(S282,'[2]plan gier'!$X$1:$AN$65536,13,FALSE))</f>
        <v>17</v>
      </c>
      <c r="AK282" s="75">
        <f>IF(ISBLANK(S282),"",VLOOKUP(S282,'[2]plan gier'!$X$1:$AN$65536,14,FALSE))</f>
        <v>11</v>
      </c>
      <c r="AL282" s="75">
        <f>IF(ISBLANK(S282),"",VLOOKUP(S282,'[2]plan gier'!$X$1:$AN$65536,15,FALSE))</f>
        <v>21</v>
      </c>
      <c r="AM282" s="75">
        <f>IF(ISBLANK(S282),"",VLOOKUP(S282,'[2]plan gier'!$X$1:$AN$65536,16,FALSE))</f>
        <v>19</v>
      </c>
      <c r="AN282" s="75">
        <f>IF(ISBLANK(S282),"",VLOOKUP(S282,'[2]plan gier'!$X$1:$AN$65536,17,FALSE))</f>
        <v>21</v>
      </c>
      <c r="AO282" s="76">
        <f t="shared" si="27"/>
        <v>21</v>
      </c>
      <c r="AP282" s="75">
        <f t="shared" si="27"/>
        <v>17</v>
      </c>
      <c r="AQ282" s="77">
        <f t="shared" si="27"/>
        <v>11</v>
      </c>
      <c r="AR282" s="75">
        <f t="shared" si="27"/>
        <v>21</v>
      </c>
      <c r="AS282" s="77">
        <f t="shared" si="27"/>
        <v>19</v>
      </c>
      <c r="AT282" s="75">
        <f t="shared" si="27"/>
        <v>21</v>
      </c>
      <c r="AU282" s="54">
        <f>SUM(AO282:AT282)</f>
        <v>110</v>
      </c>
      <c r="AV282" s="13">
        <v>3</v>
      </c>
      <c r="AW282" s="74">
        <f>IF(AI280&lt;AJ280,1,0)+IF(AK280&lt;AL280,1,0)+IF(AM280&lt;AN280,1,0)</f>
        <v>2</v>
      </c>
      <c r="AX282" s="75">
        <f>BA280</f>
        <v>0</v>
      </c>
      <c r="AY282" s="75">
        <f>IF(AI281&lt;AJ281,1,0)+IF(AK281&lt;AL281,1,0)+IF(AM281&lt;AN281,1,0)</f>
        <v>0</v>
      </c>
      <c r="AZ282" s="75">
        <f>BA281</f>
        <v>2</v>
      </c>
      <c r="BA282" s="78"/>
      <c r="BB282" s="79"/>
      <c r="BE282" s="74">
        <f>AP280+AR280+AT280+AP281+AR281+AT281</f>
        <v>66</v>
      </c>
      <c r="BF282" s="80">
        <f>AO280+AQ280+AS280+AO281+AQ281+AS281</f>
        <v>68</v>
      </c>
      <c r="BG282" s="74">
        <f>AW282+AY282</f>
        <v>2</v>
      </c>
      <c r="BH282" s="80">
        <f>AX282+AZ282</f>
        <v>2</v>
      </c>
      <c r="BI282" s="74">
        <f>IF(AW282&gt;AX282,1,0)+IF(AY282&gt;AZ282,1,0)</f>
        <v>1</v>
      </c>
      <c r="BJ282" s="81">
        <f>IF(AX282&gt;AW282,1,0)+IF(AZ282&gt;AY282,1,0)</f>
        <v>1</v>
      </c>
      <c r="BK282" s="82">
        <f>IF(BI282+BJ282=0,"",IF(BL282=MAX(BL280:BL282),1,IF(BL282=MIN(BL280:BL282),3,2)))</f>
        <v>2</v>
      </c>
      <c r="BL282" s="60">
        <f>IF(BI282+BJ282&lt;&gt;0,BI282+1+(BG282-BH282)/100+(BE282-BF282)/100000+(BE282/BF282)/1000000,0)</f>
        <v>1.9999809705882354</v>
      </c>
    </row>
    <row r="283" spans="1:64" ht="11.45" customHeight="1" x14ac:dyDescent="0.2">
      <c r="A283" s="2"/>
      <c r="J283" s="28"/>
      <c r="K283" s="28"/>
      <c r="L283" s="28"/>
      <c r="O283" s="28"/>
      <c r="P283" s="28"/>
      <c r="Q283" s="2"/>
      <c r="R283" s="2"/>
      <c r="S283" s="2"/>
      <c r="T283" s="241">
        <v>3</v>
      </c>
      <c r="U283" s="244" t="str">
        <f>IF(AND(N284&lt;&gt;"",N285&lt;&gt;""),CONCATENATE(VLOOKUP(N284,[2]zawodnicy!$A$1:$E$65536,1,FALSE)," ",VLOOKUP(N284,[2]zawodnicy!$A$1:$E$65536,2,FALSE)," ",VLOOKUP(N284,[2]zawodnicy!$A$1:$E$65536,3,FALSE)," - ",VLOOKUP(N284,[2]zawodnicy!$A$1:$E$65536,4,FALSE)),"")</f>
        <v>L3566 Paweł LEPIANKA - UKS Kiko Zamość</v>
      </c>
      <c r="V283" s="245"/>
      <c r="W283" s="246"/>
      <c r="X283" s="46" t="str">
        <f>IF(SUM(AO280:AP280)=0,"",AP280&amp;":"&amp;AO280)</f>
        <v>21:11</v>
      </c>
      <c r="Y283" s="83" t="str">
        <f>IF(SUM(AO281:AP281)=0,"",AP281&amp;":"&amp;AO281)</f>
        <v>15:21</v>
      </c>
      <c r="Z283" s="84"/>
      <c r="AA283" s="247" t="str">
        <f>IF(SUM(AW282:AZ282)=0,"",BE282&amp;":"&amp;BF282)</f>
        <v>66:68</v>
      </c>
      <c r="AB283" s="250" t="str">
        <f>IF(SUM(AW282:AZ282)=0,"",BG282&amp;":"&amp;BH282)</f>
        <v>2:2</v>
      </c>
      <c r="AC283" s="250" t="str">
        <f>IF(SUM(AW282:AZ282)=0,"",BI282&amp;":"&amp;BJ282)</f>
        <v>1:1</v>
      </c>
      <c r="AD283" s="253">
        <f>IF(SUM(BI280:BI282)&gt;0,BK282,"")</f>
        <v>2</v>
      </c>
      <c r="AE283" s="2"/>
      <c r="AF283" s="12"/>
      <c r="AG283" s="12"/>
      <c r="BE283" s="19">
        <f>SUM(BE280:BE282)</f>
        <v>244</v>
      </c>
      <c r="BF283" s="19">
        <f>SUM(BF280:BF282)</f>
        <v>244</v>
      </c>
      <c r="BG283" s="19">
        <f>SUM(BG280:BG282)</f>
        <v>7</v>
      </c>
      <c r="BH283" s="19">
        <f>SUM(BH280:BH282)</f>
        <v>7</v>
      </c>
      <c r="BK283" s="19"/>
      <c r="BL283" s="20"/>
    </row>
    <row r="284" spans="1:64" ht="11.45" customHeight="1" x14ac:dyDescent="0.2">
      <c r="A284" s="19"/>
      <c r="J284" s="19"/>
      <c r="K284" s="19"/>
      <c r="L284" s="19"/>
      <c r="N284" s="33" t="s">
        <v>45</v>
      </c>
      <c r="O284" s="34">
        <f>IF(O276&gt;0,(O276&amp;3)*1,"")</f>
        <v>23</v>
      </c>
      <c r="Q284" s="85"/>
      <c r="R284" s="85"/>
      <c r="S284" s="85"/>
      <c r="T284" s="242"/>
      <c r="U284" s="244" t="str">
        <f>IF(AND(N284&lt;&gt;"",N285=""),CONCATENATE(VLOOKUP(N284,[2]zawodnicy!$A$1:$E$65536,1,FALSE)," ",VLOOKUP(N284,[2]zawodnicy!$A$1:$E$65536,2,FALSE)," ",VLOOKUP(N284,[2]zawodnicy!$A$1:$E$65536,3,FALSE)," - ",VLOOKUP(N284,[2]zawodnicy!$A$1:$E$65536,4,FALSE)),"")</f>
        <v/>
      </c>
      <c r="V284" s="245"/>
      <c r="W284" s="246"/>
      <c r="X284" s="61" t="str">
        <f>IF(SUM(AQ280:AR280)=0,"",AR280&amp;":"&amp;AQ280)</f>
        <v>21:15</v>
      </c>
      <c r="Y284" s="36" t="str">
        <f>IF(SUM(AQ281:AR281)=0,"",AR281&amp;":"&amp;AQ281)</f>
        <v>9:21</v>
      </c>
      <c r="Z284" s="86"/>
      <c r="AA284" s="248"/>
      <c r="AB284" s="251"/>
      <c r="AC284" s="251"/>
      <c r="AD284" s="254"/>
      <c r="AE284" s="2"/>
      <c r="AF284" s="12"/>
      <c r="AG284" s="1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row>
    <row r="285" spans="1:64" ht="11.45" customHeight="1" thickBot="1" x14ac:dyDescent="0.25">
      <c r="A285" s="2"/>
      <c r="J285" s="28"/>
      <c r="K285" s="28"/>
      <c r="L285" s="28"/>
      <c r="N285" s="38" t="s">
        <v>56</v>
      </c>
      <c r="O285" s="28"/>
      <c r="P285" s="28"/>
      <c r="Q285" s="2"/>
      <c r="R285" s="2"/>
      <c r="S285" s="2"/>
      <c r="T285" s="243"/>
      <c r="U285" s="256" t="str">
        <f>IF(N285&lt;&gt;"",CONCATENATE(VLOOKUP(N285,[2]zawodnicy!$A$1:$E$65536,1,FALSE)," ",VLOOKUP(N285,[2]zawodnicy!$A$1:$E$65536,2,FALSE)," ",VLOOKUP(N285,[2]zawodnicy!$A$1:$E$65536,3,FALSE)," - ",VLOOKUP(N285,[2]zawodnicy!$A$1:$E$65536,4,FALSE)),"")</f>
        <v>P3555 Kinga PALONKA - UKS Kiko Zamość</v>
      </c>
      <c r="V285" s="257"/>
      <c r="W285" s="258"/>
      <c r="X285" s="87" t="str">
        <f>IF(SUM(AS280:AT280)=0,"",AT280&amp;":"&amp;AS280)</f>
        <v/>
      </c>
      <c r="Y285" s="88" t="str">
        <f>IF(SUM(AS281:AT281)=0,"",AT281&amp;":"&amp;AS281)</f>
        <v/>
      </c>
      <c r="Z285" s="89"/>
      <c r="AA285" s="249"/>
      <c r="AB285" s="252"/>
      <c r="AC285" s="252"/>
      <c r="AD285" s="255"/>
      <c r="AE285" s="10"/>
      <c r="AF285" s="12"/>
      <c r="AG285" s="1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row>
    <row r="286" spans="1:64" s="19" customFormat="1" ht="5.0999999999999996" customHeight="1" thickBot="1" x14ac:dyDescent="0.25">
      <c r="M286" s="90"/>
      <c r="O286" s="90"/>
      <c r="P286" s="90"/>
      <c r="Q286" s="91"/>
      <c r="R286" s="91"/>
      <c r="S286" s="91"/>
      <c r="T286" s="91"/>
      <c r="U286" s="5"/>
      <c r="V286" s="5"/>
      <c r="W286" s="5"/>
      <c r="AA286" s="92"/>
      <c r="AB286" s="91"/>
      <c r="AC286" s="91"/>
      <c r="AD286" s="91"/>
      <c r="AE286" s="91"/>
      <c r="AF286" s="91"/>
      <c r="AI286" s="93"/>
      <c r="AJ286" s="94"/>
      <c r="AK286" s="94"/>
    </row>
    <row r="287" spans="1:64" ht="11.45" customHeight="1" thickBot="1" x14ac:dyDescent="0.25">
      <c r="N287" s="11"/>
      <c r="O287" s="21">
        <v>3</v>
      </c>
      <c r="Q287" s="277" t="str">
        <f>"Grupa "&amp;O287&amp;"."</f>
        <v>Grupa 3.</v>
      </c>
      <c r="R287" s="277"/>
      <c r="S287" s="277"/>
      <c r="T287" s="22" t="s">
        <v>1</v>
      </c>
      <c r="U287" s="278" t="s">
        <v>2</v>
      </c>
      <c r="V287" s="279"/>
      <c r="W287" s="280"/>
      <c r="X287" s="22">
        <v>1</v>
      </c>
      <c r="Y287" s="23">
        <v>2</v>
      </c>
      <c r="Z287" s="24">
        <v>3</v>
      </c>
      <c r="AA287" s="25" t="s">
        <v>3</v>
      </c>
      <c r="AB287" s="26" t="s">
        <v>4</v>
      </c>
      <c r="AC287" s="26" t="s">
        <v>5</v>
      </c>
      <c r="AD287" s="27" t="s">
        <v>6</v>
      </c>
      <c r="AE287" s="2"/>
      <c r="AF287" s="12"/>
      <c r="AG287" s="12"/>
      <c r="BK287" s="19"/>
      <c r="BL287" s="20"/>
    </row>
    <row r="288" spans="1:64" ht="11.45" customHeight="1" x14ac:dyDescent="0.2">
      <c r="J288" s="28"/>
      <c r="K288" s="28"/>
      <c r="L288" s="28"/>
      <c r="N288" s="29" t="s">
        <v>73</v>
      </c>
      <c r="Q288" s="274" t="s">
        <v>7</v>
      </c>
      <c r="R288" s="274"/>
      <c r="S288" s="275" t="s">
        <v>8</v>
      </c>
      <c r="T288" s="276">
        <v>1</v>
      </c>
      <c r="U288" s="244" t="str">
        <f>IF(AND(N289&lt;&gt;"",N290&lt;&gt;""),CONCATENATE(VLOOKUP(N289,[2]zawodnicy!$A$1:$E$65536,1,FALSE)," ",VLOOKUP(N289,[2]zawodnicy!$A$1:$E$65536,2,FALSE)," ",VLOOKUP(N289,[2]zawodnicy!$A$1:$E$65536,3,FALSE)," - ",VLOOKUP(N289,[2]zawodnicy!$A$1:$E$65536,4,FALSE)),"")</f>
        <v>K3149 Dominik KRZĘCIO - AZSWAT Warszawa</v>
      </c>
      <c r="V288" s="245"/>
      <c r="W288" s="246"/>
      <c r="X288" s="30"/>
      <c r="Y288" s="31" t="str">
        <f>IF(SUM(AO293:AP293)=0,"",AO293&amp;":"&amp;AP293)</f>
        <v>21:17</v>
      </c>
      <c r="Z288" s="32" t="str">
        <f>IF(SUM(AO291:AP291)=0,"",AO291&amp;":"&amp;AP291)</f>
        <v>21:13</v>
      </c>
      <c r="AA288" s="270" t="str">
        <f>IF(SUM(AY291:BB291)=0,"",BE291&amp;":"&amp;BF291)</f>
        <v>84:58</v>
      </c>
      <c r="AB288" s="271" t="str">
        <f>IF(SUM(AY291:BB291)=0,"",BG291&amp;":"&amp;BH291)</f>
        <v>4:0</v>
      </c>
      <c r="AC288" s="271" t="str">
        <f>IF(SUM(AY291:BB291)=0,"",BI291&amp;":"&amp;BJ291)</f>
        <v>2:0</v>
      </c>
      <c r="AD288" s="272">
        <f>IF(SUM(BI291:BI293)&gt;0,BK291,"")</f>
        <v>1</v>
      </c>
      <c r="AE288" s="2"/>
      <c r="AF288" s="12"/>
      <c r="AG288" s="12"/>
      <c r="AH288" s="14"/>
      <c r="AI288" s="273" t="s">
        <v>9</v>
      </c>
      <c r="AJ288" s="273"/>
      <c r="AK288" s="273"/>
      <c r="AL288" s="273"/>
      <c r="AM288" s="273"/>
      <c r="AN288" s="273"/>
      <c r="AO288" s="273" t="s">
        <v>10</v>
      </c>
      <c r="AP288" s="273"/>
      <c r="AQ288" s="273"/>
      <c r="AR288" s="273"/>
      <c r="AS288" s="273"/>
      <c r="AT288" s="273"/>
      <c r="BK288" s="19"/>
      <c r="BL288" s="20"/>
    </row>
    <row r="289" spans="1:64" ht="11.45" customHeight="1" thickBot="1" x14ac:dyDescent="0.25">
      <c r="I289" s="2" t="str">
        <f>"1"&amp;O287&amp;N288</f>
        <v>13mieszana J</v>
      </c>
      <c r="J289" s="10" t="str">
        <f>IF(AD288="","",IF(AD288=1,N289,IF(AD291=1,N292,IF(AD294=1,N295,""))))</f>
        <v>K3149</v>
      </c>
      <c r="K289" s="10" t="str">
        <f>IF(AD288="","",IF(AD288=1,N290,IF(AD291=1,N293,IF(AD294=1,N296,""))))</f>
        <v>P3283</v>
      </c>
      <c r="L289" s="10"/>
      <c r="N289" s="33" t="s">
        <v>71</v>
      </c>
      <c r="O289" s="34">
        <f>IF(O287&gt;0,(O287&amp;1)*1,"")</f>
        <v>31</v>
      </c>
      <c r="Q289" s="274"/>
      <c r="R289" s="274"/>
      <c r="S289" s="275"/>
      <c r="T289" s="242"/>
      <c r="U289" s="244" t="str">
        <f>IF(AND(N289&lt;&gt;"",N290=""),CONCATENATE(VLOOKUP(N289,[2]zawodnicy!$A$1:$E$65536,1,FALSE)," ",VLOOKUP(N289,[2]zawodnicy!$A$1:$E$65536,2,FALSE)," ",VLOOKUP(N289,[2]zawodnicy!$A$1:$E$65536,3,FALSE)," - ",VLOOKUP(N289,[2]zawodnicy!$A$1:$E$65536,4,FALSE)),"")</f>
        <v/>
      </c>
      <c r="V289" s="245"/>
      <c r="W289" s="246"/>
      <c r="X289" s="35"/>
      <c r="Y289" s="36" t="str">
        <f>IF(SUM(AQ293:AR293)=0,"",AQ293&amp;":"&amp;AR293)</f>
        <v>21:14</v>
      </c>
      <c r="Z289" s="37" t="str">
        <f>IF(SUM(AQ291:AR291)=0,"",AQ291&amp;":"&amp;AR291)</f>
        <v>21:14</v>
      </c>
      <c r="AA289" s="248"/>
      <c r="AB289" s="251"/>
      <c r="AC289" s="251"/>
      <c r="AD289" s="254"/>
      <c r="AE289" s="2"/>
      <c r="AF289" s="12"/>
      <c r="AG289" s="12"/>
      <c r="AH289" s="14"/>
      <c r="BE289" s="19">
        <f>SUM(BE291:BE293)</f>
        <v>215</v>
      </c>
      <c r="BF289" s="19">
        <f>SUM(BF291:BF293)</f>
        <v>215</v>
      </c>
      <c r="BG289" s="19">
        <f>SUM(BG291:BG293)</f>
        <v>6</v>
      </c>
      <c r="BH289" s="19">
        <f>SUM(BH291:BH293)</f>
        <v>6</v>
      </c>
      <c r="BK289" s="19"/>
      <c r="BL289" s="20"/>
    </row>
    <row r="290" spans="1:64" ht="11.45" customHeight="1" thickBot="1" x14ac:dyDescent="0.25">
      <c r="J290" s="10"/>
      <c r="K290" s="28"/>
      <c r="L290" s="28"/>
      <c r="N290" s="38" t="s">
        <v>25</v>
      </c>
      <c r="O290" s="28"/>
      <c r="P290" s="28"/>
      <c r="Q290" s="274"/>
      <c r="R290" s="274"/>
      <c r="S290" s="275"/>
      <c r="T290" s="261"/>
      <c r="U290" s="265" t="str">
        <f>IF(N290&lt;&gt;"",CONCATENATE(VLOOKUP(N290,[2]zawodnicy!$A$1:$E$65536,1,FALSE)," ",VLOOKUP(N290,[2]zawodnicy!$A$1:$E$65536,2,FALSE)," ",VLOOKUP(N290,[2]zawodnicy!$A$1:$E$65536,3,FALSE)," - ",VLOOKUP(N290,[2]zawodnicy!$A$1:$E$65536,4,FALSE)),"")</f>
        <v>P3283 Magdalena POPRZECZKO - UKS Badminton Stare Babice</v>
      </c>
      <c r="V290" s="266"/>
      <c r="W290" s="267"/>
      <c r="X290" s="35"/>
      <c r="Y290" s="39" t="str">
        <f>IF(SUM(AS293:AT293)=0,"",AS293&amp;":"&amp;AT293)</f>
        <v/>
      </c>
      <c r="Z290" s="40" t="str">
        <f>IF(SUM(AS291:AT291)=0,"",AS291&amp;":"&amp;AT291)</f>
        <v/>
      </c>
      <c r="AA290" s="262"/>
      <c r="AB290" s="263"/>
      <c r="AC290" s="263"/>
      <c r="AD290" s="264"/>
      <c r="AE290" s="2"/>
      <c r="AF290" s="12"/>
      <c r="AG290" s="12"/>
      <c r="AH290" s="14"/>
      <c r="AI290" s="259" t="s">
        <v>12</v>
      </c>
      <c r="AJ290" s="269"/>
      <c r="AK290" s="268" t="s">
        <v>13</v>
      </c>
      <c r="AL290" s="269"/>
      <c r="AM290" s="268" t="s">
        <v>14</v>
      </c>
      <c r="AN290" s="260"/>
      <c r="AO290" s="259" t="s">
        <v>12</v>
      </c>
      <c r="AP290" s="269"/>
      <c r="AQ290" s="268" t="s">
        <v>13</v>
      </c>
      <c r="AR290" s="269"/>
      <c r="AS290" s="268" t="s">
        <v>14</v>
      </c>
      <c r="AT290" s="269"/>
      <c r="AU290" s="12"/>
      <c r="AV290" s="12"/>
      <c r="AW290" s="259">
        <v>1</v>
      </c>
      <c r="AX290" s="269"/>
      <c r="AY290" s="268">
        <v>2</v>
      </c>
      <c r="AZ290" s="269"/>
      <c r="BA290" s="268">
        <v>3</v>
      </c>
      <c r="BB290" s="260"/>
      <c r="BE290" s="259" t="s">
        <v>3</v>
      </c>
      <c r="BF290" s="260"/>
      <c r="BG290" s="259" t="s">
        <v>4</v>
      </c>
      <c r="BH290" s="260"/>
      <c r="BI290" s="259" t="s">
        <v>5</v>
      </c>
      <c r="BJ290" s="260"/>
      <c r="BK290" s="41" t="s">
        <v>6</v>
      </c>
      <c r="BL290" s="20"/>
    </row>
    <row r="291" spans="1:64" ht="11.45" customHeight="1" x14ac:dyDescent="0.2">
      <c r="A291" s="19">
        <f>S291</f>
        <v>42</v>
      </c>
      <c r="B291" s="2" t="str">
        <f>IF(N289="","",N289)</f>
        <v>K3149</v>
      </c>
      <c r="C291" s="2" t="str">
        <f>IF(N290="","",N290)</f>
        <v>P3283</v>
      </c>
      <c r="D291" s="2" t="str">
        <f>IF(N295="","",N295)</f>
        <v>K4685</v>
      </c>
      <c r="E291" s="2" t="str">
        <f>IF(N296="","",N296)</f>
        <v>X57</v>
      </c>
      <c r="I291" s="2" t="str">
        <f>"2"&amp;O287&amp;N288</f>
        <v>23mieszana J</v>
      </c>
      <c r="J291" s="10" t="str">
        <f>IF(AD291="","",IF(AD288=2,N289,IF(AD291=2,N292,IF(AD294=2,N295,""))))</f>
        <v>W3962</v>
      </c>
      <c r="K291" s="10" t="str">
        <f>IF(AD291="","",IF(AD288=2,N290,IF(AD291=2,N293,IF(AD294=2,N296,""))))</f>
        <v>W3960</v>
      </c>
      <c r="M291" s="42" t="str">
        <f>N288</f>
        <v>mieszana J</v>
      </c>
      <c r="O291" s="28"/>
      <c r="P291" s="28"/>
      <c r="Q291" s="43" t="str">
        <f>IF(AU291&gt;0,"",IF(A291=0,"",IF(VLOOKUP(A291,'[2]plan gier'!A$1:S$65536,19,FALSE)="","",VLOOKUP(A291,'[2]plan gier'!A$1:S$65536,19,FALSE))))</f>
        <v/>
      </c>
      <c r="R291" s="44" t="s">
        <v>15</v>
      </c>
      <c r="S291" s="45">
        <v>42</v>
      </c>
      <c r="T291" s="241">
        <v>2</v>
      </c>
      <c r="U291" s="244" t="str">
        <f>IF(AND(N292&lt;&gt;"",N293&lt;&gt;""),CONCATENATE(VLOOKUP(N292,[2]zawodnicy!$A$1:$E$65536,1,FALSE)," ",VLOOKUP(N292,[2]zawodnicy!$A$1:$E$65536,2,FALSE)," ",VLOOKUP(N292,[2]zawodnicy!$A$1:$E$65536,3,FALSE)," - ",VLOOKUP(N292,[2]zawodnicy!$A$1:$E$65536,4,FALSE)),"")</f>
        <v>W3962 Sławomir WUDARSKI - UKS Iskra Sarbice</v>
      </c>
      <c r="V291" s="245"/>
      <c r="W291" s="246"/>
      <c r="X291" s="46" t="str">
        <f>IF(SUM(AO293:AP293)=0,"",AP293&amp;":"&amp;AO293)</f>
        <v>17:21</v>
      </c>
      <c r="Y291" s="47"/>
      <c r="Z291" s="48" t="str">
        <f>IF(SUM(AO292:AP292)=0,"",AO292&amp;":"&amp;AP292)</f>
        <v>21:16</v>
      </c>
      <c r="AA291" s="247" t="str">
        <f>IF(SUM(AW292:AX292,BA292:BB292)=0,"",BE292&amp;":"&amp;BF292)</f>
        <v>73:73</v>
      </c>
      <c r="AB291" s="250" t="str">
        <f>IF(SUM(AW292:AX292,BA292:BB292)=0,"",BG292&amp;":"&amp;BH292)</f>
        <v>2:2</v>
      </c>
      <c r="AC291" s="250" t="str">
        <f>IF(SUM(AW292:AX292,BA292:BB292)=0,"",BI292&amp;":"&amp;BJ292)</f>
        <v>1:1</v>
      </c>
      <c r="AD291" s="253">
        <f>IF(SUM(BI291:BI293)&gt;0,BK292,"")</f>
        <v>2</v>
      </c>
      <c r="AE291" s="2"/>
      <c r="AF291" s="12"/>
      <c r="AG291" s="12"/>
      <c r="AH291" s="44" t="s">
        <v>15</v>
      </c>
      <c r="AI291" s="49">
        <f>IF(ISBLANK(S291),"",VLOOKUP(S291,'[2]plan gier'!$X$1:$AN$65536,12,FALSE))</f>
        <v>21</v>
      </c>
      <c r="AJ291" s="50">
        <f>IF(ISBLANK(S291),"",VLOOKUP(S291,'[2]plan gier'!$X$1:$AN$65536,13,FALSE))</f>
        <v>13</v>
      </c>
      <c r="AK291" s="50">
        <f>IF(ISBLANK(S291),"",VLOOKUP(S291,'[2]plan gier'!$X$1:$AN$65536,14,FALSE))</f>
        <v>21</v>
      </c>
      <c r="AL291" s="50">
        <f>IF(ISBLANK(S291),"",VLOOKUP(S291,'[2]plan gier'!$X$1:$AN$65536,15,FALSE))</f>
        <v>14</v>
      </c>
      <c r="AM291" s="50">
        <f>IF(ISBLANK(S291),"",VLOOKUP(S291,'[2]plan gier'!$X$1:$AN$65536,16,FALSE))</f>
        <v>0</v>
      </c>
      <c r="AN291" s="50">
        <f>IF(ISBLANK(S291),"",VLOOKUP(S291,'[2]plan gier'!$X$1:$AN$65536,17,FALSE))</f>
        <v>0</v>
      </c>
      <c r="AO291" s="51">
        <f t="shared" ref="AO291:AT293" si="28">IF(AI291="",0,AI291)</f>
        <v>21</v>
      </c>
      <c r="AP291" s="52">
        <f t="shared" si="28"/>
        <v>13</v>
      </c>
      <c r="AQ291" s="53">
        <f t="shared" si="28"/>
        <v>21</v>
      </c>
      <c r="AR291" s="52">
        <f t="shared" si="28"/>
        <v>14</v>
      </c>
      <c r="AS291" s="53">
        <f t="shared" si="28"/>
        <v>0</v>
      </c>
      <c r="AT291" s="52">
        <f t="shared" si="28"/>
        <v>0</v>
      </c>
      <c r="AU291" s="54">
        <f>SUM(AO291:AT291)</f>
        <v>69</v>
      </c>
      <c r="AV291" s="13">
        <v>1</v>
      </c>
      <c r="AW291" s="55"/>
      <c r="AX291" s="56"/>
      <c r="AY291" s="50">
        <f>IF(AI293&gt;AJ293,1,0)+IF(AK293&gt;AL293,1,0)+IF(AM293&gt;AN293,1,0)</f>
        <v>2</v>
      </c>
      <c r="AZ291" s="50">
        <f>AW292</f>
        <v>0</v>
      </c>
      <c r="BA291" s="50">
        <f>IF(AI291&gt;AJ291,1,0)+IF(AK291&gt;AL291,1,0)+IF(AM291&gt;AN291,1,0)</f>
        <v>2</v>
      </c>
      <c r="BB291" s="57">
        <f>AW293</f>
        <v>0</v>
      </c>
      <c r="BE291" s="49">
        <f>AO291+AQ291+AS291+AO293+AQ293+AS293</f>
        <v>84</v>
      </c>
      <c r="BF291" s="57">
        <f>AP291+AR291+AT291+AP293+AR293+AT293</f>
        <v>58</v>
      </c>
      <c r="BG291" s="49">
        <f>AY291+BA291</f>
        <v>4</v>
      </c>
      <c r="BH291" s="57">
        <f>AZ291+BB291</f>
        <v>0</v>
      </c>
      <c r="BI291" s="49">
        <f>IF(AY291&gt;AZ291,1,0)+IF(BA291&gt;BB291,1,0)</f>
        <v>2</v>
      </c>
      <c r="BJ291" s="58">
        <f>IF(AZ291&gt;AY291,1,0)+IF(BB291&gt;BA291,1,0)</f>
        <v>0</v>
      </c>
      <c r="BK291" s="59">
        <f>IF(BI291+BJ291=0,"",IF(BL291=MAX(BL291:BL293),1,IF(BL291=MIN(BL291:BL293),3,2)))</f>
        <v>1</v>
      </c>
      <c r="BL291" s="60">
        <f>IF(BI291+BJ291&lt;&gt;0,BI291+1+(BG291-BH291)/100+(BE291-BF291)/100000+(BE291/BF291)/1000000,0)</f>
        <v>3.0402614482758619</v>
      </c>
    </row>
    <row r="292" spans="1:64" ht="11.45" customHeight="1" x14ac:dyDescent="0.2">
      <c r="A292" s="19">
        <f>S292</f>
        <v>107</v>
      </c>
      <c r="B292" s="2" t="str">
        <f>IF(N292="","",N292)</f>
        <v>W3962</v>
      </c>
      <c r="C292" s="2" t="str">
        <f>IF(N293="","",N293)</f>
        <v>W3960</v>
      </c>
      <c r="D292" s="2" t="str">
        <f>IF(N295="","",N295)</f>
        <v>K4685</v>
      </c>
      <c r="E292" s="2" t="str">
        <f>IF(N296="","",N296)</f>
        <v>X57</v>
      </c>
      <c r="J292" s="10"/>
      <c r="K292" s="19"/>
      <c r="M292" s="42" t="str">
        <f>N288</f>
        <v>mieszana J</v>
      </c>
      <c r="N292" s="33" t="s">
        <v>47</v>
      </c>
      <c r="O292" s="34">
        <f>IF(O287&gt;0,(O287&amp;2)*1,"")</f>
        <v>32</v>
      </c>
      <c r="Q292" s="43" t="str">
        <f>IF(AU292&gt;0,"",IF(A292=0,"",IF(VLOOKUP(A292,'[2]plan gier'!A$1:S$65536,19,FALSE)="","",VLOOKUP(A292,'[2]plan gier'!A$1:S$65536,19,FALSE))))</f>
        <v/>
      </c>
      <c r="R292" s="44" t="s">
        <v>17</v>
      </c>
      <c r="S292" s="45">
        <v>107</v>
      </c>
      <c r="T292" s="242"/>
      <c r="U292" s="244" t="str">
        <f>IF(AND(N292&lt;&gt;"",N293=""),CONCATENATE(VLOOKUP(N292,[2]zawodnicy!$A$1:$E$65536,1,FALSE)," ",VLOOKUP(N292,[2]zawodnicy!$A$1:$E$65536,2,FALSE)," ",VLOOKUP(N292,[2]zawodnicy!$A$1:$E$65536,3,FALSE)," - ",VLOOKUP(N292,[2]zawodnicy!$A$1:$E$65536,4,FALSE)),"")</f>
        <v/>
      </c>
      <c r="V292" s="245"/>
      <c r="W292" s="246"/>
      <c r="X292" s="61" t="str">
        <f>IF(SUM(AQ293:AR293)=0,"",AR293&amp;":"&amp;AQ293)</f>
        <v>14:21</v>
      </c>
      <c r="Y292" s="62"/>
      <c r="Z292" s="37" t="str">
        <f>IF(SUM(AQ292:AR292)=0,"",AQ292&amp;":"&amp;AR292)</f>
        <v>21:15</v>
      </c>
      <c r="AA292" s="248"/>
      <c r="AB292" s="251"/>
      <c r="AC292" s="251"/>
      <c r="AD292" s="254"/>
      <c r="AE292" s="2"/>
      <c r="AF292" s="12"/>
      <c r="AG292" s="12"/>
      <c r="AH292" s="44" t="s">
        <v>17</v>
      </c>
      <c r="AI292" s="63">
        <f>IF(ISBLANK(S292),"",VLOOKUP(S292,'[2]plan gier'!$X$1:$AN$65536,12,FALSE))</f>
        <v>21</v>
      </c>
      <c r="AJ292" s="64">
        <f>IF(ISBLANK(S292),"",VLOOKUP(S292,'[2]plan gier'!$X$1:$AN$65536,13,FALSE))</f>
        <v>16</v>
      </c>
      <c r="AK292" s="64">
        <f>IF(ISBLANK(S292),"",VLOOKUP(S292,'[2]plan gier'!$X$1:$AN$65536,14,FALSE))</f>
        <v>21</v>
      </c>
      <c r="AL292" s="64">
        <f>IF(ISBLANK(S292),"",VLOOKUP(S292,'[2]plan gier'!$X$1:$AN$65536,15,FALSE))</f>
        <v>15</v>
      </c>
      <c r="AM292" s="64">
        <f>IF(ISBLANK(S292),"",VLOOKUP(S292,'[2]plan gier'!$X$1:$AN$65536,16,FALSE))</f>
        <v>0</v>
      </c>
      <c r="AN292" s="64">
        <f>IF(ISBLANK(S292),"",VLOOKUP(S292,'[2]plan gier'!$X$1:$AN$65536,17,FALSE))</f>
        <v>0</v>
      </c>
      <c r="AO292" s="65">
        <f t="shared" si="28"/>
        <v>21</v>
      </c>
      <c r="AP292" s="64">
        <f t="shared" si="28"/>
        <v>16</v>
      </c>
      <c r="AQ292" s="66">
        <f t="shared" si="28"/>
        <v>21</v>
      </c>
      <c r="AR292" s="64">
        <f t="shared" si="28"/>
        <v>15</v>
      </c>
      <c r="AS292" s="66">
        <f t="shared" si="28"/>
        <v>0</v>
      </c>
      <c r="AT292" s="64">
        <f t="shared" si="28"/>
        <v>0</v>
      </c>
      <c r="AU292" s="54">
        <f>SUM(AO292:AT292)</f>
        <v>73</v>
      </c>
      <c r="AV292" s="13">
        <v>2</v>
      </c>
      <c r="AW292" s="63">
        <f>IF(AI293&lt;AJ293,1,0)+IF(AK293&lt;AL293,1,0)+IF(AM293&lt;AN293,1,0)</f>
        <v>0</v>
      </c>
      <c r="AX292" s="64">
        <f>AY291</f>
        <v>2</v>
      </c>
      <c r="AY292" s="67"/>
      <c r="AZ292" s="68"/>
      <c r="BA292" s="64">
        <f>IF(AI292&gt;AJ292,1,0)+IF(AK292&gt;AL292,1,0)+IF(AM292&gt;AN292,1,0)</f>
        <v>2</v>
      </c>
      <c r="BB292" s="69">
        <f>AY293</f>
        <v>0</v>
      </c>
      <c r="BE292" s="63">
        <f>AO292+AQ292+AS292+AP293+AR293+AT293</f>
        <v>73</v>
      </c>
      <c r="BF292" s="69">
        <f>AP292+AR292+AT292+AO293+AQ293+AS293</f>
        <v>73</v>
      </c>
      <c r="BG292" s="63">
        <f>AW292+BA292</f>
        <v>2</v>
      </c>
      <c r="BH292" s="69">
        <f>AX292+BB292</f>
        <v>2</v>
      </c>
      <c r="BI292" s="63">
        <f>IF(AW292&gt;AX292,1,0)+IF(BA292&gt;BB292,1,0)</f>
        <v>1</v>
      </c>
      <c r="BJ292" s="70">
        <f>IF(AX292&gt;AW292,1,0)+IF(BB292&gt;BA292,1,0)</f>
        <v>1</v>
      </c>
      <c r="BK292" s="71">
        <f>IF(BI292+BJ292=0,"",IF(BL292=MAX(BL291:BL293),1,IF(BL292=MIN(BL291:BL293),3,2)))</f>
        <v>2</v>
      </c>
      <c r="BL292" s="60">
        <f>IF(BI292+BJ292&lt;&gt;0,BI292+1+(BG292-BH292)/100+(BE292-BF292)/100000+(BE292/BF292)/1000000,0)</f>
        <v>2.0000010000000001</v>
      </c>
    </row>
    <row r="293" spans="1:64" ht="11.45" customHeight="1" thickBot="1" x14ac:dyDescent="0.25">
      <c r="A293" s="19">
        <f>S293</f>
        <v>172</v>
      </c>
      <c r="B293" s="2" t="str">
        <f>IF(N289="","",N289)</f>
        <v>K3149</v>
      </c>
      <c r="C293" s="2" t="str">
        <f>IF(N290="","",N290)</f>
        <v>P3283</v>
      </c>
      <c r="D293" s="2" t="str">
        <f>IF(N292="","",N292)</f>
        <v>W3962</v>
      </c>
      <c r="E293" s="2" t="str">
        <f>IF(N293="","",N293)</f>
        <v>W3960</v>
      </c>
      <c r="I293" s="2" t="str">
        <f>"3"&amp;O287&amp;N288</f>
        <v>33mieszana J</v>
      </c>
      <c r="J293" s="10" t="str">
        <f>IF(AD294="","",IF(AD288=3,N289,IF(AD291=3,N292,IF(AD294=3,N295,""))))</f>
        <v>K4685</v>
      </c>
      <c r="K293" s="10" t="str">
        <f>IF(AD294="","",IF(AD288=3,N290,IF(AD291=3,N293,IF(AD294=3,N296,""))))</f>
        <v>X57</v>
      </c>
      <c r="M293" s="42" t="str">
        <f>N288</f>
        <v>mieszana J</v>
      </c>
      <c r="N293" s="38" t="s">
        <v>28</v>
      </c>
      <c r="O293" s="28"/>
      <c r="P293" s="28"/>
      <c r="Q293" s="43" t="str">
        <f>IF(AU293&gt;0,"",IF(A293=0,"",IF(VLOOKUP(A293,'[2]plan gier'!A$1:S$65536,19,FALSE)="","",VLOOKUP(A293,'[2]plan gier'!A$1:S$65536,19,FALSE))))</f>
        <v/>
      </c>
      <c r="R293" s="72" t="s">
        <v>18</v>
      </c>
      <c r="S293" s="45">
        <v>172</v>
      </c>
      <c r="T293" s="261"/>
      <c r="U293" s="265" t="str">
        <f>IF(N293&lt;&gt;"",CONCATENATE(VLOOKUP(N293,[2]zawodnicy!$A$1:$E$65536,1,FALSE)," ",VLOOKUP(N293,[2]zawodnicy!$A$1:$E$65536,2,FALSE)," ",VLOOKUP(N293,[2]zawodnicy!$A$1:$E$65536,3,FALSE)," - ",VLOOKUP(N293,[2]zawodnicy!$A$1:$E$65536,4,FALSE)),"")</f>
        <v>W3960 Justyna WUDARSKA - UKS Iskra Sarbice</v>
      </c>
      <c r="V293" s="266"/>
      <c r="W293" s="267"/>
      <c r="X293" s="73" t="str">
        <f>IF(SUM(AS293:AT293)=0,"",AT293&amp;":"&amp;AS293)</f>
        <v/>
      </c>
      <c r="Y293" s="62"/>
      <c r="Z293" s="40" t="str">
        <f>IF(SUM(AS292:AT292)=0,"",AS292&amp;":"&amp;AT292)</f>
        <v/>
      </c>
      <c r="AA293" s="262"/>
      <c r="AB293" s="263"/>
      <c r="AC293" s="263"/>
      <c r="AD293" s="264"/>
      <c r="AE293" s="2"/>
      <c r="AF293" s="12"/>
      <c r="AG293" s="12"/>
      <c r="AH293" s="72" t="s">
        <v>18</v>
      </c>
      <c r="AI293" s="74">
        <f>IF(ISBLANK(S293),"",VLOOKUP(S293,'[2]plan gier'!$X$1:$AN$65536,12,FALSE))</f>
        <v>21</v>
      </c>
      <c r="AJ293" s="75">
        <f>IF(ISBLANK(S293),"",VLOOKUP(S293,'[2]plan gier'!$X$1:$AN$65536,13,FALSE))</f>
        <v>17</v>
      </c>
      <c r="AK293" s="75">
        <f>IF(ISBLANK(S293),"",VLOOKUP(S293,'[2]plan gier'!$X$1:$AN$65536,14,FALSE))</f>
        <v>21</v>
      </c>
      <c r="AL293" s="75">
        <f>IF(ISBLANK(S293),"",VLOOKUP(S293,'[2]plan gier'!$X$1:$AN$65536,15,FALSE))</f>
        <v>14</v>
      </c>
      <c r="AM293" s="75">
        <f>IF(ISBLANK(S293),"",VLOOKUP(S293,'[2]plan gier'!$X$1:$AN$65536,16,FALSE))</f>
        <v>0</v>
      </c>
      <c r="AN293" s="75">
        <f>IF(ISBLANK(S293),"",VLOOKUP(S293,'[2]plan gier'!$X$1:$AN$65536,17,FALSE))</f>
        <v>0</v>
      </c>
      <c r="AO293" s="76">
        <f t="shared" si="28"/>
        <v>21</v>
      </c>
      <c r="AP293" s="75">
        <f t="shared" si="28"/>
        <v>17</v>
      </c>
      <c r="AQ293" s="77">
        <f t="shared" si="28"/>
        <v>21</v>
      </c>
      <c r="AR293" s="75">
        <f t="shared" si="28"/>
        <v>14</v>
      </c>
      <c r="AS293" s="77">
        <f t="shared" si="28"/>
        <v>0</v>
      </c>
      <c r="AT293" s="75">
        <f t="shared" si="28"/>
        <v>0</v>
      </c>
      <c r="AU293" s="54">
        <f>SUM(AO293:AT293)</f>
        <v>73</v>
      </c>
      <c r="AV293" s="13">
        <v>3</v>
      </c>
      <c r="AW293" s="74">
        <f>IF(AI291&lt;AJ291,1,0)+IF(AK291&lt;AL291,1,0)+IF(AM291&lt;AN291,1,0)</f>
        <v>0</v>
      </c>
      <c r="AX293" s="75">
        <f>BA291</f>
        <v>2</v>
      </c>
      <c r="AY293" s="75">
        <f>IF(AI292&lt;AJ292,1,0)+IF(AK292&lt;AL292,1,0)+IF(AM292&lt;AN292,1,0)</f>
        <v>0</v>
      </c>
      <c r="AZ293" s="75">
        <f>BA292</f>
        <v>2</v>
      </c>
      <c r="BA293" s="78"/>
      <c r="BB293" s="79"/>
      <c r="BE293" s="74">
        <f>AP291+AR291+AT291+AP292+AR292+AT292</f>
        <v>58</v>
      </c>
      <c r="BF293" s="80">
        <f>AO291+AQ291+AS291+AO292+AQ292+AS292</f>
        <v>84</v>
      </c>
      <c r="BG293" s="74">
        <f>AW293+AY293</f>
        <v>0</v>
      </c>
      <c r="BH293" s="80">
        <f>AX293+AZ293</f>
        <v>4</v>
      </c>
      <c r="BI293" s="74">
        <f>IF(AW293&gt;AX293,1,0)+IF(AY293&gt;AZ293,1,0)</f>
        <v>0</v>
      </c>
      <c r="BJ293" s="81">
        <f>IF(AX293&gt;AW293,1,0)+IF(AZ293&gt;AY293,1,0)</f>
        <v>2</v>
      </c>
      <c r="BK293" s="82">
        <f>IF(BI293+BJ293=0,"",IF(BL293=MAX(BL291:BL293),1,IF(BL293=MIN(BL291:BL293),3,2)))</f>
        <v>3</v>
      </c>
      <c r="BL293" s="60">
        <f>IF(BI293+BJ293&lt;&gt;0,BI293+1+(BG293-BH293)/100+(BE293-BF293)/100000+(BE293/BF293)/1000000,0)</f>
        <v>0.95974069047619037</v>
      </c>
    </row>
    <row r="294" spans="1:64" ht="11.45" customHeight="1" x14ac:dyDescent="0.2">
      <c r="A294" s="2"/>
      <c r="J294" s="28"/>
      <c r="K294" s="28"/>
      <c r="L294" s="28"/>
      <c r="O294" s="28"/>
      <c r="P294" s="28"/>
      <c r="Q294" s="2"/>
      <c r="R294" s="2"/>
      <c r="S294" s="2"/>
      <c r="T294" s="241">
        <v>3</v>
      </c>
      <c r="U294" s="244" t="str">
        <f>IF(AND(N295&lt;&gt;"",N296&lt;&gt;""),CONCATENATE(VLOOKUP(N295,[2]zawodnicy!$A$1:$E$65536,1,FALSE)," ",VLOOKUP(N295,[2]zawodnicy!$A$1:$E$65536,2,FALSE)," ",VLOOKUP(N295,[2]zawodnicy!$A$1:$E$65536,3,FALSE)," - ",VLOOKUP(N295,[2]zawodnicy!$A$1:$E$65536,4,FALSE)),"")</f>
        <v>K4685 Patryk KOSTRZEWSKI - KSR Wolant Łódź</v>
      </c>
      <c r="V294" s="245"/>
      <c r="W294" s="246"/>
      <c r="X294" s="46" t="str">
        <f>IF(SUM(AO291:AP291)=0,"",AP291&amp;":"&amp;AO291)</f>
        <v>13:21</v>
      </c>
      <c r="Y294" s="83" t="str">
        <f>IF(SUM(AO292:AP292)=0,"",AP292&amp;":"&amp;AO292)</f>
        <v>16:21</v>
      </c>
      <c r="Z294" s="84"/>
      <c r="AA294" s="247" t="str">
        <f>IF(SUM(AW293:AZ293)=0,"",BE293&amp;":"&amp;BF293)</f>
        <v>58:84</v>
      </c>
      <c r="AB294" s="250" t="str">
        <f>IF(SUM(AW293:AZ293)=0,"",BG293&amp;":"&amp;BH293)</f>
        <v>0:4</v>
      </c>
      <c r="AC294" s="250" t="str">
        <f>IF(SUM(AW293:AZ293)=0,"",BI293&amp;":"&amp;BJ293)</f>
        <v>0:2</v>
      </c>
      <c r="AD294" s="253">
        <f>IF(SUM(BI291:BI293)&gt;0,BK293,"")</f>
        <v>3</v>
      </c>
      <c r="AE294" s="2"/>
      <c r="AF294" s="12"/>
      <c r="AG294" s="12"/>
      <c r="BE294" s="19">
        <f>SUM(BE291:BE293)</f>
        <v>215</v>
      </c>
      <c r="BF294" s="19">
        <f>SUM(BF291:BF293)</f>
        <v>215</v>
      </c>
      <c r="BG294" s="19">
        <f>SUM(BG291:BG293)</f>
        <v>6</v>
      </c>
      <c r="BH294" s="19">
        <f>SUM(BH291:BH293)</f>
        <v>6</v>
      </c>
      <c r="BK294" s="19"/>
      <c r="BL294" s="20"/>
    </row>
    <row r="295" spans="1:64" ht="11.45" customHeight="1" x14ac:dyDescent="0.2">
      <c r="A295" s="19"/>
      <c r="J295" s="19"/>
      <c r="K295" s="19"/>
      <c r="L295" s="19"/>
      <c r="N295" s="33" t="s">
        <v>41</v>
      </c>
      <c r="O295" s="34">
        <f>IF(O287&gt;0,(O287&amp;3)*1,"")</f>
        <v>33</v>
      </c>
      <c r="Q295" s="85"/>
      <c r="R295" s="85"/>
      <c r="S295" s="85"/>
      <c r="T295" s="242"/>
      <c r="U295" s="244" t="str">
        <f>IF(AND(N295&lt;&gt;"",N296=""),CONCATENATE(VLOOKUP(N295,[2]zawodnicy!$A$1:$E$65536,1,FALSE)," ",VLOOKUP(N295,[2]zawodnicy!$A$1:$E$65536,2,FALSE)," ",VLOOKUP(N295,[2]zawodnicy!$A$1:$E$65536,3,FALSE)," - ",VLOOKUP(N295,[2]zawodnicy!$A$1:$E$65536,4,FALSE)),"")</f>
        <v/>
      </c>
      <c r="V295" s="245"/>
      <c r="W295" s="246"/>
      <c r="X295" s="61" t="str">
        <f>IF(SUM(AQ291:AR291)=0,"",AR291&amp;":"&amp;AQ291)</f>
        <v>14:21</v>
      </c>
      <c r="Y295" s="36" t="str">
        <f>IF(SUM(AQ292:AR292)=0,"",AR292&amp;":"&amp;AQ292)</f>
        <v>15:21</v>
      </c>
      <c r="Z295" s="86"/>
      <c r="AA295" s="248"/>
      <c r="AB295" s="251"/>
      <c r="AC295" s="251"/>
      <c r="AD295" s="254"/>
      <c r="AE295" s="2"/>
      <c r="AF295" s="12"/>
      <c r="AG295" s="1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row>
    <row r="296" spans="1:64" ht="11.45" customHeight="1" thickBot="1" x14ac:dyDescent="0.25">
      <c r="A296" s="2"/>
      <c r="J296" s="28"/>
      <c r="K296" s="28"/>
      <c r="L296" s="28"/>
      <c r="N296" s="38" t="s">
        <v>24</v>
      </c>
      <c r="O296" s="28"/>
      <c r="P296" s="28"/>
      <c r="Q296" s="2"/>
      <c r="R296" s="2"/>
      <c r="S296" s="2"/>
      <c r="T296" s="243"/>
      <c r="U296" s="256" t="str">
        <f>IF(N296&lt;&gt;"",CONCATENATE(VLOOKUP(N296,[2]zawodnicy!$A$1:$E$65536,1,FALSE)," ",VLOOKUP(N296,[2]zawodnicy!$A$1:$E$65536,2,FALSE)," ",VLOOKUP(N296,[2]zawodnicy!$A$1:$E$65536,3,FALSE)," - ",VLOOKUP(N296,[2]zawodnicy!$A$1:$E$65536,4,FALSE)),"")</f>
        <v>X57 Yuliya PRACH - Vinnica Ukraina</v>
      </c>
      <c r="V296" s="257"/>
      <c r="W296" s="258"/>
      <c r="X296" s="87" t="str">
        <f>IF(SUM(AS291:AT291)=0,"",AT291&amp;":"&amp;AS291)</f>
        <v/>
      </c>
      <c r="Y296" s="88" t="str">
        <f>IF(SUM(AS292:AT292)=0,"",AT292&amp;":"&amp;AS292)</f>
        <v/>
      </c>
      <c r="Z296" s="89"/>
      <c r="AA296" s="249"/>
      <c r="AB296" s="252"/>
      <c r="AC296" s="252"/>
      <c r="AD296" s="255"/>
      <c r="AE296" s="10"/>
      <c r="AF296" s="12"/>
      <c r="AG296" s="1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row>
    <row r="297" spans="1:64" s="19" customFormat="1" ht="5.0999999999999996" customHeight="1" thickBot="1" x14ac:dyDescent="0.25">
      <c r="M297" s="90"/>
      <c r="O297" s="90"/>
      <c r="P297" s="90"/>
      <c r="Q297" s="91"/>
      <c r="R297" s="91"/>
      <c r="S297" s="91"/>
      <c r="T297" s="91"/>
      <c r="U297" s="5"/>
      <c r="V297" s="5"/>
      <c r="W297" s="5"/>
      <c r="AA297" s="92"/>
      <c r="AB297" s="91"/>
      <c r="AC297" s="91"/>
      <c r="AD297" s="91"/>
      <c r="AE297" s="91"/>
      <c r="AF297" s="91"/>
      <c r="AI297" s="93"/>
      <c r="AJ297" s="94"/>
      <c r="AK297" s="94"/>
    </row>
    <row r="298" spans="1:64" ht="11.45" customHeight="1" thickBot="1" x14ac:dyDescent="0.25">
      <c r="N298" s="11"/>
      <c r="O298" s="21">
        <v>4</v>
      </c>
      <c r="Q298" s="277" t="str">
        <f>"Grupa "&amp;O298&amp;"."</f>
        <v>Grupa 4.</v>
      </c>
      <c r="R298" s="277"/>
      <c r="S298" s="277"/>
      <c r="T298" s="22" t="s">
        <v>1</v>
      </c>
      <c r="U298" s="278" t="s">
        <v>2</v>
      </c>
      <c r="V298" s="279"/>
      <c r="W298" s="280"/>
      <c r="X298" s="22">
        <v>1</v>
      </c>
      <c r="Y298" s="23">
        <v>2</v>
      </c>
      <c r="Z298" s="24">
        <v>3</v>
      </c>
      <c r="AA298" s="25" t="s">
        <v>3</v>
      </c>
      <c r="AB298" s="26" t="s">
        <v>4</v>
      </c>
      <c r="AC298" s="26" t="s">
        <v>5</v>
      </c>
      <c r="AD298" s="27" t="s">
        <v>6</v>
      </c>
      <c r="AE298" s="2"/>
      <c r="AF298" s="12"/>
      <c r="AG298" s="12"/>
      <c r="BK298" s="19"/>
      <c r="BL298" s="20"/>
    </row>
    <row r="299" spans="1:64" ht="11.45" customHeight="1" x14ac:dyDescent="0.2">
      <c r="J299" s="28"/>
      <c r="K299" s="28"/>
      <c r="L299" s="28"/>
      <c r="N299" s="29" t="s">
        <v>73</v>
      </c>
      <c r="Q299" s="274" t="s">
        <v>7</v>
      </c>
      <c r="R299" s="274"/>
      <c r="S299" s="275" t="s">
        <v>8</v>
      </c>
      <c r="T299" s="276">
        <v>1</v>
      </c>
      <c r="U299" s="244" t="str">
        <f>IF(AND(N300&lt;&gt;"",N301&lt;&gt;""),CONCATENATE(VLOOKUP(N300,[2]zawodnicy!$A$1:$E$65536,1,FALSE)," ",VLOOKUP(N300,[2]zawodnicy!$A$1:$E$65536,2,FALSE)," ",VLOOKUP(N300,[2]zawodnicy!$A$1:$E$65536,3,FALSE)," - ",VLOOKUP(N300,[2]zawodnicy!$A$1:$E$65536,4,FALSE)),"")</f>
        <v>Z3080 Konrad ZAUCHA - UKS Orbitek Straszęcin</v>
      </c>
      <c r="V299" s="245"/>
      <c r="W299" s="246"/>
      <c r="X299" s="30"/>
      <c r="Y299" s="31" t="str">
        <f>IF(SUM(AO304:AP304)=0,"",AO304&amp;":"&amp;AP304)</f>
        <v>21:0</v>
      </c>
      <c r="Z299" s="32" t="str">
        <f>IF(SUM(AO302:AP302)=0,"",AO302&amp;":"&amp;AP302)</f>
        <v>21:16</v>
      </c>
      <c r="AA299" s="270" t="str">
        <f>IF(SUM(AY302:BB302)=0,"",BE302&amp;":"&amp;BF302)</f>
        <v>84:28</v>
      </c>
      <c r="AB299" s="271" t="str">
        <f>IF(SUM(AY302:BB302)=0,"",BG302&amp;":"&amp;BH302)</f>
        <v>4:0</v>
      </c>
      <c r="AC299" s="271" t="str">
        <f>IF(SUM(AY302:BB302)=0,"",BI302&amp;":"&amp;BJ302)</f>
        <v>2:0</v>
      </c>
      <c r="AD299" s="272">
        <f>IF(SUM(BI302:BI304)&gt;0,BK302,"")</f>
        <v>1</v>
      </c>
      <c r="AE299" s="2"/>
      <c r="AF299" s="12"/>
      <c r="AG299" s="12"/>
      <c r="AH299" s="14"/>
      <c r="AI299" s="273" t="s">
        <v>9</v>
      </c>
      <c r="AJ299" s="273"/>
      <c r="AK299" s="273"/>
      <c r="AL299" s="273"/>
      <c r="AM299" s="273"/>
      <c r="AN299" s="273"/>
      <c r="AO299" s="273" t="s">
        <v>10</v>
      </c>
      <c r="AP299" s="273"/>
      <c r="AQ299" s="273"/>
      <c r="AR299" s="273"/>
      <c r="AS299" s="273"/>
      <c r="AT299" s="273"/>
      <c r="BK299" s="19"/>
      <c r="BL299" s="20"/>
    </row>
    <row r="300" spans="1:64" ht="11.45" customHeight="1" thickBot="1" x14ac:dyDescent="0.25">
      <c r="I300" s="2" t="str">
        <f>"1"&amp;O298&amp;N299</f>
        <v>14mieszana J</v>
      </c>
      <c r="J300" s="10" t="str">
        <f>IF(AD299="","",IF(AD299=1,N300,IF(AD302=1,N303,IF(AD305=1,N306,""))))</f>
        <v>Z3080</v>
      </c>
      <c r="K300" s="10" t="str">
        <f>IF(AD299="","",IF(AD299=1,N301,IF(AD302=1,N304,IF(AD305=1,N307,""))))</f>
        <v>G3134</v>
      </c>
      <c r="L300" s="10"/>
      <c r="N300" s="33" t="s">
        <v>74</v>
      </c>
      <c r="O300" s="34">
        <f>IF(O298&gt;0,(O298&amp;1)*1,"")</f>
        <v>41</v>
      </c>
      <c r="Q300" s="274"/>
      <c r="R300" s="274"/>
      <c r="S300" s="275"/>
      <c r="T300" s="242"/>
      <c r="U300" s="244" t="str">
        <f>IF(AND(N300&lt;&gt;"",N301=""),CONCATENATE(VLOOKUP(N300,[2]zawodnicy!$A$1:$E$65536,1,FALSE)," ",VLOOKUP(N300,[2]zawodnicy!$A$1:$E$65536,2,FALSE)," ",VLOOKUP(N300,[2]zawodnicy!$A$1:$E$65536,3,FALSE)," - ",VLOOKUP(N300,[2]zawodnicy!$A$1:$E$65536,4,FALSE)),"")</f>
        <v/>
      </c>
      <c r="V300" s="245"/>
      <c r="W300" s="246"/>
      <c r="X300" s="35"/>
      <c r="Y300" s="36" t="str">
        <f>IF(SUM(AQ304:AR304)=0,"",AQ304&amp;":"&amp;AR304)</f>
        <v>21:0</v>
      </c>
      <c r="Z300" s="37" t="str">
        <f>IF(SUM(AQ302:AR302)=0,"",AQ302&amp;":"&amp;AR302)</f>
        <v>21:12</v>
      </c>
      <c r="AA300" s="248"/>
      <c r="AB300" s="251"/>
      <c r="AC300" s="251"/>
      <c r="AD300" s="254"/>
      <c r="AE300" s="2"/>
      <c r="AF300" s="12"/>
      <c r="AG300" s="12"/>
      <c r="AH300" s="14"/>
      <c r="BE300" s="19">
        <f>SUM(BE302:BE304)</f>
        <v>154</v>
      </c>
      <c r="BF300" s="19">
        <f>SUM(BF302:BF304)</f>
        <v>154</v>
      </c>
      <c r="BG300" s="19">
        <f>SUM(BG302:BG304)</f>
        <v>6</v>
      </c>
      <c r="BH300" s="19">
        <f>SUM(BH302:BH304)</f>
        <v>6</v>
      </c>
      <c r="BK300" s="19"/>
      <c r="BL300" s="20"/>
    </row>
    <row r="301" spans="1:64" ht="11.45" customHeight="1" thickBot="1" x14ac:dyDescent="0.25">
      <c r="J301" s="10"/>
      <c r="K301" s="28"/>
      <c r="L301" s="28"/>
      <c r="N301" s="38" t="s">
        <v>61</v>
      </c>
      <c r="O301" s="28"/>
      <c r="P301" s="28"/>
      <c r="Q301" s="274"/>
      <c r="R301" s="274"/>
      <c r="S301" s="275"/>
      <c r="T301" s="261"/>
      <c r="U301" s="265" t="str">
        <f>IF(N301&lt;&gt;"",CONCATENATE(VLOOKUP(N301,[2]zawodnicy!$A$1:$E$65536,1,FALSE)," ",VLOOKUP(N301,[2]zawodnicy!$A$1:$E$65536,2,FALSE)," ",VLOOKUP(N301,[2]zawodnicy!$A$1:$E$65536,3,FALSE)," - ",VLOOKUP(N301,[2]zawodnicy!$A$1:$E$65536,4,FALSE)),"")</f>
        <v>G3134 Katarzyna GRUSZKA - UKS Orbitek Straszęcin</v>
      </c>
      <c r="V301" s="266"/>
      <c r="W301" s="267"/>
      <c r="X301" s="35"/>
      <c r="Y301" s="39" t="str">
        <f>IF(SUM(AS304:AT304)=0,"",AS304&amp;":"&amp;AT304)</f>
        <v/>
      </c>
      <c r="Z301" s="40" t="str">
        <f>IF(SUM(AS302:AT302)=0,"",AS302&amp;":"&amp;AT302)</f>
        <v/>
      </c>
      <c r="AA301" s="262"/>
      <c r="AB301" s="263"/>
      <c r="AC301" s="263"/>
      <c r="AD301" s="264"/>
      <c r="AE301" s="2"/>
      <c r="AF301" s="12"/>
      <c r="AG301" s="12"/>
      <c r="AH301" s="14"/>
      <c r="AI301" s="259" t="s">
        <v>12</v>
      </c>
      <c r="AJ301" s="269"/>
      <c r="AK301" s="268" t="s">
        <v>13</v>
      </c>
      <c r="AL301" s="269"/>
      <c r="AM301" s="268" t="s">
        <v>14</v>
      </c>
      <c r="AN301" s="260"/>
      <c r="AO301" s="259" t="s">
        <v>12</v>
      </c>
      <c r="AP301" s="269"/>
      <c r="AQ301" s="268" t="s">
        <v>13</v>
      </c>
      <c r="AR301" s="269"/>
      <c r="AS301" s="268" t="s">
        <v>14</v>
      </c>
      <c r="AT301" s="269"/>
      <c r="AU301" s="12"/>
      <c r="AV301" s="12"/>
      <c r="AW301" s="259">
        <v>1</v>
      </c>
      <c r="AX301" s="269"/>
      <c r="AY301" s="268">
        <v>2</v>
      </c>
      <c r="AZ301" s="269"/>
      <c r="BA301" s="268">
        <v>3</v>
      </c>
      <c r="BB301" s="260"/>
      <c r="BE301" s="259" t="s">
        <v>3</v>
      </c>
      <c r="BF301" s="260"/>
      <c r="BG301" s="259" t="s">
        <v>4</v>
      </c>
      <c r="BH301" s="260"/>
      <c r="BI301" s="259" t="s">
        <v>5</v>
      </c>
      <c r="BJ301" s="260"/>
      <c r="BK301" s="41" t="s">
        <v>6</v>
      </c>
      <c r="BL301" s="20"/>
    </row>
    <row r="302" spans="1:64" ht="11.45" customHeight="1" x14ac:dyDescent="0.2">
      <c r="A302" s="19">
        <f>S302</f>
        <v>43</v>
      </c>
      <c r="B302" s="2" t="str">
        <f>IF(N300="","",N300)</f>
        <v>Z3080</v>
      </c>
      <c r="C302" s="2" t="str">
        <f>IF(N301="","",N301)</f>
        <v>G3134</v>
      </c>
      <c r="D302" s="2" t="str">
        <f>IF(N306="","",N306)</f>
        <v>S3245</v>
      </c>
      <c r="E302" s="2" t="str">
        <f>IF(N307="","",N307)</f>
        <v>R3364</v>
      </c>
      <c r="I302" s="2" t="str">
        <f>"2"&amp;O298&amp;N299</f>
        <v>24mieszana J</v>
      </c>
      <c r="J302" s="10" t="str">
        <f>IF(AD302="","",IF(AD299=2,N300,IF(AD302=2,N303,IF(AD305=2,N306,""))))</f>
        <v>S3245</v>
      </c>
      <c r="K302" s="10" t="str">
        <f>IF(AD302="","",IF(AD299=2,N301,IF(AD302=2,N304,IF(AD305=2,N307,""))))</f>
        <v>R3364</v>
      </c>
      <c r="M302" s="42" t="str">
        <f>N299</f>
        <v>mieszana J</v>
      </c>
      <c r="O302" s="28"/>
      <c r="P302" s="28"/>
      <c r="Q302" s="43" t="str">
        <f>IF(AU302&gt;0,"",IF(A302=0,"",IF(VLOOKUP(A302,'[2]plan gier'!A$1:S$65536,19,FALSE)="","",VLOOKUP(A302,'[2]plan gier'!A$1:S$65536,19,FALSE))))</f>
        <v/>
      </c>
      <c r="R302" s="44" t="s">
        <v>15</v>
      </c>
      <c r="S302" s="45">
        <v>43</v>
      </c>
      <c r="T302" s="241">
        <v>2</v>
      </c>
      <c r="U302" s="244" t="str">
        <f>IF(AND(N303&lt;&gt;"",N304&lt;&gt;""),CONCATENATE(VLOOKUP(N303,[2]zawodnicy!$A$1:$E$65536,1,FALSE)," ",VLOOKUP(N303,[2]zawodnicy!$A$1:$E$65536,2,FALSE)," ",VLOOKUP(N303,[2]zawodnicy!$A$1:$E$65536,3,FALSE)," - ",VLOOKUP(N303,[2]zawodnicy!$A$1:$E$65536,4,FALSE)),"")</f>
        <v>K3375 Wojciech KURZYŃSKI - UKS Trójka Tarnobrzeg</v>
      </c>
      <c r="V302" s="245"/>
      <c r="W302" s="246"/>
      <c r="X302" s="46" t="str">
        <f>IF(SUM(AO304:AP304)=0,"",AP304&amp;":"&amp;AO304)</f>
        <v>0:21</v>
      </c>
      <c r="Y302" s="47"/>
      <c r="Z302" s="48" t="str">
        <f>IF(SUM(AO303:AP303)=0,"",AO303&amp;":"&amp;AP303)</f>
        <v>0:21</v>
      </c>
      <c r="AA302" s="247" t="str">
        <f>IF(SUM(AW303:AX303,BA303:BB303)=0,"",BE303&amp;":"&amp;BF303)</f>
        <v>0:84</v>
      </c>
      <c r="AB302" s="250" t="str">
        <f>IF(SUM(AW303:AX303,BA303:BB303)=0,"",BG303&amp;":"&amp;BH303)</f>
        <v>0:4</v>
      </c>
      <c r="AC302" s="250" t="str">
        <f>IF(SUM(AW303:AX303,BA303:BB303)=0,"",BI303&amp;":"&amp;BJ303)</f>
        <v>0:2</v>
      </c>
      <c r="AD302" s="253">
        <f>IF(SUM(BI302:BI304)&gt;0,BK303,"")</f>
        <v>3</v>
      </c>
      <c r="AE302" s="2"/>
      <c r="AF302" s="12"/>
      <c r="AG302" s="12"/>
      <c r="AH302" s="44" t="s">
        <v>15</v>
      </c>
      <c r="AI302" s="49">
        <f>IF(ISBLANK(S302),"",VLOOKUP(S302,'[2]plan gier'!$X$1:$AN$65536,12,FALSE))</f>
        <v>21</v>
      </c>
      <c r="AJ302" s="50">
        <f>IF(ISBLANK(S302),"",VLOOKUP(S302,'[2]plan gier'!$X$1:$AN$65536,13,FALSE))</f>
        <v>16</v>
      </c>
      <c r="AK302" s="50">
        <f>IF(ISBLANK(S302),"",VLOOKUP(S302,'[2]plan gier'!$X$1:$AN$65536,14,FALSE))</f>
        <v>21</v>
      </c>
      <c r="AL302" s="50">
        <f>IF(ISBLANK(S302),"",VLOOKUP(S302,'[2]plan gier'!$X$1:$AN$65536,15,FALSE))</f>
        <v>12</v>
      </c>
      <c r="AM302" s="50">
        <f>IF(ISBLANK(S302),"",VLOOKUP(S302,'[2]plan gier'!$X$1:$AN$65536,16,FALSE))</f>
        <v>0</v>
      </c>
      <c r="AN302" s="50">
        <f>IF(ISBLANK(S302),"",VLOOKUP(S302,'[2]plan gier'!$X$1:$AN$65536,17,FALSE))</f>
        <v>0</v>
      </c>
      <c r="AO302" s="51">
        <f t="shared" ref="AO302:AT304" si="29">IF(AI302="",0,AI302)</f>
        <v>21</v>
      </c>
      <c r="AP302" s="52">
        <f t="shared" si="29"/>
        <v>16</v>
      </c>
      <c r="AQ302" s="53">
        <f t="shared" si="29"/>
        <v>21</v>
      </c>
      <c r="AR302" s="52">
        <f t="shared" si="29"/>
        <v>12</v>
      </c>
      <c r="AS302" s="53">
        <f t="shared" si="29"/>
        <v>0</v>
      </c>
      <c r="AT302" s="52">
        <f t="shared" si="29"/>
        <v>0</v>
      </c>
      <c r="AU302" s="54">
        <f>SUM(AO302:AT302)</f>
        <v>70</v>
      </c>
      <c r="AV302" s="13">
        <v>1</v>
      </c>
      <c r="AW302" s="55"/>
      <c r="AX302" s="56"/>
      <c r="AY302" s="50">
        <f>IF(AI304&gt;AJ304,1,0)+IF(AK304&gt;AL304,1,0)+IF(AM304&gt;AN304,1,0)</f>
        <v>2</v>
      </c>
      <c r="AZ302" s="50">
        <f>AW303</f>
        <v>0</v>
      </c>
      <c r="BA302" s="50">
        <f>IF(AI302&gt;AJ302,1,0)+IF(AK302&gt;AL302,1,0)+IF(AM302&gt;AN302,1,0)</f>
        <v>2</v>
      </c>
      <c r="BB302" s="57">
        <f>AW304</f>
        <v>0</v>
      </c>
      <c r="BE302" s="49">
        <f>AO302+AQ302+AS302+AO304+AQ304+AS304</f>
        <v>84</v>
      </c>
      <c r="BF302" s="57">
        <f>AP302+AR302+AT302+AP304+AR304+AT304</f>
        <v>28</v>
      </c>
      <c r="BG302" s="49">
        <f>AY302+BA302</f>
        <v>4</v>
      </c>
      <c r="BH302" s="57">
        <f>AZ302+BB302</f>
        <v>0</v>
      </c>
      <c r="BI302" s="49">
        <f>IF(AY302&gt;AZ302,1,0)+IF(BA302&gt;BB302,1,0)</f>
        <v>2</v>
      </c>
      <c r="BJ302" s="58">
        <f>IF(AZ302&gt;AY302,1,0)+IF(BB302&gt;BA302,1,0)</f>
        <v>0</v>
      </c>
      <c r="BK302" s="59">
        <f>IF(BI302+BJ302=0,"",IF(BL302=MAX(BL302:BL304),1,IF(BL302=MIN(BL302:BL304),3,2)))</f>
        <v>1</v>
      </c>
      <c r="BL302" s="60">
        <f>IF(BI302+BJ302&lt;&gt;0,BI302+1+(BG302-BH302)/100+(BE302-BF302)/100000+(BE302/BF302)/1000000,0)</f>
        <v>3.0405630000000001</v>
      </c>
    </row>
    <row r="303" spans="1:64" ht="11.45" customHeight="1" x14ac:dyDescent="0.2">
      <c r="A303" s="19">
        <f>S303</f>
        <v>108</v>
      </c>
      <c r="B303" s="2" t="str">
        <f>IF(N303="","",N303)</f>
        <v>K3375</v>
      </c>
      <c r="C303" s="2" t="str">
        <f>IF(N304="","",N304)</f>
        <v>K3351</v>
      </c>
      <c r="D303" s="2" t="str">
        <f>IF(N306="","",N306)</f>
        <v>S3245</v>
      </c>
      <c r="E303" s="2" t="str">
        <f>IF(N307="","",N307)</f>
        <v>R3364</v>
      </c>
      <c r="J303" s="10"/>
      <c r="K303" s="19"/>
      <c r="M303" s="42" t="str">
        <f>N299</f>
        <v>mieszana J</v>
      </c>
      <c r="N303" s="33" t="s">
        <v>75</v>
      </c>
      <c r="O303" s="34">
        <f>IF(O298&gt;0,(O298&amp;2)*1,"")</f>
        <v>42</v>
      </c>
      <c r="Q303" s="43" t="str">
        <f>IF(AU303&gt;0,"",IF(A303=0,"",IF(VLOOKUP(A303,'[2]plan gier'!A$1:S$65536,19,FALSE)="","",VLOOKUP(A303,'[2]plan gier'!A$1:S$65536,19,FALSE))))</f>
        <v/>
      </c>
      <c r="R303" s="44" t="s">
        <v>17</v>
      </c>
      <c r="S303" s="45">
        <v>108</v>
      </c>
      <c r="T303" s="242"/>
      <c r="U303" s="244" t="str">
        <f>IF(AND(N303&lt;&gt;"",N304=""),CONCATENATE(VLOOKUP(N303,[2]zawodnicy!$A$1:$E$65536,1,FALSE)," ",VLOOKUP(N303,[2]zawodnicy!$A$1:$E$65536,2,FALSE)," ",VLOOKUP(N303,[2]zawodnicy!$A$1:$E$65536,3,FALSE)," - ",VLOOKUP(N303,[2]zawodnicy!$A$1:$E$65536,4,FALSE)),"")</f>
        <v/>
      </c>
      <c r="V303" s="245"/>
      <c r="W303" s="246"/>
      <c r="X303" s="61" t="str">
        <f>IF(SUM(AQ304:AR304)=0,"",AR304&amp;":"&amp;AQ304)</f>
        <v>0:21</v>
      </c>
      <c r="Y303" s="62"/>
      <c r="Z303" s="37" t="str">
        <f>IF(SUM(AQ303:AR303)=0,"",AQ303&amp;":"&amp;AR303)</f>
        <v>0:21</v>
      </c>
      <c r="AA303" s="248"/>
      <c r="AB303" s="251"/>
      <c r="AC303" s="251"/>
      <c r="AD303" s="254"/>
      <c r="AE303" s="2"/>
      <c r="AF303" s="12"/>
      <c r="AG303" s="12"/>
      <c r="AH303" s="44" t="s">
        <v>17</v>
      </c>
      <c r="AI303" s="63">
        <f>IF(ISBLANK(S303),"",VLOOKUP(S303,'[2]plan gier'!$X$1:$AN$65536,12,FALSE))</f>
        <v>0</v>
      </c>
      <c r="AJ303" s="64">
        <f>IF(ISBLANK(S303),"",VLOOKUP(S303,'[2]plan gier'!$X$1:$AN$65536,13,FALSE))</f>
        <v>21</v>
      </c>
      <c r="AK303" s="64">
        <f>IF(ISBLANK(S303),"",VLOOKUP(S303,'[2]plan gier'!$X$1:$AN$65536,14,FALSE))</f>
        <v>0</v>
      </c>
      <c r="AL303" s="64">
        <f>IF(ISBLANK(S303),"",VLOOKUP(S303,'[2]plan gier'!$X$1:$AN$65536,15,FALSE))</f>
        <v>21</v>
      </c>
      <c r="AM303" s="64">
        <f>IF(ISBLANK(S303),"",VLOOKUP(S303,'[2]plan gier'!$X$1:$AN$65536,16,FALSE))</f>
        <v>0</v>
      </c>
      <c r="AN303" s="64">
        <f>IF(ISBLANK(S303),"",VLOOKUP(S303,'[2]plan gier'!$X$1:$AN$65536,17,FALSE))</f>
        <v>0</v>
      </c>
      <c r="AO303" s="65">
        <f t="shared" si="29"/>
        <v>0</v>
      </c>
      <c r="AP303" s="64">
        <f t="shared" si="29"/>
        <v>21</v>
      </c>
      <c r="AQ303" s="66">
        <f t="shared" si="29"/>
        <v>0</v>
      </c>
      <c r="AR303" s="64">
        <f t="shared" si="29"/>
        <v>21</v>
      </c>
      <c r="AS303" s="66">
        <f t="shared" si="29"/>
        <v>0</v>
      </c>
      <c r="AT303" s="64">
        <f t="shared" si="29"/>
        <v>0</v>
      </c>
      <c r="AU303" s="54">
        <f>SUM(AO303:AT303)</f>
        <v>42</v>
      </c>
      <c r="AV303" s="13">
        <v>2</v>
      </c>
      <c r="AW303" s="63">
        <f>IF(AI304&lt;AJ304,1,0)+IF(AK304&lt;AL304,1,0)+IF(AM304&lt;AN304,1,0)</f>
        <v>0</v>
      </c>
      <c r="AX303" s="64">
        <f>AY302</f>
        <v>2</v>
      </c>
      <c r="AY303" s="67"/>
      <c r="AZ303" s="68"/>
      <c r="BA303" s="64">
        <f>IF(AI303&gt;AJ303,1,0)+IF(AK303&gt;AL303,1,0)+IF(AM303&gt;AN303,1,0)</f>
        <v>0</v>
      </c>
      <c r="BB303" s="69">
        <f>AY304</f>
        <v>2</v>
      </c>
      <c r="BE303" s="63">
        <f>AO303+AQ303+AS303+AP304+AR304+AT304</f>
        <v>0</v>
      </c>
      <c r="BF303" s="69">
        <f>AP303+AR303+AT303+AO304+AQ304+AS304</f>
        <v>84</v>
      </c>
      <c r="BG303" s="63">
        <f>AW303+BA303</f>
        <v>0</v>
      </c>
      <c r="BH303" s="69">
        <f>AX303+BB303</f>
        <v>4</v>
      </c>
      <c r="BI303" s="63">
        <f>IF(AW303&gt;AX303,1,0)+IF(BA303&gt;BB303,1,0)</f>
        <v>0</v>
      </c>
      <c r="BJ303" s="70">
        <f>IF(AX303&gt;AW303,1,0)+IF(BB303&gt;BA303,1,0)</f>
        <v>2</v>
      </c>
      <c r="BK303" s="71">
        <f>IF(BI303+BJ303=0,"",IF(BL303=MAX(BL302:BL304),1,IF(BL303=MIN(BL302:BL304),3,2)))</f>
        <v>3</v>
      </c>
      <c r="BL303" s="60">
        <f>IF(BI303+BJ303&lt;&gt;0,BI303+1+(BG303-BH303)/100+(BE303-BF303)/100000+(BE303/BF303)/1000000,0)</f>
        <v>0.95916000000000001</v>
      </c>
    </row>
    <row r="304" spans="1:64" ht="11.45" customHeight="1" thickBot="1" x14ac:dyDescent="0.25">
      <c r="A304" s="19">
        <f>S304</f>
        <v>173</v>
      </c>
      <c r="B304" s="2" t="str">
        <f>IF(N300="","",N300)</f>
        <v>Z3080</v>
      </c>
      <c r="C304" s="2" t="str">
        <f>IF(N301="","",N301)</f>
        <v>G3134</v>
      </c>
      <c r="D304" s="2" t="str">
        <f>IF(N303="","",N303)</f>
        <v>K3375</v>
      </c>
      <c r="E304" s="2" t="str">
        <f>IF(N304="","",N304)</f>
        <v>K3351</v>
      </c>
      <c r="I304" s="2" t="str">
        <f>"3"&amp;O298&amp;N299</f>
        <v>34mieszana J</v>
      </c>
      <c r="J304" s="10" t="str">
        <f>IF(AD305="","",IF(AD299=3,N300,IF(AD302=3,N303,IF(AD305=3,N306,""))))</f>
        <v>K3375</v>
      </c>
      <c r="K304" s="10" t="str">
        <f>IF(AD305="","",IF(AD299=3,N301,IF(AD302=3,N304,IF(AD305=3,N307,""))))</f>
        <v>K3351</v>
      </c>
      <c r="M304" s="42" t="str">
        <f>N299</f>
        <v>mieszana J</v>
      </c>
      <c r="N304" s="38" t="s">
        <v>22</v>
      </c>
      <c r="O304" s="28"/>
      <c r="P304" s="28"/>
      <c r="Q304" s="43" t="str">
        <f>IF(AU304&gt;0,"",IF(A304=0,"",IF(VLOOKUP(A304,'[2]plan gier'!A$1:S$65536,19,FALSE)="","",VLOOKUP(A304,'[2]plan gier'!A$1:S$65536,19,FALSE))))</f>
        <v/>
      </c>
      <c r="R304" s="72" t="s">
        <v>18</v>
      </c>
      <c r="S304" s="45">
        <v>173</v>
      </c>
      <c r="T304" s="261"/>
      <c r="U304" s="265" t="str">
        <f>IF(N304&lt;&gt;"",CONCATENATE(VLOOKUP(N304,[2]zawodnicy!$A$1:$E$65536,1,FALSE)," ",VLOOKUP(N304,[2]zawodnicy!$A$1:$E$65536,2,FALSE)," ",VLOOKUP(N304,[2]zawodnicy!$A$1:$E$65536,3,FALSE)," - ",VLOOKUP(N304,[2]zawodnicy!$A$1:$E$65536,4,FALSE)),"")</f>
        <v>K3351 Paulina KACZOROWSKA - KS Chojnik Jelenia Góra</v>
      </c>
      <c r="V304" s="266"/>
      <c r="W304" s="267"/>
      <c r="X304" s="73" t="str">
        <f>IF(SUM(AS304:AT304)=0,"",AT304&amp;":"&amp;AS304)</f>
        <v/>
      </c>
      <c r="Y304" s="62"/>
      <c r="Z304" s="40" t="str">
        <f>IF(SUM(AS303:AT303)=0,"",AS303&amp;":"&amp;AT303)</f>
        <v/>
      </c>
      <c r="AA304" s="262"/>
      <c r="AB304" s="263"/>
      <c r="AC304" s="263"/>
      <c r="AD304" s="264"/>
      <c r="AE304" s="2"/>
      <c r="AF304" s="12"/>
      <c r="AG304" s="12"/>
      <c r="AH304" s="72" t="s">
        <v>18</v>
      </c>
      <c r="AI304" s="74">
        <f>IF(ISBLANK(S304),"",VLOOKUP(S304,'[2]plan gier'!$X$1:$AN$65536,12,FALSE))</f>
        <v>21</v>
      </c>
      <c r="AJ304" s="75">
        <f>IF(ISBLANK(S304),"",VLOOKUP(S304,'[2]plan gier'!$X$1:$AN$65536,13,FALSE))</f>
        <v>0</v>
      </c>
      <c r="AK304" s="75">
        <f>IF(ISBLANK(S304),"",VLOOKUP(S304,'[2]plan gier'!$X$1:$AN$65536,14,FALSE))</f>
        <v>21</v>
      </c>
      <c r="AL304" s="75">
        <f>IF(ISBLANK(S304),"",VLOOKUP(S304,'[2]plan gier'!$X$1:$AN$65536,15,FALSE))</f>
        <v>0</v>
      </c>
      <c r="AM304" s="75">
        <f>IF(ISBLANK(S304),"",VLOOKUP(S304,'[2]plan gier'!$X$1:$AN$65536,16,FALSE))</f>
        <v>0</v>
      </c>
      <c r="AN304" s="75">
        <f>IF(ISBLANK(S304),"",VLOOKUP(S304,'[2]plan gier'!$X$1:$AN$65536,17,FALSE))</f>
        <v>0</v>
      </c>
      <c r="AO304" s="76">
        <f t="shared" si="29"/>
        <v>21</v>
      </c>
      <c r="AP304" s="75">
        <f t="shared" si="29"/>
        <v>0</v>
      </c>
      <c r="AQ304" s="77">
        <f t="shared" si="29"/>
        <v>21</v>
      </c>
      <c r="AR304" s="75">
        <f t="shared" si="29"/>
        <v>0</v>
      </c>
      <c r="AS304" s="77">
        <f t="shared" si="29"/>
        <v>0</v>
      </c>
      <c r="AT304" s="75">
        <f t="shared" si="29"/>
        <v>0</v>
      </c>
      <c r="AU304" s="54">
        <f>SUM(AO304:AT304)</f>
        <v>42</v>
      </c>
      <c r="AV304" s="13">
        <v>3</v>
      </c>
      <c r="AW304" s="74">
        <f>IF(AI302&lt;AJ302,1,0)+IF(AK302&lt;AL302,1,0)+IF(AM302&lt;AN302,1,0)</f>
        <v>0</v>
      </c>
      <c r="AX304" s="75">
        <f>BA302</f>
        <v>2</v>
      </c>
      <c r="AY304" s="75">
        <f>IF(AI303&lt;AJ303,1,0)+IF(AK303&lt;AL303,1,0)+IF(AM303&lt;AN303,1,0)</f>
        <v>2</v>
      </c>
      <c r="AZ304" s="75">
        <f>BA303</f>
        <v>0</v>
      </c>
      <c r="BA304" s="78"/>
      <c r="BB304" s="79"/>
      <c r="BE304" s="74">
        <f>AP302+AR302+AT302+AP303+AR303+AT303</f>
        <v>70</v>
      </c>
      <c r="BF304" s="80">
        <f>AO302+AQ302+AS302+AO303+AQ303+AS303</f>
        <v>42</v>
      </c>
      <c r="BG304" s="74">
        <f>AW304+AY304</f>
        <v>2</v>
      </c>
      <c r="BH304" s="80">
        <f>AX304+AZ304</f>
        <v>2</v>
      </c>
      <c r="BI304" s="74">
        <f>IF(AW304&gt;AX304,1,0)+IF(AY304&gt;AZ304,1,0)</f>
        <v>1</v>
      </c>
      <c r="BJ304" s="81">
        <f>IF(AX304&gt;AW304,1,0)+IF(AZ304&gt;AY304,1,0)</f>
        <v>1</v>
      </c>
      <c r="BK304" s="82">
        <f>IF(BI304+BJ304=0,"",IF(BL304=MAX(BL302:BL304),1,IF(BL304=MIN(BL302:BL304),3,2)))</f>
        <v>2</v>
      </c>
      <c r="BL304" s="60">
        <f>IF(BI304+BJ304&lt;&gt;0,BI304+1+(BG304-BH304)/100+(BE304-BF304)/100000+(BE304/BF304)/1000000,0)</f>
        <v>2.0002816666666665</v>
      </c>
    </row>
    <row r="305" spans="1:64" ht="11.45" customHeight="1" x14ac:dyDescent="0.2">
      <c r="A305" s="2"/>
      <c r="J305" s="28"/>
      <c r="K305" s="28"/>
      <c r="L305" s="28"/>
      <c r="O305" s="28"/>
      <c r="P305" s="28"/>
      <c r="Q305" s="2"/>
      <c r="R305" s="2"/>
      <c r="S305" s="2"/>
      <c r="T305" s="241">
        <v>3</v>
      </c>
      <c r="U305" s="244" t="str">
        <f>IF(AND(N306&lt;&gt;"",N307&lt;&gt;""),CONCATENATE(VLOOKUP(N306,[2]zawodnicy!$A$1:$E$65536,1,FALSE)," ",VLOOKUP(N306,[2]zawodnicy!$A$1:$E$65536,2,FALSE)," ",VLOOKUP(N306,[2]zawodnicy!$A$1:$E$65536,3,FALSE)," - ",VLOOKUP(N306,[2]zawodnicy!$A$1:$E$65536,4,FALSE)),"")</f>
        <v>S3245 Arkadiusz SŁUPEK - KS Chojnik Jelenia Góra</v>
      </c>
      <c r="V305" s="245"/>
      <c r="W305" s="246"/>
      <c r="X305" s="46" t="str">
        <f>IF(SUM(AO302:AP302)=0,"",AP302&amp;":"&amp;AO302)</f>
        <v>16:21</v>
      </c>
      <c r="Y305" s="83" t="str">
        <f>IF(SUM(AO303:AP303)=0,"",AP303&amp;":"&amp;AO303)</f>
        <v>21:0</v>
      </c>
      <c r="Z305" s="84"/>
      <c r="AA305" s="247" t="str">
        <f>IF(SUM(AW304:AZ304)=0,"",BE304&amp;":"&amp;BF304)</f>
        <v>70:42</v>
      </c>
      <c r="AB305" s="250" t="str">
        <f>IF(SUM(AW304:AZ304)=0,"",BG304&amp;":"&amp;BH304)</f>
        <v>2:2</v>
      </c>
      <c r="AC305" s="250" t="str">
        <f>IF(SUM(AW304:AZ304)=0,"",BI304&amp;":"&amp;BJ304)</f>
        <v>1:1</v>
      </c>
      <c r="AD305" s="253">
        <f>IF(SUM(BI302:BI304)&gt;0,BK304,"")</f>
        <v>2</v>
      </c>
      <c r="AE305" s="2"/>
      <c r="AF305" s="12"/>
      <c r="AG305" s="12"/>
      <c r="BE305" s="19">
        <f>SUM(BE302:BE304)</f>
        <v>154</v>
      </c>
      <c r="BF305" s="19">
        <f>SUM(BF302:BF304)</f>
        <v>154</v>
      </c>
      <c r="BG305" s="19">
        <f>SUM(BG302:BG304)</f>
        <v>6</v>
      </c>
      <c r="BH305" s="19">
        <f>SUM(BH302:BH304)</f>
        <v>6</v>
      </c>
      <c r="BK305" s="19"/>
      <c r="BL305" s="20"/>
    </row>
    <row r="306" spans="1:64" ht="11.45" customHeight="1" x14ac:dyDescent="0.2">
      <c r="A306" s="19"/>
      <c r="J306" s="19"/>
      <c r="K306" s="19"/>
      <c r="L306" s="19"/>
      <c r="N306" s="33" t="s">
        <v>38</v>
      </c>
      <c r="O306" s="34">
        <f>IF(O298&gt;0,(O298&amp;3)*1,"")</f>
        <v>43</v>
      </c>
      <c r="Q306" s="85"/>
      <c r="R306" s="85"/>
      <c r="S306" s="85"/>
      <c r="T306" s="242"/>
      <c r="U306" s="244" t="str">
        <f>IF(AND(N306&lt;&gt;"",N307=""),CONCATENATE(VLOOKUP(N306,[2]zawodnicy!$A$1:$E$65536,1,FALSE)," ",VLOOKUP(N306,[2]zawodnicy!$A$1:$E$65536,2,FALSE)," ",VLOOKUP(N306,[2]zawodnicy!$A$1:$E$65536,3,FALSE)," - ",VLOOKUP(N306,[2]zawodnicy!$A$1:$E$65536,4,FALSE)),"")</f>
        <v/>
      </c>
      <c r="V306" s="245"/>
      <c r="W306" s="246"/>
      <c r="X306" s="61" t="str">
        <f>IF(SUM(AQ302:AR302)=0,"",AR302&amp;":"&amp;AQ302)</f>
        <v>12:21</v>
      </c>
      <c r="Y306" s="36" t="str">
        <f>IF(SUM(AQ303:AR303)=0,"",AR303&amp;":"&amp;AQ303)</f>
        <v>21:0</v>
      </c>
      <c r="Z306" s="86"/>
      <c r="AA306" s="248"/>
      <c r="AB306" s="251"/>
      <c r="AC306" s="251"/>
      <c r="AD306" s="254"/>
      <c r="AE306" s="2"/>
      <c r="AF306" s="12"/>
      <c r="AG306" s="1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row>
    <row r="307" spans="1:64" ht="11.45" customHeight="1" thickBot="1" x14ac:dyDescent="0.25">
      <c r="A307" s="2"/>
      <c r="J307" s="28"/>
      <c r="K307" s="28"/>
      <c r="L307" s="28"/>
      <c r="N307" s="38" t="s">
        <v>29</v>
      </c>
      <c r="O307" s="28"/>
      <c r="P307" s="28"/>
      <c r="Q307" s="2"/>
      <c r="R307" s="2"/>
      <c r="S307" s="2"/>
      <c r="T307" s="243"/>
      <c r="U307" s="256" t="str">
        <f>IF(N307&lt;&gt;"",CONCATENATE(VLOOKUP(N307,[2]zawodnicy!$A$1:$E$65536,1,FALSE)," ",VLOOKUP(N307,[2]zawodnicy!$A$1:$E$65536,2,FALSE)," ",VLOOKUP(N307,[2]zawodnicy!$A$1:$E$65536,3,FALSE)," - ",VLOOKUP(N307,[2]zawodnicy!$A$1:$E$65536,4,FALSE)),"")</f>
        <v>R3364 Kinga ROGALSKA - UKS 2 Sobótka</v>
      </c>
      <c r="V307" s="257"/>
      <c r="W307" s="258"/>
      <c r="X307" s="87" t="str">
        <f>IF(SUM(AS302:AT302)=0,"",AT302&amp;":"&amp;AS302)</f>
        <v/>
      </c>
      <c r="Y307" s="88" t="str">
        <f>IF(SUM(AS303:AT303)=0,"",AT303&amp;":"&amp;AS303)</f>
        <v/>
      </c>
      <c r="Z307" s="89"/>
      <c r="AA307" s="249"/>
      <c r="AB307" s="252"/>
      <c r="AC307" s="252"/>
      <c r="AD307" s="255"/>
      <c r="AE307" s="10"/>
      <c r="AF307" s="12"/>
      <c r="AG307" s="1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row>
    <row r="308" spans="1:64" s="19" customFormat="1" ht="5.0999999999999996" customHeight="1" thickBot="1" x14ac:dyDescent="0.25">
      <c r="M308" s="90"/>
      <c r="O308" s="90"/>
      <c r="P308" s="90"/>
      <c r="Q308" s="91"/>
      <c r="R308" s="91"/>
      <c r="S308" s="91"/>
      <c r="T308" s="91"/>
      <c r="U308" s="5"/>
      <c r="V308" s="5"/>
      <c r="W308" s="5"/>
      <c r="AA308" s="92"/>
      <c r="AB308" s="91"/>
      <c r="AC308" s="91"/>
      <c r="AD308" s="91"/>
      <c r="AE308" s="91"/>
      <c r="AF308" s="91"/>
      <c r="AI308" s="93"/>
      <c r="AJ308" s="94"/>
      <c r="AK308" s="94"/>
    </row>
    <row r="309" spans="1:64" ht="11.45" customHeight="1" thickBot="1" x14ac:dyDescent="0.25">
      <c r="N309" s="11"/>
      <c r="O309" s="21">
        <v>5</v>
      </c>
      <c r="Q309" s="277" t="str">
        <f>"Grupa "&amp;O309&amp;"."</f>
        <v>Grupa 5.</v>
      </c>
      <c r="R309" s="277"/>
      <c r="S309" s="277"/>
      <c r="T309" s="22" t="s">
        <v>1</v>
      </c>
      <c r="U309" s="278" t="s">
        <v>2</v>
      </c>
      <c r="V309" s="279"/>
      <c r="W309" s="280"/>
      <c r="X309" s="22">
        <v>1</v>
      </c>
      <c r="Y309" s="23">
        <v>2</v>
      </c>
      <c r="Z309" s="24">
        <v>3</v>
      </c>
      <c r="AA309" s="25" t="s">
        <v>3</v>
      </c>
      <c r="AB309" s="26" t="s">
        <v>4</v>
      </c>
      <c r="AC309" s="26" t="s">
        <v>5</v>
      </c>
      <c r="AD309" s="27" t="s">
        <v>6</v>
      </c>
      <c r="AE309" s="2"/>
      <c r="AF309" s="12"/>
      <c r="AG309" s="12"/>
      <c r="BK309" s="19"/>
      <c r="BL309" s="20"/>
    </row>
    <row r="310" spans="1:64" ht="11.45" customHeight="1" x14ac:dyDescent="0.2">
      <c r="J310" s="28"/>
      <c r="K310" s="28"/>
      <c r="L310" s="28"/>
      <c r="N310" s="29" t="s">
        <v>73</v>
      </c>
      <c r="Q310" s="274" t="s">
        <v>7</v>
      </c>
      <c r="R310" s="274"/>
      <c r="S310" s="275" t="s">
        <v>8</v>
      </c>
      <c r="T310" s="276">
        <v>1</v>
      </c>
      <c r="U310" s="244" t="str">
        <f>IF(AND(N311&lt;&gt;"",N312&lt;&gt;""),CONCATENATE(VLOOKUP(N311,[2]zawodnicy!$A$1:$E$65536,1,FALSE)," ",VLOOKUP(N311,[2]zawodnicy!$A$1:$E$65536,2,FALSE)," ",VLOOKUP(N311,[2]zawodnicy!$A$1:$E$65536,3,FALSE)," - ",VLOOKUP(N311,[2]zawodnicy!$A$1:$E$65536,4,FALSE)),"")</f>
        <v>N3333 Marcin NOWAK - UKS Smecz Bogatynia</v>
      </c>
      <c r="V310" s="245"/>
      <c r="W310" s="246"/>
      <c r="X310" s="30"/>
      <c r="Y310" s="31" t="str">
        <f>IF(SUM(AO315:AP315)=0,"",AO315&amp;":"&amp;AP315)</f>
        <v>21:19</v>
      </c>
      <c r="Z310" s="32" t="str">
        <f>IF(SUM(AO313:AP313)=0,"",AO313&amp;":"&amp;AP313)</f>
        <v>21:19</v>
      </c>
      <c r="AA310" s="270" t="str">
        <f>IF(SUM(AY313:BB313)=0,"",BE313&amp;":"&amp;BF313)</f>
        <v>115:125</v>
      </c>
      <c r="AB310" s="271" t="str">
        <f>IF(SUM(AY313:BB313)=0,"",BG313&amp;":"&amp;BH313)</f>
        <v>3:3</v>
      </c>
      <c r="AC310" s="271" t="str">
        <f>IF(SUM(AY313:BB313)=0,"",BI313&amp;":"&amp;BJ313)</f>
        <v>1:1</v>
      </c>
      <c r="AD310" s="272">
        <f>IF(SUM(BI313:BI315)&gt;0,BK313,"")</f>
        <v>2</v>
      </c>
      <c r="AE310" s="2"/>
      <c r="AF310" s="12"/>
      <c r="AG310" s="12"/>
      <c r="AH310" s="14"/>
      <c r="AI310" s="273" t="s">
        <v>9</v>
      </c>
      <c r="AJ310" s="273"/>
      <c r="AK310" s="273"/>
      <c r="AL310" s="273"/>
      <c r="AM310" s="273"/>
      <c r="AN310" s="273"/>
      <c r="AO310" s="273" t="s">
        <v>10</v>
      </c>
      <c r="AP310" s="273"/>
      <c r="AQ310" s="273"/>
      <c r="AR310" s="273"/>
      <c r="AS310" s="273"/>
      <c r="AT310" s="273"/>
      <c r="BK310" s="19"/>
      <c r="BL310" s="20"/>
    </row>
    <row r="311" spans="1:64" ht="11.45" customHeight="1" thickBot="1" x14ac:dyDescent="0.25">
      <c r="I311" s="2" t="str">
        <f>"1"&amp;O309&amp;N310</f>
        <v>15mieszana J</v>
      </c>
      <c r="J311" s="10" t="str">
        <f>IF(AD310="","",IF(AD310=1,N311,IF(AD313=1,N314,IF(AD316=1,N317,""))))</f>
        <v>K4230</v>
      </c>
      <c r="K311" s="10" t="str">
        <f>IF(AD310="","",IF(AD310=1,N312,IF(AD313=1,N315,IF(AD316=1,N318,""))))</f>
        <v>K3151</v>
      </c>
      <c r="L311" s="10"/>
      <c r="N311" s="33" t="s">
        <v>42</v>
      </c>
      <c r="O311" s="34">
        <f>IF(O309&gt;0,(O309&amp;1)*1,"")</f>
        <v>51</v>
      </c>
      <c r="Q311" s="274"/>
      <c r="R311" s="274"/>
      <c r="S311" s="275"/>
      <c r="T311" s="242"/>
      <c r="U311" s="244" t="str">
        <f>IF(AND(N311&lt;&gt;"",N312=""),CONCATENATE(VLOOKUP(N311,[2]zawodnicy!$A$1:$E$65536,1,FALSE)," ",VLOOKUP(N311,[2]zawodnicy!$A$1:$E$65536,2,FALSE)," ",VLOOKUP(N311,[2]zawodnicy!$A$1:$E$65536,3,FALSE)," - ",VLOOKUP(N311,[2]zawodnicy!$A$1:$E$65536,4,FALSE)),"")</f>
        <v/>
      </c>
      <c r="V311" s="245"/>
      <c r="W311" s="246"/>
      <c r="X311" s="35"/>
      <c r="Y311" s="36" t="str">
        <f>IF(SUM(AQ315:AR315)=0,"",AQ315&amp;":"&amp;AR315)</f>
        <v>17:21</v>
      </c>
      <c r="Z311" s="37" t="str">
        <f>IF(SUM(AQ313:AR313)=0,"",AQ313&amp;":"&amp;AR313)</f>
        <v>11:21</v>
      </c>
      <c r="AA311" s="248"/>
      <c r="AB311" s="251"/>
      <c r="AC311" s="251"/>
      <c r="AD311" s="254"/>
      <c r="AE311" s="2"/>
      <c r="AF311" s="12"/>
      <c r="AG311" s="12"/>
      <c r="AH311" s="14"/>
      <c r="BE311" s="19">
        <f>SUM(BE313:BE315)</f>
        <v>320</v>
      </c>
      <c r="BF311" s="19">
        <f>SUM(BF313:BF315)</f>
        <v>320</v>
      </c>
      <c r="BG311" s="19">
        <f>SUM(BG313:BG315)</f>
        <v>8</v>
      </c>
      <c r="BH311" s="19">
        <f>SUM(BH313:BH315)</f>
        <v>8</v>
      </c>
      <c r="BK311" s="19"/>
      <c r="BL311" s="20"/>
    </row>
    <row r="312" spans="1:64" ht="11.45" customHeight="1" thickBot="1" x14ac:dyDescent="0.25">
      <c r="J312" s="10"/>
      <c r="K312" s="28"/>
      <c r="L312" s="28"/>
      <c r="N312" s="38" t="s">
        <v>33</v>
      </c>
      <c r="O312" s="28"/>
      <c r="P312" s="28"/>
      <c r="Q312" s="274"/>
      <c r="R312" s="274"/>
      <c r="S312" s="275"/>
      <c r="T312" s="261"/>
      <c r="U312" s="265" t="str">
        <f>IF(N312&lt;&gt;"",CONCATENATE(VLOOKUP(N312,[2]zawodnicy!$A$1:$E$65536,1,FALSE)," ",VLOOKUP(N312,[2]zawodnicy!$A$1:$E$65536,2,FALSE)," ",VLOOKUP(N312,[2]zawodnicy!$A$1:$E$65536,3,FALSE)," - ",VLOOKUP(N312,[2]zawodnicy!$A$1:$E$65536,4,FALSE)),"")</f>
        <v>S3950 Klaudia SOCHA - KS Chojnik Jelenia Góra</v>
      </c>
      <c r="V312" s="266"/>
      <c r="W312" s="267"/>
      <c r="X312" s="35"/>
      <c r="Y312" s="39" t="str">
        <f>IF(SUM(AS315:AT315)=0,"",AS315&amp;":"&amp;AT315)</f>
        <v>23:25</v>
      </c>
      <c r="Z312" s="40" t="str">
        <f>IF(SUM(AS313:AT313)=0,"",AS313&amp;":"&amp;AT313)</f>
        <v>22:20</v>
      </c>
      <c r="AA312" s="262"/>
      <c r="AB312" s="263"/>
      <c r="AC312" s="263"/>
      <c r="AD312" s="264"/>
      <c r="AE312" s="2"/>
      <c r="AF312" s="12"/>
      <c r="AG312" s="12"/>
      <c r="AH312" s="14"/>
      <c r="AI312" s="259" t="s">
        <v>12</v>
      </c>
      <c r="AJ312" s="269"/>
      <c r="AK312" s="268" t="s">
        <v>13</v>
      </c>
      <c r="AL312" s="269"/>
      <c r="AM312" s="268" t="s">
        <v>14</v>
      </c>
      <c r="AN312" s="260"/>
      <c r="AO312" s="259" t="s">
        <v>12</v>
      </c>
      <c r="AP312" s="269"/>
      <c r="AQ312" s="268" t="s">
        <v>13</v>
      </c>
      <c r="AR312" s="269"/>
      <c r="AS312" s="268" t="s">
        <v>14</v>
      </c>
      <c r="AT312" s="269"/>
      <c r="AU312" s="12"/>
      <c r="AV312" s="12"/>
      <c r="AW312" s="259">
        <v>1</v>
      </c>
      <c r="AX312" s="269"/>
      <c r="AY312" s="268">
        <v>2</v>
      </c>
      <c r="AZ312" s="269"/>
      <c r="BA312" s="268">
        <v>3</v>
      </c>
      <c r="BB312" s="260"/>
      <c r="BE312" s="259" t="s">
        <v>3</v>
      </c>
      <c r="BF312" s="260"/>
      <c r="BG312" s="259" t="s">
        <v>4</v>
      </c>
      <c r="BH312" s="260"/>
      <c r="BI312" s="259" t="s">
        <v>5</v>
      </c>
      <c r="BJ312" s="260"/>
      <c r="BK312" s="41" t="s">
        <v>6</v>
      </c>
      <c r="BL312" s="20"/>
    </row>
    <row r="313" spans="1:64" ht="11.45" customHeight="1" x14ac:dyDescent="0.2">
      <c r="A313" s="19">
        <f>S313</f>
        <v>44</v>
      </c>
      <c r="B313" s="2" t="str">
        <f>IF(N311="","",N311)</f>
        <v>N3333</v>
      </c>
      <c r="C313" s="2" t="str">
        <f>IF(N312="","",N312)</f>
        <v>S3950</v>
      </c>
      <c r="D313" s="2" t="str">
        <f>IF(N317="","",N317)</f>
        <v>K4230</v>
      </c>
      <c r="E313" s="2" t="str">
        <f>IF(N318="","",N318)</f>
        <v>K3151</v>
      </c>
      <c r="I313" s="2" t="str">
        <f>"2"&amp;O309&amp;N310</f>
        <v>25mieszana J</v>
      </c>
      <c r="J313" s="10" t="str">
        <f>IF(AD313="","",IF(AD310=2,N311,IF(AD313=2,N314,IF(AD316=2,N317,""))))</f>
        <v>N3333</v>
      </c>
      <c r="K313" s="10" t="str">
        <f>IF(AD313="","",IF(AD310=2,N312,IF(AD313=2,N315,IF(AD316=2,N318,""))))</f>
        <v>S3950</v>
      </c>
      <c r="M313" s="42" t="str">
        <f>N310</f>
        <v>mieszana J</v>
      </c>
      <c r="O313" s="28"/>
      <c r="P313" s="28"/>
      <c r="Q313" s="43" t="str">
        <f>IF(AU313&gt;0,"",IF(A313=0,"",IF(VLOOKUP(A313,'[2]plan gier'!A$1:S$65536,19,FALSE)="","",VLOOKUP(A313,'[2]plan gier'!A$1:S$65536,19,FALSE))))</f>
        <v/>
      </c>
      <c r="R313" s="44" t="s">
        <v>15</v>
      </c>
      <c r="S313" s="45">
        <v>44</v>
      </c>
      <c r="T313" s="241">
        <v>2</v>
      </c>
      <c r="U313" s="244" t="str">
        <f>IF(AND(N314&lt;&gt;"",N315&lt;&gt;""),CONCATENATE(VLOOKUP(N314,[2]zawodnicy!$A$1:$E$65536,1,FALSE)," ",VLOOKUP(N314,[2]zawodnicy!$A$1:$E$65536,2,FALSE)," ",VLOOKUP(N314,[2]zawodnicy!$A$1:$E$65536,3,FALSE)," - ",VLOOKUP(N314,[2]zawodnicy!$A$1:$E$65536,4,FALSE)),"")</f>
        <v>U4307 Michał USTIMOWICZ - LKS Technik Głubczyce</v>
      </c>
      <c r="V313" s="245"/>
      <c r="W313" s="246"/>
      <c r="X313" s="46" t="str">
        <f>IF(SUM(AO315:AP315)=0,"",AP315&amp;":"&amp;AO315)</f>
        <v>19:21</v>
      </c>
      <c r="Y313" s="47"/>
      <c r="Z313" s="48" t="str">
        <f>IF(SUM(AO314:AP314)=0,"",AO314&amp;":"&amp;AP314)</f>
        <v>17:21</v>
      </c>
      <c r="AA313" s="247" t="str">
        <f>IF(SUM(AW314:AX314,BA314:BB314)=0,"",BE314&amp;":"&amp;BF314)</f>
        <v>102:104</v>
      </c>
      <c r="AB313" s="250" t="str">
        <f>IF(SUM(AW314:AX314,BA314:BB314)=0,"",BG314&amp;":"&amp;BH314)</f>
        <v>2:3</v>
      </c>
      <c r="AC313" s="250" t="str">
        <f>IF(SUM(AW314:AX314,BA314:BB314)=0,"",BI314&amp;":"&amp;BJ314)</f>
        <v>1:1</v>
      </c>
      <c r="AD313" s="253">
        <f>IF(SUM(BI313:BI315)&gt;0,BK314,"")</f>
        <v>3</v>
      </c>
      <c r="AE313" s="2"/>
      <c r="AF313" s="12"/>
      <c r="AG313" s="12"/>
      <c r="AH313" s="44" t="s">
        <v>15</v>
      </c>
      <c r="AI313" s="49">
        <f>IF(ISBLANK(S313),"",VLOOKUP(S313,'[2]plan gier'!$X$1:$AN$65536,12,FALSE))</f>
        <v>21</v>
      </c>
      <c r="AJ313" s="50">
        <f>IF(ISBLANK(S313),"",VLOOKUP(S313,'[2]plan gier'!$X$1:$AN$65536,13,FALSE))</f>
        <v>19</v>
      </c>
      <c r="AK313" s="50">
        <f>IF(ISBLANK(S313),"",VLOOKUP(S313,'[2]plan gier'!$X$1:$AN$65536,14,FALSE))</f>
        <v>11</v>
      </c>
      <c r="AL313" s="50">
        <f>IF(ISBLANK(S313),"",VLOOKUP(S313,'[2]plan gier'!$X$1:$AN$65536,15,FALSE))</f>
        <v>21</v>
      </c>
      <c r="AM313" s="50">
        <f>IF(ISBLANK(S313),"",VLOOKUP(S313,'[2]plan gier'!$X$1:$AN$65536,16,FALSE))</f>
        <v>22</v>
      </c>
      <c r="AN313" s="50">
        <f>IF(ISBLANK(S313),"",VLOOKUP(S313,'[2]plan gier'!$X$1:$AN$65536,17,FALSE))</f>
        <v>20</v>
      </c>
      <c r="AO313" s="51">
        <f t="shared" ref="AO313:AT315" si="30">IF(AI313="",0,AI313)</f>
        <v>21</v>
      </c>
      <c r="AP313" s="52">
        <f t="shared" si="30"/>
        <v>19</v>
      </c>
      <c r="AQ313" s="53">
        <f t="shared" si="30"/>
        <v>11</v>
      </c>
      <c r="AR313" s="52">
        <f t="shared" si="30"/>
        <v>21</v>
      </c>
      <c r="AS313" s="53">
        <f t="shared" si="30"/>
        <v>22</v>
      </c>
      <c r="AT313" s="52">
        <f t="shared" si="30"/>
        <v>20</v>
      </c>
      <c r="AU313" s="54">
        <f>SUM(AO313:AT313)</f>
        <v>114</v>
      </c>
      <c r="AV313" s="13">
        <v>1</v>
      </c>
      <c r="AW313" s="55"/>
      <c r="AX313" s="56"/>
      <c r="AY313" s="50">
        <f>IF(AI315&gt;AJ315,1,0)+IF(AK315&gt;AL315,1,0)+IF(AM315&gt;AN315,1,0)</f>
        <v>1</v>
      </c>
      <c r="AZ313" s="50">
        <f>AW314</f>
        <v>2</v>
      </c>
      <c r="BA313" s="50">
        <f>IF(AI313&gt;AJ313,1,0)+IF(AK313&gt;AL313,1,0)+IF(AM313&gt;AN313,1,0)</f>
        <v>2</v>
      </c>
      <c r="BB313" s="57">
        <f>AW315</f>
        <v>1</v>
      </c>
      <c r="BE313" s="49">
        <f>AO313+AQ313+AS313+AO315+AQ315+AS315</f>
        <v>115</v>
      </c>
      <c r="BF313" s="57">
        <f>AP313+AR313+AT313+AP315+AR315+AT315</f>
        <v>125</v>
      </c>
      <c r="BG313" s="49">
        <f>AY313+BA313</f>
        <v>3</v>
      </c>
      <c r="BH313" s="57">
        <f>AZ313+BB313</f>
        <v>3</v>
      </c>
      <c r="BI313" s="49">
        <f>IF(AY313&gt;AZ313,1,0)+IF(BA313&gt;BB313,1,0)</f>
        <v>1</v>
      </c>
      <c r="BJ313" s="58">
        <f>IF(AZ313&gt;AY313,1,0)+IF(BB313&gt;BA313,1,0)</f>
        <v>1</v>
      </c>
      <c r="BK313" s="59">
        <f>IF(BI313+BJ313=0,"",IF(BL313=MAX(BL313:BL315),1,IF(BL313=MIN(BL313:BL315),3,2)))</f>
        <v>2</v>
      </c>
      <c r="BL313" s="60">
        <f>IF(BI313+BJ313&lt;&gt;0,BI313+1+(BG313-BH313)/100+(BE313-BF313)/100000+(BE313/BF313)/1000000,0)</f>
        <v>1.99990092</v>
      </c>
    </row>
    <row r="314" spans="1:64" ht="11.45" customHeight="1" x14ac:dyDescent="0.2">
      <c r="A314" s="19">
        <f>S314</f>
        <v>109</v>
      </c>
      <c r="B314" s="2" t="str">
        <f>IF(N314="","",N314)</f>
        <v>U4307</v>
      </c>
      <c r="C314" s="2" t="str">
        <f>IF(N315="","",N315)</f>
        <v>M3662</v>
      </c>
      <c r="D314" s="2" t="str">
        <f>IF(N317="","",N317)</f>
        <v>K4230</v>
      </c>
      <c r="E314" s="2" t="str">
        <f>IF(N318="","",N318)</f>
        <v>K3151</v>
      </c>
      <c r="J314" s="10"/>
      <c r="K314" s="19"/>
      <c r="M314" s="42" t="str">
        <f>N310</f>
        <v>mieszana J</v>
      </c>
      <c r="N314" s="33" t="s">
        <v>37</v>
      </c>
      <c r="O314" s="34">
        <f>IF(O309&gt;0,(O309&amp;2)*1,"")</f>
        <v>52</v>
      </c>
      <c r="Q314" s="43" t="str">
        <f>IF(AU314&gt;0,"",IF(A314=0,"",IF(VLOOKUP(A314,'[2]plan gier'!A$1:S$65536,19,FALSE)="","",VLOOKUP(A314,'[2]plan gier'!A$1:S$65536,19,FALSE))))</f>
        <v/>
      </c>
      <c r="R314" s="44" t="s">
        <v>17</v>
      </c>
      <c r="S314" s="45">
        <v>109</v>
      </c>
      <c r="T314" s="242"/>
      <c r="U314" s="244" t="str">
        <f>IF(AND(N314&lt;&gt;"",N315=""),CONCATENATE(VLOOKUP(N314,[2]zawodnicy!$A$1:$E$65536,1,FALSE)," ",VLOOKUP(N314,[2]zawodnicy!$A$1:$E$65536,2,FALSE)," ",VLOOKUP(N314,[2]zawodnicy!$A$1:$E$65536,3,FALSE)," - ",VLOOKUP(N314,[2]zawodnicy!$A$1:$E$65536,4,FALSE)),"")</f>
        <v/>
      </c>
      <c r="V314" s="245"/>
      <c r="W314" s="246"/>
      <c r="X314" s="61" t="str">
        <f>IF(SUM(AQ315:AR315)=0,"",AR315&amp;":"&amp;AQ315)</f>
        <v>21:17</v>
      </c>
      <c r="Y314" s="62"/>
      <c r="Z314" s="37" t="str">
        <f>IF(SUM(AQ314:AR314)=0,"",AQ314&amp;":"&amp;AR314)</f>
        <v>20:22</v>
      </c>
      <c r="AA314" s="248"/>
      <c r="AB314" s="251"/>
      <c r="AC314" s="251"/>
      <c r="AD314" s="254"/>
      <c r="AE314" s="2"/>
      <c r="AF314" s="12"/>
      <c r="AG314" s="12"/>
      <c r="AH314" s="44" t="s">
        <v>17</v>
      </c>
      <c r="AI314" s="63">
        <f>IF(ISBLANK(S314),"",VLOOKUP(S314,'[2]plan gier'!$X$1:$AN$65536,12,FALSE))</f>
        <v>17</v>
      </c>
      <c r="AJ314" s="64">
        <f>IF(ISBLANK(S314),"",VLOOKUP(S314,'[2]plan gier'!$X$1:$AN$65536,13,FALSE))</f>
        <v>21</v>
      </c>
      <c r="AK314" s="64">
        <f>IF(ISBLANK(S314),"",VLOOKUP(S314,'[2]plan gier'!$X$1:$AN$65536,14,FALSE))</f>
        <v>20</v>
      </c>
      <c r="AL314" s="64">
        <f>IF(ISBLANK(S314),"",VLOOKUP(S314,'[2]plan gier'!$X$1:$AN$65536,15,FALSE))</f>
        <v>22</v>
      </c>
      <c r="AM314" s="64">
        <f>IF(ISBLANK(S314),"",VLOOKUP(S314,'[2]plan gier'!$X$1:$AN$65536,16,FALSE))</f>
        <v>0</v>
      </c>
      <c r="AN314" s="64">
        <f>IF(ISBLANK(S314),"",VLOOKUP(S314,'[2]plan gier'!$X$1:$AN$65536,17,FALSE))</f>
        <v>0</v>
      </c>
      <c r="AO314" s="65">
        <f t="shared" si="30"/>
        <v>17</v>
      </c>
      <c r="AP314" s="64">
        <f t="shared" si="30"/>
        <v>21</v>
      </c>
      <c r="AQ314" s="66">
        <f t="shared" si="30"/>
        <v>20</v>
      </c>
      <c r="AR314" s="64">
        <f t="shared" si="30"/>
        <v>22</v>
      </c>
      <c r="AS314" s="66">
        <f t="shared" si="30"/>
        <v>0</v>
      </c>
      <c r="AT314" s="64">
        <f t="shared" si="30"/>
        <v>0</v>
      </c>
      <c r="AU314" s="54">
        <f>SUM(AO314:AT314)</f>
        <v>80</v>
      </c>
      <c r="AV314" s="13">
        <v>2</v>
      </c>
      <c r="AW314" s="63">
        <f>IF(AI315&lt;AJ315,1,0)+IF(AK315&lt;AL315,1,0)+IF(AM315&lt;AN315,1,0)</f>
        <v>2</v>
      </c>
      <c r="AX314" s="64">
        <f>AY313</f>
        <v>1</v>
      </c>
      <c r="AY314" s="67"/>
      <c r="AZ314" s="68"/>
      <c r="BA314" s="64">
        <f>IF(AI314&gt;AJ314,1,0)+IF(AK314&gt;AL314,1,0)+IF(AM314&gt;AN314,1,0)</f>
        <v>0</v>
      </c>
      <c r="BB314" s="69">
        <f>AY315</f>
        <v>2</v>
      </c>
      <c r="BE314" s="63">
        <f>AO314+AQ314+AS314+AP315+AR315+AT315</f>
        <v>102</v>
      </c>
      <c r="BF314" s="69">
        <f>AP314+AR314+AT314+AO315+AQ315+AS315</f>
        <v>104</v>
      </c>
      <c r="BG314" s="63">
        <f>AW314+BA314</f>
        <v>2</v>
      </c>
      <c r="BH314" s="69">
        <f>AX314+BB314</f>
        <v>3</v>
      </c>
      <c r="BI314" s="63">
        <f>IF(AW314&gt;AX314,1,0)+IF(BA314&gt;BB314,1,0)</f>
        <v>1</v>
      </c>
      <c r="BJ314" s="70">
        <f>IF(AX314&gt;AW314,1,0)+IF(BB314&gt;BA314,1,0)</f>
        <v>1</v>
      </c>
      <c r="BK314" s="71">
        <f>IF(BI314+BJ314=0,"",IF(BL314=MAX(BL313:BL315),1,IF(BL314=MIN(BL313:BL315),3,2)))</f>
        <v>3</v>
      </c>
      <c r="BL314" s="60">
        <f>IF(BI314+BJ314&lt;&gt;0,BI314+1+(BG314-BH314)/100+(BE314-BF314)/100000+(BE314/BF314)/1000000,0)</f>
        <v>1.9899809807692308</v>
      </c>
    </row>
    <row r="315" spans="1:64" ht="11.45" customHeight="1" thickBot="1" x14ac:dyDescent="0.25">
      <c r="A315" s="19">
        <f>S315</f>
        <v>174</v>
      </c>
      <c r="B315" s="2" t="str">
        <f>IF(N311="","",N311)</f>
        <v>N3333</v>
      </c>
      <c r="C315" s="2" t="str">
        <f>IF(N312="","",N312)</f>
        <v>S3950</v>
      </c>
      <c r="D315" s="2" t="str">
        <f>IF(N314="","",N314)</f>
        <v>U4307</v>
      </c>
      <c r="E315" s="2" t="str">
        <f>IF(N315="","",N315)</f>
        <v>M3662</v>
      </c>
      <c r="I315" s="2" t="str">
        <f>"3"&amp;O309&amp;N310</f>
        <v>35mieszana J</v>
      </c>
      <c r="J315" s="10" t="str">
        <f>IF(AD316="","",IF(AD310=3,N311,IF(AD313=3,N314,IF(AD316=3,N317,""))))</f>
        <v>U4307</v>
      </c>
      <c r="K315" s="10" t="str">
        <f>IF(AD316="","",IF(AD310=3,N312,IF(AD313=3,N315,IF(AD316=3,N318,""))))</f>
        <v>M3662</v>
      </c>
      <c r="M315" s="42" t="str">
        <f>N310</f>
        <v>mieszana J</v>
      </c>
      <c r="N315" s="38" t="s">
        <v>57</v>
      </c>
      <c r="O315" s="28"/>
      <c r="P315" s="28"/>
      <c r="Q315" s="43" t="str">
        <f>IF(AU315&gt;0,"",IF(A315=0,"",IF(VLOOKUP(A315,'[2]plan gier'!A$1:S$65536,19,FALSE)="","",VLOOKUP(A315,'[2]plan gier'!A$1:S$65536,19,FALSE))))</f>
        <v/>
      </c>
      <c r="R315" s="72" t="s">
        <v>18</v>
      </c>
      <c r="S315" s="45">
        <v>174</v>
      </c>
      <c r="T315" s="261"/>
      <c r="U315" s="265" t="str">
        <f>IF(N315&lt;&gt;"",CONCATENATE(VLOOKUP(N315,[2]zawodnicy!$A$1:$E$65536,1,FALSE)," ",VLOOKUP(N315,[2]zawodnicy!$A$1:$E$65536,2,FALSE)," ",VLOOKUP(N315,[2]zawodnicy!$A$1:$E$65536,3,FALSE)," - ",VLOOKUP(N315,[2]zawodnicy!$A$1:$E$65536,4,FALSE)),"")</f>
        <v>M3662 Anita MIELNICZEK - UKS Orbitek Straszęcin</v>
      </c>
      <c r="V315" s="266"/>
      <c r="W315" s="267"/>
      <c r="X315" s="73" t="str">
        <f>IF(SUM(AS315:AT315)=0,"",AT315&amp;":"&amp;AS315)</f>
        <v>25:23</v>
      </c>
      <c r="Y315" s="62"/>
      <c r="Z315" s="40" t="str">
        <f>IF(SUM(AS314:AT314)=0,"",AS314&amp;":"&amp;AT314)</f>
        <v/>
      </c>
      <c r="AA315" s="262"/>
      <c r="AB315" s="263"/>
      <c r="AC315" s="263"/>
      <c r="AD315" s="264"/>
      <c r="AE315" s="2"/>
      <c r="AF315" s="12"/>
      <c r="AG315" s="12"/>
      <c r="AH315" s="72" t="s">
        <v>18</v>
      </c>
      <c r="AI315" s="74">
        <f>IF(ISBLANK(S315),"",VLOOKUP(S315,'[2]plan gier'!$X$1:$AN$65536,12,FALSE))</f>
        <v>21</v>
      </c>
      <c r="AJ315" s="75">
        <f>IF(ISBLANK(S315),"",VLOOKUP(S315,'[2]plan gier'!$X$1:$AN$65536,13,FALSE))</f>
        <v>19</v>
      </c>
      <c r="AK315" s="75">
        <f>IF(ISBLANK(S315),"",VLOOKUP(S315,'[2]plan gier'!$X$1:$AN$65536,14,FALSE))</f>
        <v>17</v>
      </c>
      <c r="AL315" s="75">
        <f>IF(ISBLANK(S315),"",VLOOKUP(S315,'[2]plan gier'!$X$1:$AN$65536,15,FALSE))</f>
        <v>21</v>
      </c>
      <c r="AM315" s="75">
        <f>IF(ISBLANK(S315),"",VLOOKUP(S315,'[2]plan gier'!$X$1:$AN$65536,16,FALSE))</f>
        <v>23</v>
      </c>
      <c r="AN315" s="75">
        <f>IF(ISBLANK(S315),"",VLOOKUP(S315,'[2]plan gier'!$X$1:$AN$65536,17,FALSE))</f>
        <v>25</v>
      </c>
      <c r="AO315" s="76">
        <f t="shared" si="30"/>
        <v>21</v>
      </c>
      <c r="AP315" s="75">
        <f t="shared" si="30"/>
        <v>19</v>
      </c>
      <c r="AQ315" s="77">
        <f t="shared" si="30"/>
        <v>17</v>
      </c>
      <c r="AR315" s="75">
        <f t="shared" si="30"/>
        <v>21</v>
      </c>
      <c r="AS315" s="77">
        <f t="shared" si="30"/>
        <v>23</v>
      </c>
      <c r="AT315" s="75">
        <f t="shared" si="30"/>
        <v>25</v>
      </c>
      <c r="AU315" s="54">
        <f>SUM(AO315:AT315)</f>
        <v>126</v>
      </c>
      <c r="AV315" s="13">
        <v>3</v>
      </c>
      <c r="AW315" s="74">
        <f>IF(AI313&lt;AJ313,1,0)+IF(AK313&lt;AL313,1,0)+IF(AM313&lt;AN313,1,0)</f>
        <v>1</v>
      </c>
      <c r="AX315" s="75">
        <f>BA313</f>
        <v>2</v>
      </c>
      <c r="AY315" s="75">
        <f>IF(AI314&lt;AJ314,1,0)+IF(AK314&lt;AL314,1,0)+IF(AM314&lt;AN314,1,0)</f>
        <v>2</v>
      </c>
      <c r="AZ315" s="75">
        <f>BA314</f>
        <v>0</v>
      </c>
      <c r="BA315" s="78"/>
      <c r="BB315" s="79"/>
      <c r="BE315" s="74">
        <f>AP313+AR313+AT313+AP314+AR314+AT314</f>
        <v>103</v>
      </c>
      <c r="BF315" s="80">
        <f>AO313+AQ313+AS313+AO314+AQ314+AS314</f>
        <v>91</v>
      </c>
      <c r="BG315" s="74">
        <f>AW315+AY315</f>
        <v>3</v>
      </c>
      <c r="BH315" s="80">
        <f>AX315+AZ315</f>
        <v>2</v>
      </c>
      <c r="BI315" s="74">
        <f>IF(AW315&gt;AX315,1,0)+IF(AY315&gt;AZ315,1,0)</f>
        <v>1</v>
      </c>
      <c r="BJ315" s="81">
        <f>IF(AX315&gt;AW315,1,0)+IF(AZ315&gt;AY315,1,0)</f>
        <v>1</v>
      </c>
      <c r="BK315" s="82">
        <f>IF(BI315+BJ315=0,"",IF(BL315=MAX(BL313:BL315),1,IF(BL315=MIN(BL313:BL315),3,2)))</f>
        <v>1</v>
      </c>
      <c r="BL315" s="60">
        <f>IF(BI315+BJ315&lt;&gt;0,BI315+1+(BG315-BH315)/100+(BE315-BF315)/100000+(BE315/BF315)/1000000,0)</f>
        <v>2.0101211318681314</v>
      </c>
    </row>
    <row r="316" spans="1:64" ht="11.45" customHeight="1" x14ac:dyDescent="0.2">
      <c r="A316" s="2"/>
      <c r="J316" s="28"/>
      <c r="K316" s="28"/>
      <c r="L316" s="28"/>
      <c r="O316" s="28"/>
      <c r="P316" s="28"/>
      <c r="Q316" s="2"/>
      <c r="R316" s="2"/>
      <c r="S316" s="2"/>
      <c r="T316" s="241">
        <v>3</v>
      </c>
      <c r="U316" s="244" t="str">
        <f>IF(AND(N317&lt;&gt;"",N318&lt;&gt;""),CONCATENATE(VLOOKUP(N317,[2]zawodnicy!$A$1:$E$65536,1,FALSE)," ",VLOOKUP(N317,[2]zawodnicy!$A$1:$E$65536,2,FALSE)," ",VLOOKUP(N317,[2]zawodnicy!$A$1:$E$65536,3,FALSE)," - ",VLOOKUP(N317,[2]zawodnicy!$A$1:$E$65536,4,FALSE)),"")</f>
        <v>K4230 Wiktor KRAWCZYK - UKSB Milenium Warszawa</v>
      </c>
      <c r="V316" s="245"/>
      <c r="W316" s="246"/>
      <c r="X316" s="46" t="str">
        <f>IF(SUM(AO313:AP313)=0,"",AP313&amp;":"&amp;AO313)</f>
        <v>19:21</v>
      </c>
      <c r="Y316" s="83" t="str">
        <f>IF(SUM(AO314:AP314)=0,"",AP314&amp;":"&amp;AO314)</f>
        <v>21:17</v>
      </c>
      <c r="Z316" s="84"/>
      <c r="AA316" s="247" t="str">
        <f>IF(SUM(AW315:AZ315)=0,"",BE315&amp;":"&amp;BF315)</f>
        <v>103:91</v>
      </c>
      <c r="AB316" s="250" t="str">
        <f>IF(SUM(AW315:AZ315)=0,"",BG315&amp;":"&amp;BH315)</f>
        <v>3:2</v>
      </c>
      <c r="AC316" s="250" t="str">
        <f>IF(SUM(AW315:AZ315)=0,"",BI315&amp;":"&amp;BJ315)</f>
        <v>1:1</v>
      </c>
      <c r="AD316" s="253">
        <f>IF(SUM(BI313:BI315)&gt;0,BK315,"")</f>
        <v>1</v>
      </c>
      <c r="AE316" s="2"/>
      <c r="AF316" s="12"/>
      <c r="AG316" s="12"/>
      <c r="BE316" s="19">
        <f>SUM(BE313:BE315)</f>
        <v>320</v>
      </c>
      <c r="BF316" s="19">
        <f>SUM(BF313:BF315)</f>
        <v>320</v>
      </c>
      <c r="BG316" s="19">
        <f>SUM(BG313:BG315)</f>
        <v>8</v>
      </c>
      <c r="BH316" s="19">
        <f>SUM(BH313:BH315)</f>
        <v>8</v>
      </c>
      <c r="BK316" s="19"/>
      <c r="BL316" s="20"/>
    </row>
    <row r="317" spans="1:64" ht="11.45" customHeight="1" x14ac:dyDescent="0.2">
      <c r="A317" s="19"/>
      <c r="J317" s="19"/>
      <c r="K317" s="19"/>
      <c r="L317" s="19"/>
      <c r="N317" s="33" t="s">
        <v>64</v>
      </c>
      <c r="O317" s="34">
        <f>IF(O309&gt;0,(O309&amp;3)*1,"")</f>
        <v>53</v>
      </c>
      <c r="Q317" s="85"/>
      <c r="R317" s="85"/>
      <c r="S317" s="85"/>
      <c r="T317" s="242"/>
      <c r="U317" s="244" t="str">
        <f>IF(AND(N317&lt;&gt;"",N318=""),CONCATENATE(VLOOKUP(N317,[2]zawodnicy!$A$1:$E$65536,1,FALSE)," ",VLOOKUP(N317,[2]zawodnicy!$A$1:$E$65536,2,FALSE)," ",VLOOKUP(N317,[2]zawodnicy!$A$1:$E$65536,3,FALSE)," - ",VLOOKUP(N317,[2]zawodnicy!$A$1:$E$65536,4,FALSE)),"")</f>
        <v/>
      </c>
      <c r="V317" s="245"/>
      <c r="W317" s="246"/>
      <c r="X317" s="61" t="str">
        <f>IF(SUM(AQ313:AR313)=0,"",AR313&amp;":"&amp;AQ313)</f>
        <v>21:11</v>
      </c>
      <c r="Y317" s="36" t="str">
        <f>IF(SUM(AQ314:AR314)=0,"",AR314&amp;":"&amp;AQ314)</f>
        <v>22:20</v>
      </c>
      <c r="Z317" s="86"/>
      <c r="AA317" s="248"/>
      <c r="AB317" s="251"/>
      <c r="AC317" s="251"/>
      <c r="AD317" s="254"/>
      <c r="AE317" s="2"/>
      <c r="AF317" s="12"/>
      <c r="AG317" s="1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row>
    <row r="318" spans="1:64" ht="11.45" customHeight="1" thickBot="1" x14ac:dyDescent="0.25">
      <c r="A318" s="2"/>
      <c r="J318" s="28"/>
      <c r="K318" s="28"/>
      <c r="L318" s="28"/>
      <c r="N318" s="38" t="s">
        <v>21</v>
      </c>
      <c r="O318" s="28"/>
      <c r="P318" s="28"/>
      <c r="Q318" s="2"/>
      <c r="R318" s="2"/>
      <c r="S318" s="2"/>
      <c r="T318" s="243"/>
      <c r="U318" s="256" t="str">
        <f>IF(N318&lt;&gt;"",CONCATENATE(VLOOKUP(N318,[2]zawodnicy!$A$1:$E$65536,1,FALSE)," ",VLOOKUP(N318,[2]zawodnicy!$A$1:$E$65536,2,FALSE)," ",VLOOKUP(N318,[2]zawodnicy!$A$1:$E$65536,3,FALSE)," - ",VLOOKUP(N318,[2]zawodnicy!$A$1:$E$65536,4,FALSE)),"")</f>
        <v>K3151 Maria KOPYT - UKSB Milenium Warszawa</v>
      </c>
      <c r="V318" s="257"/>
      <c r="W318" s="258"/>
      <c r="X318" s="87" t="str">
        <f>IF(SUM(AS313:AT313)=0,"",AT313&amp;":"&amp;AS313)</f>
        <v>20:22</v>
      </c>
      <c r="Y318" s="88" t="str">
        <f>IF(SUM(AS314:AT314)=0,"",AT314&amp;":"&amp;AS314)</f>
        <v/>
      </c>
      <c r="Z318" s="89"/>
      <c r="AA318" s="249"/>
      <c r="AB318" s="252"/>
      <c r="AC318" s="252"/>
      <c r="AD318" s="255"/>
      <c r="AE318" s="10"/>
      <c r="AF318" s="12"/>
      <c r="AG318" s="1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row>
    <row r="319" spans="1:64" s="19" customFormat="1" ht="5.0999999999999996" customHeight="1" thickBot="1" x14ac:dyDescent="0.25">
      <c r="M319" s="90"/>
      <c r="O319" s="90"/>
      <c r="P319" s="90"/>
      <c r="Q319" s="91"/>
      <c r="R319" s="91"/>
      <c r="S319" s="91"/>
      <c r="T319" s="91"/>
      <c r="U319" s="5"/>
      <c r="V319" s="5"/>
      <c r="W319" s="5"/>
      <c r="AA319" s="92"/>
      <c r="AB319" s="91"/>
      <c r="AC319" s="91"/>
      <c r="AD319" s="91"/>
      <c r="AE319" s="91"/>
      <c r="AF319" s="91"/>
      <c r="AI319" s="93"/>
      <c r="AJ319" s="94"/>
      <c r="AK319" s="94"/>
    </row>
    <row r="320" spans="1:64" ht="11.45" customHeight="1" thickBot="1" x14ac:dyDescent="0.25">
      <c r="B320" s="2" t="s">
        <v>63</v>
      </c>
      <c r="N320" s="138"/>
      <c r="O320" s="21">
        <v>6</v>
      </c>
      <c r="Q320" s="277" t="str">
        <f>"Grupa "&amp;O320&amp;"."</f>
        <v>Grupa 6.</v>
      </c>
      <c r="R320" s="277"/>
      <c r="S320" s="277"/>
      <c r="T320" s="22" t="s">
        <v>1</v>
      </c>
      <c r="U320" s="278" t="s">
        <v>2</v>
      </c>
      <c r="V320" s="279"/>
      <c r="W320" s="280"/>
      <c r="X320" s="22">
        <v>1</v>
      </c>
      <c r="Y320" s="139">
        <v>2</v>
      </c>
      <c r="Z320" s="23">
        <v>3</v>
      </c>
      <c r="AA320" s="140">
        <v>4</v>
      </c>
      <c r="AB320" s="141" t="s">
        <v>3</v>
      </c>
      <c r="AC320" s="142" t="s">
        <v>4</v>
      </c>
      <c r="AD320" s="26" t="s">
        <v>5</v>
      </c>
      <c r="AE320" s="143" t="s">
        <v>6</v>
      </c>
      <c r="AF320" s="12"/>
      <c r="AG320" s="12"/>
      <c r="AI320" s="273" t="s">
        <v>9</v>
      </c>
      <c r="AJ320" s="273"/>
      <c r="AK320" s="273"/>
      <c r="AL320" s="273"/>
      <c r="AM320" s="273"/>
      <c r="AN320" s="273"/>
      <c r="AO320" s="273" t="s">
        <v>10</v>
      </c>
      <c r="AP320" s="273"/>
      <c r="AQ320" s="273"/>
      <c r="AR320" s="273"/>
      <c r="AS320" s="273"/>
      <c r="AT320" s="273"/>
      <c r="BK320" s="19"/>
      <c r="BL320" s="20"/>
    </row>
    <row r="321" spans="1:64" ht="11.45" customHeight="1" x14ac:dyDescent="0.2">
      <c r="N321" s="29" t="s">
        <v>73</v>
      </c>
      <c r="Q321" s="274" t="s">
        <v>7</v>
      </c>
      <c r="R321" s="274"/>
      <c r="S321" s="275" t="s">
        <v>8</v>
      </c>
      <c r="T321" s="242">
        <v>1</v>
      </c>
      <c r="U321" s="244" t="str">
        <f>IF(AND(N322&lt;&gt;"",N323&lt;&gt;""),CONCATENATE(VLOOKUP(N322,[2]zawodnicy!$A$1:$E$65536,1,FALSE)," ",VLOOKUP(N322,[2]zawodnicy!$A$1:$E$65536,2,FALSE)," ",VLOOKUP(N322,[2]zawodnicy!$A$1:$E$65536,3,FALSE)," - ",VLOOKUP(N322,[2]zawodnicy!$A$1:$E$65536,4,FALSE)),"")</f>
        <v>T3923 Paweł TOMASZEWSKI - MKS Orlicz Suchedniów</v>
      </c>
      <c r="V321" s="245"/>
      <c r="W321" s="246"/>
      <c r="X321" s="35"/>
      <c r="Y321" s="36" t="str">
        <f>IF(SUM(AO329:AP329)=0,"",AO329&amp;":"&amp;AP329)</f>
        <v>11:21</v>
      </c>
      <c r="Z321" s="36" t="str">
        <f>IF(SUM(AO324:AP324)=0,"",AO324&amp;":"&amp;AP324)</f>
        <v>21:14</v>
      </c>
      <c r="AA321" s="144" t="str">
        <f>IF(SUM(AO326:AP326)=0,"",AO326&amp;":"&amp;AP326)</f>
        <v>21:0</v>
      </c>
      <c r="AB321" s="242" t="str">
        <f>IF(SUM(AY324:BD324)=0,"",BE324&amp;":"&amp;BF324)</f>
        <v>107:75</v>
      </c>
      <c r="AC321" s="251" t="str">
        <f>IF(SUM(AY324:BD324)=0,"",BG324&amp;":"&amp;BH324)</f>
        <v>4:2</v>
      </c>
      <c r="AD321" s="251" t="str">
        <f>IF(SUM(AY324:BD324)=0,"",BI324&amp;":"&amp;BJ324)</f>
        <v>2:1</v>
      </c>
      <c r="AE321" s="254">
        <f>IF(SUM(BI324:BI327)&gt;0,BK324,"")</f>
        <v>2</v>
      </c>
      <c r="AF321" s="12"/>
      <c r="AG321" s="12"/>
      <c r="BK321" s="19"/>
      <c r="BL321" s="20"/>
    </row>
    <row r="322" spans="1:64" ht="11.45" customHeight="1" thickBot="1" x14ac:dyDescent="0.25">
      <c r="H322" s="10"/>
      <c r="I322" s="2" t="str">
        <f>"1"&amp;O320&amp;N321</f>
        <v>16mieszana J</v>
      </c>
      <c r="J322" s="10" t="str">
        <f>IF(AE321="","",IF(AE321=1,N322,IF(AE324=1,N325,IF(AE327=1,N328,IF(AE330=1,N331,"")))))</f>
        <v>S3502</v>
      </c>
      <c r="K322" s="10" t="str">
        <f>IF(AE321="","",IF(AE321=1,N323,IF(AE324=1,N326,IF(AE327=1,N329,IF(AE330=1,N332,"")))))</f>
        <v>K3863</v>
      </c>
      <c r="L322" s="10"/>
      <c r="N322" s="33" t="s">
        <v>72</v>
      </c>
      <c r="O322" s="34">
        <f>IF(O320&gt;0,(O320&amp;1)*1,"")</f>
        <v>61</v>
      </c>
      <c r="Q322" s="274"/>
      <c r="R322" s="274"/>
      <c r="S322" s="275"/>
      <c r="T322" s="242"/>
      <c r="U322" s="244" t="str">
        <f>IF(AND(N322&lt;&gt;"",N323=""),CONCATENATE(VLOOKUP(N322,[2]zawodnicy!$A$1:$E$65536,1,FALSE)," ",VLOOKUP(N322,[2]zawodnicy!$A$1:$E$65536,2,FALSE)," ",VLOOKUP(N322,[2]zawodnicy!$A$1:$E$65536,3,FALSE)," - ",VLOOKUP(N322,[2]zawodnicy!$A$1:$E$65536,4,FALSE)),"")</f>
        <v/>
      </c>
      <c r="V322" s="245"/>
      <c r="W322" s="246"/>
      <c r="X322" s="35"/>
      <c r="Y322" s="36" t="str">
        <f>IF(SUM(AQ329:AR329)=0,"",AQ329&amp;":"&amp;AR329)</f>
        <v>12:21</v>
      </c>
      <c r="Z322" s="36" t="str">
        <f>IF(SUM(AQ324:AR324)=0,"",AQ324&amp;":"&amp;AR324)</f>
        <v>21:19</v>
      </c>
      <c r="AA322" s="144" t="str">
        <f>IF(SUM(AQ326:AR326)=0,"",AQ326&amp;":"&amp;AR326)</f>
        <v>21:0</v>
      </c>
      <c r="AB322" s="242"/>
      <c r="AC322" s="251"/>
      <c r="AD322" s="251"/>
      <c r="AE322" s="254"/>
      <c r="AF322" s="12"/>
      <c r="AG322" s="12"/>
      <c r="BK322" s="19"/>
      <c r="BL322" s="20"/>
    </row>
    <row r="323" spans="1:64" ht="11.45" customHeight="1" thickBot="1" x14ac:dyDescent="0.25">
      <c r="J323" s="10"/>
      <c r="K323" s="28"/>
      <c r="L323" s="28"/>
      <c r="N323" s="38" t="s">
        <v>19</v>
      </c>
      <c r="O323" s="28"/>
      <c r="P323" s="28"/>
      <c r="Q323" s="274"/>
      <c r="R323" s="274"/>
      <c r="S323" s="275"/>
      <c r="T323" s="261"/>
      <c r="U323" s="265" t="str">
        <f>IF(N323&lt;&gt;"",CONCATENATE(VLOOKUP(N323,[2]zawodnicy!$A$1:$E$65536,1,FALSE)," ",VLOOKUP(N323,[2]zawodnicy!$A$1:$E$65536,2,FALSE)," ",VLOOKUP(N323,[2]zawodnicy!$A$1:$E$65536,3,FALSE)," - ",VLOOKUP(N323,[2]zawodnicy!$A$1:$E$65536,4,FALSE)),"")</f>
        <v>Ł4427 Magda ŁUKASIAK - MKS Orlicz Suchedniów</v>
      </c>
      <c r="V323" s="266"/>
      <c r="W323" s="267"/>
      <c r="X323" s="35"/>
      <c r="Y323" s="39" t="str">
        <f>IF(SUM(AS329:AT329)=0,"",AS329&amp;":"&amp;AT329)</f>
        <v/>
      </c>
      <c r="Z323" s="39" t="str">
        <f>IF(SUM(AS324:AT324)=0,"",AS324&amp;":"&amp;AT324)</f>
        <v/>
      </c>
      <c r="AA323" s="145" t="str">
        <f>IF(SUM(AS326:AT326)=0,"",AS326&amp;":"&amp;AT326)</f>
        <v/>
      </c>
      <c r="AB323" s="242"/>
      <c r="AC323" s="251"/>
      <c r="AD323" s="251"/>
      <c r="AE323" s="254"/>
      <c r="AF323" s="12"/>
      <c r="AG323" s="12"/>
      <c r="AI323" s="283" t="s">
        <v>12</v>
      </c>
      <c r="AJ323" s="281"/>
      <c r="AK323" s="281" t="s">
        <v>13</v>
      </c>
      <c r="AL323" s="281"/>
      <c r="AM323" s="281" t="s">
        <v>14</v>
      </c>
      <c r="AN323" s="281"/>
      <c r="AO323" s="283" t="s">
        <v>12</v>
      </c>
      <c r="AP323" s="281"/>
      <c r="AQ323" s="281" t="s">
        <v>13</v>
      </c>
      <c r="AR323" s="281"/>
      <c r="AS323" s="281" t="s">
        <v>14</v>
      </c>
      <c r="AT323" s="282"/>
      <c r="AW323" s="283">
        <v>1</v>
      </c>
      <c r="AX323" s="281"/>
      <c r="AY323" s="281">
        <v>2</v>
      </c>
      <c r="AZ323" s="281"/>
      <c r="BA323" s="281">
        <v>3</v>
      </c>
      <c r="BB323" s="281"/>
      <c r="BC323" s="281">
        <v>4</v>
      </c>
      <c r="BD323" s="282"/>
      <c r="BE323" s="283" t="s">
        <v>3</v>
      </c>
      <c r="BF323" s="282"/>
      <c r="BG323" s="283" t="s">
        <v>4</v>
      </c>
      <c r="BH323" s="282"/>
      <c r="BI323" s="283" t="s">
        <v>5</v>
      </c>
      <c r="BJ323" s="268"/>
      <c r="BK323" s="41" t="s">
        <v>6</v>
      </c>
      <c r="BL323" s="20"/>
    </row>
    <row r="324" spans="1:64" ht="11.45" customHeight="1" x14ac:dyDescent="0.2">
      <c r="A324" s="19">
        <f t="shared" ref="A324:A329" si="31">S324</f>
        <v>45</v>
      </c>
      <c r="B324" s="19" t="str">
        <f>IF(N322="","",N322)</f>
        <v>T3923</v>
      </c>
      <c r="C324" s="19" t="str">
        <f>IF(N323="","",N323)</f>
        <v>Ł4427</v>
      </c>
      <c r="D324" s="19" t="str">
        <f>IF(N328="","",N328)</f>
        <v>W3805</v>
      </c>
      <c r="E324" s="19" t="str">
        <f>IF(N329="","",N329)</f>
        <v>B3564</v>
      </c>
      <c r="H324" s="10"/>
      <c r="I324" s="2" t="str">
        <f>"2"&amp;O320&amp;N321</f>
        <v>26mieszana J</v>
      </c>
      <c r="J324" s="10" t="str">
        <f>IF(AE324="","",IF(AE321=2,N322,IF(AE324=2,N325,IF(AE327=2,N328,IF(AE330=2,N331,"")))))</f>
        <v>T3923</v>
      </c>
      <c r="K324" s="10" t="str">
        <f>IF(AE324="","",IF(AE321=2,N323,IF(AE324=2,N326,IF(AE327=2,N329,IF(AE330=2,N332,"")))))</f>
        <v>Ł4427</v>
      </c>
      <c r="L324" s="10"/>
      <c r="M324" s="42" t="str">
        <f>N321</f>
        <v>mieszana J</v>
      </c>
      <c r="O324" s="28"/>
      <c r="P324" s="28"/>
      <c r="Q324" s="43" t="str">
        <f>IF(AU324&gt;0,"",IF(A324=0,"",IF(VLOOKUP(A324,'[2]plan gier'!A$1:S$65536,19,FALSE)="","",VLOOKUP(A324,'[2]plan gier'!A$1:S$65536,19,FALSE))))</f>
        <v/>
      </c>
      <c r="R324" s="44" t="s">
        <v>15</v>
      </c>
      <c r="S324" s="146">
        <v>45</v>
      </c>
      <c r="T324" s="241">
        <v>2</v>
      </c>
      <c r="U324" s="244" t="str">
        <f>IF(AND(N325&lt;&gt;"",N326&lt;&gt;""),CONCATENATE(VLOOKUP(N325,[2]zawodnicy!$A$1:$E$65536,1,FALSE)," ",VLOOKUP(N325,[2]zawodnicy!$A$1:$E$65536,2,FALSE)," ",VLOOKUP(N325,[2]zawodnicy!$A$1:$E$65536,3,FALSE)," - ",VLOOKUP(N325,[2]zawodnicy!$A$1:$E$65536,4,FALSE)),"")</f>
        <v>S3502 Jakub SMAJDA - UKS Ząbkowice Dąbrowa Górn.</v>
      </c>
      <c r="V324" s="245"/>
      <c r="W324" s="246"/>
      <c r="X324" s="46" t="str">
        <f>IF(SUM(AO329:AP329)=0,"",AP329&amp;":"&amp;AO329)</f>
        <v>21:11</v>
      </c>
      <c r="Y324" s="147"/>
      <c r="Z324" s="83" t="str">
        <f>IF(SUM(AO327:AP327)=0,"",AO327&amp;":"&amp;AP327)</f>
        <v>21:17</v>
      </c>
      <c r="AA324" s="48" t="str">
        <f>IF(SUM(AO325:AP325)=0,"",AO325&amp;":"&amp;AP325)</f>
        <v>21:0</v>
      </c>
      <c r="AB324" s="241" t="str">
        <f>IF(SUM(AW325:AX325,BA325:BD325)=0,"",BE325&amp;":"&amp;BF325)</f>
        <v>126:53</v>
      </c>
      <c r="AC324" s="250" t="str">
        <f>IF(SUM(AW325:AX325,BA325:BD325)=0,"",BG325&amp;":"&amp;BH325)</f>
        <v>6:0</v>
      </c>
      <c r="AD324" s="250" t="str">
        <f>IF(SUM(AW325:AX325,BA325:BD325)=0,"",BI325&amp;":"&amp;BJ325)</f>
        <v>3:0</v>
      </c>
      <c r="AE324" s="253">
        <f>IF(SUM(BI324:BI327)&gt;0,BK325,"")</f>
        <v>1</v>
      </c>
      <c r="AF324" s="12"/>
      <c r="AG324" s="12"/>
      <c r="AH324" s="44" t="s">
        <v>15</v>
      </c>
      <c r="AI324" s="148">
        <f>IF(ISBLANK(S324),"",VLOOKUP(S324,'[2]plan gier'!$X$1:$AN$65536,12,FALSE))</f>
        <v>21</v>
      </c>
      <c r="AJ324" s="52">
        <f>IF(ISBLANK(S324),"",VLOOKUP(S324,'[2]plan gier'!$X$1:$AN$65536,13,FALSE))</f>
        <v>14</v>
      </c>
      <c r="AK324" s="52">
        <f>IF(ISBLANK(S324),"",VLOOKUP(S324,'[2]plan gier'!$X$1:$AN$65536,14,FALSE))</f>
        <v>21</v>
      </c>
      <c r="AL324" s="52">
        <f>IF(ISBLANK(S324),"",VLOOKUP(S324,'[2]plan gier'!$X$1:$AN$65536,15,FALSE))</f>
        <v>19</v>
      </c>
      <c r="AM324" s="52">
        <f>IF(ISBLANK(S324),"",VLOOKUP(S324,'[2]plan gier'!$X$1:$AN$65536,16,FALSE))</f>
        <v>0</v>
      </c>
      <c r="AN324" s="52">
        <f>IF(ISBLANK(S324),"",VLOOKUP(S324,'[2]plan gier'!$X$1:$AN$65536,17,FALSE))</f>
        <v>0</v>
      </c>
      <c r="AO324" s="49">
        <f t="shared" ref="AO324:AT329" si="32">IF(AI324="",0,AI324)</f>
        <v>21</v>
      </c>
      <c r="AP324" s="50">
        <f t="shared" si="32"/>
        <v>14</v>
      </c>
      <c r="AQ324" s="50">
        <f t="shared" si="32"/>
        <v>21</v>
      </c>
      <c r="AR324" s="50">
        <f t="shared" si="32"/>
        <v>19</v>
      </c>
      <c r="AS324" s="50">
        <f t="shared" si="32"/>
        <v>0</v>
      </c>
      <c r="AT324" s="57">
        <f t="shared" si="32"/>
        <v>0</v>
      </c>
      <c r="AU324" s="149">
        <f t="shared" ref="AU324:AU329" si="33">SUM(AO324:AT324)</f>
        <v>75</v>
      </c>
      <c r="AV324" s="5">
        <v>1</v>
      </c>
      <c r="AW324" s="284"/>
      <c r="AX324" s="285"/>
      <c r="AY324" s="50">
        <f>IF(AI329&gt;AJ329,1,0)+IF(AK329&gt;AL329,1,0)+IF(AM329&gt;AN329,1,0)</f>
        <v>0</v>
      </c>
      <c r="AZ324" s="50">
        <f>AW325</f>
        <v>2</v>
      </c>
      <c r="BA324" s="50">
        <f>IF(AI324&gt;AJ324,1,0)+IF(AK324&gt;AL324,1,0)+IF(AM324&gt;AN324,1,0)</f>
        <v>2</v>
      </c>
      <c r="BB324" s="52">
        <f>AW326</f>
        <v>0</v>
      </c>
      <c r="BC324" s="150">
        <f>IF(AI326&gt;AJ326,1,0)+IF(AK326&gt;AL326,1,0)+IF(AM326&gt;AN326,1,0)</f>
        <v>2</v>
      </c>
      <c r="BD324" s="58">
        <f>AW327</f>
        <v>0</v>
      </c>
      <c r="BE324" s="148">
        <f>AO324+AQ324+AS324+AO326+AQ326+AS326+AO329+AQ329+AS329</f>
        <v>107</v>
      </c>
      <c r="BF324" s="151">
        <f>AP324+AR324+AT324+AP326+AR326+AT326+AP329+AR329+AT329</f>
        <v>75</v>
      </c>
      <c r="BG324" s="148">
        <f>AY324+BA324+BC324</f>
        <v>4</v>
      </c>
      <c r="BH324" s="152">
        <f>AZ324+BB324+BD324</f>
        <v>2</v>
      </c>
      <c r="BI324" s="148">
        <f>IF(AY324&gt;AZ324,1,0)+IF(BA324&gt;BB324,1,0)+IF(BC324&gt;BD324,1,0)</f>
        <v>2</v>
      </c>
      <c r="BJ324" s="152">
        <f>IF(AZ324&gt;AY324,1,0)+IF(BB324&gt;BA324,1,0)+IF(BD324&gt;BC324,1,0)</f>
        <v>1</v>
      </c>
      <c r="BK324" s="153">
        <f>IF(BI324+BJ324=0,"",IF(BL324=MAX(BL324:BL327),1,IF(BL324=LARGE(BL324:BL327,2),2,IF(BL324=MIN(BL324:BL327),4,3))))</f>
        <v>2</v>
      </c>
      <c r="BL324" s="60">
        <f>IF(BI324+BJ324&lt;&gt;0,BI324+1+(BG324-BH324)/100+(BE324-BF324)/100000+(BE324/BF324)/1000000,0)</f>
        <v>3.0203214266666665</v>
      </c>
    </row>
    <row r="325" spans="1:64" ht="11.45" customHeight="1" x14ac:dyDescent="0.2">
      <c r="A325" s="19">
        <f t="shared" si="31"/>
        <v>46</v>
      </c>
      <c r="B325" s="19" t="str">
        <f>IF(N325="","",N325)</f>
        <v>S3502</v>
      </c>
      <c r="C325" s="19" t="str">
        <f>IF(N326="","",N326)</f>
        <v>K3863</v>
      </c>
      <c r="D325" s="19" t="str">
        <f>IF(N331="","",N331)</f>
        <v>K3241</v>
      </c>
      <c r="E325" s="19" t="str">
        <f>IF(N332="","",N332)</f>
        <v>K3257</v>
      </c>
      <c r="J325" s="10"/>
      <c r="K325" s="19"/>
      <c r="L325" s="19"/>
      <c r="M325" s="42" t="str">
        <f>N321</f>
        <v>mieszana J</v>
      </c>
      <c r="N325" s="33" t="s">
        <v>70</v>
      </c>
      <c r="O325" s="34">
        <f>IF(O320&gt;0,(O320&amp;2)*1,"")</f>
        <v>62</v>
      </c>
      <c r="Q325" s="43" t="str">
        <f>IF(AU325&gt;0,"",IF(A325=0,"",IF(VLOOKUP(A325,'[2]plan gier'!A$1:S$65536,19,FALSE)="","",VLOOKUP(A325,'[2]plan gier'!A$1:S$65536,19,FALSE))))</f>
        <v/>
      </c>
      <c r="R325" s="44" t="s">
        <v>66</v>
      </c>
      <c r="S325" s="146">
        <v>46</v>
      </c>
      <c r="T325" s="242"/>
      <c r="U325" s="244" t="str">
        <f>IF(AND(N325&lt;&gt;"",N326=""),CONCATENATE(VLOOKUP(N325,[2]zawodnicy!$A$1:$E$65536,1,FALSE)," ",VLOOKUP(N325,[2]zawodnicy!$A$1:$E$65536,2,FALSE)," ",VLOOKUP(N325,[2]zawodnicy!$A$1:$E$65536,3,FALSE)," - ",VLOOKUP(N325,[2]zawodnicy!$A$1:$E$65536,4,FALSE)),"")</f>
        <v/>
      </c>
      <c r="V325" s="245"/>
      <c r="W325" s="246"/>
      <c r="X325" s="61" t="str">
        <f>IF(SUM(AQ329:AR329)=0,"",AR329&amp;":"&amp;AQ329)</f>
        <v>21:12</v>
      </c>
      <c r="Y325" s="154"/>
      <c r="Z325" s="36" t="str">
        <f>IF(SUM(AQ327:AR327)=0,"",AQ327&amp;":"&amp;AR327)</f>
        <v>21:13</v>
      </c>
      <c r="AA325" s="37" t="str">
        <f>IF(SUM(AQ325:AR325)=0,"",AQ325&amp;":"&amp;AR325)</f>
        <v>21:0</v>
      </c>
      <c r="AB325" s="242"/>
      <c r="AC325" s="251"/>
      <c r="AD325" s="251"/>
      <c r="AE325" s="254"/>
      <c r="AF325" s="12"/>
      <c r="AG325" s="12"/>
      <c r="AH325" s="44" t="s">
        <v>66</v>
      </c>
      <c r="AI325" s="49">
        <f>IF(ISBLANK(S325),"",VLOOKUP(S325,'[2]plan gier'!$X$1:$AN$65536,12,FALSE))</f>
        <v>21</v>
      </c>
      <c r="AJ325" s="50">
        <f>IF(ISBLANK(S325),"",VLOOKUP(S325,'[2]plan gier'!$X$1:$AN$65536,13,FALSE))</f>
        <v>0</v>
      </c>
      <c r="AK325" s="50">
        <f>IF(ISBLANK(S325),"",VLOOKUP(S325,'[2]plan gier'!$X$1:$AN$65536,14,FALSE))</f>
        <v>21</v>
      </c>
      <c r="AL325" s="50">
        <f>IF(ISBLANK(S325),"",VLOOKUP(S325,'[2]plan gier'!$X$1:$AN$65536,15,FALSE))</f>
        <v>0</v>
      </c>
      <c r="AM325" s="50">
        <f>IF(ISBLANK(S325),"",VLOOKUP(S325,'[2]plan gier'!$X$1:$AN$65536,16,FALSE))</f>
        <v>0</v>
      </c>
      <c r="AN325" s="50">
        <f>IF(ISBLANK(S325),"",VLOOKUP(S325,'[2]plan gier'!$X$1:$AN$65536,17,FALSE))</f>
        <v>0</v>
      </c>
      <c r="AO325" s="63">
        <f t="shared" si="32"/>
        <v>21</v>
      </c>
      <c r="AP325" s="64">
        <f t="shared" si="32"/>
        <v>0</v>
      </c>
      <c r="AQ325" s="64">
        <f t="shared" si="32"/>
        <v>21</v>
      </c>
      <c r="AR325" s="64">
        <f t="shared" si="32"/>
        <v>0</v>
      </c>
      <c r="AS325" s="64">
        <f t="shared" si="32"/>
        <v>0</v>
      </c>
      <c r="AT325" s="69">
        <f t="shared" si="32"/>
        <v>0</v>
      </c>
      <c r="AU325" s="149">
        <f t="shared" si="33"/>
        <v>42</v>
      </c>
      <c r="AV325" s="5">
        <v>2</v>
      </c>
      <c r="AW325" s="63">
        <f>IF(AI329&lt;AJ329,1,0)+IF(AK329&lt;AL329,1,0)+IF(AM329&lt;AN329,1,0)</f>
        <v>2</v>
      </c>
      <c r="AX325" s="64">
        <f>AY324</f>
        <v>0</v>
      </c>
      <c r="AY325" s="155"/>
      <c r="AZ325" s="156"/>
      <c r="BA325" s="64">
        <f>IF(AI327&gt;AJ327,1,0)+IF(AK327&gt;AL327,1,0)+IF(AM327&gt;AN327,1,0)</f>
        <v>2</v>
      </c>
      <c r="BB325" s="64">
        <f>AY326</f>
        <v>0</v>
      </c>
      <c r="BC325" s="157">
        <f>IF(AI325&gt;AJ325,1,0)+IF(AK325&gt;AL325,1,0)+IF(AM325&gt;AN325,1,0)</f>
        <v>2</v>
      </c>
      <c r="BD325" s="70">
        <f>AY327</f>
        <v>0</v>
      </c>
      <c r="BE325" s="63">
        <f>AO325+AQ325+AS325+AO327+AQ327+AS327+AP329+AR329+AT329</f>
        <v>126</v>
      </c>
      <c r="BF325" s="70">
        <f>AP325+AR325+AT325+AP327+AR327+AT327+AO329+AQ329+AS329</f>
        <v>53</v>
      </c>
      <c r="BG325" s="63">
        <f>AW325+BA325+BC325</f>
        <v>6</v>
      </c>
      <c r="BH325" s="69">
        <f>AX325+BB325+BD325</f>
        <v>0</v>
      </c>
      <c r="BI325" s="63">
        <f>IF(AW325&gt;AX325,1,0)+IF(BA325&gt;BB325,1,0)+IF(BC325&gt;BD325,1,0)</f>
        <v>3</v>
      </c>
      <c r="BJ325" s="69">
        <f>IF(AX325&gt;AW325,1,0)+IF(BB325&gt;BA325,1,0)+IF(BD325&gt;BC325,1,0)</f>
        <v>0</v>
      </c>
      <c r="BK325" s="71">
        <f>IF(BI325+BJ325=0,"",IF(BL325=MAX(BL324:BL327),1,IF(BL325=LARGE(BL324:BL327,2),2,IF(BL325=MIN(BL324:BL327),4,3))))</f>
        <v>1</v>
      </c>
      <c r="BL325" s="60">
        <f>IF(BI325+BJ325&lt;&gt;0,BI325+1+(BG325-BH325)/100+(BE325-BF325)/100000+(BE325/BF325)/1000000,0)</f>
        <v>4.06073237735849</v>
      </c>
    </row>
    <row r="326" spans="1:64" ht="11.45" customHeight="1" x14ac:dyDescent="0.2">
      <c r="A326" s="19">
        <f t="shared" si="31"/>
        <v>110</v>
      </c>
      <c r="B326" s="19" t="str">
        <f>IF(N322="","",N322)</f>
        <v>T3923</v>
      </c>
      <c r="C326" s="19" t="str">
        <f>IF(N323="","",N323)</f>
        <v>Ł4427</v>
      </c>
      <c r="D326" s="19" t="str">
        <f>IF(N331="","",N331)</f>
        <v>K3241</v>
      </c>
      <c r="E326" s="19" t="str">
        <f>IF(N332="","",N332)</f>
        <v>K3257</v>
      </c>
      <c r="H326" s="10"/>
      <c r="I326" s="2" t="str">
        <f>"3"&amp;O320&amp;N321</f>
        <v>36mieszana J</v>
      </c>
      <c r="J326" s="10" t="str">
        <f>IF(AE327="","",IF(AE321=3,N322,IF(AE324=3,N325,IF(AE327=3,N328,IF(AE330=3,N331,"")))))</f>
        <v>W3805</v>
      </c>
      <c r="K326" s="10" t="str">
        <f>IF(AE327="","",IF(AE321=3,N323,IF(AE324=3,N326,IF(AE327=3,N329,IF(AE330=3,N332,"")))))</f>
        <v>B3564</v>
      </c>
      <c r="L326" s="10"/>
      <c r="M326" s="42" t="str">
        <f>N321</f>
        <v>mieszana J</v>
      </c>
      <c r="N326" s="38" t="s">
        <v>23</v>
      </c>
      <c r="O326" s="28"/>
      <c r="P326" s="28"/>
      <c r="Q326" s="43" t="str">
        <f>IF(AU326&gt;0,"",IF(A326=0,"",IF(VLOOKUP(A326,'[2]plan gier'!A$1:S$65536,19,FALSE)="","",VLOOKUP(A326,'[2]plan gier'!A$1:S$65536,19,FALSE))))</f>
        <v/>
      </c>
      <c r="R326" s="44" t="s">
        <v>68</v>
      </c>
      <c r="S326" s="146">
        <v>110</v>
      </c>
      <c r="T326" s="261"/>
      <c r="U326" s="265" t="str">
        <f>IF(N326&lt;&gt;"",CONCATENATE(VLOOKUP(N326,[2]zawodnicy!$A$1:$E$65536,1,FALSE)," ",VLOOKUP(N326,[2]zawodnicy!$A$1:$E$65536,2,FALSE)," ",VLOOKUP(N326,[2]zawodnicy!$A$1:$E$65536,3,FALSE)," - ",VLOOKUP(N326,[2]zawodnicy!$A$1:$E$65536,4,FALSE)),"")</f>
        <v>K3863 Katarzyna KUTACHA - UKS Start Widełka</v>
      </c>
      <c r="V326" s="266"/>
      <c r="W326" s="267"/>
      <c r="X326" s="73" t="str">
        <f>IF(SUM(AS329:AT329)=0,"",AT329&amp;":"&amp;AS329)</f>
        <v/>
      </c>
      <c r="Y326" s="154"/>
      <c r="Z326" s="39" t="str">
        <f>IF(SUM(AS327:AT327)=0,"",AS327&amp;":"&amp;AT327)</f>
        <v/>
      </c>
      <c r="AA326" s="40" t="str">
        <f>IF(SUM(AS325:AT325)=0,"",AS325&amp;":"&amp;AT325)</f>
        <v/>
      </c>
      <c r="AB326" s="242"/>
      <c r="AC326" s="251"/>
      <c r="AD326" s="251"/>
      <c r="AE326" s="254"/>
      <c r="AF326" s="12"/>
      <c r="AG326" s="12"/>
      <c r="AH326" s="44" t="s">
        <v>68</v>
      </c>
      <c r="AI326" s="49">
        <f>IF(ISBLANK(S326),"",VLOOKUP(S326,'[2]plan gier'!$X$1:$AN$65536,12,FALSE))</f>
        <v>21</v>
      </c>
      <c r="AJ326" s="50">
        <f>IF(ISBLANK(S326),"",VLOOKUP(S326,'[2]plan gier'!$X$1:$AN$65536,13,FALSE))</f>
        <v>0</v>
      </c>
      <c r="AK326" s="50">
        <f>IF(ISBLANK(S326),"",VLOOKUP(S326,'[2]plan gier'!$X$1:$AN$65536,14,FALSE))</f>
        <v>21</v>
      </c>
      <c r="AL326" s="50">
        <f>IF(ISBLANK(S326),"",VLOOKUP(S326,'[2]plan gier'!$X$1:$AN$65536,15,FALSE))</f>
        <v>0</v>
      </c>
      <c r="AM326" s="50">
        <f>IF(ISBLANK(S326),"",VLOOKUP(S326,'[2]plan gier'!$X$1:$AN$65536,16,FALSE))</f>
        <v>0</v>
      </c>
      <c r="AN326" s="50">
        <f>IF(ISBLANK(S326),"",VLOOKUP(S326,'[2]plan gier'!$X$1:$AN$65536,17,FALSE))</f>
        <v>0</v>
      </c>
      <c r="AO326" s="63">
        <f t="shared" si="32"/>
        <v>21</v>
      </c>
      <c r="AP326" s="64">
        <f t="shared" si="32"/>
        <v>0</v>
      </c>
      <c r="AQ326" s="64">
        <f t="shared" si="32"/>
        <v>21</v>
      </c>
      <c r="AR326" s="64">
        <f t="shared" si="32"/>
        <v>0</v>
      </c>
      <c r="AS326" s="64">
        <f t="shared" si="32"/>
        <v>0</v>
      </c>
      <c r="AT326" s="69">
        <f t="shared" si="32"/>
        <v>0</v>
      </c>
      <c r="AU326" s="149">
        <f t="shared" si="33"/>
        <v>42</v>
      </c>
      <c r="AV326" s="5">
        <v>3</v>
      </c>
      <c r="AW326" s="63">
        <f>IF(AI324&lt;AJ324,1,0)+IF(AK324&lt;AL324,1,0)+IF(AM324&lt;AN324,1,0)</f>
        <v>0</v>
      </c>
      <c r="AX326" s="64">
        <f>BA324</f>
        <v>2</v>
      </c>
      <c r="AY326" s="64">
        <f>IF(AI327&lt;AJ327,1,0)+IF(AK327&lt;AL327,1,0)+IF(AM327&lt;AN327,1,0)</f>
        <v>0</v>
      </c>
      <c r="AZ326" s="64">
        <f>BA325</f>
        <v>2</v>
      </c>
      <c r="BA326" s="155"/>
      <c r="BB326" s="156"/>
      <c r="BC326" s="64">
        <f>IF(AI328&gt;AJ328,1,0)+IF(AK328&gt;AL328,1,0)+IF(AM328&gt;AN328,1,0)</f>
        <v>2</v>
      </c>
      <c r="BD326" s="70">
        <f>BA327</f>
        <v>0</v>
      </c>
      <c r="BE326" s="158">
        <f>AP324+AR324+AT324+AP327+AR327+AT327+AO328+AQ328+AS328</f>
        <v>105</v>
      </c>
      <c r="BF326" s="159">
        <f>AO324+AQ324+AS324+AO327+AQ327+AS327+AP328+AR328+AT328</f>
        <v>84</v>
      </c>
      <c r="BG326" s="158">
        <f>AW326+AY326+BC326</f>
        <v>2</v>
      </c>
      <c r="BH326" s="160">
        <f>AX326+AZ326+BD326</f>
        <v>4</v>
      </c>
      <c r="BI326" s="63">
        <f>IF(AW326&gt;AX326,1,0)+IF(AY326&gt;AZ326,1,0)+IF(BC326&gt;BD326,1,0)</f>
        <v>1</v>
      </c>
      <c r="BJ326" s="69">
        <f>IF(AX326&gt;AW326,1,0)+IF(AZ326&gt;AY326,1,0)+IF(BD326&gt;BC326,1,0)</f>
        <v>2</v>
      </c>
      <c r="BK326" s="71">
        <f>IF(BI326+BJ326=0,"",IF(BL326=MAX(BL324:BL327),1,IF(BL326=LARGE(BL324:BL327,2),2,IF(BL326=MIN(BL324:BL327),4,3))))</f>
        <v>3</v>
      </c>
      <c r="BL326" s="60">
        <f>IF(BI326+BJ326&lt;&gt;0,BI326+1+(BG326-BH326)/100+(BE326-BF326)/100000+(BE326/BF326)/1000000,0)</f>
        <v>1.98021125</v>
      </c>
    </row>
    <row r="327" spans="1:64" ht="11.45" customHeight="1" thickBot="1" x14ac:dyDescent="0.25">
      <c r="A327" s="19">
        <f t="shared" si="31"/>
        <v>111</v>
      </c>
      <c r="B327" s="19" t="str">
        <f>IF(N325="","",N325)</f>
        <v>S3502</v>
      </c>
      <c r="C327" s="19" t="str">
        <f>IF(N326="","",N326)</f>
        <v>K3863</v>
      </c>
      <c r="D327" s="19" t="str">
        <f>IF(N328="","",N328)</f>
        <v>W3805</v>
      </c>
      <c r="E327" s="19" t="str">
        <f>IF(N329="","",N329)</f>
        <v>B3564</v>
      </c>
      <c r="J327" s="10"/>
      <c r="K327" s="28"/>
      <c r="L327" s="28"/>
      <c r="M327" s="42" t="str">
        <f>N321</f>
        <v>mieszana J</v>
      </c>
      <c r="O327" s="28"/>
      <c r="P327" s="28"/>
      <c r="Q327" s="43" t="str">
        <f>IF(AU327&gt;0,"",IF(A327=0,"",IF(VLOOKUP(A327,'[2]plan gier'!A$1:S$65536,19,FALSE)="","",VLOOKUP(A327,'[2]plan gier'!A$1:S$65536,19,FALSE))))</f>
        <v/>
      </c>
      <c r="R327" s="44" t="s">
        <v>17</v>
      </c>
      <c r="S327" s="146">
        <v>111</v>
      </c>
      <c r="T327" s="241">
        <v>3</v>
      </c>
      <c r="U327" s="244" t="str">
        <f>IF(AND(N328&lt;&gt;"",N329&lt;&gt;""),CONCATENATE(VLOOKUP(N328,[2]zawodnicy!$A$1:$E$65536,1,FALSE)," ",VLOOKUP(N328,[2]zawodnicy!$A$1:$E$65536,2,FALSE)," ",VLOOKUP(N328,[2]zawodnicy!$A$1:$E$65536,3,FALSE)," - ",VLOOKUP(N328,[2]zawodnicy!$A$1:$E$65536,4,FALSE)),"")</f>
        <v>W3805 Jan WOLAŃCZYK - KS Match Point Ślęza</v>
      </c>
      <c r="V327" s="245"/>
      <c r="W327" s="246"/>
      <c r="X327" s="46" t="str">
        <f>IF(SUM(AO324:AP324)=0,"",AP324&amp;":"&amp;AO324)</f>
        <v>14:21</v>
      </c>
      <c r="Y327" s="83" t="str">
        <f>IF(SUM(AO327:AP327)=0,"",AP327&amp;":"&amp;AO327)</f>
        <v>17:21</v>
      </c>
      <c r="Z327" s="47"/>
      <c r="AA327" s="48" t="str">
        <f>IF(SUM(AO328:AP328)=0,"",AO328&amp;":"&amp;AP328)</f>
        <v>21:0</v>
      </c>
      <c r="AB327" s="241" t="str">
        <f>IF(SUM(AW326:AZ326,BC326:BD326)=0,"",BE326&amp;":"&amp;BF326)</f>
        <v>105:84</v>
      </c>
      <c r="AC327" s="250" t="str">
        <f>IF(SUM(AW326:AZ326,BC326:BD326)=0,"",BG326&amp;":"&amp;BH326)</f>
        <v>2:4</v>
      </c>
      <c r="AD327" s="250" t="str">
        <f>IF(SUM(AW326:AZ326,BC326:BD326)=0,"",BI326&amp;":"&amp;BJ326)</f>
        <v>1:2</v>
      </c>
      <c r="AE327" s="253">
        <f>IF(SUM(BI324:BI327)&gt;0,BK326,"")</f>
        <v>3</v>
      </c>
      <c r="AF327" s="12"/>
      <c r="AG327" s="12"/>
      <c r="AH327" s="44" t="s">
        <v>17</v>
      </c>
      <c r="AI327" s="49">
        <f>IF(ISBLANK(S327),"",VLOOKUP(S327,'[2]plan gier'!$X$1:$AN$65536,12,FALSE))</f>
        <v>21</v>
      </c>
      <c r="AJ327" s="50">
        <f>IF(ISBLANK(S327),"",VLOOKUP(S327,'[2]plan gier'!$X$1:$AN$65536,13,FALSE))</f>
        <v>17</v>
      </c>
      <c r="AK327" s="50">
        <f>IF(ISBLANK(S327),"",VLOOKUP(S327,'[2]plan gier'!$X$1:$AN$65536,14,FALSE))</f>
        <v>21</v>
      </c>
      <c r="AL327" s="50">
        <f>IF(ISBLANK(S327),"",VLOOKUP(S327,'[2]plan gier'!$X$1:$AN$65536,15,FALSE))</f>
        <v>13</v>
      </c>
      <c r="AM327" s="50">
        <f>IF(ISBLANK(S327),"",VLOOKUP(S327,'[2]plan gier'!$X$1:$AN$65536,16,FALSE))</f>
        <v>0</v>
      </c>
      <c r="AN327" s="50">
        <f>IF(ISBLANK(S327),"",VLOOKUP(S327,'[2]plan gier'!$X$1:$AN$65536,17,FALSE))</f>
        <v>0</v>
      </c>
      <c r="AO327" s="63">
        <f t="shared" si="32"/>
        <v>21</v>
      </c>
      <c r="AP327" s="64">
        <f t="shared" si="32"/>
        <v>17</v>
      </c>
      <c r="AQ327" s="64">
        <f t="shared" si="32"/>
        <v>21</v>
      </c>
      <c r="AR327" s="64">
        <f t="shared" si="32"/>
        <v>13</v>
      </c>
      <c r="AS327" s="64">
        <f t="shared" si="32"/>
        <v>0</v>
      </c>
      <c r="AT327" s="69">
        <f t="shared" si="32"/>
        <v>0</v>
      </c>
      <c r="AU327" s="149">
        <f t="shared" si="33"/>
        <v>72</v>
      </c>
      <c r="AV327" s="5">
        <v>4</v>
      </c>
      <c r="AW327" s="161">
        <f>IF(AI326&lt;AJ326,1,0)+IF(AK326&lt;AL326,1,0)+IF(AM326&lt;AN326,1,0)</f>
        <v>0</v>
      </c>
      <c r="AX327" s="162">
        <f>BC324</f>
        <v>2</v>
      </c>
      <c r="AY327" s="162">
        <f>IF(AI325&lt;AJ325,1,0)+IF(AK325&lt;AL325,1,0)+IF(AM325&lt;AN325,1,0)</f>
        <v>0</v>
      </c>
      <c r="AZ327" s="162">
        <f>BC325</f>
        <v>2</v>
      </c>
      <c r="BA327" s="75">
        <f>IF(AI328&lt;AJ328,1,0)+IF(AK328&lt;AL328,1,0)+IF(AM328&lt;AN328,1,0)</f>
        <v>0</v>
      </c>
      <c r="BB327" s="75">
        <f>BC326</f>
        <v>2</v>
      </c>
      <c r="BC327" s="163"/>
      <c r="BD327" s="164"/>
      <c r="BE327" s="74">
        <f>AP325+AR325+AT325+AP326+AR326+AT326+AP328+AR328+AT328</f>
        <v>0</v>
      </c>
      <c r="BF327" s="81">
        <f>AO325+AQ325+AS325+AO326+AQ326+AS326+AO328+AQ328+AS328</f>
        <v>126</v>
      </c>
      <c r="BG327" s="74">
        <f>AW327+AY327+BA327</f>
        <v>0</v>
      </c>
      <c r="BH327" s="80">
        <f>AX327+AZ327+BB327</f>
        <v>6</v>
      </c>
      <c r="BI327" s="74">
        <f>IF(AW327&gt;AX327,1,0)+IF(AY327&gt;AZ327,1,0)+IF(BA327&gt;BB327,1,0)</f>
        <v>0</v>
      </c>
      <c r="BJ327" s="80">
        <f>IF(AX327&gt;AW327,1,0)+IF(AZ327&gt;AY327,1,0)+IF(BB327&gt;BA327,1,0)</f>
        <v>3</v>
      </c>
      <c r="BK327" s="82">
        <f>IF(BI327+BJ327=0,"",IF(BL327=MAX(BL324:BL327),1,IF(BL327=LARGE(BL324:BL327,2),2,IF(BL327=MIN(BL324:BL327),4,3))))</f>
        <v>4</v>
      </c>
      <c r="BL327" s="60">
        <f>IF(BI327+BJ327&lt;&gt;0,BI327+1+(BG327-BH327)/100+(BE327-BF327)/100000+(BE327/BF327)/1000000,0)</f>
        <v>0.93873999999999991</v>
      </c>
    </row>
    <row r="328" spans="1:64" ht="11.45" customHeight="1" x14ac:dyDescent="0.2">
      <c r="A328" s="19">
        <f t="shared" si="31"/>
        <v>175</v>
      </c>
      <c r="B328" s="19" t="str">
        <f>IF(N328="","",N328)</f>
        <v>W3805</v>
      </c>
      <c r="C328" s="19" t="str">
        <f>IF(N329="","",N329)</f>
        <v>B3564</v>
      </c>
      <c r="D328" s="19" t="str">
        <f>IF(N331="","",N331)</f>
        <v>K3241</v>
      </c>
      <c r="E328" s="19" t="str">
        <f>IF(N332="","",N332)</f>
        <v>K3257</v>
      </c>
      <c r="H328" s="10"/>
      <c r="I328" s="2" t="str">
        <f>"4"&amp;O320&amp;N321</f>
        <v>46mieszana J</v>
      </c>
      <c r="J328" s="10" t="str">
        <f>IF(AE330="","",IF(AE321=4,N322,IF(AE324=4,N325,IF(AE327=4,N328,IF(AE330=4,N331,"")))))</f>
        <v>K3241</v>
      </c>
      <c r="K328" s="10" t="str">
        <f>IF(AE330="","",IF(AE321=4,N323,IF(AE324=4,N326,IF(AE327=4,N329,IF(AE330=4,N332,"")))))</f>
        <v>K3257</v>
      </c>
      <c r="L328" s="10"/>
      <c r="M328" s="42" t="str">
        <f>N321</f>
        <v>mieszana J</v>
      </c>
      <c r="N328" s="33" t="s">
        <v>40</v>
      </c>
      <c r="O328" s="34">
        <f>IF(O320&gt;0,(O320&amp;3)*1,"")</f>
        <v>63</v>
      </c>
      <c r="Q328" s="43" t="str">
        <f>IF(AU328&gt;0,"",IF(A328=0,"",IF(VLOOKUP(A328,'[2]plan gier'!A$1:S$65536,19,FALSE)="","",VLOOKUP(A328,'[2]plan gier'!A$1:S$65536,19,FALSE))))</f>
        <v/>
      </c>
      <c r="R328" s="44" t="s">
        <v>69</v>
      </c>
      <c r="S328" s="146">
        <v>175</v>
      </c>
      <c r="T328" s="242"/>
      <c r="U328" s="244" t="str">
        <f>IF(AND(N328&lt;&gt;"",N329=""),CONCATENATE(VLOOKUP(N328,[2]zawodnicy!$A$1:$E$65536,1,FALSE)," ",VLOOKUP(N328,[2]zawodnicy!$A$1:$E$65536,2,FALSE)," ",VLOOKUP(N328,[2]zawodnicy!$A$1:$E$65536,3,FALSE)," - ",VLOOKUP(N328,[2]zawodnicy!$A$1:$E$65536,4,FALSE)),"")</f>
        <v/>
      </c>
      <c r="V328" s="245"/>
      <c r="W328" s="246"/>
      <c r="X328" s="61" t="str">
        <f>IF(SUM(AQ324:AR324)=0,"",AR324&amp;":"&amp;AQ324)</f>
        <v>19:21</v>
      </c>
      <c r="Y328" s="36" t="str">
        <f>IF(SUM(AQ327:AR327)=0,"",AR327&amp;":"&amp;AQ327)</f>
        <v>13:21</v>
      </c>
      <c r="Z328" s="62"/>
      <c r="AA328" s="37" t="str">
        <f>IF(SUM(AQ328:AR328)=0,"",AQ328&amp;":"&amp;AR328)</f>
        <v>21:0</v>
      </c>
      <c r="AB328" s="242"/>
      <c r="AC328" s="251"/>
      <c r="AD328" s="251"/>
      <c r="AE328" s="254"/>
      <c r="AF328" s="12"/>
      <c r="AG328" s="12"/>
      <c r="AH328" s="44" t="s">
        <v>69</v>
      </c>
      <c r="AI328" s="49">
        <f>IF(ISBLANK(S328),"",VLOOKUP(S328,'[2]plan gier'!$X$1:$AN$65536,12,FALSE))</f>
        <v>21</v>
      </c>
      <c r="AJ328" s="50">
        <f>IF(ISBLANK(S328),"",VLOOKUP(S328,'[2]plan gier'!$X$1:$AN$65536,13,FALSE))</f>
        <v>0</v>
      </c>
      <c r="AK328" s="50">
        <f>IF(ISBLANK(S328),"",VLOOKUP(S328,'[2]plan gier'!$X$1:$AN$65536,14,FALSE))</f>
        <v>21</v>
      </c>
      <c r="AL328" s="50">
        <f>IF(ISBLANK(S328),"",VLOOKUP(S328,'[2]plan gier'!$X$1:$AN$65536,15,FALSE))</f>
        <v>0</v>
      </c>
      <c r="AM328" s="50">
        <f>IF(ISBLANK(S328),"",VLOOKUP(S328,'[2]plan gier'!$X$1:$AN$65536,16,FALSE))</f>
        <v>0</v>
      </c>
      <c r="AN328" s="50">
        <f>IF(ISBLANK(S328),"",VLOOKUP(S328,'[2]plan gier'!$X$1:$AN$65536,17,FALSE))</f>
        <v>0</v>
      </c>
      <c r="AO328" s="63">
        <f t="shared" si="32"/>
        <v>21</v>
      </c>
      <c r="AP328" s="64">
        <f t="shared" si="32"/>
        <v>0</v>
      </c>
      <c r="AQ328" s="64">
        <f t="shared" si="32"/>
        <v>21</v>
      </c>
      <c r="AR328" s="64">
        <f t="shared" si="32"/>
        <v>0</v>
      </c>
      <c r="AS328" s="64">
        <f t="shared" si="32"/>
        <v>0</v>
      </c>
      <c r="AT328" s="69">
        <f t="shared" si="32"/>
        <v>0</v>
      </c>
      <c r="AU328" s="149">
        <f t="shared" si="33"/>
        <v>42</v>
      </c>
      <c r="BE328" s="19">
        <f t="shared" ref="BE328:BJ328" si="34">SUM(BE324:BE327)</f>
        <v>338</v>
      </c>
      <c r="BF328" s="19">
        <f t="shared" si="34"/>
        <v>338</v>
      </c>
      <c r="BG328" s="19">
        <f t="shared" si="34"/>
        <v>12</v>
      </c>
      <c r="BH328" s="19">
        <f t="shared" si="34"/>
        <v>12</v>
      </c>
      <c r="BI328" s="19">
        <f t="shared" si="34"/>
        <v>6</v>
      </c>
      <c r="BJ328" s="19">
        <f t="shared" si="34"/>
        <v>6</v>
      </c>
      <c r="BK328" s="19"/>
      <c r="BL328" s="20"/>
    </row>
    <row r="329" spans="1:64" ht="11.45" customHeight="1" thickBot="1" x14ac:dyDescent="0.25">
      <c r="A329" s="19">
        <f t="shared" si="31"/>
        <v>176</v>
      </c>
      <c r="B329" s="19" t="str">
        <f>IF(N322="","",N322)</f>
        <v>T3923</v>
      </c>
      <c r="C329" s="19" t="str">
        <f>IF(N323="","",N323)</f>
        <v>Ł4427</v>
      </c>
      <c r="D329" s="19" t="str">
        <f>IF(N325="","",N325)</f>
        <v>S3502</v>
      </c>
      <c r="E329" s="19" t="str">
        <f>IF(N326="","",N326)</f>
        <v>K3863</v>
      </c>
      <c r="J329" s="28"/>
      <c r="K329" s="28"/>
      <c r="L329" s="28"/>
      <c r="M329" s="42" t="str">
        <f>N321</f>
        <v>mieszana J</v>
      </c>
      <c r="N329" s="38" t="s">
        <v>16</v>
      </c>
      <c r="O329" s="28"/>
      <c r="P329" s="28"/>
      <c r="Q329" s="43" t="str">
        <f>IF(AU329&gt;0,"",IF(A329=0,"",IF(VLOOKUP(A329,'[2]plan gier'!A$1:S$65536,19,FALSE)="","",VLOOKUP(A329,'[2]plan gier'!A$1:S$65536,19,FALSE))))</f>
        <v/>
      </c>
      <c r="R329" s="44" t="s">
        <v>18</v>
      </c>
      <c r="S329" s="146">
        <v>176</v>
      </c>
      <c r="T329" s="261"/>
      <c r="U329" s="265" t="str">
        <f>IF(N329&lt;&gt;"",CONCATENATE(VLOOKUP(N329,[2]zawodnicy!$A$1:$E$65536,1,FALSE)," ",VLOOKUP(N329,[2]zawodnicy!$A$1:$E$65536,2,FALSE)," ",VLOOKUP(N329,[2]zawodnicy!$A$1:$E$65536,3,FALSE)," - ",VLOOKUP(N329,[2]zawodnicy!$A$1:$E$65536,4,FALSE)),"")</f>
        <v>B3564 Kinga BARNA - UKS 2 Sobótka</v>
      </c>
      <c r="V329" s="266"/>
      <c r="W329" s="267"/>
      <c r="X329" s="73" t="str">
        <f>IF(SUM(AS324:AT324)=0,"",AT324&amp;":"&amp;AS324)</f>
        <v/>
      </c>
      <c r="Y329" s="39" t="str">
        <f>IF(SUM(AS327:AT327)=0,"",AT327&amp;":"&amp;AS327)</f>
        <v/>
      </c>
      <c r="Z329" s="62"/>
      <c r="AA329" s="40" t="str">
        <f>IF(SUM(AS328:AT328)=0,"",AS328&amp;":"&amp;AT328)</f>
        <v/>
      </c>
      <c r="AB329" s="242"/>
      <c r="AC329" s="251"/>
      <c r="AD329" s="251"/>
      <c r="AE329" s="254"/>
      <c r="AF329" s="12"/>
      <c r="AG329" s="12"/>
      <c r="AH329" s="44" t="s">
        <v>18</v>
      </c>
      <c r="AI329" s="161">
        <f>IF(ISBLANK(S329),"",VLOOKUP(S329,'[2]plan gier'!$X$1:$AN$65536,12,FALSE))</f>
        <v>11</v>
      </c>
      <c r="AJ329" s="162">
        <f>IF(ISBLANK(S329),"",VLOOKUP(S329,'[2]plan gier'!$X$1:$AN$65536,13,FALSE))</f>
        <v>21</v>
      </c>
      <c r="AK329" s="162">
        <f>IF(ISBLANK(S329),"",VLOOKUP(S329,'[2]plan gier'!$X$1:$AN$65536,14,FALSE))</f>
        <v>12</v>
      </c>
      <c r="AL329" s="162">
        <f>IF(ISBLANK(S329),"",VLOOKUP(S329,'[2]plan gier'!$X$1:$AN$65536,15,FALSE))</f>
        <v>21</v>
      </c>
      <c r="AM329" s="162">
        <f>IF(ISBLANK(S329),"",VLOOKUP(S329,'[2]plan gier'!$X$1:$AN$65536,16,FALSE))</f>
        <v>0</v>
      </c>
      <c r="AN329" s="162">
        <f>IF(ISBLANK(S329),"",VLOOKUP(S329,'[2]plan gier'!$X$1:$AN$65536,17,FALSE))</f>
        <v>0</v>
      </c>
      <c r="AO329" s="74">
        <f t="shared" si="32"/>
        <v>11</v>
      </c>
      <c r="AP329" s="75">
        <f t="shared" si="32"/>
        <v>21</v>
      </c>
      <c r="AQ329" s="75">
        <f t="shared" si="32"/>
        <v>12</v>
      </c>
      <c r="AR329" s="75">
        <f t="shared" si="32"/>
        <v>21</v>
      </c>
      <c r="AS329" s="75">
        <f t="shared" si="32"/>
        <v>0</v>
      </c>
      <c r="AT329" s="80">
        <f t="shared" si="32"/>
        <v>0</v>
      </c>
      <c r="AU329" s="149">
        <f t="shared" si="33"/>
        <v>65</v>
      </c>
      <c r="BK329" s="19"/>
      <c r="BL329" s="20"/>
    </row>
    <row r="330" spans="1:64" ht="11.45" customHeight="1" x14ac:dyDescent="0.2">
      <c r="A330" s="2"/>
      <c r="J330" s="28"/>
      <c r="K330" s="28"/>
      <c r="L330" s="28"/>
      <c r="O330" s="28"/>
      <c r="P330" s="28"/>
      <c r="Q330" s="2"/>
      <c r="R330" s="2"/>
      <c r="S330" s="2"/>
      <c r="T330" s="241">
        <v>4</v>
      </c>
      <c r="U330" s="244" t="str">
        <f>IF(AND(N331&lt;&gt;"",N332&lt;&gt;""),CONCATENATE(VLOOKUP(N331,[2]zawodnicy!$A$1:$E$65536,1,FALSE)," ",VLOOKUP(N331,[2]zawodnicy!$A$1:$E$65536,2,FALSE)," ",VLOOKUP(N331,[2]zawodnicy!$A$1:$E$65536,3,FALSE)," - ",VLOOKUP(N331,[2]zawodnicy!$A$1:$E$65536,4,FALSE)),"")</f>
        <v>K3241 Jakub KACHNIARZ - UKS Ząbkowice Dąbrowa Górn.</v>
      </c>
      <c r="V330" s="245"/>
      <c r="W330" s="246"/>
      <c r="X330" s="46" t="str">
        <f>IF(SUM(AO326:AP326)=0,"",AP326&amp;":"&amp;AO326)</f>
        <v>0:21</v>
      </c>
      <c r="Y330" s="83" t="str">
        <f>IF(SUM(AO325:AP325)=0,"",AP325&amp;":"&amp;AO325)</f>
        <v>0:21</v>
      </c>
      <c r="Z330" s="83" t="str">
        <f>IF(SUM(AO328:AP328)=0,"",AP328&amp;":"&amp;AO328)</f>
        <v>0:21</v>
      </c>
      <c r="AA330" s="165"/>
      <c r="AB330" s="241" t="str">
        <f>IF(SUM(AW327:BB327)=0,"",BE327&amp;":"&amp;BF327)</f>
        <v>0:126</v>
      </c>
      <c r="AC330" s="250" t="str">
        <f>IF(SUM(AW327:BB327)=0,"",BG327&amp;":"&amp;BH327)</f>
        <v>0:6</v>
      </c>
      <c r="AD330" s="250" t="str">
        <f>IF(SUM(AW327:BB327)=0,"",BI327&amp;":"&amp;BJ327)</f>
        <v>0:3</v>
      </c>
      <c r="AE330" s="253">
        <f>IF(SUM(BI324:BI327)&gt;0,BK327,"")</f>
        <v>4</v>
      </c>
      <c r="AF330" s="12"/>
      <c r="AG330" s="12"/>
      <c r="AH330" s="2"/>
      <c r="AI330" s="2"/>
      <c r="AJ330" s="2"/>
      <c r="AK330" s="2"/>
      <c r="AL330" s="2"/>
      <c r="AM330" s="2"/>
      <c r="AN330" s="2"/>
      <c r="AO330" s="2"/>
      <c r="AP330" s="2"/>
      <c r="AQ330" s="2"/>
      <c r="AR330" s="2"/>
      <c r="AS330" s="2"/>
      <c r="AT330" s="2"/>
      <c r="AU330" s="2"/>
      <c r="BK330" s="19"/>
      <c r="BL330" s="20"/>
    </row>
    <row r="331" spans="1:64" ht="11.45" customHeight="1" x14ac:dyDescent="0.2">
      <c r="A331" s="19"/>
      <c r="B331" s="19"/>
      <c r="C331" s="19"/>
      <c r="D331" s="19"/>
      <c r="E331" s="19"/>
      <c r="H331" s="10"/>
      <c r="J331" s="19"/>
      <c r="K331" s="19"/>
      <c r="L331" s="19"/>
      <c r="N331" s="33" t="s">
        <v>76</v>
      </c>
      <c r="O331" s="34">
        <f>IF(O320&gt;0,(O320&amp;4)*1,"")</f>
        <v>64</v>
      </c>
      <c r="Q331" s="85"/>
      <c r="R331" s="85"/>
      <c r="S331" s="85"/>
      <c r="T331" s="242"/>
      <c r="U331" s="244" t="str">
        <f>IF(AND(N331&lt;&gt;"",N332=""),CONCATENATE(VLOOKUP(N331,[2]zawodnicy!$A$1:$E$65536,1,FALSE)," ",VLOOKUP(N331,[2]zawodnicy!$A$1:$E$65536,2,FALSE)," ",VLOOKUP(N331,[2]zawodnicy!$A$1:$E$65536,3,FALSE)," - ",VLOOKUP(N331,[2]zawodnicy!$A$1:$E$65536,4,FALSE)),"")</f>
        <v/>
      </c>
      <c r="V331" s="245"/>
      <c r="W331" s="246"/>
      <c r="X331" s="61" t="str">
        <f>IF(SUM(AQ326:AR326)=0,"",AR326&amp;":"&amp;AQ326)</f>
        <v>0:21</v>
      </c>
      <c r="Y331" s="36" t="str">
        <f>IF(SUM(AQ325:AR325)=0,"",AR325&amp;":"&amp;AQ325)</f>
        <v>0:21</v>
      </c>
      <c r="Z331" s="36" t="str">
        <f>IF(SUM(AQ328:AR328)=0,"",AR328&amp;":"&amp;AQ328)</f>
        <v>0:21</v>
      </c>
      <c r="AA331" s="166"/>
      <c r="AB331" s="242"/>
      <c r="AC331" s="251"/>
      <c r="AD331" s="251"/>
      <c r="AE331" s="254"/>
      <c r="AF331" s="12"/>
      <c r="AG331" s="1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row>
    <row r="332" spans="1:64" ht="11.45" customHeight="1" thickBot="1" x14ac:dyDescent="0.25">
      <c r="A332" s="2"/>
      <c r="J332" s="28"/>
      <c r="K332" s="28"/>
      <c r="L332" s="28"/>
      <c r="N332" s="38" t="s">
        <v>34</v>
      </c>
      <c r="O332" s="28"/>
      <c r="P332" s="28"/>
      <c r="Q332" s="2"/>
      <c r="R332" s="2"/>
      <c r="S332" s="2"/>
      <c r="T332" s="243"/>
      <c r="U332" s="256" t="str">
        <f>IF(N332&lt;&gt;"",CONCATENATE(VLOOKUP(N332,[2]zawodnicy!$A$1:$E$65536,1,FALSE)," ",VLOOKUP(N332,[2]zawodnicy!$A$1:$E$65536,2,FALSE)," ",VLOOKUP(N332,[2]zawodnicy!$A$1:$E$65536,3,FALSE)," - ",VLOOKUP(N332,[2]zawodnicy!$A$1:$E$65536,4,FALSE)),"")</f>
        <v>K3257 Nikola KOSZMIDER - UKS Feniks Kędzierzyn-Koźle</v>
      </c>
      <c r="V332" s="257"/>
      <c r="W332" s="258"/>
      <c r="X332" s="87" t="str">
        <f>IF(SUM(AS326:AT326)=0,"",AT326&amp;":"&amp;AS326)</f>
        <v/>
      </c>
      <c r="Y332" s="88" t="str">
        <f>IF(SUM(AS325:AT325)=0,"",AT325&amp;":"&amp;AS325)</f>
        <v/>
      </c>
      <c r="Z332" s="88" t="str">
        <f>IF(SUM(AS328:AT328)=0,"",AT328&amp;":"&amp;AS328)</f>
        <v/>
      </c>
      <c r="AA332" s="89"/>
      <c r="AB332" s="243"/>
      <c r="AC332" s="252"/>
      <c r="AD332" s="252"/>
      <c r="AE332" s="255"/>
      <c r="AF332" s="12"/>
      <c r="AG332" s="1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row>
    <row r="333" spans="1:64" ht="5.0999999999999996" customHeight="1" x14ac:dyDescent="0.2">
      <c r="BK333" s="19"/>
      <c r="BL333" s="20"/>
    </row>
    <row r="335" spans="1:64" ht="12.75" x14ac:dyDescent="0.2">
      <c r="J335" s="2"/>
      <c r="K335" s="2"/>
      <c r="L335" s="2"/>
      <c r="M335" s="95"/>
      <c r="N335" s="96">
        <v>1</v>
      </c>
      <c r="O335" s="97">
        <v>6</v>
      </c>
      <c r="P335" s="98"/>
      <c r="Q335" s="1"/>
      <c r="R335" s="1"/>
      <c r="S335" s="1"/>
      <c r="T335" s="229"/>
      <c r="U335" s="229"/>
      <c r="V335" s="229"/>
      <c r="W335" s="229"/>
      <c r="X335" s="229"/>
      <c r="Y335" s="229"/>
      <c r="Z335" s="229"/>
      <c r="AA335" s="229"/>
      <c r="AB335" s="229"/>
      <c r="AC335" s="229"/>
      <c r="AD335" s="229"/>
      <c r="AE335" s="229"/>
      <c r="AF335" s="229"/>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row>
    <row r="336" spans="1:64" ht="12.75" x14ac:dyDescent="0.2">
      <c r="J336" s="2"/>
      <c r="K336" s="2"/>
      <c r="L336" s="2"/>
      <c r="N336" s="99" t="s">
        <v>73</v>
      </c>
      <c r="P336" s="98"/>
      <c r="Q336" s="1"/>
      <c r="R336" s="1"/>
      <c r="S336" s="1"/>
      <c r="T336" s="1"/>
      <c r="U336" s="1"/>
      <c r="V336" s="101"/>
      <c r="W336" s="101"/>
      <c r="X336" s="101"/>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row>
    <row r="337" spans="1:63" ht="12.75" x14ac:dyDescent="0.2">
      <c r="J337" s="2"/>
      <c r="K337" s="2"/>
      <c r="L337" s="2"/>
      <c r="M337" s="95"/>
      <c r="N337" s="119"/>
      <c r="O337" s="120">
        <f>IF(P337="","",1)</f>
        <v>1</v>
      </c>
      <c r="P337" s="121">
        <f>IF(O335&gt;4,1,"")</f>
        <v>1</v>
      </c>
      <c r="Q337" s="113">
        <f>O337</f>
        <v>1</v>
      </c>
      <c r="R337" s="113"/>
      <c r="S337" s="113"/>
      <c r="T337" s="234" t="str">
        <f>UPPER(IF(O337="","",IF(ISTEXT(N337),N337,IF(AND(N335&gt;0,O337&gt;0),VLOOKUP(N335&amp;O337&amp;N336,I:K,2,FALSE),""))))</f>
        <v>W2914</v>
      </c>
      <c r="U337" s="235"/>
      <c r="V337" s="122" t="str">
        <f>IF(T337&lt;&gt;"",CONCATENATE(VLOOKUP(T337,[2]zawodnicy!$A$1:$E$65536,2,FALSE)," ",VLOOKUP(T337,[2]zawodnicy!$A$1:$E$65536,3,FALSE)," - ",VLOOKUP(T337,[2]zawodnicy!$A$1:$E$65536,4,FALSE)),"")</f>
        <v>Piotr WASILUK - LUKS Badminton Choroszcz</v>
      </c>
      <c r="W337" s="123"/>
      <c r="X337" s="228" t="str">
        <f>IF(ISBLANK(W338),IF(AND(LEN(T337)&gt;0,LEN(T339)=0),VLOOKUP(T337,[2]zawodnicy!$A$1:$E$65536,3,FALSE),IF(AND(LEN(T339)&gt;0,LEN(T337)=0),VLOOKUP(T339,[2]zawodnicy!$A$1:$E$65536,3,FALSE),"")),IF((VLOOKUP(W338,'[2]plan gier'!$X$1:$AF$65536,7,FALSE))="","",VLOOKUP(VLOOKUP(W338,'[2]plan gier'!$X$1:$AF$65536,7,FALSE),[2]zawodnicy!$A$1:$E$65536,3,FALSE)))</f>
        <v>WASILUK</v>
      </c>
      <c r="Y337" s="229"/>
      <c r="Z337" s="229"/>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row>
    <row r="338" spans="1:63" ht="12.75" x14ac:dyDescent="0.2">
      <c r="A338" s="102">
        <f>W338</f>
        <v>0</v>
      </c>
      <c r="B338" s="2" t="str">
        <f>IF(TYPE(T337)=16,"",T337)</f>
        <v>W2914</v>
      </c>
      <c r="C338" s="2" t="str">
        <f>IF(TYPE(T338)=16,"",T338)</f>
        <v>J2971</v>
      </c>
      <c r="D338" s="2" t="str">
        <f>IF(TYPE(T339)=16,"",T339)</f>
        <v/>
      </c>
      <c r="E338" s="2" t="str">
        <f>IF(TYPE(T340)=16,"",T340)</f>
        <v/>
      </c>
      <c r="F338" s="2" t="str">
        <f>IF(A338=0,IF(AND(LEN(B338)&gt;1,LEN(D338)=0),VLOOKUP(B338,[2]zawodnicy!$A$1:$E$65536,1,FALSE),IF(AND(LEN(D338)&gt;1,LEN(B338)=0),VLOOKUP(D338,[2]zawodnicy!$A$1:$E$65536,1,FALSE),"")),IF((VLOOKUP(A338,'[2]plan gier'!$X$1:$AF$65536,7,FALSE))="","",VLOOKUP(VLOOKUP(A338,'[2]plan gier'!$X$1:$AF$65536,7,FALSE),[2]zawodnicy!$A$1:$E$65536,1,FALSE)))</f>
        <v>W2914</v>
      </c>
      <c r="G338" s="2" t="str">
        <f>IF(A338=0,IF(AND(LEN(C338)&gt;1,LEN(E338)=0),VLOOKUP(C338,[2]zawodnicy!$A$1:$E$65536,1,FALSE),IF(AND(LEN(E338)&gt;1,LEN(C338)=0),VLOOKUP(E338,[2]zawodnicy!$A$1:$E$65536,1,FALSE),"")),IF((VLOOKUP(A338,'[2]plan gier'!$X$1:$AF$65536,8,FALSE))="","",VLOOKUP(VLOOKUP(A338,'[2]plan gier'!$X$1:$AF$65536,8,FALSE),[2]zawodnicy!$A$1:$E$65536,1,FALSE)))</f>
        <v>J2971</v>
      </c>
      <c r="H338" s="2" t="str">
        <f>IF(A338=0,"",IF((VLOOKUP(A338,'[2]plan gier'!$X$1:$AF$65536,7,FALSE))="","",VLOOKUP(A338,'[2]plan gier'!$X$1:$AF$65536,9,FALSE)))</f>
        <v/>
      </c>
      <c r="L338" s="124" t="str">
        <f>IF(A338=0,"",IF(VLOOKUP(A338,'[2]plan gier'!A$1:S$65536,19,FALSE)="","",VLOOKUP(A338,'[2]plan gier'!A$1:S$65536,19,FALSE)))</f>
        <v/>
      </c>
      <c r="M338" s="2" t="str">
        <f>N336</f>
        <v>mieszana J</v>
      </c>
      <c r="N338" s="125"/>
      <c r="O338" s="121"/>
      <c r="P338" s="121"/>
      <c r="Q338" s="114"/>
      <c r="R338" s="114"/>
      <c r="S338" s="114"/>
      <c r="T338" s="224" t="str">
        <f>UPPER(IF(O337="","",IF(ISTEXT(N338),N338,IF(AND(N335&gt;0,O337&gt;0),VLOOKUP(N335&amp;O337&amp;N336,I:K,3,FALSE),""))))</f>
        <v>J2971</v>
      </c>
      <c r="U338" s="225"/>
      <c r="V338" s="126" t="str">
        <f>IF(T338&lt;&gt;"",CONCATENATE(VLOOKUP(T338,[2]zawodnicy!$A$1:$E$65536,2,FALSE)," ",VLOOKUP(T338,[2]zawodnicy!$A$1:$E$65536,3,FALSE)," - ",VLOOKUP(T338,[2]zawodnicy!$A$1:$E$65536,4,FALSE)),"")</f>
        <v>Karolina JANOWSKA - UKS Hubal Białystok</v>
      </c>
      <c r="W338" s="127"/>
      <c r="X338" s="231" t="str">
        <f>IF(ISBLANK(W338),IF(AND(LEN(T338)&gt;0,LEN(T340)=0),VLOOKUP(T338,[2]zawodnicy!$A$1:$E$65536,3,FALSE),IF(AND(LEN(T340)&gt;0,LEN(T338)=0),VLOOKUP(T340,[2]zawodnicy!$A$1:$E$65536,3,FALSE),"")),IF((VLOOKUP(W338,'[2]plan gier'!$X$1:$AF$65536,8,FALSE))="","",VLOOKUP(VLOOKUP(W338,'[2]plan gier'!$X$1:$AF$65536,8,FALSE),[2]zawodnicy!$A$1:$E$65536,3,FALSE)))</f>
        <v>JANOWSKA</v>
      </c>
      <c r="Y338" s="232"/>
      <c r="Z338" s="23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row>
    <row r="339" spans="1:63" ht="12.75" x14ac:dyDescent="0.2">
      <c r="J339" s="2"/>
      <c r="K339" s="2"/>
      <c r="L339" s="2"/>
      <c r="M339" s="95"/>
      <c r="N339" s="125"/>
      <c r="O339" s="120" t="str">
        <f>IF(P339="","",MAX(O337:O338)+1)</f>
        <v/>
      </c>
      <c r="P339" s="121" t="str">
        <f>IF(O335&gt;7,5,"")</f>
        <v/>
      </c>
      <c r="Q339" s="113" t="str">
        <f>O339</f>
        <v/>
      </c>
      <c r="R339" s="113"/>
      <c r="S339" s="113"/>
      <c r="T339" s="234" t="str">
        <f>UPPER(IF(O339="","",IF(ISTEXT(N339),N339,IF(AND(N335&gt;0,O339&gt;0),VLOOKUP(N335&amp;O339&amp;N336,I:K,2,FALSE),""))))</f>
        <v/>
      </c>
      <c r="U339" s="235"/>
      <c r="V339" s="122" t="str">
        <f>IF(T339&lt;&gt;"",CONCATENATE(VLOOKUP(T339,[2]zawodnicy!$A$1:$E$65536,2,FALSE)," ",VLOOKUP(T339,[2]zawodnicy!$A$1:$E$65536,3,FALSE)," - ",VLOOKUP(T339,[2]zawodnicy!$A$1:$E$65536,4,FALSE)),"")</f>
        <v/>
      </c>
      <c r="W339" s="128"/>
      <c r="X339" s="237" t="str">
        <f>IF(ISBLANK(W338),"",IF((VLOOKUP(W338,'[2]plan gier'!$X$1:$AF$65536,7,FALSE))="",L338,VLOOKUP(W338,'[2]plan gier'!$X$1:$AF$65536,9,FALSE)))</f>
        <v/>
      </c>
      <c r="Y339" s="237"/>
      <c r="Z339" s="240"/>
      <c r="AA339" s="229" t="str">
        <f>IF(ISBLANK(Z340),IF(AND(LEN(X337)&gt;0,LEN(X341)=0),X337,IF(AND(LEN(X341)&gt;0,LEN(X337)=0),X341,"")),IF((VLOOKUP(Z340,'[2]plan gier'!$X$1:$AF$65536,7,FALSE))="","",VLOOKUP(VLOOKUP(Z340,'[2]plan gier'!$X$1:$AF$65536,7,FALSE),[2]zawodnicy!$A$1:$E$65536,3,FALSE)))</f>
        <v>WASILUK</v>
      </c>
      <c r="AB339" s="229"/>
      <c r="AC339" s="229"/>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row>
    <row r="340" spans="1:63" ht="13.5" thickBot="1" x14ac:dyDescent="0.25">
      <c r="A340" s="111">
        <f>Z340</f>
        <v>218</v>
      </c>
      <c r="B340" s="2" t="str">
        <f>F338</f>
        <v>W2914</v>
      </c>
      <c r="C340" s="2" t="str">
        <f>G338</f>
        <v>J2971</v>
      </c>
      <c r="D340" s="2" t="str">
        <f>F342</f>
        <v>N3148</v>
      </c>
      <c r="E340" s="2" t="str">
        <f>G342</f>
        <v>T3157</v>
      </c>
      <c r="F340" s="2" t="str">
        <f>IF(A340=0,IF(AND(LEN(B340)&gt;0,LEN(D340)=0),B340,IF(AND(LEN(D340)&gt;0,LEN(B340)=0),D340,"")),IF((VLOOKUP(A340,'[2]plan gier'!$X$1:$AF$65536,7,FALSE))="","",VLOOKUP(VLOOKUP(A340,'[2]plan gier'!$X$1:$AF$65536,7,FALSE),[2]zawodnicy!$A$1:$E$65536,1,FALSE)))</f>
        <v>W2914</v>
      </c>
      <c r="G340" s="2" t="str">
        <f>IF(A340=0,IF(AND(LEN(C340)&gt;0,LEN(E340)=0),C340,IF(AND(LEN(E340)&gt;0,LEN(C340)=0),E340,"")),IF((VLOOKUP(A340,'[2]plan gier'!$X$1:$AF$65536,8,FALSE))="","",VLOOKUP(VLOOKUP(A340,'[2]plan gier'!$X$1:$AF$65536,8,FALSE),[2]zawodnicy!$A$1:$E$65536,1,FALSE)))</f>
        <v>J2971</v>
      </c>
      <c r="H340" s="2" t="str">
        <f>IF(A340=0,"",IF((VLOOKUP(A340,'[2]plan gier'!$X$1:$AF$65536,7,FALSE))="","",VLOOKUP(A340,'[2]plan gier'!$X$1:$AF$65536,9,FALSE)))</f>
        <v>19:21,21:9,21:10</v>
      </c>
      <c r="L340" s="124" t="str">
        <f>IF(A340=0,"",IF(VLOOKUP(A340,'[2]plan gier'!A$1:S$65536,19,FALSE)="","",VLOOKUP(A340,'[2]plan gier'!A$1:S$65536,19,FALSE)))</f>
        <v>sob 17:00</v>
      </c>
      <c r="M340" s="2" t="str">
        <f>N336</f>
        <v>mieszana J</v>
      </c>
      <c r="N340" s="129"/>
      <c r="O340" s="121"/>
      <c r="P340" s="121"/>
      <c r="Q340" s="114"/>
      <c r="R340" s="114"/>
      <c r="S340" s="114"/>
      <c r="T340" s="238" t="str">
        <f>UPPER(IF(O339="","",IF(ISTEXT(N340),N340,IF(AND(N335&gt;0,O339&gt;0),VLOOKUP(N335&amp;O339&amp;N336,I:K,3,FALSE),""))))</f>
        <v/>
      </c>
      <c r="U340" s="239"/>
      <c r="V340" s="130" t="str">
        <f>IF(T340&lt;&gt;"",CONCATENATE(VLOOKUP(T340,[2]zawodnicy!$A$1:$E$65536,2,FALSE)," ",VLOOKUP(T340,[2]zawodnicy!$A$1:$E$65536,3,FALSE)," - ",VLOOKUP(T340,[2]zawodnicy!$A$1:$E$65536,4,FALSE)),"")</f>
        <v/>
      </c>
      <c r="W340" s="131"/>
      <c r="X340" s="114"/>
      <c r="Y340" s="10"/>
      <c r="Z340" s="115">
        <v>218</v>
      </c>
      <c r="AA340" s="231" t="str">
        <f>IF(ISBLANK(Z340),IF(AND(LEN(X338)&gt;0,LEN(X342)=0),X338,IF(AND(LEN(X342)&gt;0,LEN(X338)=0),X342,"")),IF((VLOOKUP(Z340,'[2]plan gier'!$X$1:$AF$65536,8,FALSE))="","",VLOOKUP(VLOOKUP(Z340,'[2]plan gier'!$X$1:$AF$65536,8,FALSE),[2]zawodnicy!$A$1:$E$65536,3,FALSE)))</f>
        <v>JANOWSKA</v>
      </c>
      <c r="AB340" s="232"/>
      <c r="AC340" s="23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row>
    <row r="341" spans="1:63" ht="13.5" thickTop="1" x14ac:dyDescent="0.2">
      <c r="J341" s="2"/>
      <c r="K341" s="2"/>
      <c r="L341" s="2"/>
      <c r="M341" s="95"/>
      <c r="N341" s="132"/>
      <c r="O341" s="120">
        <f>IF(P341="","",MAX(O337:O340)+1)</f>
        <v>2</v>
      </c>
      <c r="P341" s="121">
        <f>IF(O335&gt;4,9,"")</f>
        <v>9</v>
      </c>
      <c r="Q341" s="113">
        <f>O341</f>
        <v>2</v>
      </c>
      <c r="R341" s="113"/>
      <c r="S341" s="113"/>
      <c r="T341" s="226" t="str">
        <f>UPPER(IF(O341="","",IF(ISTEXT(N341),N341,IF(AND(N335&gt;0,O341&gt;0),VLOOKUP(N335&amp;O341&amp;N336,I:K,2,FALSE),""))))</f>
        <v>N3148</v>
      </c>
      <c r="U341" s="227"/>
      <c r="V341" s="133" t="str">
        <f>IF(T341&lt;&gt;"",CONCATENATE(VLOOKUP(T341,[2]zawodnicy!$A$1:$E$65536,2,FALSE)," ",VLOOKUP(T341,[2]zawodnicy!$A$1:$E$65536,3,FALSE)," - ",VLOOKUP(T341,[2]zawodnicy!$A$1:$E$65536,4,FALSE)),"")</f>
        <v>Kamil NASIŁOWSKI - UKSB Milenium Warszawa</v>
      </c>
      <c r="W341" s="134"/>
      <c r="X341" s="228" t="str">
        <f>IF(ISBLANK(W342),IF(AND(LEN(T341)&gt;0,LEN(T343)=0),VLOOKUP(T341,[2]zawodnicy!$A$1:$E$65536,3,FALSE),IF(AND(LEN(T343)&gt;0,LEN(T341)=0),VLOOKUP(T343,[2]zawodnicy!$A$1:$E$65536,3,FALSE),"")),IF((VLOOKUP(W342,'[2]plan gier'!$X$1:$AF$65536,7,FALSE))="","",VLOOKUP(VLOOKUP(W342,'[2]plan gier'!$X$1:$AF$65536,7,FALSE),[2]zawodnicy!$A$1:$E$65536,3,FALSE)))</f>
        <v>NASIŁOWSKI</v>
      </c>
      <c r="Y341" s="229"/>
      <c r="Z341" s="230"/>
      <c r="AA341" s="229" t="str">
        <f>IF(ISBLANK(Z340),"",IF((VLOOKUP(Z340,'[2]plan gier'!$X$1:$AF$65536,7,FALSE))="",L340,VLOOKUP(Z340,'[2]plan gier'!$X$1:$AF$65536,9,FALSE)))</f>
        <v>19:21,21:9,21:10</v>
      </c>
      <c r="AB341" s="229"/>
      <c r="AC341" s="230"/>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row>
    <row r="342" spans="1:63" ht="12.75" x14ac:dyDescent="0.2">
      <c r="A342" s="102">
        <f>W342</f>
        <v>201</v>
      </c>
      <c r="B342" s="2" t="str">
        <f>IF(TYPE(T341)=16,"",T341)</f>
        <v>N3148</v>
      </c>
      <c r="C342" s="2" t="str">
        <f>IF(TYPE(T342)=16,"",T342)</f>
        <v>T3157</v>
      </c>
      <c r="D342" s="2" t="str">
        <f>IF(TYPE(T343)=16,"",T343)</f>
        <v>K3149</v>
      </c>
      <c r="E342" s="2" t="str">
        <f>IF(TYPE(T344)=16,"",T344)</f>
        <v>P3283</v>
      </c>
      <c r="F342" s="2" t="str">
        <f>IF(A342=0,IF(AND(LEN(B342)&gt;1,LEN(D342)=0),VLOOKUP(B342,[2]zawodnicy!$A$1:$E$65536,1,FALSE),IF(AND(LEN(D342)&gt;1,LEN(B342)=0),VLOOKUP(D342,[2]zawodnicy!$A$1:$E$65536,1,FALSE),"")),IF((VLOOKUP(A342,'[2]plan gier'!$X$1:$AF$65536,7,FALSE))="","",VLOOKUP(VLOOKUP(A342,'[2]plan gier'!$X$1:$AF$65536,7,FALSE),[2]zawodnicy!$A$1:$E$65536,1,FALSE)))</f>
        <v>N3148</v>
      </c>
      <c r="G342" s="2" t="str">
        <f>IF(A342=0,IF(AND(LEN(C342)&gt;1,LEN(E342)=0),VLOOKUP(C342,[2]zawodnicy!$A$1:$E$65536,1,FALSE),IF(AND(LEN(E342)&gt;1,LEN(C342)=0),VLOOKUP(E342,[2]zawodnicy!$A$1:$E$65536,1,FALSE),"")),IF((VLOOKUP(A342,'[2]plan gier'!$X$1:$AF$65536,8,FALSE))="","",VLOOKUP(VLOOKUP(A342,'[2]plan gier'!$X$1:$AF$65536,8,FALSE),[2]zawodnicy!$A$1:$E$65536,1,FALSE)))</f>
        <v>T3157</v>
      </c>
      <c r="H342" s="2" t="str">
        <f>IF(A342=0,"",IF((VLOOKUP(A342,'[2]plan gier'!$X$1:$AF$65536,7,FALSE))="","",VLOOKUP(A342,'[2]plan gier'!$X$1:$AF$65536,9,FALSE)))</f>
        <v>21:14,21:9</v>
      </c>
      <c r="L342" s="124" t="str">
        <f>IF(A342=0,"",IF(VLOOKUP(A342,'[2]plan gier'!A$1:S$65536,19,FALSE)="","",VLOOKUP(A342,'[2]plan gier'!A$1:S$65536,19,FALSE)))</f>
        <v>sob 15:30</v>
      </c>
      <c r="M342" s="2" t="str">
        <f>N336</f>
        <v>mieszana J</v>
      </c>
      <c r="N342" s="125"/>
      <c r="O342" s="121"/>
      <c r="P342" s="121"/>
      <c r="Q342" s="114"/>
      <c r="R342" s="114"/>
      <c r="S342" s="114"/>
      <c r="T342" s="224" t="str">
        <f>UPPER(IF(O341="","",IF(ISTEXT(N342),N342,IF(AND(N335&gt;0,O341&gt;0),VLOOKUP(N335&amp;O341&amp;N336,I:K,3,FALSE),""))))</f>
        <v>T3157</v>
      </c>
      <c r="U342" s="225"/>
      <c r="V342" s="126" t="str">
        <f>IF(T342&lt;&gt;"",CONCATENATE(VLOOKUP(T342,[2]zawodnicy!$A$1:$E$65536,2,FALSE)," ",VLOOKUP(T342,[2]zawodnicy!$A$1:$E$65536,3,FALSE)," - ",VLOOKUP(T342,[2]zawodnicy!$A$1:$E$65536,4,FALSE)),"")</f>
        <v>Adrianna TATAJ - UKSB Milenium Warszawa</v>
      </c>
      <c r="W342" s="127">
        <v>201</v>
      </c>
      <c r="X342" s="231" t="str">
        <f>IF(ISBLANK(W342),IF(AND(LEN(T342)&gt;0,LEN(T344)=0),VLOOKUP(T342,[2]zawodnicy!$A$1:$E$65536,3,FALSE),IF(AND(LEN(T344)&gt;0,LEN(T342)=0),VLOOKUP(T344,[2]zawodnicy!$A$1:$E$65536,3,FALSE),"")),IF((VLOOKUP(W342,'[2]plan gier'!$X$1:$AF$65536,8,FALSE))="","",VLOOKUP(VLOOKUP(W342,'[2]plan gier'!$X$1:$AF$65536,8,FALSE),[2]zawodnicy!$A$1:$E$65536,3,FALSE)))</f>
        <v>TATAJ</v>
      </c>
      <c r="Y342" s="232"/>
      <c r="Z342" s="233"/>
      <c r="AA342" s="10"/>
      <c r="AB342" s="10"/>
      <c r="AC342" s="117"/>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row>
    <row r="343" spans="1:63" ht="12.75" x14ac:dyDescent="0.2">
      <c r="J343" s="2"/>
      <c r="K343" s="2"/>
      <c r="L343" s="2"/>
      <c r="M343" s="95"/>
      <c r="N343" s="125"/>
      <c r="O343" s="120">
        <f>IF(P343="","",MAX(O337:O342)+1)</f>
        <v>3</v>
      </c>
      <c r="P343" s="121">
        <f>IF(O335&gt;5,13,"")</f>
        <v>13</v>
      </c>
      <c r="Q343" s="113">
        <f>O343</f>
        <v>3</v>
      </c>
      <c r="R343" s="113"/>
      <c r="S343" s="113"/>
      <c r="T343" s="234" t="str">
        <f>UPPER(IF(O343="","",IF(ISTEXT(N343),N343,IF(AND(N335&gt;0,O343&gt;0),VLOOKUP(N335&amp;O343&amp;N336,I:K,2,FALSE),""))))</f>
        <v>K3149</v>
      </c>
      <c r="U343" s="235"/>
      <c r="V343" s="122" t="str">
        <f>IF(T343&lt;&gt;"",CONCATENATE(VLOOKUP(T343,[2]zawodnicy!$A$1:$E$65536,2,FALSE)," ",VLOOKUP(T343,[2]zawodnicy!$A$1:$E$65536,3,FALSE)," - ",VLOOKUP(T343,[2]zawodnicy!$A$1:$E$65536,4,FALSE)),"")</f>
        <v>Dominik KRZĘCIO - AZSWAT Warszawa</v>
      </c>
      <c r="W343" s="128"/>
      <c r="X343" s="236" t="str">
        <f>IF(ISBLANK(W342),"",IF((VLOOKUP(W342,'[2]plan gier'!$X$1:$AF$65536,7,FALSE))="",L342,VLOOKUP(W342,'[2]plan gier'!$X$1:$AF$65536,9,FALSE)))</f>
        <v>21:14,21:9</v>
      </c>
      <c r="Y343" s="237"/>
      <c r="Z343" s="237"/>
      <c r="AA343" s="10"/>
      <c r="AB343" s="10"/>
      <c r="AC343" s="116"/>
      <c r="AD343" s="229" t="str">
        <f>IF(ISBLANK(AC344),IF(AND(LEN(AA339)&gt;0,LEN(AA347)=0),AA339,IF(AND(LEN(AA347)&gt;0,LEN(AA339)=0),AA347,"")),IF((VLOOKUP(AC344,'[2]plan gier'!$X$1:$AF$65536,7,FALSE))="","",VLOOKUP(VLOOKUP(AC344,'[2]plan gier'!$X$1:$AF$65536,7,FALSE),[2]zawodnicy!$A$1:$E$65536,3,FALSE)))</f>
        <v>WASILUK</v>
      </c>
      <c r="AE343" s="229"/>
      <c r="AF343" s="229"/>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row>
    <row r="344" spans="1:63" ht="13.5" thickBot="1" x14ac:dyDescent="0.25">
      <c r="A344" s="171">
        <f>AC344</f>
        <v>235</v>
      </c>
      <c r="B344" s="2" t="str">
        <f>F340</f>
        <v>W2914</v>
      </c>
      <c r="C344" s="2" t="str">
        <f>G340</f>
        <v>J2971</v>
      </c>
      <c r="D344" s="2" t="str">
        <f>F348</f>
        <v>S3502</v>
      </c>
      <c r="E344" s="2" t="str">
        <f>G348</f>
        <v>K3863</v>
      </c>
      <c r="F344" s="2" t="str">
        <f>IF(A344=0,IF(AND(LEN(B344)&gt;0,LEN(D344)=0),B344,IF(AND(LEN(D344)&gt;0,LEN(B344)=0),D344,"")),IF((VLOOKUP(A344,'[2]plan gier'!$X$1:$AF$65536,7,FALSE))="","",VLOOKUP(VLOOKUP(A344,'[2]plan gier'!$X$1:$AF$65536,7,FALSE),[2]zawodnicy!$A$1:$E$65536,1,FALSE)))</f>
        <v>W2914</v>
      </c>
      <c r="G344" s="2" t="str">
        <f>IF(A344=0,IF(AND(LEN(C344)&gt;0,LEN(E344)=0),C344,IF(AND(LEN(E344)&gt;0,LEN(C344)=0),E344,"")),IF((VLOOKUP(A344,'[2]plan gier'!$X$1:$AF$65536,8,FALSE))="","",VLOOKUP(VLOOKUP(A344,'[2]plan gier'!$X$1:$AF$65536,8,FALSE),[2]zawodnicy!$A$1:$E$65536,1,FALSE)))</f>
        <v>J2971</v>
      </c>
      <c r="H344" s="2" t="str">
        <f>IF(A344=0,"",IF((VLOOKUP(A344,'[2]plan gier'!$X$1:$AF$65536,7,FALSE))="","",VLOOKUP(A344,'[2]plan gier'!$X$1:$AF$65536,9,FALSE)))</f>
        <v>21:10,21:15</v>
      </c>
      <c r="L344" s="124" t="str">
        <f>IF(A344=0,"",IF(VLOOKUP(A344,'[2]plan gier'!A$1:S$65536,19,FALSE)="","",VLOOKUP(A344,'[2]plan gier'!A$1:S$65536,19,FALSE)))</f>
        <v>nie 11:30</v>
      </c>
      <c r="M344" s="2" t="str">
        <f>N336</f>
        <v>mieszana J</v>
      </c>
      <c r="N344" s="129"/>
      <c r="O344" s="121"/>
      <c r="P344" s="121"/>
      <c r="Q344" s="114"/>
      <c r="R344" s="114"/>
      <c r="S344" s="114"/>
      <c r="T344" s="238" t="str">
        <f>UPPER(IF(O343="","",IF(ISTEXT(N344),N344,IF(AND(N335&gt;0,O343&gt;0),VLOOKUP(N335&amp;O343&amp;N336,I:K,3,FALSE),""))))</f>
        <v>P3283</v>
      </c>
      <c r="U344" s="239"/>
      <c r="V344" s="130" t="str">
        <f>IF(T344&lt;&gt;"",CONCATENATE(VLOOKUP(T344,[2]zawodnicy!$A$1:$E$65536,2,FALSE)," ",VLOOKUP(T344,[2]zawodnicy!$A$1:$E$65536,3,FALSE)," - ",VLOOKUP(T344,[2]zawodnicy!$A$1:$E$65536,4,FALSE)),"")</f>
        <v>Magdalena POPRZECZKO - UKS Badminton Stare Babice</v>
      </c>
      <c r="W344" s="131"/>
      <c r="X344" s="10"/>
      <c r="Y344" s="10"/>
      <c r="Z344" s="10"/>
      <c r="AA344" s="10"/>
      <c r="AB344" s="10"/>
      <c r="AC344" s="115">
        <v>235</v>
      </c>
      <c r="AD344" s="231" t="str">
        <f>IF(ISBLANK(AC344),IF(AND(LEN(AA340)&gt;0,LEN(AA348)=0),AA340,IF(AND(LEN(AA348)&gt;0,LEN(AA340)=0),AA348,"")),IF((VLOOKUP(AC344,'[2]plan gier'!$X$1:$AF$65536,8,FALSE))="","",VLOOKUP(VLOOKUP(AC344,'[2]plan gier'!$X$1:$AF$65536,8,FALSE),[2]zawodnicy!$A$1:$E$65536,3,FALSE)))</f>
        <v>JANOWSKA</v>
      </c>
      <c r="AE344" s="232"/>
      <c r="AF344" s="23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row>
    <row r="345" spans="1:63" ht="13.5" thickTop="1" x14ac:dyDescent="0.2">
      <c r="J345" s="2"/>
      <c r="K345" s="2"/>
      <c r="L345" s="2"/>
      <c r="M345" s="95"/>
      <c r="N345" s="132"/>
      <c r="O345" s="120">
        <f>IF(P345="","",MAX(O337:O344)+1)</f>
        <v>4</v>
      </c>
      <c r="P345" s="121">
        <f>IF(O335&gt;4,20,"")</f>
        <v>20</v>
      </c>
      <c r="Q345" s="113">
        <f>O345</f>
        <v>4</v>
      </c>
      <c r="R345" s="113"/>
      <c r="S345" s="113"/>
      <c r="T345" s="226" t="str">
        <f>UPPER(IF(O345="","",IF(ISTEXT(N345),N345,IF(AND(N335&gt;0,O345&gt;0),VLOOKUP(N335&amp;O345&amp;N336,I:K,2,FALSE),""))))</f>
        <v>Z3080</v>
      </c>
      <c r="U345" s="227"/>
      <c r="V345" s="133" t="str">
        <f>IF(T345&lt;&gt;"",CONCATENATE(VLOOKUP(T345,[2]zawodnicy!$A$1:$E$65536,2,FALSE)," ",VLOOKUP(T345,[2]zawodnicy!$A$1:$E$65536,3,FALSE)," - ",VLOOKUP(T345,[2]zawodnicy!$A$1:$E$65536,4,FALSE)),"")</f>
        <v>Konrad ZAUCHA - UKS Orbitek Straszęcin</v>
      </c>
      <c r="W345" s="134"/>
      <c r="X345" s="228" t="str">
        <f>IF(ISBLANK(W346),IF(AND(LEN(T345)&gt;0,LEN(T347)=0),VLOOKUP(T345,[2]zawodnicy!$A$1:$E$65536,3,FALSE),IF(AND(LEN(T347)&gt;0,LEN(T345)=0),VLOOKUP(T347,[2]zawodnicy!$A$1:$E$65536,3,FALSE),"")),IF((VLOOKUP(W346,'[2]plan gier'!$X$1:$AF$65536,7,FALSE))="","",VLOOKUP(VLOOKUP(W346,'[2]plan gier'!$X$1:$AF$65536,7,FALSE),[2]zawodnicy!$A$1:$E$65536,3,FALSE)))</f>
        <v>KRAWCZYK</v>
      </c>
      <c r="Y345" s="229"/>
      <c r="Z345" s="229"/>
      <c r="AA345" s="10"/>
      <c r="AB345" s="10"/>
      <c r="AC345" s="116"/>
      <c r="AD345" s="229" t="str">
        <f>IF(ISBLANK(AC344),"",IF((VLOOKUP(AC344,'[2]plan gier'!$X$1:$AF$65536,7,FALSE))="",L344,VLOOKUP(AC344,'[2]plan gier'!$X$1:$AF$65536,9,FALSE)))</f>
        <v>21:10,21:15</v>
      </c>
      <c r="AE345" s="229"/>
      <c r="AF345" s="229"/>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row>
    <row r="346" spans="1:63" ht="12.75" x14ac:dyDescent="0.2">
      <c r="A346" s="102">
        <f>W346</f>
        <v>202</v>
      </c>
      <c r="B346" s="2" t="str">
        <f>IF(TYPE(T345)=16,"",T345)</f>
        <v>Z3080</v>
      </c>
      <c r="C346" s="2" t="str">
        <f>IF(TYPE(T346)=16,"",T346)</f>
        <v>G3134</v>
      </c>
      <c r="D346" s="2" t="str">
        <f>IF(TYPE(T347)=16,"",T347)</f>
        <v>K4230</v>
      </c>
      <c r="E346" s="2" t="str">
        <f>IF(TYPE(T348)=16,"",T348)</f>
        <v>K3151</v>
      </c>
      <c r="F346" s="2" t="str">
        <f>IF(A346=0,IF(AND(LEN(B346)&gt;1,LEN(D346)=0),VLOOKUP(B346,[2]zawodnicy!$A$1:$E$65536,1,FALSE),IF(AND(LEN(D346)&gt;1,LEN(B346)=0),VLOOKUP(D346,[2]zawodnicy!$A$1:$E$65536,1,FALSE),"")),IF((VLOOKUP(A346,'[2]plan gier'!$X$1:$AF$65536,7,FALSE))="","",VLOOKUP(VLOOKUP(A346,'[2]plan gier'!$X$1:$AF$65536,7,FALSE),[2]zawodnicy!$A$1:$E$65536,1,FALSE)))</f>
        <v>K4230</v>
      </c>
      <c r="G346" s="2" t="str">
        <f>IF(A346=0,IF(AND(LEN(C346)&gt;1,LEN(E346)=0),VLOOKUP(C346,[2]zawodnicy!$A$1:$E$65536,1,FALSE),IF(AND(LEN(E346)&gt;1,LEN(C346)=0),VLOOKUP(E346,[2]zawodnicy!$A$1:$E$65536,1,FALSE),"")),IF((VLOOKUP(A346,'[2]plan gier'!$X$1:$AF$65536,8,FALSE))="","",VLOOKUP(VLOOKUP(A346,'[2]plan gier'!$X$1:$AF$65536,8,FALSE),[2]zawodnicy!$A$1:$E$65536,1,FALSE)))</f>
        <v>K3151</v>
      </c>
      <c r="H346" s="2" t="str">
        <f>IF(A346=0,"",IF((VLOOKUP(A346,'[2]plan gier'!$X$1:$AF$65536,7,FALSE))="","",VLOOKUP(A346,'[2]plan gier'!$X$1:$AF$65536,9,FALSE)))</f>
        <v>21:19,18:21,21:18</v>
      </c>
      <c r="L346" s="124" t="str">
        <f>IF(A346=0,"",IF(VLOOKUP(A346,'[2]plan gier'!A$1:S$65536,19,FALSE)="","",VLOOKUP(A346,'[2]plan gier'!A$1:S$65536,19,FALSE)))</f>
        <v>sob 15:30</v>
      </c>
      <c r="M346" s="2" t="str">
        <f>N336</f>
        <v>mieszana J</v>
      </c>
      <c r="N346" s="125"/>
      <c r="O346" s="121"/>
      <c r="P346" s="121"/>
      <c r="Q346" s="114"/>
      <c r="R346" s="114"/>
      <c r="S346" s="114"/>
      <c r="T346" s="224" t="str">
        <f>UPPER(IF(O345="","",IF(ISTEXT(N346),N346,IF(AND(N335&gt;0,O345&gt;0),VLOOKUP(N335&amp;O345&amp;N336,I:K,3,FALSE),""))))</f>
        <v>G3134</v>
      </c>
      <c r="U346" s="225"/>
      <c r="V346" s="126" t="str">
        <f>IF(T346&lt;&gt;"",CONCATENATE(VLOOKUP(T346,[2]zawodnicy!$A$1:$E$65536,2,FALSE)," ",VLOOKUP(T346,[2]zawodnicy!$A$1:$E$65536,3,FALSE)," - ",VLOOKUP(T346,[2]zawodnicy!$A$1:$E$65536,4,FALSE)),"")</f>
        <v>Katarzyna GRUSZKA - UKS Orbitek Straszęcin</v>
      </c>
      <c r="W346" s="127">
        <v>202</v>
      </c>
      <c r="X346" s="231" t="str">
        <f>IF(ISBLANK(W346),IF(AND(LEN(T346)&gt;0,LEN(T348)=0),VLOOKUP(T346,[2]zawodnicy!$A$1:$E$65536,3,FALSE),IF(AND(LEN(T348)&gt;0,LEN(T346)=0),VLOOKUP(T348,[2]zawodnicy!$A$1:$E$65536,3,FALSE),"")),IF((VLOOKUP(W346,'[2]plan gier'!$X$1:$AF$65536,8,FALSE))="","",VLOOKUP(VLOOKUP(W346,'[2]plan gier'!$X$1:$AF$65536,8,FALSE),[2]zawodnicy!$A$1:$E$65536,3,FALSE)))</f>
        <v>KOPYT</v>
      </c>
      <c r="Y346" s="232"/>
      <c r="Z346" s="232"/>
      <c r="AA346" s="10"/>
      <c r="AB346" s="10"/>
      <c r="AC346" s="117"/>
      <c r="AD346" s="10"/>
      <c r="AE346" s="10"/>
      <c r="AF346" s="10"/>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row>
    <row r="347" spans="1:63" ht="12.75" x14ac:dyDescent="0.2">
      <c r="J347" s="2"/>
      <c r="K347" s="2"/>
      <c r="L347" s="2"/>
      <c r="M347" s="95"/>
      <c r="N347" s="125"/>
      <c r="O347" s="120">
        <f>IF(P347="","",MAX(O337:O346)+1)</f>
        <v>5</v>
      </c>
      <c r="P347" s="121">
        <f>IF(O335&gt;4,24,"")</f>
        <v>24</v>
      </c>
      <c r="Q347" s="113">
        <f>O347</f>
        <v>5</v>
      </c>
      <c r="R347" s="113"/>
      <c r="S347" s="113"/>
      <c r="T347" s="234" t="str">
        <f>UPPER(IF(O347="","",IF(ISTEXT(N347),N347,IF(AND(N335&gt;0,O347&gt;0),VLOOKUP(N335&amp;O347&amp;N336,I:K,2,FALSE),""))))</f>
        <v>K4230</v>
      </c>
      <c r="U347" s="235"/>
      <c r="V347" s="122" t="str">
        <f>IF(T347&lt;&gt;"",CONCATENATE(VLOOKUP(T347,[2]zawodnicy!$A$1:$E$65536,2,FALSE)," ",VLOOKUP(T347,[2]zawodnicy!$A$1:$E$65536,3,FALSE)," - ",VLOOKUP(T347,[2]zawodnicy!$A$1:$E$65536,4,FALSE)),"")</f>
        <v>Wiktor KRAWCZYK - UKSB Milenium Warszawa</v>
      </c>
      <c r="W347" s="128"/>
      <c r="X347" s="237" t="str">
        <f>IF(ISBLANK(W346),"",IF((VLOOKUP(W346,'[2]plan gier'!$X$1:$AF$65536,7,FALSE))="",L346,VLOOKUP(W346,'[2]plan gier'!$X$1:$AF$65536,9,FALSE)))</f>
        <v>21:19,18:21,21:18</v>
      </c>
      <c r="Y347" s="237"/>
      <c r="Z347" s="240"/>
      <c r="AA347" s="229" t="str">
        <f>IF(ISBLANK(Z348),IF(AND(LEN(X345)&gt;0,LEN(X349)=0),X345,IF(AND(LEN(X349)&gt;0,LEN(X345)=0),X349,"")),IF((VLOOKUP(Z348,'[2]plan gier'!$X$1:$AF$65536,7,FALSE))="","",VLOOKUP(VLOOKUP(Z348,'[2]plan gier'!$X$1:$AF$65536,7,FALSE),[2]zawodnicy!$A$1:$E$65536,3,FALSE)))</f>
        <v>SMAJDA</v>
      </c>
      <c r="AB347" s="229"/>
      <c r="AC347" s="230"/>
      <c r="AD347" s="10"/>
      <c r="AE347" s="10"/>
      <c r="AF347" s="10"/>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row>
    <row r="348" spans="1:63" ht="13.5" thickBot="1" x14ac:dyDescent="0.25">
      <c r="A348" s="111">
        <f>Z348</f>
        <v>219</v>
      </c>
      <c r="B348" s="2" t="str">
        <f>F346</f>
        <v>K4230</v>
      </c>
      <c r="C348" s="2" t="str">
        <f>G346</f>
        <v>K3151</v>
      </c>
      <c r="D348" s="2" t="str">
        <f>F350</f>
        <v>S3502</v>
      </c>
      <c r="E348" s="2" t="str">
        <f>G350</f>
        <v>K3863</v>
      </c>
      <c r="F348" s="2" t="str">
        <f>IF(A348=0,IF(AND(LEN(B348)&gt;0,LEN(D348)=0),B348,IF(AND(LEN(D348)&gt;0,LEN(B348)=0),D348,"")),IF((VLOOKUP(A348,'[2]plan gier'!$X$1:$AF$65536,7,FALSE))="","",VLOOKUP(VLOOKUP(A348,'[2]plan gier'!$X$1:$AF$65536,7,FALSE),[2]zawodnicy!$A$1:$E$65536,1,FALSE)))</f>
        <v>S3502</v>
      </c>
      <c r="G348" s="2" t="str">
        <f>IF(A348=0,IF(AND(LEN(C348)&gt;0,LEN(E348)=0),C348,IF(AND(LEN(E348)&gt;0,LEN(C348)=0),E348,"")),IF((VLOOKUP(A348,'[2]plan gier'!$X$1:$AF$65536,8,FALSE))="","",VLOOKUP(VLOOKUP(A348,'[2]plan gier'!$X$1:$AF$65536,8,FALSE),[2]zawodnicy!$A$1:$E$65536,1,FALSE)))</f>
        <v>K3863</v>
      </c>
      <c r="H348" s="2" t="str">
        <f>IF(A348=0,"",IF((VLOOKUP(A348,'[2]plan gier'!$X$1:$AF$65536,7,FALSE))="","",VLOOKUP(A348,'[2]plan gier'!$X$1:$AF$65536,9,FALSE)))</f>
        <v>21:14,21:19</v>
      </c>
      <c r="L348" s="124" t="str">
        <f>IF(A348=0,"",IF(VLOOKUP(A348,'[2]plan gier'!A$1:S$65536,19,FALSE)="","",VLOOKUP(A348,'[2]plan gier'!A$1:S$65536,19,FALSE)))</f>
        <v>sob 17:00</v>
      </c>
      <c r="M348" s="2" t="str">
        <f>N336</f>
        <v>mieszana J</v>
      </c>
      <c r="N348" s="129"/>
      <c r="O348" s="121"/>
      <c r="P348" s="121"/>
      <c r="Q348" s="114"/>
      <c r="R348" s="114"/>
      <c r="S348" s="114"/>
      <c r="T348" s="238" t="str">
        <f>UPPER(IF(O347="","",IF(ISTEXT(N348),N348,IF(AND(N335&gt;0,O347&gt;0),VLOOKUP(N335&amp;O347&amp;N336,I:K,3,FALSE),""))))</f>
        <v>K3151</v>
      </c>
      <c r="U348" s="239"/>
      <c r="V348" s="130" t="str">
        <f>IF(T348&lt;&gt;"",CONCATENATE(VLOOKUP(T348,[2]zawodnicy!$A$1:$E$65536,2,FALSE)," ",VLOOKUP(T348,[2]zawodnicy!$A$1:$E$65536,3,FALSE)," - ",VLOOKUP(T348,[2]zawodnicy!$A$1:$E$65536,4,FALSE)),"")</f>
        <v>Maria KOPYT - UKSB Milenium Warszawa</v>
      </c>
      <c r="W348" s="131"/>
      <c r="X348" s="114"/>
      <c r="Y348" s="10"/>
      <c r="Z348" s="115">
        <v>219</v>
      </c>
      <c r="AA348" s="231" t="str">
        <f>IF(ISBLANK(Z348),IF(AND(LEN(X346)&gt;0,LEN(X350)=0),X346,IF(AND(LEN(X350)&gt;0,LEN(X346)=0),X350,"")),IF((VLOOKUP(Z348,'[2]plan gier'!$X$1:$AF$65536,8,FALSE))="","",VLOOKUP(VLOOKUP(Z348,'[2]plan gier'!$X$1:$AF$65536,8,FALSE),[2]zawodnicy!$A$1:$E$65536,3,FALSE)))</f>
        <v>KUTACHA</v>
      </c>
      <c r="AB348" s="232"/>
      <c r="AC348" s="233"/>
      <c r="AD348" s="10"/>
      <c r="AE348" s="10"/>
      <c r="AF348" s="10"/>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row>
    <row r="349" spans="1:63" ht="13.5" thickTop="1" x14ac:dyDescent="0.2">
      <c r="J349" s="2"/>
      <c r="K349" s="2"/>
      <c r="L349" s="2"/>
      <c r="M349" s="95"/>
      <c r="N349" s="132"/>
      <c r="O349" s="120" t="str">
        <f>IF(P349="","",MAX(O337:O348)+1)</f>
        <v/>
      </c>
      <c r="P349" s="121" t="str">
        <f>IF(O335&gt;6,28,"")</f>
        <v/>
      </c>
      <c r="Q349" s="113" t="str">
        <f>O349</f>
        <v/>
      </c>
      <c r="R349" s="113"/>
      <c r="S349" s="113"/>
      <c r="T349" s="226" t="str">
        <f>UPPER(IF(O349="","",IF(ISTEXT(N349),N349,IF(AND(N335&gt;0,O349&gt;0),VLOOKUP(N335&amp;O349&amp;N336,I:K,2,FALSE),""))))</f>
        <v/>
      </c>
      <c r="U349" s="227"/>
      <c r="V349" s="133" t="str">
        <f>IF(T349&lt;&gt;"",CONCATENATE(VLOOKUP(T349,[2]zawodnicy!$A$1:$E$65536,2,FALSE)," ",VLOOKUP(T349,[2]zawodnicy!$A$1:$E$65536,3,FALSE)," - ",VLOOKUP(T349,[2]zawodnicy!$A$1:$E$65536,4,FALSE)),"")</f>
        <v/>
      </c>
      <c r="W349" s="134"/>
      <c r="X349" s="228" t="str">
        <f>IF(ISBLANK(W350),IF(AND(LEN(T349)&gt;0,LEN(T351)=0),VLOOKUP(T349,[2]zawodnicy!$A$1:$E$65536,3,FALSE),IF(AND(LEN(T351)&gt;0,LEN(T349)=0),VLOOKUP(T351,[2]zawodnicy!$A$1:$E$65536,3,FALSE),"")),IF((VLOOKUP(W350,'[2]plan gier'!$X$1:$AF$65536,7,FALSE))="","",VLOOKUP(VLOOKUP(W350,'[2]plan gier'!$X$1:$AF$65536,7,FALSE),[2]zawodnicy!$A$1:$E$65536,3,FALSE)))</f>
        <v>SMAJDA</v>
      </c>
      <c r="Y349" s="229"/>
      <c r="Z349" s="230"/>
      <c r="AA349" s="229" t="str">
        <f>IF(ISBLANK(Z348),"",IF((VLOOKUP(Z348,'[2]plan gier'!$X$1:$AF$65536,7,FALSE))="",L348,VLOOKUP(Z348,'[2]plan gier'!$X$1:$AF$65536,9,FALSE)))</f>
        <v>21:14,21:19</v>
      </c>
      <c r="AB349" s="229"/>
      <c r="AC349" s="229"/>
      <c r="AD349" s="114"/>
      <c r="AE349" s="114"/>
      <c r="AF349" s="114"/>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row>
    <row r="350" spans="1:63" ht="12.75" x14ac:dyDescent="0.2">
      <c r="A350" s="102">
        <f>W350</f>
        <v>0</v>
      </c>
      <c r="B350" s="2" t="str">
        <f>IF(TYPE(T349)=16,"",T349)</f>
        <v/>
      </c>
      <c r="C350" s="2" t="str">
        <f>IF(TYPE(T350)=16,"",T350)</f>
        <v/>
      </c>
      <c r="D350" s="2" t="str">
        <f>IF(TYPE(T351)=16,"",T351)</f>
        <v>S3502</v>
      </c>
      <c r="E350" s="2" t="str">
        <f>IF(TYPE(T352)=16,"",T352)</f>
        <v>K3863</v>
      </c>
      <c r="F350" s="2" t="str">
        <f>IF(A350=0,IF(AND(LEN(B350)&gt;1,LEN(D350)=0),VLOOKUP(B350,[2]zawodnicy!$A$1:$E$65536,1,FALSE),IF(AND(LEN(D350)&gt;1,LEN(B350)=0),VLOOKUP(D350,[2]zawodnicy!$A$1:$E$65536,1,FALSE),"")),IF((VLOOKUP(A350,'[2]plan gier'!$X$1:$AF$65536,7,FALSE))="","",VLOOKUP(VLOOKUP(A350,'[2]plan gier'!$X$1:$AF$65536,7,FALSE),[2]zawodnicy!$A$1:$E$65536,1,FALSE)))</f>
        <v>S3502</v>
      </c>
      <c r="G350" s="2" t="str">
        <f>IF(A350=0,IF(AND(LEN(C350)&gt;1,LEN(E350)=0),VLOOKUP(C350,[2]zawodnicy!$A$1:$E$65536,1,FALSE),IF(AND(LEN(E350)&gt;1,LEN(C350)=0),VLOOKUP(E350,[2]zawodnicy!$A$1:$E$65536,1,FALSE),"")),IF((VLOOKUP(A350,'[2]plan gier'!$X$1:$AF$65536,8,FALSE))="","",VLOOKUP(VLOOKUP(A350,'[2]plan gier'!$X$1:$AF$65536,8,FALSE),[2]zawodnicy!$A$1:$E$65536,1,FALSE)))</f>
        <v>K3863</v>
      </c>
      <c r="H350" s="2" t="str">
        <f>IF(A350=0,"",IF((VLOOKUP(A350,'[2]plan gier'!$X$1:$AF$65536,7,FALSE))="","",VLOOKUP(A350,'[2]plan gier'!$X$1:$AF$65536,9,FALSE)))</f>
        <v/>
      </c>
      <c r="L350" s="124" t="str">
        <f>IF(A350=0,"",IF(VLOOKUP(A350,'[2]plan gier'!A$1:S$65536,19,FALSE)="","",VLOOKUP(A350,'[2]plan gier'!A$1:S$65536,19,FALSE)))</f>
        <v/>
      </c>
      <c r="M350" s="2" t="str">
        <f>N336</f>
        <v>mieszana J</v>
      </c>
      <c r="N350" s="125"/>
      <c r="O350" s="121"/>
      <c r="P350" s="121"/>
      <c r="Q350" s="114"/>
      <c r="R350" s="114"/>
      <c r="S350" s="114"/>
      <c r="T350" s="224" t="str">
        <f>UPPER(IF(O349="","",IF(ISTEXT(N350),N350,IF(AND(N335&gt;0,O349&gt;0),VLOOKUP(N335&amp;O349&amp;N336,I:K,3,FALSE),""))))</f>
        <v/>
      </c>
      <c r="U350" s="225"/>
      <c r="V350" s="126" t="str">
        <f>IF(T350&lt;&gt;"",CONCATENATE(VLOOKUP(T350,[2]zawodnicy!$A$1:$E$65536,2,FALSE)," ",VLOOKUP(T350,[2]zawodnicy!$A$1:$E$65536,3,FALSE)," - ",VLOOKUP(T350,[2]zawodnicy!$A$1:$E$65536,4,FALSE)),"")</f>
        <v/>
      </c>
      <c r="W350" s="127"/>
      <c r="X350" s="231" t="str">
        <f>IF(ISBLANK(W350),IF(AND(LEN(T350)&gt;0,LEN(T352)=0),VLOOKUP(T350,[2]zawodnicy!$A$1:$E$65536,3,FALSE),IF(AND(LEN(T352)&gt;0,LEN(T350)=0),VLOOKUP(T352,[2]zawodnicy!$A$1:$E$65536,3,FALSE),"")),IF((VLOOKUP(W350,'[2]plan gier'!$X$1:$AF$65536,8,FALSE))="","",VLOOKUP(VLOOKUP(W350,'[2]plan gier'!$X$1:$AF$65536,8,FALSE),[2]zawodnicy!$A$1:$E$65536,3,FALSE)))</f>
        <v>KUTACHA</v>
      </c>
      <c r="Y350" s="232"/>
      <c r="Z350" s="233"/>
      <c r="AA350" s="2"/>
      <c r="AB350" s="2"/>
      <c r="AC350" s="2"/>
      <c r="AD350" s="10"/>
      <c r="AE350" s="10"/>
      <c r="AF350" s="10"/>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row>
    <row r="351" spans="1:63" ht="12.75" x14ac:dyDescent="0.2">
      <c r="J351" s="2"/>
      <c r="K351" s="2"/>
      <c r="L351" s="2"/>
      <c r="M351" s="95"/>
      <c r="N351" s="125"/>
      <c r="O351" s="120">
        <f>IF(P351="","",MAX(O337:O350)+1)</f>
        <v>6</v>
      </c>
      <c r="P351" s="121">
        <f>IF(O335&gt;4,32,"")</f>
        <v>32</v>
      </c>
      <c r="Q351" s="113">
        <f>O351</f>
        <v>6</v>
      </c>
      <c r="R351" s="113"/>
      <c r="S351" s="113"/>
      <c r="T351" s="234" t="str">
        <f>UPPER(IF(O351="","",IF(ISTEXT(N351),N351,IF(AND(N335&gt;0,O351&gt;0),VLOOKUP(N335&amp;O351&amp;N336,I:K,2,FALSE),""))))</f>
        <v>S3502</v>
      </c>
      <c r="U351" s="235"/>
      <c r="V351" s="122" t="str">
        <f>IF(T351&lt;&gt;"",CONCATENATE(VLOOKUP(T351,[2]zawodnicy!$A$1:$E$65536,2,FALSE)," ",VLOOKUP(T351,[2]zawodnicy!$A$1:$E$65536,3,FALSE)," - ",VLOOKUP(T351,[2]zawodnicy!$A$1:$E$65536,4,FALSE)),"")</f>
        <v>Jakub SMAJDA - UKS Ząbkowice Dąbrowa Górn.</v>
      </c>
      <c r="W351" s="128"/>
      <c r="X351" s="236" t="str">
        <f>IF(ISBLANK(W350),"",IF((VLOOKUP(W350,'[2]plan gier'!$X$1:$AF$65536,7,FALSE))="",L350,VLOOKUP(W350,'[2]plan gier'!$X$1:$AF$65536,9,FALSE)))</f>
        <v/>
      </c>
      <c r="Y351" s="237"/>
      <c r="Z351" s="237"/>
      <c r="AA351" s="2"/>
      <c r="AB351" s="2"/>
      <c r="AC351" s="114"/>
      <c r="AD351" s="114"/>
      <c r="AE351" s="114"/>
      <c r="AF351" s="114"/>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row>
    <row r="352" spans="1:63" ht="12.75" x14ac:dyDescent="0.2">
      <c r="A352" s="135"/>
      <c r="B352" s="16"/>
      <c r="C352" s="16"/>
      <c r="D352" s="16"/>
      <c r="E352" s="16"/>
      <c r="F352" s="16"/>
      <c r="G352" s="16"/>
      <c r="H352" s="16"/>
      <c r="I352" s="16"/>
      <c r="M352" s="16"/>
      <c r="N352" s="125"/>
      <c r="O352" s="121"/>
      <c r="P352" s="121"/>
      <c r="Q352" s="114"/>
      <c r="R352" s="114"/>
      <c r="S352" s="114"/>
      <c r="T352" s="224" t="str">
        <f>UPPER(IF(O351="","",IF(ISTEXT(N352),N352,IF(AND(N335&gt;0,O351&gt;0),VLOOKUP(N335&amp;O351&amp;N336,I:K,3,FALSE),""))))</f>
        <v>K3863</v>
      </c>
      <c r="U352" s="225"/>
      <c r="V352" s="126" t="str">
        <f>IF(T352&lt;&gt;"",CONCATENATE(VLOOKUP(T352,[2]zawodnicy!$A$1:$E$65536,2,FALSE)," ",VLOOKUP(T352,[2]zawodnicy!$A$1:$E$65536,3,FALSE)," - ",VLOOKUP(T352,[2]zawodnicy!$A$1:$E$65536,4,FALSE)),"")</f>
        <v>Katarzyna KUTACHA - UKS Start Widełka</v>
      </c>
      <c r="W352" s="136"/>
      <c r="X352" s="10"/>
      <c r="Y352" s="10"/>
      <c r="Z352" s="10"/>
      <c r="AA352" s="2"/>
      <c r="AB352" s="2"/>
      <c r="AC352" s="137"/>
      <c r="AD352" s="114"/>
      <c r="AE352" s="114"/>
      <c r="AF352" s="114"/>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row>
    <row r="354" spans="1:64" ht="11.45" customHeight="1" x14ac:dyDescent="0.2">
      <c r="M354" s="16"/>
      <c r="N354" s="17" t="s">
        <v>77</v>
      </c>
      <c r="R354" s="18"/>
      <c r="S354" s="18"/>
      <c r="T354" s="277" t="str">
        <f>"Gra "&amp;N354</f>
        <v>Gra pojedyncza dziewcząt JM</v>
      </c>
      <c r="U354" s="277"/>
      <c r="V354" s="277"/>
      <c r="W354" s="277"/>
      <c r="X354" s="277"/>
      <c r="Y354" s="277"/>
      <c r="Z354" s="277"/>
      <c r="AA354" s="277"/>
      <c r="AB354" s="277"/>
      <c r="AC354" s="277"/>
      <c r="AD354" s="277"/>
      <c r="AE354" s="18"/>
    </row>
    <row r="355" spans="1:64" ht="11.45" customHeight="1" thickBot="1" x14ac:dyDescent="0.25"/>
    <row r="356" spans="1:64" ht="11.45" customHeight="1" thickBot="1" x14ac:dyDescent="0.25">
      <c r="N356" s="11"/>
      <c r="O356" s="21">
        <v>1</v>
      </c>
      <c r="Q356" s="277" t="str">
        <f>"Grupa "&amp;O356&amp;"."</f>
        <v>Grupa 1.</v>
      </c>
      <c r="R356" s="277"/>
      <c r="S356" s="277"/>
      <c r="T356" s="22" t="s">
        <v>1</v>
      </c>
      <c r="U356" s="278" t="s">
        <v>2</v>
      </c>
      <c r="V356" s="279"/>
      <c r="W356" s="280"/>
      <c r="X356" s="22">
        <v>1</v>
      </c>
      <c r="Y356" s="23">
        <v>2</v>
      </c>
      <c r="Z356" s="24">
        <v>3</v>
      </c>
      <c r="AA356" s="25" t="s">
        <v>3</v>
      </c>
      <c r="AB356" s="26" t="s">
        <v>4</v>
      </c>
      <c r="AC356" s="26" t="s">
        <v>5</v>
      </c>
      <c r="AD356" s="27" t="s">
        <v>6</v>
      </c>
      <c r="AE356" s="2"/>
      <c r="AF356" s="12"/>
      <c r="AG356" s="12"/>
      <c r="BK356" s="19"/>
      <c r="BL356" s="20"/>
    </row>
    <row r="357" spans="1:64" ht="11.45" customHeight="1" x14ac:dyDescent="0.2">
      <c r="J357" s="28"/>
      <c r="K357" s="28"/>
      <c r="L357" s="28"/>
      <c r="N357" s="29" t="s">
        <v>77</v>
      </c>
      <c r="Q357" s="274" t="s">
        <v>7</v>
      </c>
      <c r="R357" s="274"/>
      <c r="S357" s="275" t="s">
        <v>8</v>
      </c>
      <c r="T357" s="276">
        <v>1</v>
      </c>
      <c r="U357" s="244" t="str">
        <f>IF(AND(N358&lt;&gt;"",N359&lt;&gt;""),CONCATENATE(VLOOKUP(N358,[2]zawodnicy!$A$1:$E$65536,1,FALSE)," ",VLOOKUP(N358,[2]zawodnicy!$A$1:$E$65536,2,FALSE)," ",VLOOKUP(N358,[2]zawodnicy!$A$1:$E$65536,3,FALSE)," - ",VLOOKUP(N358,[2]zawodnicy!$A$1:$E$65536,4,FALSE)),"")</f>
        <v/>
      </c>
      <c r="V357" s="245"/>
      <c r="W357" s="246"/>
      <c r="X357" s="30"/>
      <c r="Y357" s="31" t="str">
        <f>IF(SUM(AO362:AP362)=0,"",AO362&amp;":"&amp;AP362)</f>
        <v>21:6</v>
      </c>
      <c r="Z357" s="32" t="str">
        <f>IF(SUM(AO360:AP360)=0,"",AO360&amp;":"&amp;AP360)</f>
        <v>21:0</v>
      </c>
      <c r="AA357" s="270" t="str">
        <f>IF(SUM(AY360:BB360)=0,"",BE360&amp;":"&amp;BF360)</f>
        <v>84:12</v>
      </c>
      <c r="AB357" s="271" t="str">
        <f>IF(SUM(AY360:BB360)=0,"",BG360&amp;":"&amp;BH360)</f>
        <v>4:0</v>
      </c>
      <c r="AC357" s="271" t="str">
        <f>IF(SUM(AY360:BB360)=0,"",BI360&amp;":"&amp;BJ360)</f>
        <v>2:0</v>
      </c>
      <c r="AD357" s="272">
        <f>IF(SUM(BI360:BI362)&gt;0,BK360,"")</f>
        <v>1</v>
      </c>
      <c r="AE357" s="2"/>
      <c r="AF357" s="12"/>
      <c r="AG357" s="12"/>
      <c r="AH357" s="14"/>
      <c r="AI357" s="273" t="s">
        <v>9</v>
      </c>
      <c r="AJ357" s="273"/>
      <c r="AK357" s="273"/>
      <c r="AL357" s="273"/>
      <c r="AM357" s="273"/>
      <c r="AN357" s="273"/>
      <c r="AO357" s="273" t="s">
        <v>10</v>
      </c>
      <c r="AP357" s="273"/>
      <c r="AQ357" s="273"/>
      <c r="AR357" s="273"/>
      <c r="AS357" s="273"/>
      <c r="AT357" s="273"/>
      <c r="BK357" s="19"/>
      <c r="BL357" s="20"/>
    </row>
    <row r="358" spans="1:64" ht="11.45" customHeight="1" thickBot="1" x14ac:dyDescent="0.25">
      <c r="I358" s="2" t="str">
        <f>"1"&amp;O356&amp;N357</f>
        <v>11pojedyncza dziewcząt JM</v>
      </c>
      <c r="J358" s="10" t="str">
        <f>IF(AD357="","",IF(AD357=1,N358,IF(AD360=1,N361,IF(AD363=1,N364,""))))</f>
        <v>W4435</v>
      </c>
      <c r="K358" s="10">
        <f>IF(AD357="","",IF(AD357=1,N359,IF(AD360=1,N362,IF(AD363=1,N365,""))))</f>
        <v>0</v>
      </c>
      <c r="L358" s="10"/>
      <c r="N358" s="33" t="s">
        <v>78</v>
      </c>
      <c r="O358" s="34">
        <f>IF(O356&gt;0,(O356&amp;1)*1,"")</f>
        <v>11</v>
      </c>
      <c r="Q358" s="274"/>
      <c r="R358" s="274"/>
      <c r="S358" s="275"/>
      <c r="T358" s="242"/>
      <c r="U358" s="244" t="str">
        <f>IF(AND(N358&lt;&gt;"",N359=""),CONCATENATE(VLOOKUP(N358,[2]zawodnicy!$A$1:$E$65536,1,FALSE)," ",VLOOKUP(N358,[2]zawodnicy!$A$1:$E$65536,2,FALSE)," ",VLOOKUP(N358,[2]zawodnicy!$A$1:$E$65536,3,FALSE)," - ",VLOOKUP(N358,[2]zawodnicy!$A$1:$E$65536,4,FALSE)),"")</f>
        <v>W4435 Karolina WŁADZIŃSKA - ----</v>
      </c>
      <c r="V358" s="245"/>
      <c r="W358" s="246"/>
      <c r="X358" s="35"/>
      <c r="Y358" s="36" t="str">
        <f>IF(SUM(AQ362:AR362)=0,"",AQ362&amp;":"&amp;AR362)</f>
        <v>21:6</v>
      </c>
      <c r="Z358" s="37" t="str">
        <f>IF(SUM(AQ360:AR360)=0,"",AQ360&amp;":"&amp;AR360)</f>
        <v>21:0</v>
      </c>
      <c r="AA358" s="248"/>
      <c r="AB358" s="251"/>
      <c r="AC358" s="251"/>
      <c r="AD358" s="254"/>
      <c r="AE358" s="2"/>
      <c r="AF358" s="12"/>
      <c r="AG358" s="12"/>
      <c r="AH358" s="14"/>
      <c r="BE358" s="19">
        <f>SUM(BE360:BE362)</f>
        <v>138</v>
      </c>
      <c r="BF358" s="19">
        <f>SUM(BF360:BF362)</f>
        <v>138</v>
      </c>
      <c r="BG358" s="19">
        <f>SUM(BG360:BG362)</f>
        <v>6</v>
      </c>
      <c r="BH358" s="19">
        <f>SUM(BH360:BH362)</f>
        <v>6</v>
      </c>
      <c r="BK358" s="19"/>
      <c r="BL358" s="20"/>
    </row>
    <row r="359" spans="1:64" ht="11.45" customHeight="1" thickBot="1" x14ac:dyDescent="0.25">
      <c r="J359" s="10"/>
      <c r="K359" s="28"/>
      <c r="L359" s="28"/>
      <c r="N359" s="38"/>
      <c r="O359" s="28"/>
      <c r="P359" s="28"/>
      <c r="Q359" s="274"/>
      <c r="R359" s="274"/>
      <c r="S359" s="275"/>
      <c r="T359" s="261"/>
      <c r="U359" s="265" t="str">
        <f>IF(N359&lt;&gt;"",CONCATENATE(VLOOKUP(N359,[2]zawodnicy!$A$1:$E$65536,1,FALSE)," ",VLOOKUP(N359,[2]zawodnicy!$A$1:$E$65536,2,FALSE)," ",VLOOKUP(N359,[2]zawodnicy!$A$1:$E$65536,3,FALSE)," - ",VLOOKUP(N359,[2]zawodnicy!$A$1:$E$65536,4,FALSE)),"")</f>
        <v/>
      </c>
      <c r="V359" s="266"/>
      <c r="W359" s="267"/>
      <c r="X359" s="35"/>
      <c r="Y359" s="39" t="str">
        <f>IF(SUM(AS362:AT362)=0,"",AS362&amp;":"&amp;AT362)</f>
        <v/>
      </c>
      <c r="Z359" s="40" t="str">
        <f>IF(SUM(AS360:AT360)=0,"",AS360&amp;":"&amp;AT360)</f>
        <v/>
      </c>
      <c r="AA359" s="262"/>
      <c r="AB359" s="263"/>
      <c r="AC359" s="263"/>
      <c r="AD359" s="264"/>
      <c r="AE359" s="2"/>
      <c r="AF359" s="12"/>
      <c r="AG359" s="12"/>
      <c r="AH359" s="14"/>
      <c r="AI359" s="259" t="s">
        <v>12</v>
      </c>
      <c r="AJ359" s="269"/>
      <c r="AK359" s="268" t="s">
        <v>13</v>
      </c>
      <c r="AL359" s="269"/>
      <c r="AM359" s="268" t="s">
        <v>14</v>
      </c>
      <c r="AN359" s="260"/>
      <c r="AO359" s="259" t="s">
        <v>12</v>
      </c>
      <c r="AP359" s="269"/>
      <c r="AQ359" s="268" t="s">
        <v>13</v>
      </c>
      <c r="AR359" s="269"/>
      <c r="AS359" s="268" t="s">
        <v>14</v>
      </c>
      <c r="AT359" s="269"/>
      <c r="AU359" s="12"/>
      <c r="AV359" s="12"/>
      <c r="AW359" s="259">
        <v>1</v>
      </c>
      <c r="AX359" s="269"/>
      <c r="AY359" s="268">
        <v>2</v>
      </c>
      <c r="AZ359" s="269"/>
      <c r="BA359" s="268">
        <v>3</v>
      </c>
      <c r="BB359" s="260"/>
      <c r="BE359" s="259" t="s">
        <v>3</v>
      </c>
      <c r="BF359" s="260"/>
      <c r="BG359" s="259" t="s">
        <v>4</v>
      </c>
      <c r="BH359" s="260"/>
      <c r="BI359" s="259" t="s">
        <v>5</v>
      </c>
      <c r="BJ359" s="260"/>
      <c r="BK359" s="41" t="s">
        <v>6</v>
      </c>
      <c r="BL359" s="20"/>
    </row>
    <row r="360" spans="1:64" ht="11.45" customHeight="1" x14ac:dyDescent="0.2">
      <c r="A360" s="19">
        <f>S360</f>
        <v>18</v>
      </c>
      <c r="B360" s="2" t="str">
        <f>IF(N358="","",N358)</f>
        <v>W4435</v>
      </c>
      <c r="C360" s="2" t="str">
        <f>IF(N359="","",N359)</f>
        <v/>
      </c>
      <c r="D360" s="2" t="str">
        <f>IF(N364="","",N364)</f>
        <v>X42</v>
      </c>
      <c r="E360" s="2" t="str">
        <f>IF(N365="","",N365)</f>
        <v/>
      </c>
      <c r="I360" s="2" t="str">
        <f>"2"&amp;O356&amp;N357</f>
        <v>21pojedyncza dziewcząt JM</v>
      </c>
      <c r="J360" s="10" t="str">
        <f>IF(AD360="","",IF(AD357=2,N358,IF(AD360=2,N361,IF(AD363=2,N364,""))))</f>
        <v>K3474</v>
      </c>
      <c r="K360" s="10">
        <f>IF(AD360="","",IF(AD357=2,N359,IF(AD360=2,N362,IF(AD363=2,N365,""))))</f>
        <v>0</v>
      </c>
      <c r="M360" s="42" t="str">
        <f>N357</f>
        <v>pojedyncza dziewcząt JM</v>
      </c>
      <c r="O360" s="28"/>
      <c r="P360" s="28"/>
      <c r="Q360" s="43" t="str">
        <f>IF(AU360&gt;0,"",IF(A360=0,"",IF(VLOOKUP(A360,'[2]plan gier'!A$1:S$65536,19,FALSE)="","",VLOOKUP(A360,'[2]plan gier'!A$1:S$65536,19,FALSE))))</f>
        <v/>
      </c>
      <c r="R360" s="44" t="s">
        <v>15</v>
      </c>
      <c r="S360" s="45">
        <v>18</v>
      </c>
      <c r="T360" s="241">
        <v>2</v>
      </c>
      <c r="U360" s="244" t="str">
        <f>IF(AND(N361&lt;&gt;"",N362&lt;&gt;""),CONCATENATE(VLOOKUP(N361,[2]zawodnicy!$A$1:$E$65536,1,FALSE)," ",VLOOKUP(N361,[2]zawodnicy!$A$1:$E$65536,2,FALSE)," ",VLOOKUP(N361,[2]zawodnicy!$A$1:$E$65536,3,FALSE)," - ",VLOOKUP(N361,[2]zawodnicy!$A$1:$E$65536,4,FALSE)),"")</f>
        <v/>
      </c>
      <c r="V360" s="245"/>
      <c r="W360" s="246"/>
      <c r="X360" s="46" t="str">
        <f>IF(SUM(AO362:AP362)=0,"",AP362&amp;":"&amp;AO362)</f>
        <v>6:21</v>
      </c>
      <c r="Y360" s="47"/>
      <c r="Z360" s="48" t="str">
        <f>IF(SUM(AO361:AP361)=0,"",AO361&amp;":"&amp;AP361)</f>
        <v>21:0</v>
      </c>
      <c r="AA360" s="247" t="str">
        <f>IF(SUM(AW361:AX361,BA361:BB361)=0,"",BE361&amp;":"&amp;BF361)</f>
        <v>54:42</v>
      </c>
      <c r="AB360" s="250" t="str">
        <f>IF(SUM(AW361:AX361,BA361:BB361)=0,"",BG361&amp;":"&amp;BH361)</f>
        <v>2:2</v>
      </c>
      <c r="AC360" s="250" t="str">
        <f>IF(SUM(AW361:AX361,BA361:BB361)=0,"",BI361&amp;":"&amp;BJ361)</f>
        <v>1:1</v>
      </c>
      <c r="AD360" s="253">
        <f>IF(SUM(BI360:BI362)&gt;0,BK361,"")</f>
        <v>2</v>
      </c>
      <c r="AE360" s="2"/>
      <c r="AF360" s="12"/>
      <c r="AG360" s="12"/>
      <c r="AH360" s="44" t="s">
        <v>15</v>
      </c>
      <c r="AI360" s="49">
        <f>IF(ISBLANK(S360),"",VLOOKUP(S360,'[2]plan gier'!$X$1:$AN$65536,12,FALSE))</f>
        <v>21</v>
      </c>
      <c r="AJ360" s="50">
        <f>IF(ISBLANK(S360),"",VLOOKUP(S360,'[2]plan gier'!$X$1:$AN$65536,13,FALSE))</f>
        <v>0</v>
      </c>
      <c r="AK360" s="50">
        <f>IF(ISBLANK(S360),"",VLOOKUP(S360,'[2]plan gier'!$X$1:$AN$65536,14,FALSE))</f>
        <v>21</v>
      </c>
      <c r="AL360" s="50">
        <f>IF(ISBLANK(S360),"",VLOOKUP(S360,'[2]plan gier'!$X$1:$AN$65536,15,FALSE))</f>
        <v>0</v>
      </c>
      <c r="AM360" s="50">
        <f>IF(ISBLANK(S360),"",VLOOKUP(S360,'[2]plan gier'!$X$1:$AN$65536,16,FALSE))</f>
        <v>0</v>
      </c>
      <c r="AN360" s="50">
        <f>IF(ISBLANK(S360),"",VLOOKUP(S360,'[2]plan gier'!$X$1:$AN$65536,17,FALSE))</f>
        <v>0</v>
      </c>
      <c r="AO360" s="51">
        <f t="shared" ref="AO360:AT362" si="35">IF(AI360="",0,AI360)</f>
        <v>21</v>
      </c>
      <c r="AP360" s="52">
        <f t="shared" si="35"/>
        <v>0</v>
      </c>
      <c r="AQ360" s="53">
        <f t="shared" si="35"/>
        <v>21</v>
      </c>
      <c r="AR360" s="52">
        <f t="shared" si="35"/>
        <v>0</v>
      </c>
      <c r="AS360" s="53">
        <f t="shared" si="35"/>
        <v>0</v>
      </c>
      <c r="AT360" s="52">
        <f t="shared" si="35"/>
        <v>0</v>
      </c>
      <c r="AU360" s="54">
        <f>SUM(AO360:AT360)</f>
        <v>42</v>
      </c>
      <c r="AV360" s="13">
        <v>1</v>
      </c>
      <c r="AW360" s="55"/>
      <c r="AX360" s="56"/>
      <c r="AY360" s="50">
        <f>IF(AI362&gt;AJ362,1,0)+IF(AK362&gt;AL362,1,0)+IF(AM362&gt;AN362,1,0)</f>
        <v>2</v>
      </c>
      <c r="AZ360" s="50">
        <f>AW361</f>
        <v>0</v>
      </c>
      <c r="BA360" s="50">
        <f>IF(AI360&gt;AJ360,1,0)+IF(AK360&gt;AL360,1,0)+IF(AM360&gt;AN360,1,0)</f>
        <v>2</v>
      </c>
      <c r="BB360" s="57">
        <f>AW362</f>
        <v>0</v>
      </c>
      <c r="BE360" s="49">
        <f>AO360+AQ360+AS360+AO362+AQ362+AS362</f>
        <v>84</v>
      </c>
      <c r="BF360" s="57">
        <f>AP360+AR360+AT360+AP362+AR362+AT362</f>
        <v>12</v>
      </c>
      <c r="BG360" s="49">
        <f>AY360+BA360</f>
        <v>4</v>
      </c>
      <c r="BH360" s="57">
        <f>AZ360+BB360</f>
        <v>0</v>
      </c>
      <c r="BI360" s="49">
        <f>IF(AY360&gt;AZ360,1,0)+IF(BA360&gt;BB360,1,0)</f>
        <v>2</v>
      </c>
      <c r="BJ360" s="58">
        <f>IF(AZ360&gt;AY360,1,0)+IF(BB360&gt;BA360,1,0)</f>
        <v>0</v>
      </c>
      <c r="BK360" s="59">
        <f>IF(BI360+BJ360=0,"",IF(BL360=MAX(BL360:BL362),1,IF(BL360=MIN(BL360:BL362),3,2)))</f>
        <v>1</v>
      </c>
      <c r="BL360" s="60">
        <f>IF(BI360+BJ360&lt;&gt;0,BI360+1+(BG360-BH360)/100+(BE360-BF360)/100000+(BE360/BF360)/1000000,0)</f>
        <v>3.040727</v>
      </c>
    </row>
    <row r="361" spans="1:64" ht="11.45" customHeight="1" x14ac:dyDescent="0.2">
      <c r="A361" s="19">
        <f>S361</f>
        <v>83</v>
      </c>
      <c r="B361" s="2" t="str">
        <f>IF(N361="","",N361)</f>
        <v>K3474</v>
      </c>
      <c r="C361" s="2" t="str">
        <f>IF(N362="","",N362)</f>
        <v/>
      </c>
      <c r="D361" s="2" t="str">
        <f>IF(N364="","",N364)</f>
        <v>X42</v>
      </c>
      <c r="E361" s="2" t="str">
        <f>IF(N365="","",N365)</f>
        <v/>
      </c>
      <c r="J361" s="10"/>
      <c r="K361" s="19"/>
      <c r="M361" s="42" t="str">
        <f>N357</f>
        <v>pojedyncza dziewcząt JM</v>
      </c>
      <c r="N361" s="33" t="s">
        <v>79</v>
      </c>
      <c r="O361" s="34">
        <f>IF(O356&gt;0,(O356&amp;2)*1,"")</f>
        <v>12</v>
      </c>
      <c r="Q361" s="43" t="str">
        <f>IF(AU361&gt;0,"",IF(A361=0,"",IF(VLOOKUP(A361,'[2]plan gier'!A$1:S$65536,19,FALSE)="","",VLOOKUP(A361,'[2]plan gier'!A$1:S$65536,19,FALSE))))</f>
        <v/>
      </c>
      <c r="R361" s="44" t="s">
        <v>17</v>
      </c>
      <c r="S361" s="45">
        <v>83</v>
      </c>
      <c r="T361" s="242"/>
      <c r="U361" s="244" t="str">
        <f>IF(AND(N361&lt;&gt;"",N362=""),CONCATENATE(VLOOKUP(N361,[2]zawodnicy!$A$1:$E$65536,1,FALSE)," ",VLOOKUP(N361,[2]zawodnicy!$A$1:$E$65536,2,FALSE)," ",VLOOKUP(N361,[2]zawodnicy!$A$1:$E$65536,3,FALSE)," - ",VLOOKUP(N361,[2]zawodnicy!$A$1:$E$65536,4,FALSE)),"")</f>
        <v>K3474 Joanna KRYSIAK - SKB Suwałki</v>
      </c>
      <c r="V361" s="245"/>
      <c r="W361" s="246"/>
      <c r="X361" s="61" t="str">
        <f>IF(SUM(AQ362:AR362)=0,"",AR362&amp;":"&amp;AQ362)</f>
        <v>6:21</v>
      </c>
      <c r="Y361" s="62"/>
      <c r="Z361" s="37" t="str">
        <f>IF(SUM(AQ361:AR361)=0,"",AQ361&amp;":"&amp;AR361)</f>
        <v>21:0</v>
      </c>
      <c r="AA361" s="248"/>
      <c r="AB361" s="251"/>
      <c r="AC361" s="251"/>
      <c r="AD361" s="254"/>
      <c r="AE361" s="2"/>
      <c r="AF361" s="12"/>
      <c r="AG361" s="12"/>
      <c r="AH361" s="44" t="s">
        <v>17</v>
      </c>
      <c r="AI361" s="63">
        <f>IF(ISBLANK(S361),"",VLOOKUP(S361,'[2]plan gier'!$X$1:$AN$65536,12,FALSE))</f>
        <v>21</v>
      </c>
      <c r="AJ361" s="64">
        <f>IF(ISBLANK(S361),"",VLOOKUP(S361,'[2]plan gier'!$X$1:$AN$65536,13,FALSE))</f>
        <v>0</v>
      </c>
      <c r="AK361" s="64">
        <f>IF(ISBLANK(S361),"",VLOOKUP(S361,'[2]plan gier'!$X$1:$AN$65536,14,FALSE))</f>
        <v>21</v>
      </c>
      <c r="AL361" s="64">
        <f>IF(ISBLANK(S361),"",VLOOKUP(S361,'[2]plan gier'!$X$1:$AN$65536,15,FALSE))</f>
        <v>0</v>
      </c>
      <c r="AM361" s="64">
        <f>IF(ISBLANK(S361),"",VLOOKUP(S361,'[2]plan gier'!$X$1:$AN$65536,16,FALSE))</f>
        <v>0</v>
      </c>
      <c r="AN361" s="64">
        <f>IF(ISBLANK(S361),"",VLOOKUP(S361,'[2]plan gier'!$X$1:$AN$65536,17,FALSE))</f>
        <v>0</v>
      </c>
      <c r="AO361" s="65">
        <f t="shared" si="35"/>
        <v>21</v>
      </c>
      <c r="AP361" s="64">
        <f t="shared" si="35"/>
        <v>0</v>
      </c>
      <c r="AQ361" s="66">
        <f t="shared" si="35"/>
        <v>21</v>
      </c>
      <c r="AR361" s="64">
        <f t="shared" si="35"/>
        <v>0</v>
      </c>
      <c r="AS361" s="66">
        <f t="shared" si="35"/>
        <v>0</v>
      </c>
      <c r="AT361" s="64">
        <f t="shared" si="35"/>
        <v>0</v>
      </c>
      <c r="AU361" s="54">
        <f>SUM(AO361:AT361)</f>
        <v>42</v>
      </c>
      <c r="AV361" s="13">
        <v>2</v>
      </c>
      <c r="AW361" s="63">
        <f>IF(AI362&lt;AJ362,1,0)+IF(AK362&lt;AL362,1,0)+IF(AM362&lt;AN362,1,0)</f>
        <v>0</v>
      </c>
      <c r="AX361" s="64">
        <f>AY360</f>
        <v>2</v>
      </c>
      <c r="AY361" s="67"/>
      <c r="AZ361" s="68"/>
      <c r="BA361" s="64">
        <f>IF(AI361&gt;AJ361,1,0)+IF(AK361&gt;AL361,1,0)+IF(AM361&gt;AN361,1,0)</f>
        <v>2</v>
      </c>
      <c r="BB361" s="69">
        <f>AY362</f>
        <v>0</v>
      </c>
      <c r="BE361" s="63">
        <f>AO361+AQ361+AS361+AP362+AR362+AT362</f>
        <v>54</v>
      </c>
      <c r="BF361" s="69">
        <f>AP361+AR361+AT361+AO362+AQ362+AS362</f>
        <v>42</v>
      </c>
      <c r="BG361" s="63">
        <f>AW361+BA361</f>
        <v>2</v>
      </c>
      <c r="BH361" s="69">
        <f>AX361+BB361</f>
        <v>2</v>
      </c>
      <c r="BI361" s="63">
        <f>IF(AW361&gt;AX361,1,0)+IF(BA361&gt;BB361,1,0)</f>
        <v>1</v>
      </c>
      <c r="BJ361" s="70">
        <f>IF(AX361&gt;AW361,1,0)+IF(BB361&gt;BA361,1,0)</f>
        <v>1</v>
      </c>
      <c r="BK361" s="71">
        <f>IF(BI361+BJ361=0,"",IF(BL361=MAX(BL360:BL362),1,IF(BL361=MIN(BL360:BL362),3,2)))</f>
        <v>2</v>
      </c>
      <c r="BL361" s="60">
        <f>IF(BI361+BJ361&lt;&gt;0,BI361+1+(BG361-BH361)/100+(BE361-BF361)/100000+(BE361/BF361)/1000000,0)</f>
        <v>2.0001212857142856</v>
      </c>
    </row>
    <row r="362" spans="1:64" ht="11.45" customHeight="1" thickBot="1" x14ac:dyDescent="0.25">
      <c r="A362" s="19">
        <f>S362</f>
        <v>148</v>
      </c>
      <c r="B362" s="2" t="str">
        <f>IF(N358="","",N358)</f>
        <v>W4435</v>
      </c>
      <c r="C362" s="2" t="str">
        <f>IF(N359="","",N359)</f>
        <v/>
      </c>
      <c r="D362" s="2" t="str">
        <f>IF(N361="","",N361)</f>
        <v>K3474</v>
      </c>
      <c r="E362" s="2" t="str">
        <f>IF(N362="","",N362)</f>
        <v/>
      </c>
      <c r="I362" s="2" t="str">
        <f>"3"&amp;O356&amp;N357</f>
        <v>31pojedyncza dziewcząt JM</v>
      </c>
      <c r="J362" s="10" t="str">
        <f>IF(AD363="","",IF(AD357=3,N358,IF(AD360=3,N361,IF(AD363=3,N364,""))))</f>
        <v>X42</v>
      </c>
      <c r="K362" s="10">
        <f>IF(AD363="","",IF(AD357=3,N359,IF(AD360=3,N362,IF(AD363=3,N365,""))))</f>
        <v>0</v>
      </c>
      <c r="M362" s="42" t="str">
        <f>N357</f>
        <v>pojedyncza dziewcząt JM</v>
      </c>
      <c r="N362" s="38"/>
      <c r="O362" s="28"/>
      <c r="P362" s="28"/>
      <c r="Q362" s="43" t="str">
        <f>IF(AU362&gt;0,"",IF(A362=0,"",IF(VLOOKUP(A362,'[2]plan gier'!A$1:S$65536,19,FALSE)="","",VLOOKUP(A362,'[2]plan gier'!A$1:S$65536,19,FALSE))))</f>
        <v/>
      </c>
      <c r="R362" s="72" t="s">
        <v>18</v>
      </c>
      <c r="S362" s="45">
        <v>148</v>
      </c>
      <c r="T362" s="261"/>
      <c r="U362" s="265" t="str">
        <f>IF(N362&lt;&gt;"",CONCATENATE(VLOOKUP(N362,[2]zawodnicy!$A$1:$E$65536,1,FALSE)," ",VLOOKUP(N362,[2]zawodnicy!$A$1:$E$65536,2,FALSE)," ",VLOOKUP(N362,[2]zawodnicy!$A$1:$E$65536,3,FALSE)," - ",VLOOKUP(N362,[2]zawodnicy!$A$1:$E$65536,4,FALSE)),"")</f>
        <v/>
      </c>
      <c r="V362" s="266"/>
      <c r="W362" s="267"/>
      <c r="X362" s="73" t="str">
        <f>IF(SUM(AS362:AT362)=0,"",AT362&amp;":"&amp;AS362)</f>
        <v/>
      </c>
      <c r="Y362" s="62"/>
      <c r="Z362" s="40" t="str">
        <f>IF(SUM(AS361:AT361)=0,"",AS361&amp;":"&amp;AT361)</f>
        <v/>
      </c>
      <c r="AA362" s="262"/>
      <c r="AB362" s="263"/>
      <c r="AC362" s="263"/>
      <c r="AD362" s="264"/>
      <c r="AE362" s="2"/>
      <c r="AF362" s="12"/>
      <c r="AG362" s="12"/>
      <c r="AH362" s="72" t="s">
        <v>18</v>
      </c>
      <c r="AI362" s="74">
        <f>IF(ISBLANK(S362),"",VLOOKUP(S362,'[2]plan gier'!$X$1:$AN$65536,12,FALSE))</f>
        <v>21</v>
      </c>
      <c r="AJ362" s="75">
        <f>IF(ISBLANK(S362),"",VLOOKUP(S362,'[2]plan gier'!$X$1:$AN$65536,13,FALSE))</f>
        <v>6</v>
      </c>
      <c r="AK362" s="75">
        <f>IF(ISBLANK(S362),"",VLOOKUP(S362,'[2]plan gier'!$X$1:$AN$65536,14,FALSE))</f>
        <v>21</v>
      </c>
      <c r="AL362" s="75">
        <f>IF(ISBLANK(S362),"",VLOOKUP(S362,'[2]plan gier'!$X$1:$AN$65536,15,FALSE))</f>
        <v>6</v>
      </c>
      <c r="AM362" s="75">
        <f>IF(ISBLANK(S362),"",VLOOKUP(S362,'[2]plan gier'!$X$1:$AN$65536,16,FALSE))</f>
        <v>0</v>
      </c>
      <c r="AN362" s="75">
        <f>IF(ISBLANK(S362),"",VLOOKUP(S362,'[2]plan gier'!$X$1:$AN$65536,17,FALSE))</f>
        <v>0</v>
      </c>
      <c r="AO362" s="76">
        <f t="shared" si="35"/>
        <v>21</v>
      </c>
      <c r="AP362" s="75">
        <f t="shared" si="35"/>
        <v>6</v>
      </c>
      <c r="AQ362" s="77">
        <f t="shared" si="35"/>
        <v>21</v>
      </c>
      <c r="AR362" s="75">
        <f t="shared" si="35"/>
        <v>6</v>
      </c>
      <c r="AS362" s="77">
        <f t="shared" si="35"/>
        <v>0</v>
      </c>
      <c r="AT362" s="75">
        <f t="shared" si="35"/>
        <v>0</v>
      </c>
      <c r="AU362" s="54">
        <f>SUM(AO362:AT362)</f>
        <v>54</v>
      </c>
      <c r="AV362" s="13">
        <v>3</v>
      </c>
      <c r="AW362" s="74">
        <f>IF(AI360&lt;AJ360,1,0)+IF(AK360&lt;AL360,1,0)+IF(AM360&lt;AN360,1,0)</f>
        <v>0</v>
      </c>
      <c r="AX362" s="75">
        <f>BA360</f>
        <v>2</v>
      </c>
      <c r="AY362" s="75">
        <f>IF(AI361&lt;AJ361,1,0)+IF(AK361&lt;AL361,1,0)+IF(AM361&lt;AN361,1,0)</f>
        <v>0</v>
      </c>
      <c r="AZ362" s="75">
        <f>BA361</f>
        <v>2</v>
      </c>
      <c r="BA362" s="78"/>
      <c r="BB362" s="79"/>
      <c r="BE362" s="74">
        <f>AP360+AR360+AT360+AP361+AR361+AT361</f>
        <v>0</v>
      </c>
      <c r="BF362" s="80">
        <f>AO360+AQ360+AS360+AO361+AQ361+AS361</f>
        <v>84</v>
      </c>
      <c r="BG362" s="74">
        <f>AW362+AY362</f>
        <v>0</v>
      </c>
      <c r="BH362" s="80">
        <f>AX362+AZ362</f>
        <v>4</v>
      </c>
      <c r="BI362" s="74">
        <f>IF(AW362&gt;AX362,1,0)+IF(AY362&gt;AZ362,1,0)</f>
        <v>0</v>
      </c>
      <c r="BJ362" s="81">
        <f>IF(AX362&gt;AW362,1,0)+IF(AZ362&gt;AY362,1,0)</f>
        <v>2</v>
      </c>
      <c r="BK362" s="82">
        <f>IF(BI362+BJ362=0,"",IF(BL362=MAX(BL360:BL362),1,IF(BL362=MIN(BL360:BL362),3,2)))</f>
        <v>3</v>
      </c>
      <c r="BL362" s="60">
        <f>IF(BI362+BJ362&lt;&gt;0,BI362+1+(BG362-BH362)/100+(BE362-BF362)/100000+(BE362/BF362)/1000000,0)</f>
        <v>0.95916000000000001</v>
      </c>
    </row>
    <row r="363" spans="1:64" ht="11.45" customHeight="1" x14ac:dyDescent="0.2">
      <c r="A363" s="2"/>
      <c r="J363" s="28"/>
      <c r="K363" s="28"/>
      <c r="L363" s="28"/>
      <c r="O363" s="28"/>
      <c r="P363" s="28"/>
      <c r="Q363" s="2"/>
      <c r="R363" s="2"/>
      <c r="S363" s="2"/>
      <c r="T363" s="241">
        <v>3</v>
      </c>
      <c r="U363" s="244" t="str">
        <f>IF(AND(N364&lt;&gt;"",N365&lt;&gt;""),CONCATENATE(VLOOKUP(N364,[2]zawodnicy!$A$1:$E$65536,1,FALSE)," ",VLOOKUP(N364,[2]zawodnicy!$A$1:$E$65536,2,FALSE)," ",VLOOKUP(N364,[2]zawodnicy!$A$1:$E$65536,3,FALSE)," - ",VLOOKUP(N364,[2]zawodnicy!$A$1:$E$65536,4,FALSE)),"")</f>
        <v/>
      </c>
      <c r="V363" s="245"/>
      <c r="W363" s="246"/>
      <c r="X363" s="46" t="str">
        <f>IF(SUM(AO360:AP360)=0,"",AP360&amp;":"&amp;AO360)</f>
        <v>0:21</v>
      </c>
      <c r="Y363" s="83" t="str">
        <f>IF(SUM(AO361:AP361)=0,"",AP361&amp;":"&amp;AO361)</f>
        <v>0:21</v>
      </c>
      <c r="Z363" s="84"/>
      <c r="AA363" s="247" t="str">
        <f>IF(SUM(AW362:AZ362)=0,"",BE362&amp;":"&amp;BF362)</f>
        <v>0:84</v>
      </c>
      <c r="AB363" s="250" t="str">
        <f>IF(SUM(AW362:AZ362)=0,"",BG362&amp;":"&amp;BH362)</f>
        <v>0:4</v>
      </c>
      <c r="AC363" s="250" t="str">
        <f>IF(SUM(AW362:AZ362)=0,"",BI362&amp;":"&amp;BJ362)</f>
        <v>0:2</v>
      </c>
      <c r="AD363" s="253">
        <f>IF(SUM(BI360:BI362)&gt;0,BK362,"")</f>
        <v>3</v>
      </c>
      <c r="AE363" s="2"/>
      <c r="AF363" s="12"/>
      <c r="AG363" s="12"/>
      <c r="BE363" s="19">
        <f>SUM(BE360:BE362)</f>
        <v>138</v>
      </c>
      <c r="BF363" s="19">
        <f>SUM(BF360:BF362)</f>
        <v>138</v>
      </c>
      <c r="BG363" s="19">
        <f>SUM(BG360:BG362)</f>
        <v>6</v>
      </c>
      <c r="BH363" s="19">
        <f>SUM(BH360:BH362)</f>
        <v>6</v>
      </c>
      <c r="BK363" s="19"/>
      <c r="BL363" s="20"/>
    </row>
    <row r="364" spans="1:64" ht="11.45" customHeight="1" x14ac:dyDescent="0.2">
      <c r="A364" s="19"/>
      <c r="J364" s="19"/>
      <c r="K364" s="19"/>
      <c r="L364" s="19"/>
      <c r="N364" s="33" t="s">
        <v>80</v>
      </c>
      <c r="O364" s="34">
        <f>IF(O356&gt;0,(O356&amp;3)*1,"")</f>
        <v>13</v>
      </c>
      <c r="Q364" s="85"/>
      <c r="R364" s="85"/>
      <c r="S364" s="85"/>
      <c r="T364" s="242"/>
      <c r="U364" s="244" t="str">
        <f>IF(AND(N364&lt;&gt;"",N365=""),CONCATENATE(VLOOKUP(N364,[2]zawodnicy!$A$1:$E$65536,1,FALSE)," ",VLOOKUP(N364,[2]zawodnicy!$A$1:$E$65536,2,FALSE)," ",VLOOKUP(N364,[2]zawodnicy!$A$1:$E$65536,3,FALSE)," - ",VLOOKUP(N364,[2]zawodnicy!$A$1:$E$65536,4,FALSE)),"")</f>
        <v>X42 Karolina Grygierová  - Slavoj Cesky Tesin</v>
      </c>
      <c r="V364" s="245"/>
      <c r="W364" s="246"/>
      <c r="X364" s="61" t="str">
        <f>IF(SUM(AQ360:AR360)=0,"",AR360&amp;":"&amp;AQ360)</f>
        <v>0:21</v>
      </c>
      <c r="Y364" s="36" t="str">
        <f>IF(SUM(AQ361:AR361)=0,"",AR361&amp;":"&amp;AQ361)</f>
        <v>0:21</v>
      </c>
      <c r="Z364" s="86"/>
      <c r="AA364" s="248"/>
      <c r="AB364" s="251"/>
      <c r="AC364" s="251"/>
      <c r="AD364" s="254"/>
      <c r="AE364" s="2"/>
      <c r="AF364" s="12"/>
      <c r="AG364" s="1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row>
    <row r="365" spans="1:64" ht="11.45" customHeight="1" thickBot="1" x14ac:dyDescent="0.25">
      <c r="A365" s="2"/>
      <c r="J365" s="28"/>
      <c r="K365" s="28"/>
      <c r="L365" s="28"/>
      <c r="N365" s="38"/>
      <c r="O365" s="28"/>
      <c r="P365" s="28"/>
      <c r="Q365" s="2"/>
      <c r="R365" s="2"/>
      <c r="S365" s="2"/>
      <c r="T365" s="243"/>
      <c r="U365" s="256" t="str">
        <f>IF(N365&lt;&gt;"",CONCATENATE(VLOOKUP(N365,[2]zawodnicy!$A$1:$E$65536,1,FALSE)," ",VLOOKUP(N365,[2]zawodnicy!$A$1:$E$65536,2,FALSE)," ",VLOOKUP(N365,[2]zawodnicy!$A$1:$E$65536,3,FALSE)," - ",VLOOKUP(N365,[2]zawodnicy!$A$1:$E$65536,4,FALSE)),"")</f>
        <v/>
      </c>
      <c r="V365" s="257"/>
      <c r="W365" s="258"/>
      <c r="X365" s="87" t="str">
        <f>IF(SUM(AS360:AT360)=0,"",AT360&amp;":"&amp;AS360)</f>
        <v/>
      </c>
      <c r="Y365" s="88" t="str">
        <f>IF(SUM(AS361:AT361)=0,"",AT361&amp;":"&amp;AS361)</f>
        <v/>
      </c>
      <c r="Z365" s="89"/>
      <c r="AA365" s="249"/>
      <c r="AB365" s="252"/>
      <c r="AC365" s="252"/>
      <c r="AD365" s="255"/>
      <c r="AE365" s="10"/>
      <c r="AF365" s="12"/>
      <c r="AG365" s="1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row>
    <row r="366" spans="1:64" s="19" customFormat="1" ht="5.0999999999999996" customHeight="1" thickBot="1" x14ac:dyDescent="0.25">
      <c r="M366" s="90"/>
      <c r="O366" s="90"/>
      <c r="P366" s="90"/>
      <c r="Q366" s="91"/>
      <c r="R366" s="91"/>
      <c r="S366" s="91"/>
      <c r="T366" s="91"/>
      <c r="U366" s="5"/>
      <c r="V366" s="5"/>
      <c r="W366" s="5"/>
      <c r="AA366" s="92"/>
      <c r="AB366" s="91"/>
      <c r="AC366" s="91"/>
      <c r="AD366" s="91"/>
      <c r="AE366" s="91"/>
      <c r="AF366" s="91"/>
      <c r="AI366" s="93"/>
      <c r="AJ366" s="94"/>
      <c r="AK366" s="94"/>
    </row>
    <row r="367" spans="1:64" ht="11.45" customHeight="1" thickBot="1" x14ac:dyDescent="0.25">
      <c r="N367" s="11"/>
      <c r="O367" s="21">
        <v>2</v>
      </c>
      <c r="Q367" s="277" t="str">
        <f>"Grupa "&amp;O367&amp;"."</f>
        <v>Grupa 2.</v>
      </c>
      <c r="R367" s="277"/>
      <c r="S367" s="277"/>
      <c r="T367" s="22" t="s">
        <v>1</v>
      </c>
      <c r="U367" s="278" t="s">
        <v>2</v>
      </c>
      <c r="V367" s="279"/>
      <c r="W367" s="280"/>
      <c r="X367" s="22">
        <v>1</v>
      </c>
      <c r="Y367" s="23">
        <v>2</v>
      </c>
      <c r="Z367" s="24">
        <v>3</v>
      </c>
      <c r="AA367" s="25" t="s">
        <v>3</v>
      </c>
      <c r="AB367" s="26" t="s">
        <v>4</v>
      </c>
      <c r="AC367" s="26" t="s">
        <v>5</v>
      </c>
      <c r="AD367" s="27" t="s">
        <v>6</v>
      </c>
      <c r="AE367" s="2"/>
      <c r="AF367" s="12"/>
      <c r="AG367" s="12"/>
      <c r="BK367" s="19"/>
      <c r="BL367" s="20"/>
    </row>
    <row r="368" spans="1:64" ht="11.45" customHeight="1" x14ac:dyDescent="0.2">
      <c r="J368" s="28"/>
      <c r="K368" s="28"/>
      <c r="L368" s="28"/>
      <c r="N368" s="29" t="s">
        <v>77</v>
      </c>
      <c r="Q368" s="274" t="s">
        <v>7</v>
      </c>
      <c r="R368" s="274"/>
      <c r="S368" s="275" t="s">
        <v>8</v>
      </c>
      <c r="T368" s="276">
        <v>1</v>
      </c>
      <c r="U368" s="244" t="str">
        <f>IF(AND(N369&lt;&gt;"",N370&lt;&gt;""),CONCATENATE(VLOOKUP(N369,[2]zawodnicy!$A$1:$E$65536,1,FALSE)," ",VLOOKUP(N369,[2]zawodnicy!$A$1:$E$65536,2,FALSE)," ",VLOOKUP(N369,[2]zawodnicy!$A$1:$E$65536,3,FALSE)," - ",VLOOKUP(N369,[2]zawodnicy!$A$1:$E$65536,4,FALSE)),"")</f>
        <v/>
      </c>
      <c r="V368" s="245"/>
      <c r="W368" s="246"/>
      <c r="X368" s="30"/>
      <c r="Y368" s="31" t="str">
        <f>IF(SUM(AO373:AP373)=0,"",AO373&amp;":"&amp;AP373)</f>
        <v>11:21</v>
      </c>
      <c r="Z368" s="32" t="str">
        <f>IF(SUM(AO371:AP371)=0,"",AO371&amp;":"&amp;AP371)</f>
        <v>21:3</v>
      </c>
      <c r="AA368" s="270" t="str">
        <f>IF(SUM(AY371:BB371)=0,"",BE371&amp;":"&amp;BF371)</f>
        <v>67:52</v>
      </c>
      <c r="AB368" s="271" t="str">
        <f>IF(SUM(AY371:BB371)=0,"",BG371&amp;":"&amp;BH371)</f>
        <v>2:2</v>
      </c>
      <c r="AC368" s="271" t="str">
        <f>IF(SUM(AY371:BB371)=0,"",BI371&amp;":"&amp;BJ371)</f>
        <v>1:1</v>
      </c>
      <c r="AD368" s="272">
        <f>IF(SUM(BI371:BI373)&gt;0,BK371,"")</f>
        <v>2</v>
      </c>
      <c r="AE368" s="2"/>
      <c r="AF368" s="12"/>
      <c r="AG368" s="12"/>
      <c r="AH368" s="14"/>
      <c r="AI368" s="273" t="s">
        <v>9</v>
      </c>
      <c r="AJ368" s="273"/>
      <c r="AK368" s="273"/>
      <c r="AL368" s="273"/>
      <c r="AM368" s="273"/>
      <c r="AN368" s="273"/>
      <c r="AO368" s="273" t="s">
        <v>10</v>
      </c>
      <c r="AP368" s="273"/>
      <c r="AQ368" s="273"/>
      <c r="AR368" s="273"/>
      <c r="AS368" s="273"/>
      <c r="AT368" s="273"/>
      <c r="BK368" s="19"/>
      <c r="BL368" s="20"/>
    </row>
    <row r="369" spans="1:64" ht="11.45" customHeight="1" thickBot="1" x14ac:dyDescent="0.25">
      <c r="I369" s="2" t="str">
        <f>"1"&amp;O367&amp;N368</f>
        <v>12pojedyncza dziewcząt JM</v>
      </c>
      <c r="J369" s="10" t="str">
        <f>IF(AD368="","",IF(AD368=1,N369,IF(AD371=1,N372,IF(AD374=1,N375,""))))</f>
        <v>X19</v>
      </c>
      <c r="K369" s="10">
        <f>IF(AD368="","",IF(AD368=1,N370,IF(AD371=1,N373,IF(AD374=1,N376,""))))</f>
        <v>0</v>
      </c>
      <c r="L369" s="10"/>
      <c r="N369" s="33" t="s">
        <v>81</v>
      </c>
      <c r="O369" s="34">
        <f>IF(O367&gt;0,(O367&amp;1)*1,"")</f>
        <v>21</v>
      </c>
      <c r="Q369" s="274"/>
      <c r="R369" s="274"/>
      <c r="S369" s="275"/>
      <c r="T369" s="242"/>
      <c r="U369" s="244" t="str">
        <f>IF(AND(N369&lt;&gt;"",N370=""),CONCATENATE(VLOOKUP(N369,[2]zawodnicy!$A$1:$E$65536,1,FALSE)," ",VLOOKUP(N369,[2]zawodnicy!$A$1:$E$65536,2,FALSE)," ",VLOOKUP(N369,[2]zawodnicy!$A$1:$E$65536,3,FALSE)," - ",VLOOKUP(N369,[2]zawodnicy!$A$1:$E$65536,4,FALSE)),"")</f>
        <v>N3738 Aneta NIKLAS - ULKS U-2 Lotka Bytów</v>
      </c>
      <c r="V369" s="245"/>
      <c r="W369" s="246"/>
      <c r="X369" s="35"/>
      <c r="Y369" s="36" t="str">
        <f>IF(SUM(AQ373:AR373)=0,"",AQ373&amp;":"&amp;AR373)</f>
        <v>14:21</v>
      </c>
      <c r="Z369" s="37" t="str">
        <f>IF(SUM(AQ371:AR371)=0,"",AQ371&amp;":"&amp;AR371)</f>
        <v>21:7</v>
      </c>
      <c r="AA369" s="248"/>
      <c r="AB369" s="251"/>
      <c r="AC369" s="251"/>
      <c r="AD369" s="254"/>
      <c r="AE369" s="2"/>
      <c r="AF369" s="12"/>
      <c r="AG369" s="12"/>
      <c r="AH369" s="14"/>
      <c r="BE369" s="19">
        <f>SUM(BE371:BE373)</f>
        <v>171</v>
      </c>
      <c r="BF369" s="19">
        <f>SUM(BF371:BF373)</f>
        <v>171</v>
      </c>
      <c r="BG369" s="19">
        <f>SUM(BG371:BG373)</f>
        <v>6</v>
      </c>
      <c r="BH369" s="19">
        <f>SUM(BH371:BH373)</f>
        <v>6</v>
      </c>
      <c r="BK369" s="19"/>
      <c r="BL369" s="20"/>
    </row>
    <row r="370" spans="1:64" ht="11.45" customHeight="1" thickBot="1" x14ac:dyDescent="0.25">
      <c r="J370" s="10"/>
      <c r="K370" s="28"/>
      <c r="L370" s="28"/>
      <c r="N370" s="38"/>
      <c r="O370" s="28"/>
      <c r="P370" s="28"/>
      <c r="Q370" s="274"/>
      <c r="R370" s="274"/>
      <c r="S370" s="275"/>
      <c r="T370" s="261"/>
      <c r="U370" s="265" t="str">
        <f>IF(N370&lt;&gt;"",CONCATENATE(VLOOKUP(N370,[2]zawodnicy!$A$1:$E$65536,1,FALSE)," ",VLOOKUP(N370,[2]zawodnicy!$A$1:$E$65536,2,FALSE)," ",VLOOKUP(N370,[2]zawodnicy!$A$1:$E$65536,3,FALSE)," - ",VLOOKUP(N370,[2]zawodnicy!$A$1:$E$65536,4,FALSE)),"")</f>
        <v/>
      </c>
      <c r="V370" s="266"/>
      <c r="W370" s="267"/>
      <c r="X370" s="35"/>
      <c r="Y370" s="39" t="str">
        <f>IF(SUM(AS373:AT373)=0,"",AS373&amp;":"&amp;AT373)</f>
        <v/>
      </c>
      <c r="Z370" s="40" t="str">
        <f>IF(SUM(AS371:AT371)=0,"",AS371&amp;":"&amp;AT371)</f>
        <v/>
      </c>
      <c r="AA370" s="262"/>
      <c r="AB370" s="263"/>
      <c r="AC370" s="263"/>
      <c r="AD370" s="264"/>
      <c r="AE370" s="2"/>
      <c r="AF370" s="12"/>
      <c r="AG370" s="12"/>
      <c r="AH370" s="14"/>
      <c r="AI370" s="259" t="s">
        <v>12</v>
      </c>
      <c r="AJ370" s="269"/>
      <c r="AK370" s="268" t="s">
        <v>13</v>
      </c>
      <c r="AL370" s="269"/>
      <c r="AM370" s="268" t="s">
        <v>14</v>
      </c>
      <c r="AN370" s="260"/>
      <c r="AO370" s="259" t="s">
        <v>12</v>
      </c>
      <c r="AP370" s="269"/>
      <c r="AQ370" s="268" t="s">
        <v>13</v>
      </c>
      <c r="AR370" s="269"/>
      <c r="AS370" s="268" t="s">
        <v>14</v>
      </c>
      <c r="AT370" s="269"/>
      <c r="AU370" s="12"/>
      <c r="AV370" s="12"/>
      <c r="AW370" s="259">
        <v>1</v>
      </c>
      <c r="AX370" s="269"/>
      <c r="AY370" s="268">
        <v>2</v>
      </c>
      <c r="AZ370" s="269"/>
      <c r="BA370" s="268">
        <v>3</v>
      </c>
      <c r="BB370" s="260"/>
      <c r="BE370" s="259" t="s">
        <v>3</v>
      </c>
      <c r="BF370" s="260"/>
      <c r="BG370" s="259" t="s">
        <v>4</v>
      </c>
      <c r="BH370" s="260"/>
      <c r="BI370" s="259" t="s">
        <v>5</v>
      </c>
      <c r="BJ370" s="260"/>
      <c r="BK370" s="41" t="s">
        <v>6</v>
      </c>
      <c r="BL370" s="20"/>
    </row>
    <row r="371" spans="1:64" ht="11.45" customHeight="1" x14ac:dyDescent="0.2">
      <c r="A371" s="19">
        <f>S371</f>
        <v>19</v>
      </c>
      <c r="B371" s="2" t="str">
        <f>IF(N369="","",N369)</f>
        <v>n3738</v>
      </c>
      <c r="C371" s="2" t="str">
        <f>IF(N370="","",N370)</f>
        <v/>
      </c>
      <c r="D371" s="2" t="str">
        <f>IF(N375="","",N375)</f>
        <v>P4482</v>
      </c>
      <c r="E371" s="2" t="str">
        <f>IF(N376="","",N376)</f>
        <v/>
      </c>
      <c r="I371" s="2" t="str">
        <f>"2"&amp;O367&amp;N368</f>
        <v>22pojedyncza dziewcząt JM</v>
      </c>
      <c r="J371" s="10" t="str">
        <f>IF(AD371="","",IF(AD368=2,N369,IF(AD371=2,N372,IF(AD374=2,N375,""))))</f>
        <v>n3738</v>
      </c>
      <c r="K371" s="10">
        <f>IF(AD371="","",IF(AD368=2,N370,IF(AD371=2,N373,IF(AD374=2,N376,""))))</f>
        <v>0</v>
      </c>
      <c r="M371" s="42" t="str">
        <f>N368</f>
        <v>pojedyncza dziewcząt JM</v>
      </c>
      <c r="O371" s="28"/>
      <c r="P371" s="28"/>
      <c r="Q371" s="43" t="str">
        <f>IF(AU371&gt;0,"",IF(A371=0,"",IF(VLOOKUP(A371,'[2]plan gier'!A$1:S$65536,19,FALSE)="","",VLOOKUP(A371,'[2]plan gier'!A$1:S$65536,19,FALSE))))</f>
        <v/>
      </c>
      <c r="R371" s="44" t="s">
        <v>15</v>
      </c>
      <c r="S371" s="45">
        <v>19</v>
      </c>
      <c r="T371" s="241">
        <v>2</v>
      </c>
      <c r="U371" s="244" t="str">
        <f>IF(AND(N372&lt;&gt;"",N373&lt;&gt;""),CONCATENATE(VLOOKUP(N372,[2]zawodnicy!$A$1:$E$65536,1,FALSE)," ",VLOOKUP(N372,[2]zawodnicy!$A$1:$E$65536,2,FALSE)," ",VLOOKUP(N372,[2]zawodnicy!$A$1:$E$65536,3,FALSE)," - ",VLOOKUP(N372,[2]zawodnicy!$A$1:$E$65536,4,FALSE)),"")</f>
        <v/>
      </c>
      <c r="V371" s="245"/>
      <c r="W371" s="246"/>
      <c r="X371" s="46" t="str">
        <f>IF(SUM(AO373:AP373)=0,"",AP373&amp;":"&amp;AO373)</f>
        <v>21:11</v>
      </c>
      <c r="Y371" s="47"/>
      <c r="Z371" s="48" t="str">
        <f>IF(SUM(AO372:AP372)=0,"",AO372&amp;":"&amp;AP372)</f>
        <v>21:7</v>
      </c>
      <c r="AA371" s="247" t="str">
        <f>IF(SUM(AW372:AX372,BA372:BB372)=0,"",BE372&amp;":"&amp;BF372)</f>
        <v>84:35</v>
      </c>
      <c r="AB371" s="250" t="str">
        <f>IF(SUM(AW372:AX372,BA372:BB372)=0,"",BG372&amp;":"&amp;BH372)</f>
        <v>4:0</v>
      </c>
      <c r="AC371" s="250" t="str">
        <f>IF(SUM(AW372:AX372,BA372:BB372)=0,"",BI372&amp;":"&amp;BJ372)</f>
        <v>2:0</v>
      </c>
      <c r="AD371" s="253">
        <f>IF(SUM(BI371:BI373)&gt;0,BK372,"")</f>
        <v>1</v>
      </c>
      <c r="AE371" s="2"/>
      <c r="AF371" s="12"/>
      <c r="AG371" s="12"/>
      <c r="AH371" s="44" t="s">
        <v>15</v>
      </c>
      <c r="AI371" s="49">
        <f>IF(ISBLANK(S371),"",VLOOKUP(S371,'[2]plan gier'!$X$1:$AN$65536,12,FALSE))</f>
        <v>21</v>
      </c>
      <c r="AJ371" s="50">
        <f>IF(ISBLANK(S371),"",VLOOKUP(S371,'[2]plan gier'!$X$1:$AN$65536,13,FALSE))</f>
        <v>3</v>
      </c>
      <c r="AK371" s="50">
        <f>IF(ISBLANK(S371),"",VLOOKUP(S371,'[2]plan gier'!$X$1:$AN$65536,14,FALSE))</f>
        <v>21</v>
      </c>
      <c r="AL371" s="50">
        <f>IF(ISBLANK(S371),"",VLOOKUP(S371,'[2]plan gier'!$X$1:$AN$65536,15,FALSE))</f>
        <v>7</v>
      </c>
      <c r="AM371" s="50">
        <f>IF(ISBLANK(S371),"",VLOOKUP(S371,'[2]plan gier'!$X$1:$AN$65536,16,FALSE))</f>
        <v>0</v>
      </c>
      <c r="AN371" s="50">
        <f>IF(ISBLANK(S371),"",VLOOKUP(S371,'[2]plan gier'!$X$1:$AN$65536,17,FALSE))</f>
        <v>0</v>
      </c>
      <c r="AO371" s="51">
        <f t="shared" ref="AO371:AT373" si="36">IF(AI371="",0,AI371)</f>
        <v>21</v>
      </c>
      <c r="AP371" s="52">
        <f t="shared" si="36"/>
        <v>3</v>
      </c>
      <c r="AQ371" s="53">
        <f t="shared" si="36"/>
        <v>21</v>
      </c>
      <c r="AR371" s="52">
        <f t="shared" si="36"/>
        <v>7</v>
      </c>
      <c r="AS371" s="53">
        <f t="shared" si="36"/>
        <v>0</v>
      </c>
      <c r="AT371" s="52">
        <f t="shared" si="36"/>
        <v>0</v>
      </c>
      <c r="AU371" s="54">
        <f>SUM(AO371:AT371)</f>
        <v>52</v>
      </c>
      <c r="AV371" s="13">
        <v>1</v>
      </c>
      <c r="AW371" s="55"/>
      <c r="AX371" s="56"/>
      <c r="AY371" s="50">
        <f>IF(AI373&gt;AJ373,1,0)+IF(AK373&gt;AL373,1,0)+IF(AM373&gt;AN373,1,0)</f>
        <v>0</v>
      </c>
      <c r="AZ371" s="50">
        <f>AW372</f>
        <v>2</v>
      </c>
      <c r="BA371" s="50">
        <f>IF(AI371&gt;AJ371,1,0)+IF(AK371&gt;AL371,1,0)+IF(AM371&gt;AN371,1,0)</f>
        <v>2</v>
      </c>
      <c r="BB371" s="57">
        <f>AW373</f>
        <v>0</v>
      </c>
      <c r="BE371" s="49">
        <f>AO371+AQ371+AS371+AO373+AQ373+AS373</f>
        <v>67</v>
      </c>
      <c r="BF371" s="57">
        <f>AP371+AR371+AT371+AP373+AR373+AT373</f>
        <v>52</v>
      </c>
      <c r="BG371" s="49">
        <f>AY371+BA371</f>
        <v>2</v>
      </c>
      <c r="BH371" s="57">
        <f>AZ371+BB371</f>
        <v>2</v>
      </c>
      <c r="BI371" s="49">
        <f>IF(AY371&gt;AZ371,1,0)+IF(BA371&gt;BB371,1,0)</f>
        <v>1</v>
      </c>
      <c r="BJ371" s="58">
        <f>IF(AZ371&gt;AY371,1,0)+IF(BB371&gt;BA371,1,0)</f>
        <v>1</v>
      </c>
      <c r="BK371" s="59">
        <f>IF(BI371+BJ371=0,"",IF(BL371=MAX(BL371:BL373),1,IF(BL371=MIN(BL371:BL373),3,2)))</f>
        <v>2</v>
      </c>
      <c r="BL371" s="60">
        <f>IF(BI371+BJ371&lt;&gt;0,BI371+1+(BG371-BH371)/100+(BE371-BF371)/100000+(BE371/BF371)/1000000,0)</f>
        <v>2.0001512884615384</v>
      </c>
    </row>
    <row r="372" spans="1:64" ht="11.45" customHeight="1" x14ac:dyDescent="0.2">
      <c r="A372" s="19">
        <f>S372</f>
        <v>84</v>
      </c>
      <c r="B372" s="2" t="str">
        <f>IF(N372="","",N372)</f>
        <v>X19</v>
      </c>
      <c r="C372" s="2" t="str">
        <f>IF(N373="","",N373)</f>
        <v/>
      </c>
      <c r="D372" s="2" t="str">
        <f>IF(N375="","",N375)</f>
        <v>P4482</v>
      </c>
      <c r="E372" s="2" t="str">
        <f>IF(N376="","",N376)</f>
        <v/>
      </c>
      <c r="J372" s="10"/>
      <c r="K372" s="19"/>
      <c r="M372" s="42" t="str">
        <f>N368</f>
        <v>pojedyncza dziewcząt JM</v>
      </c>
      <c r="N372" s="33" t="s">
        <v>82</v>
      </c>
      <c r="O372" s="34">
        <f>IF(O367&gt;0,(O367&amp;2)*1,"")</f>
        <v>22</v>
      </c>
      <c r="Q372" s="43" t="str">
        <f>IF(AU372&gt;0,"",IF(A372=0,"",IF(VLOOKUP(A372,'[2]plan gier'!A$1:S$65536,19,FALSE)="","",VLOOKUP(A372,'[2]plan gier'!A$1:S$65536,19,FALSE))))</f>
        <v/>
      </c>
      <c r="R372" s="44" t="s">
        <v>17</v>
      </c>
      <c r="S372" s="45">
        <v>84</v>
      </c>
      <c r="T372" s="242"/>
      <c r="U372" s="244" t="str">
        <f>IF(AND(N372&lt;&gt;"",N373=""),CONCATENATE(VLOOKUP(N372,[2]zawodnicy!$A$1:$E$65536,1,FALSE)," ",VLOOKUP(N372,[2]zawodnicy!$A$1:$E$65536,2,FALSE)," ",VLOOKUP(N372,[2]zawodnicy!$A$1:$E$65536,3,FALSE)," - ",VLOOKUP(N372,[2]zawodnicy!$A$1:$E$65536,4,FALSE)),"")</f>
        <v>X19 Oleksandra LUGOVYKH - Vinnica Ukraina</v>
      </c>
      <c r="V372" s="245"/>
      <c r="W372" s="246"/>
      <c r="X372" s="61" t="str">
        <f>IF(SUM(AQ373:AR373)=0,"",AR373&amp;":"&amp;AQ373)</f>
        <v>21:14</v>
      </c>
      <c r="Y372" s="62"/>
      <c r="Z372" s="37" t="str">
        <f>IF(SUM(AQ372:AR372)=0,"",AQ372&amp;":"&amp;AR372)</f>
        <v>21:3</v>
      </c>
      <c r="AA372" s="248"/>
      <c r="AB372" s="251"/>
      <c r="AC372" s="251"/>
      <c r="AD372" s="254"/>
      <c r="AE372" s="2"/>
      <c r="AF372" s="12"/>
      <c r="AG372" s="12"/>
      <c r="AH372" s="44" t="s">
        <v>17</v>
      </c>
      <c r="AI372" s="63">
        <f>IF(ISBLANK(S372),"",VLOOKUP(S372,'[2]plan gier'!$X$1:$AN$65536,12,FALSE))</f>
        <v>21</v>
      </c>
      <c r="AJ372" s="64">
        <f>IF(ISBLANK(S372),"",VLOOKUP(S372,'[2]plan gier'!$X$1:$AN$65536,13,FALSE))</f>
        <v>7</v>
      </c>
      <c r="AK372" s="64">
        <f>IF(ISBLANK(S372),"",VLOOKUP(S372,'[2]plan gier'!$X$1:$AN$65536,14,FALSE))</f>
        <v>21</v>
      </c>
      <c r="AL372" s="64">
        <f>IF(ISBLANK(S372),"",VLOOKUP(S372,'[2]plan gier'!$X$1:$AN$65536,15,FALSE))</f>
        <v>3</v>
      </c>
      <c r="AM372" s="64">
        <f>IF(ISBLANK(S372),"",VLOOKUP(S372,'[2]plan gier'!$X$1:$AN$65536,16,FALSE))</f>
        <v>0</v>
      </c>
      <c r="AN372" s="64">
        <f>IF(ISBLANK(S372),"",VLOOKUP(S372,'[2]plan gier'!$X$1:$AN$65536,17,FALSE))</f>
        <v>0</v>
      </c>
      <c r="AO372" s="65">
        <f t="shared" si="36"/>
        <v>21</v>
      </c>
      <c r="AP372" s="64">
        <f t="shared" si="36"/>
        <v>7</v>
      </c>
      <c r="AQ372" s="66">
        <f t="shared" si="36"/>
        <v>21</v>
      </c>
      <c r="AR372" s="64">
        <f t="shared" si="36"/>
        <v>3</v>
      </c>
      <c r="AS372" s="66">
        <f t="shared" si="36"/>
        <v>0</v>
      </c>
      <c r="AT372" s="64">
        <f t="shared" si="36"/>
        <v>0</v>
      </c>
      <c r="AU372" s="54">
        <f>SUM(AO372:AT372)</f>
        <v>52</v>
      </c>
      <c r="AV372" s="13">
        <v>2</v>
      </c>
      <c r="AW372" s="63">
        <f>IF(AI373&lt;AJ373,1,0)+IF(AK373&lt;AL373,1,0)+IF(AM373&lt;AN373,1,0)</f>
        <v>2</v>
      </c>
      <c r="AX372" s="64">
        <f>AY371</f>
        <v>0</v>
      </c>
      <c r="AY372" s="67"/>
      <c r="AZ372" s="68"/>
      <c r="BA372" s="64">
        <f>IF(AI372&gt;AJ372,1,0)+IF(AK372&gt;AL372,1,0)+IF(AM372&gt;AN372,1,0)</f>
        <v>2</v>
      </c>
      <c r="BB372" s="69">
        <f>AY373</f>
        <v>0</v>
      </c>
      <c r="BE372" s="63">
        <f>AO372+AQ372+AS372+AP373+AR373+AT373</f>
        <v>84</v>
      </c>
      <c r="BF372" s="69">
        <f>AP372+AR372+AT372+AO373+AQ373+AS373</f>
        <v>35</v>
      </c>
      <c r="BG372" s="63">
        <f>AW372+BA372</f>
        <v>4</v>
      </c>
      <c r="BH372" s="69">
        <f>AX372+BB372</f>
        <v>0</v>
      </c>
      <c r="BI372" s="63">
        <f>IF(AW372&gt;AX372,1,0)+IF(BA372&gt;BB372,1,0)</f>
        <v>2</v>
      </c>
      <c r="BJ372" s="70">
        <f>IF(AX372&gt;AW372,1,0)+IF(BB372&gt;BA372,1,0)</f>
        <v>0</v>
      </c>
      <c r="BK372" s="71">
        <f>IF(BI372+BJ372=0,"",IF(BL372=MAX(BL371:BL373),1,IF(BL372=MIN(BL371:BL373),3,2)))</f>
        <v>1</v>
      </c>
      <c r="BL372" s="60">
        <f>IF(BI372+BJ372&lt;&gt;0,BI372+1+(BG372-BH372)/100+(BE372-BF372)/100000+(BE372/BF372)/1000000,0)</f>
        <v>3.0404924000000002</v>
      </c>
    </row>
    <row r="373" spans="1:64" ht="11.45" customHeight="1" thickBot="1" x14ac:dyDescent="0.25">
      <c r="A373" s="19">
        <f>S373</f>
        <v>149</v>
      </c>
      <c r="B373" s="2" t="str">
        <f>IF(N369="","",N369)</f>
        <v>n3738</v>
      </c>
      <c r="C373" s="2" t="str">
        <f>IF(N370="","",N370)</f>
        <v/>
      </c>
      <c r="D373" s="2" t="str">
        <f>IF(N372="","",N372)</f>
        <v>X19</v>
      </c>
      <c r="E373" s="2" t="str">
        <f>IF(N373="","",N373)</f>
        <v/>
      </c>
      <c r="I373" s="2" t="str">
        <f>"3"&amp;O367&amp;N368</f>
        <v>32pojedyncza dziewcząt JM</v>
      </c>
      <c r="J373" s="10" t="str">
        <f>IF(AD374="","",IF(AD368=3,N369,IF(AD371=3,N372,IF(AD374=3,N375,""))))</f>
        <v>P4482</v>
      </c>
      <c r="K373" s="10">
        <f>IF(AD374="","",IF(AD368=3,N370,IF(AD371=3,N373,IF(AD374=3,N376,""))))</f>
        <v>0</v>
      </c>
      <c r="M373" s="42" t="str">
        <f>N368</f>
        <v>pojedyncza dziewcząt JM</v>
      </c>
      <c r="N373" s="38"/>
      <c r="O373" s="28"/>
      <c r="P373" s="28"/>
      <c r="Q373" s="43" t="str">
        <f>IF(AU373&gt;0,"",IF(A373=0,"",IF(VLOOKUP(A373,'[2]plan gier'!A$1:S$65536,19,FALSE)="","",VLOOKUP(A373,'[2]plan gier'!A$1:S$65536,19,FALSE))))</f>
        <v/>
      </c>
      <c r="R373" s="72" t="s">
        <v>18</v>
      </c>
      <c r="S373" s="45">
        <v>149</v>
      </c>
      <c r="T373" s="261"/>
      <c r="U373" s="265" t="str">
        <f>IF(N373&lt;&gt;"",CONCATENATE(VLOOKUP(N373,[2]zawodnicy!$A$1:$E$65536,1,FALSE)," ",VLOOKUP(N373,[2]zawodnicy!$A$1:$E$65536,2,FALSE)," ",VLOOKUP(N373,[2]zawodnicy!$A$1:$E$65536,3,FALSE)," - ",VLOOKUP(N373,[2]zawodnicy!$A$1:$E$65536,4,FALSE)),"")</f>
        <v/>
      </c>
      <c r="V373" s="266"/>
      <c r="W373" s="267"/>
      <c r="X373" s="73" t="str">
        <f>IF(SUM(AS373:AT373)=0,"",AT373&amp;":"&amp;AS373)</f>
        <v/>
      </c>
      <c r="Y373" s="62"/>
      <c r="Z373" s="40" t="str">
        <f>IF(SUM(AS372:AT372)=0,"",AS372&amp;":"&amp;AT372)</f>
        <v/>
      </c>
      <c r="AA373" s="262"/>
      <c r="AB373" s="263"/>
      <c r="AC373" s="263"/>
      <c r="AD373" s="264"/>
      <c r="AE373" s="2"/>
      <c r="AF373" s="12"/>
      <c r="AG373" s="12"/>
      <c r="AH373" s="72" t="s">
        <v>18</v>
      </c>
      <c r="AI373" s="74">
        <f>IF(ISBLANK(S373),"",VLOOKUP(S373,'[2]plan gier'!$X$1:$AN$65536,12,FALSE))</f>
        <v>11</v>
      </c>
      <c r="AJ373" s="75">
        <f>IF(ISBLANK(S373),"",VLOOKUP(S373,'[2]plan gier'!$X$1:$AN$65536,13,FALSE))</f>
        <v>21</v>
      </c>
      <c r="AK373" s="75">
        <f>IF(ISBLANK(S373),"",VLOOKUP(S373,'[2]plan gier'!$X$1:$AN$65536,14,FALSE))</f>
        <v>14</v>
      </c>
      <c r="AL373" s="75">
        <f>IF(ISBLANK(S373),"",VLOOKUP(S373,'[2]plan gier'!$X$1:$AN$65536,15,FALSE))</f>
        <v>21</v>
      </c>
      <c r="AM373" s="75">
        <f>IF(ISBLANK(S373),"",VLOOKUP(S373,'[2]plan gier'!$X$1:$AN$65536,16,FALSE))</f>
        <v>0</v>
      </c>
      <c r="AN373" s="75">
        <f>IF(ISBLANK(S373),"",VLOOKUP(S373,'[2]plan gier'!$X$1:$AN$65536,17,FALSE))</f>
        <v>0</v>
      </c>
      <c r="AO373" s="76">
        <f t="shared" si="36"/>
        <v>11</v>
      </c>
      <c r="AP373" s="75">
        <f t="shared" si="36"/>
        <v>21</v>
      </c>
      <c r="AQ373" s="77">
        <f t="shared" si="36"/>
        <v>14</v>
      </c>
      <c r="AR373" s="75">
        <f t="shared" si="36"/>
        <v>21</v>
      </c>
      <c r="AS373" s="77">
        <f t="shared" si="36"/>
        <v>0</v>
      </c>
      <c r="AT373" s="75">
        <f t="shared" si="36"/>
        <v>0</v>
      </c>
      <c r="AU373" s="54">
        <f>SUM(AO373:AT373)</f>
        <v>67</v>
      </c>
      <c r="AV373" s="13">
        <v>3</v>
      </c>
      <c r="AW373" s="74">
        <f>IF(AI371&lt;AJ371,1,0)+IF(AK371&lt;AL371,1,0)+IF(AM371&lt;AN371,1,0)</f>
        <v>0</v>
      </c>
      <c r="AX373" s="75">
        <f>BA371</f>
        <v>2</v>
      </c>
      <c r="AY373" s="75">
        <f>IF(AI372&lt;AJ372,1,0)+IF(AK372&lt;AL372,1,0)+IF(AM372&lt;AN372,1,0)</f>
        <v>0</v>
      </c>
      <c r="AZ373" s="75">
        <f>BA372</f>
        <v>2</v>
      </c>
      <c r="BA373" s="78"/>
      <c r="BB373" s="79"/>
      <c r="BE373" s="74">
        <f>AP371+AR371+AT371+AP372+AR372+AT372</f>
        <v>20</v>
      </c>
      <c r="BF373" s="80">
        <f>AO371+AQ371+AS371+AO372+AQ372+AS372</f>
        <v>84</v>
      </c>
      <c r="BG373" s="74">
        <f>AW373+AY373</f>
        <v>0</v>
      </c>
      <c r="BH373" s="80">
        <f>AX373+AZ373</f>
        <v>4</v>
      </c>
      <c r="BI373" s="74">
        <f>IF(AW373&gt;AX373,1,0)+IF(AY373&gt;AZ373,1,0)</f>
        <v>0</v>
      </c>
      <c r="BJ373" s="81">
        <f>IF(AX373&gt;AW373,1,0)+IF(AZ373&gt;AY373,1,0)</f>
        <v>2</v>
      </c>
      <c r="BK373" s="82">
        <f>IF(BI373+BJ373=0,"",IF(BL373=MAX(BL371:BL373),1,IF(BL373=MIN(BL371:BL373),3,2)))</f>
        <v>3</v>
      </c>
      <c r="BL373" s="60">
        <f>IF(BI373+BJ373&lt;&gt;0,BI373+1+(BG373-BH373)/100+(BE373-BF373)/100000+(BE373/BF373)/1000000,0)</f>
        <v>0.95936023809523807</v>
      </c>
    </row>
    <row r="374" spans="1:64" ht="11.45" customHeight="1" x14ac:dyDescent="0.2">
      <c r="A374" s="2"/>
      <c r="J374" s="28"/>
      <c r="K374" s="28"/>
      <c r="L374" s="28"/>
      <c r="O374" s="28"/>
      <c r="P374" s="28"/>
      <c r="Q374" s="2"/>
      <c r="R374" s="2"/>
      <c r="S374" s="2"/>
      <c r="T374" s="241">
        <v>3</v>
      </c>
      <c r="U374" s="244" t="str">
        <f>IF(AND(N375&lt;&gt;"",N376&lt;&gt;""),CONCATENATE(VLOOKUP(N375,[2]zawodnicy!$A$1:$E$65536,1,FALSE)," ",VLOOKUP(N375,[2]zawodnicy!$A$1:$E$65536,2,FALSE)," ",VLOOKUP(N375,[2]zawodnicy!$A$1:$E$65536,3,FALSE)," - ",VLOOKUP(N375,[2]zawodnicy!$A$1:$E$65536,4,FALSE)),"")</f>
        <v/>
      </c>
      <c r="V374" s="245"/>
      <c r="W374" s="246"/>
      <c r="X374" s="46" t="str">
        <f>IF(SUM(AO371:AP371)=0,"",AP371&amp;":"&amp;AO371)</f>
        <v>3:21</v>
      </c>
      <c r="Y374" s="83" t="str">
        <f>IF(SUM(AO372:AP372)=0,"",AP372&amp;":"&amp;AO372)</f>
        <v>7:21</v>
      </c>
      <c r="Z374" s="84"/>
      <c r="AA374" s="247" t="str">
        <f>IF(SUM(AW373:AZ373)=0,"",BE373&amp;":"&amp;BF373)</f>
        <v>20:84</v>
      </c>
      <c r="AB374" s="250" t="str">
        <f>IF(SUM(AW373:AZ373)=0,"",BG373&amp;":"&amp;BH373)</f>
        <v>0:4</v>
      </c>
      <c r="AC374" s="250" t="str">
        <f>IF(SUM(AW373:AZ373)=0,"",BI373&amp;":"&amp;BJ373)</f>
        <v>0:2</v>
      </c>
      <c r="AD374" s="253">
        <f>IF(SUM(BI371:BI373)&gt;0,BK373,"")</f>
        <v>3</v>
      </c>
      <c r="AE374" s="2"/>
      <c r="AF374" s="12"/>
      <c r="AG374" s="12"/>
      <c r="BE374" s="19">
        <f>SUM(BE371:BE373)</f>
        <v>171</v>
      </c>
      <c r="BF374" s="19">
        <f>SUM(BF371:BF373)</f>
        <v>171</v>
      </c>
      <c r="BG374" s="19">
        <f>SUM(BG371:BG373)</f>
        <v>6</v>
      </c>
      <c r="BH374" s="19">
        <f>SUM(BH371:BH373)</f>
        <v>6</v>
      </c>
      <c r="BK374" s="19"/>
      <c r="BL374" s="20"/>
    </row>
    <row r="375" spans="1:64" ht="11.45" customHeight="1" x14ac:dyDescent="0.2">
      <c r="A375" s="19"/>
      <c r="J375" s="19"/>
      <c r="K375" s="19"/>
      <c r="L375" s="19"/>
      <c r="N375" s="33" t="s">
        <v>83</v>
      </c>
      <c r="O375" s="34">
        <f>IF(O367&gt;0,(O367&amp;3)*1,"")</f>
        <v>23</v>
      </c>
      <c r="Q375" s="85"/>
      <c r="R375" s="85"/>
      <c r="S375" s="85"/>
      <c r="T375" s="242"/>
      <c r="U375" s="244" t="str">
        <f>IF(AND(N375&lt;&gt;"",N376=""),CONCATENATE(VLOOKUP(N375,[2]zawodnicy!$A$1:$E$65536,1,FALSE)," ",VLOOKUP(N375,[2]zawodnicy!$A$1:$E$65536,2,FALSE)," ",VLOOKUP(N375,[2]zawodnicy!$A$1:$E$65536,3,FALSE)," - ",VLOOKUP(N375,[2]zawodnicy!$A$1:$E$65536,4,FALSE)),"")</f>
        <v>P4482 Oliwia PIOTROWSKA - UKS Kiko Zamość</v>
      </c>
      <c r="V375" s="245"/>
      <c r="W375" s="246"/>
      <c r="X375" s="61" t="str">
        <f>IF(SUM(AQ371:AR371)=0,"",AR371&amp;":"&amp;AQ371)</f>
        <v>7:21</v>
      </c>
      <c r="Y375" s="36" t="str">
        <f>IF(SUM(AQ372:AR372)=0,"",AR372&amp;":"&amp;AQ372)</f>
        <v>3:21</v>
      </c>
      <c r="Z375" s="86"/>
      <c r="AA375" s="248"/>
      <c r="AB375" s="251"/>
      <c r="AC375" s="251"/>
      <c r="AD375" s="254"/>
      <c r="AE375" s="2"/>
      <c r="AF375" s="12"/>
      <c r="AG375" s="1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row>
    <row r="376" spans="1:64" ht="11.45" customHeight="1" thickBot="1" x14ac:dyDescent="0.25">
      <c r="A376" s="2"/>
      <c r="J376" s="28"/>
      <c r="K376" s="28"/>
      <c r="L376" s="28"/>
      <c r="N376" s="38"/>
      <c r="O376" s="28"/>
      <c r="P376" s="28"/>
      <c r="Q376" s="2"/>
      <c r="R376" s="2"/>
      <c r="S376" s="2"/>
      <c r="T376" s="243"/>
      <c r="U376" s="256" t="str">
        <f>IF(N376&lt;&gt;"",CONCATENATE(VLOOKUP(N376,[2]zawodnicy!$A$1:$E$65536,1,FALSE)," ",VLOOKUP(N376,[2]zawodnicy!$A$1:$E$65536,2,FALSE)," ",VLOOKUP(N376,[2]zawodnicy!$A$1:$E$65536,3,FALSE)," - ",VLOOKUP(N376,[2]zawodnicy!$A$1:$E$65536,4,FALSE)),"")</f>
        <v/>
      </c>
      <c r="V376" s="257"/>
      <c r="W376" s="258"/>
      <c r="X376" s="87" t="str">
        <f>IF(SUM(AS371:AT371)=0,"",AT371&amp;":"&amp;AS371)</f>
        <v/>
      </c>
      <c r="Y376" s="88" t="str">
        <f>IF(SUM(AS372:AT372)=0,"",AT372&amp;":"&amp;AS372)</f>
        <v/>
      </c>
      <c r="Z376" s="89"/>
      <c r="AA376" s="249"/>
      <c r="AB376" s="252"/>
      <c r="AC376" s="252"/>
      <c r="AD376" s="255"/>
      <c r="AE376" s="10"/>
      <c r="AF376" s="12"/>
      <c r="AG376" s="1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row>
    <row r="377" spans="1:64" s="19" customFormat="1" ht="5.0999999999999996" customHeight="1" thickBot="1" x14ac:dyDescent="0.25">
      <c r="M377" s="90"/>
      <c r="O377" s="90"/>
      <c r="P377" s="90"/>
      <c r="Q377" s="91"/>
      <c r="R377" s="91"/>
      <c r="S377" s="91"/>
      <c r="T377" s="91"/>
      <c r="U377" s="5"/>
      <c r="V377" s="5"/>
      <c r="W377" s="5"/>
      <c r="AA377" s="92"/>
      <c r="AB377" s="91"/>
      <c r="AC377" s="91"/>
      <c r="AD377" s="91"/>
      <c r="AE377" s="91"/>
      <c r="AF377" s="91"/>
      <c r="AI377" s="93"/>
      <c r="AJ377" s="94"/>
      <c r="AK377" s="94"/>
    </row>
    <row r="378" spans="1:64" ht="11.45" customHeight="1" thickBot="1" x14ac:dyDescent="0.25">
      <c r="N378" s="11"/>
      <c r="O378" s="21">
        <v>3</v>
      </c>
      <c r="Q378" s="277" t="str">
        <f>"Grupa "&amp;O378&amp;"."</f>
        <v>Grupa 3.</v>
      </c>
      <c r="R378" s="277"/>
      <c r="S378" s="277"/>
      <c r="T378" s="22" t="s">
        <v>1</v>
      </c>
      <c r="U378" s="278" t="s">
        <v>2</v>
      </c>
      <c r="V378" s="279"/>
      <c r="W378" s="280"/>
      <c r="X378" s="22">
        <v>1</v>
      </c>
      <c r="Y378" s="23">
        <v>2</v>
      </c>
      <c r="Z378" s="24">
        <v>3</v>
      </c>
      <c r="AA378" s="25" t="s">
        <v>3</v>
      </c>
      <c r="AB378" s="26" t="s">
        <v>4</v>
      </c>
      <c r="AC378" s="26" t="s">
        <v>5</v>
      </c>
      <c r="AD378" s="27" t="s">
        <v>6</v>
      </c>
      <c r="AE378" s="2"/>
      <c r="AF378" s="12"/>
      <c r="AG378" s="12"/>
      <c r="BK378" s="19"/>
      <c r="BL378" s="20"/>
    </row>
    <row r="379" spans="1:64" ht="11.45" customHeight="1" x14ac:dyDescent="0.2">
      <c r="J379" s="28"/>
      <c r="K379" s="28"/>
      <c r="L379" s="28"/>
      <c r="N379" s="29" t="s">
        <v>77</v>
      </c>
      <c r="Q379" s="274" t="s">
        <v>7</v>
      </c>
      <c r="R379" s="274"/>
      <c r="S379" s="275" t="s">
        <v>8</v>
      </c>
      <c r="T379" s="276">
        <v>1</v>
      </c>
      <c r="U379" s="244" t="str">
        <f>IF(AND(N380&lt;&gt;"",N381&lt;&gt;""),CONCATENATE(VLOOKUP(N380,[2]zawodnicy!$A$1:$E$65536,1,FALSE)," ",VLOOKUP(N380,[2]zawodnicy!$A$1:$E$65536,2,FALSE)," ",VLOOKUP(N380,[2]zawodnicy!$A$1:$E$65536,3,FALSE)," - ",VLOOKUP(N380,[2]zawodnicy!$A$1:$E$65536,4,FALSE)),"")</f>
        <v/>
      </c>
      <c r="V379" s="245"/>
      <c r="W379" s="246"/>
      <c r="X379" s="30"/>
      <c r="Y379" s="31" t="str">
        <f>IF(SUM(AO384:AP384)=0,"",AO384&amp;":"&amp;AP384)</f>
        <v>14:21</v>
      </c>
      <c r="Z379" s="32" t="str">
        <f>IF(SUM(AO382:AP382)=0,"",AO382&amp;":"&amp;AP382)</f>
        <v>21:0</v>
      </c>
      <c r="AA379" s="270" t="str">
        <f>IF(SUM(AY382:BB382)=0,"",BE382&amp;":"&amp;BF382)</f>
        <v>76:43</v>
      </c>
      <c r="AB379" s="271" t="str">
        <f>IF(SUM(AY382:BB382)=0,"",BG382&amp;":"&amp;BH382)</f>
        <v>2:2</v>
      </c>
      <c r="AC379" s="271" t="str">
        <f>IF(SUM(AY382:BB382)=0,"",BI382&amp;":"&amp;BJ382)</f>
        <v>1:1</v>
      </c>
      <c r="AD379" s="272">
        <f>IF(SUM(BI382:BI384)&gt;0,BK382,"")</f>
        <v>2</v>
      </c>
      <c r="AE379" s="2"/>
      <c r="AF379" s="12"/>
      <c r="AG379" s="12"/>
      <c r="AH379" s="14"/>
      <c r="AI379" s="273" t="s">
        <v>9</v>
      </c>
      <c r="AJ379" s="273"/>
      <c r="AK379" s="273"/>
      <c r="AL379" s="273"/>
      <c r="AM379" s="273"/>
      <c r="AN379" s="273"/>
      <c r="AO379" s="273" t="s">
        <v>10</v>
      </c>
      <c r="AP379" s="273"/>
      <c r="AQ379" s="273"/>
      <c r="AR379" s="273"/>
      <c r="AS379" s="273"/>
      <c r="AT379" s="273"/>
      <c r="BK379" s="19"/>
      <c r="BL379" s="20"/>
    </row>
    <row r="380" spans="1:64" ht="11.45" customHeight="1" thickBot="1" x14ac:dyDescent="0.25">
      <c r="I380" s="2" t="str">
        <f>"1"&amp;O378&amp;N379</f>
        <v>13pojedyncza dziewcząt JM</v>
      </c>
      <c r="J380" s="10" t="str">
        <f>IF(AD379="","",IF(AD379=1,N380,IF(AD382=1,N383,IF(AD385=1,N386,""))))</f>
        <v>S3951</v>
      </c>
      <c r="K380" s="10">
        <f>IF(AD379="","",IF(AD379=1,N381,IF(AD382=1,N384,IF(AD385=1,N387,""))))</f>
        <v>0</v>
      </c>
      <c r="L380" s="10"/>
      <c r="N380" s="33" t="s">
        <v>84</v>
      </c>
      <c r="O380" s="34">
        <f>IF(O378&gt;0,(O378&amp;1)*1,"")</f>
        <v>31</v>
      </c>
      <c r="Q380" s="274"/>
      <c r="R380" s="274"/>
      <c r="S380" s="275"/>
      <c r="T380" s="242"/>
      <c r="U380" s="244" t="str">
        <f>IF(AND(N380&lt;&gt;"",N381=""),CONCATENATE(VLOOKUP(N380,[2]zawodnicy!$A$1:$E$65536,1,FALSE)," ",VLOOKUP(N380,[2]zawodnicy!$A$1:$E$65536,2,FALSE)," ",VLOOKUP(N380,[2]zawodnicy!$A$1:$E$65536,3,FALSE)," - ",VLOOKUP(N380,[2]zawodnicy!$A$1:$E$65536,4,FALSE)),"")</f>
        <v>J3786 Emilia JAWORSKA - MKS Spartakus Niepołomice</v>
      </c>
      <c r="V380" s="245"/>
      <c r="W380" s="246"/>
      <c r="X380" s="35"/>
      <c r="Y380" s="36" t="str">
        <f>IF(SUM(AQ384:AR384)=0,"",AQ384&amp;":"&amp;AR384)</f>
        <v>20:22</v>
      </c>
      <c r="Z380" s="37" t="str">
        <f>IF(SUM(AQ382:AR382)=0,"",AQ382&amp;":"&amp;AR382)</f>
        <v>21:0</v>
      </c>
      <c r="AA380" s="248"/>
      <c r="AB380" s="251"/>
      <c r="AC380" s="251"/>
      <c r="AD380" s="254"/>
      <c r="AE380" s="2"/>
      <c r="AF380" s="12"/>
      <c r="AG380" s="12"/>
      <c r="AH380" s="14"/>
      <c r="BE380" s="19">
        <f>SUM(BE382:BE384)</f>
        <v>161</v>
      </c>
      <c r="BF380" s="19">
        <f>SUM(BF382:BF384)</f>
        <v>161</v>
      </c>
      <c r="BG380" s="19">
        <f>SUM(BG382:BG384)</f>
        <v>6</v>
      </c>
      <c r="BH380" s="19">
        <f>SUM(BH382:BH384)</f>
        <v>6</v>
      </c>
      <c r="BK380" s="19"/>
      <c r="BL380" s="20"/>
    </row>
    <row r="381" spans="1:64" ht="11.45" customHeight="1" thickBot="1" x14ac:dyDescent="0.25">
      <c r="J381" s="10"/>
      <c r="K381" s="28"/>
      <c r="L381" s="28"/>
      <c r="N381" s="38"/>
      <c r="O381" s="28"/>
      <c r="P381" s="28"/>
      <c r="Q381" s="274"/>
      <c r="R381" s="274"/>
      <c r="S381" s="275"/>
      <c r="T381" s="261"/>
      <c r="U381" s="265" t="str">
        <f>IF(N381&lt;&gt;"",CONCATENATE(VLOOKUP(N381,[2]zawodnicy!$A$1:$E$65536,1,FALSE)," ",VLOOKUP(N381,[2]zawodnicy!$A$1:$E$65536,2,FALSE)," ",VLOOKUP(N381,[2]zawodnicy!$A$1:$E$65536,3,FALSE)," - ",VLOOKUP(N381,[2]zawodnicy!$A$1:$E$65536,4,FALSE)),"")</f>
        <v/>
      </c>
      <c r="V381" s="266"/>
      <c r="W381" s="267"/>
      <c r="X381" s="35"/>
      <c r="Y381" s="39" t="str">
        <f>IF(SUM(AS384:AT384)=0,"",AS384&amp;":"&amp;AT384)</f>
        <v/>
      </c>
      <c r="Z381" s="40" t="str">
        <f>IF(SUM(AS382:AT382)=0,"",AS382&amp;":"&amp;AT382)</f>
        <v/>
      </c>
      <c r="AA381" s="262"/>
      <c r="AB381" s="263"/>
      <c r="AC381" s="263"/>
      <c r="AD381" s="264"/>
      <c r="AE381" s="2"/>
      <c r="AF381" s="12"/>
      <c r="AG381" s="12"/>
      <c r="AH381" s="14"/>
      <c r="AI381" s="259" t="s">
        <v>12</v>
      </c>
      <c r="AJ381" s="269"/>
      <c r="AK381" s="268" t="s">
        <v>13</v>
      </c>
      <c r="AL381" s="269"/>
      <c r="AM381" s="268" t="s">
        <v>14</v>
      </c>
      <c r="AN381" s="260"/>
      <c r="AO381" s="259" t="s">
        <v>12</v>
      </c>
      <c r="AP381" s="269"/>
      <c r="AQ381" s="268" t="s">
        <v>13</v>
      </c>
      <c r="AR381" s="269"/>
      <c r="AS381" s="268" t="s">
        <v>14</v>
      </c>
      <c r="AT381" s="269"/>
      <c r="AU381" s="12"/>
      <c r="AV381" s="12"/>
      <c r="AW381" s="259">
        <v>1</v>
      </c>
      <c r="AX381" s="269"/>
      <c r="AY381" s="268">
        <v>2</v>
      </c>
      <c r="AZ381" s="269"/>
      <c r="BA381" s="268">
        <v>3</v>
      </c>
      <c r="BB381" s="260"/>
      <c r="BE381" s="259" t="s">
        <v>3</v>
      </c>
      <c r="BF381" s="260"/>
      <c r="BG381" s="259" t="s">
        <v>4</v>
      </c>
      <c r="BH381" s="260"/>
      <c r="BI381" s="259" t="s">
        <v>5</v>
      </c>
      <c r="BJ381" s="260"/>
      <c r="BK381" s="41" t="s">
        <v>6</v>
      </c>
      <c r="BL381" s="20"/>
    </row>
    <row r="382" spans="1:64" ht="11.45" customHeight="1" x14ac:dyDescent="0.2">
      <c r="A382" s="19">
        <f>S382</f>
        <v>20</v>
      </c>
      <c r="B382" s="2" t="str">
        <f>IF(N380="","",N380)</f>
        <v>J3786</v>
      </c>
      <c r="C382" s="2" t="str">
        <f>IF(N381="","",N381)</f>
        <v/>
      </c>
      <c r="D382" s="2" t="str">
        <f>IF(N386="","",N386)</f>
        <v>X67</v>
      </c>
      <c r="E382" s="2" t="str">
        <f>IF(N387="","",N387)</f>
        <v/>
      </c>
      <c r="I382" s="2" t="str">
        <f>"2"&amp;O378&amp;N379</f>
        <v>23pojedyncza dziewcząt JM</v>
      </c>
      <c r="J382" s="10" t="str">
        <f>IF(AD382="","",IF(AD379=2,N380,IF(AD382=2,N383,IF(AD385=2,N386,""))))</f>
        <v>J3786</v>
      </c>
      <c r="K382" s="10">
        <f>IF(AD382="","",IF(AD379=2,N381,IF(AD382=2,N384,IF(AD385=2,N387,""))))</f>
        <v>0</v>
      </c>
      <c r="M382" s="42" t="str">
        <f>N379</f>
        <v>pojedyncza dziewcząt JM</v>
      </c>
      <c r="O382" s="28"/>
      <c r="P382" s="28"/>
      <c r="Q382" s="43" t="str">
        <f>IF(AU382&gt;0,"",IF(A382=0,"",IF(VLOOKUP(A382,'[2]plan gier'!A$1:S$65536,19,FALSE)="","",VLOOKUP(A382,'[2]plan gier'!A$1:S$65536,19,FALSE))))</f>
        <v/>
      </c>
      <c r="R382" s="44" t="s">
        <v>15</v>
      </c>
      <c r="S382" s="45">
        <v>20</v>
      </c>
      <c r="T382" s="241">
        <v>2</v>
      </c>
      <c r="U382" s="244" t="str">
        <f>IF(AND(N383&lt;&gt;"",N384&lt;&gt;""),CONCATENATE(VLOOKUP(N383,[2]zawodnicy!$A$1:$E$65536,1,FALSE)," ",VLOOKUP(N383,[2]zawodnicy!$A$1:$E$65536,2,FALSE)," ",VLOOKUP(N383,[2]zawodnicy!$A$1:$E$65536,3,FALSE)," - ",VLOOKUP(N383,[2]zawodnicy!$A$1:$E$65536,4,FALSE)),"")</f>
        <v/>
      </c>
      <c r="V382" s="245"/>
      <c r="W382" s="246"/>
      <c r="X382" s="46" t="str">
        <f>IF(SUM(AO384:AP384)=0,"",AP384&amp;":"&amp;AO384)</f>
        <v>21:14</v>
      </c>
      <c r="Y382" s="47"/>
      <c r="Z382" s="48" t="str">
        <f>IF(SUM(AO383:AP383)=0,"",AO383&amp;":"&amp;AP383)</f>
        <v>21:0</v>
      </c>
      <c r="AA382" s="247" t="str">
        <f>IF(SUM(AW383:AX383,BA383:BB383)=0,"",BE383&amp;":"&amp;BF383)</f>
        <v>85:34</v>
      </c>
      <c r="AB382" s="250" t="str">
        <f>IF(SUM(AW383:AX383,BA383:BB383)=0,"",BG383&amp;":"&amp;BH383)</f>
        <v>4:0</v>
      </c>
      <c r="AC382" s="250" t="str">
        <f>IF(SUM(AW383:AX383,BA383:BB383)=0,"",BI383&amp;":"&amp;BJ383)</f>
        <v>2:0</v>
      </c>
      <c r="AD382" s="253">
        <f>IF(SUM(BI382:BI384)&gt;0,BK383,"")</f>
        <v>1</v>
      </c>
      <c r="AE382" s="2"/>
      <c r="AF382" s="12"/>
      <c r="AG382" s="12"/>
      <c r="AH382" s="44" t="s">
        <v>15</v>
      </c>
      <c r="AI382" s="49">
        <f>IF(ISBLANK(S382),"",VLOOKUP(S382,'[2]plan gier'!$X$1:$AN$65536,12,FALSE))</f>
        <v>21</v>
      </c>
      <c r="AJ382" s="50">
        <f>IF(ISBLANK(S382),"",VLOOKUP(S382,'[2]plan gier'!$X$1:$AN$65536,13,FALSE))</f>
        <v>0</v>
      </c>
      <c r="AK382" s="50">
        <f>IF(ISBLANK(S382),"",VLOOKUP(S382,'[2]plan gier'!$X$1:$AN$65536,14,FALSE))</f>
        <v>21</v>
      </c>
      <c r="AL382" s="50">
        <f>IF(ISBLANK(S382),"",VLOOKUP(S382,'[2]plan gier'!$X$1:$AN$65536,15,FALSE))</f>
        <v>0</v>
      </c>
      <c r="AM382" s="50">
        <f>IF(ISBLANK(S382),"",VLOOKUP(S382,'[2]plan gier'!$X$1:$AN$65536,16,FALSE))</f>
        <v>0</v>
      </c>
      <c r="AN382" s="50">
        <f>IF(ISBLANK(S382),"",VLOOKUP(S382,'[2]plan gier'!$X$1:$AN$65536,17,FALSE))</f>
        <v>0</v>
      </c>
      <c r="AO382" s="51">
        <f t="shared" ref="AO382:AT384" si="37">IF(AI382="",0,AI382)</f>
        <v>21</v>
      </c>
      <c r="AP382" s="52">
        <f t="shared" si="37"/>
        <v>0</v>
      </c>
      <c r="AQ382" s="53">
        <f t="shared" si="37"/>
        <v>21</v>
      </c>
      <c r="AR382" s="52">
        <f t="shared" si="37"/>
        <v>0</v>
      </c>
      <c r="AS382" s="53">
        <f t="shared" si="37"/>
        <v>0</v>
      </c>
      <c r="AT382" s="52">
        <f t="shared" si="37"/>
        <v>0</v>
      </c>
      <c r="AU382" s="54">
        <f>SUM(AO382:AT382)</f>
        <v>42</v>
      </c>
      <c r="AV382" s="13">
        <v>1</v>
      </c>
      <c r="AW382" s="55"/>
      <c r="AX382" s="56"/>
      <c r="AY382" s="50">
        <f>IF(AI384&gt;AJ384,1,0)+IF(AK384&gt;AL384,1,0)+IF(AM384&gt;AN384,1,0)</f>
        <v>0</v>
      </c>
      <c r="AZ382" s="50">
        <f>AW383</f>
        <v>2</v>
      </c>
      <c r="BA382" s="50">
        <f>IF(AI382&gt;AJ382,1,0)+IF(AK382&gt;AL382,1,0)+IF(AM382&gt;AN382,1,0)</f>
        <v>2</v>
      </c>
      <c r="BB382" s="57">
        <f>AW384</f>
        <v>0</v>
      </c>
      <c r="BE382" s="49">
        <f>AO382+AQ382+AS382+AO384+AQ384+AS384</f>
        <v>76</v>
      </c>
      <c r="BF382" s="57">
        <f>AP382+AR382+AT382+AP384+AR384+AT384</f>
        <v>43</v>
      </c>
      <c r="BG382" s="49">
        <f>AY382+BA382</f>
        <v>2</v>
      </c>
      <c r="BH382" s="57">
        <f>AZ382+BB382</f>
        <v>2</v>
      </c>
      <c r="BI382" s="49">
        <f>IF(AY382&gt;AZ382,1,0)+IF(BA382&gt;BB382,1,0)</f>
        <v>1</v>
      </c>
      <c r="BJ382" s="58">
        <f>IF(AZ382&gt;AY382,1,0)+IF(BB382&gt;BA382,1,0)</f>
        <v>1</v>
      </c>
      <c r="BK382" s="59">
        <f>IF(BI382+BJ382=0,"",IF(BL382=MAX(BL382:BL384),1,IF(BL382=MIN(BL382:BL384),3,2)))</f>
        <v>2</v>
      </c>
      <c r="BL382" s="60">
        <f>IF(BI382+BJ382&lt;&gt;0,BI382+1+(BG382-BH382)/100+(BE382-BF382)/100000+(BE382/BF382)/1000000,0)</f>
        <v>2.0003317674418604</v>
      </c>
    </row>
    <row r="383" spans="1:64" ht="11.45" customHeight="1" x14ac:dyDescent="0.2">
      <c r="A383" s="19">
        <f>S383</f>
        <v>85</v>
      </c>
      <c r="B383" s="2" t="str">
        <f>IF(N383="","",N383)</f>
        <v>S3951</v>
      </c>
      <c r="C383" s="2" t="str">
        <f>IF(N384="","",N384)</f>
        <v/>
      </c>
      <c r="D383" s="2" t="str">
        <f>IF(N386="","",N386)</f>
        <v>X67</v>
      </c>
      <c r="E383" s="2" t="str">
        <f>IF(N387="","",N387)</f>
        <v/>
      </c>
      <c r="J383" s="10"/>
      <c r="K383" s="19"/>
      <c r="M383" s="42" t="str">
        <f>N379</f>
        <v>pojedyncza dziewcząt JM</v>
      </c>
      <c r="N383" s="33" t="s">
        <v>85</v>
      </c>
      <c r="O383" s="34">
        <f>IF(O378&gt;0,(O378&amp;2)*1,"")</f>
        <v>32</v>
      </c>
      <c r="Q383" s="43" t="str">
        <f>IF(AU383&gt;0,"",IF(A383=0,"",IF(VLOOKUP(A383,'[2]plan gier'!A$1:S$65536,19,FALSE)="","",VLOOKUP(A383,'[2]plan gier'!A$1:S$65536,19,FALSE))))</f>
        <v/>
      </c>
      <c r="R383" s="44" t="s">
        <v>17</v>
      </c>
      <c r="S383" s="45">
        <v>85</v>
      </c>
      <c r="T383" s="242"/>
      <c r="U383" s="244" t="str">
        <f>IF(AND(N383&lt;&gt;"",N384=""),CONCATENATE(VLOOKUP(N383,[2]zawodnicy!$A$1:$E$65536,1,FALSE)," ",VLOOKUP(N383,[2]zawodnicy!$A$1:$E$65536,2,FALSE)," ",VLOOKUP(N383,[2]zawodnicy!$A$1:$E$65536,3,FALSE)," - ",VLOOKUP(N383,[2]zawodnicy!$A$1:$E$65536,4,FALSE)),"")</f>
        <v>S3951 Oliwia SOCHA - KS Chojnik Jelenia Góra</v>
      </c>
      <c r="V383" s="245"/>
      <c r="W383" s="246"/>
      <c r="X383" s="61" t="str">
        <f>IF(SUM(AQ384:AR384)=0,"",AR384&amp;":"&amp;AQ384)</f>
        <v>22:20</v>
      </c>
      <c r="Y383" s="62"/>
      <c r="Z383" s="37" t="str">
        <f>IF(SUM(AQ383:AR383)=0,"",AQ383&amp;":"&amp;AR383)</f>
        <v>21:0</v>
      </c>
      <c r="AA383" s="248"/>
      <c r="AB383" s="251"/>
      <c r="AC383" s="251"/>
      <c r="AD383" s="254"/>
      <c r="AE383" s="2"/>
      <c r="AF383" s="12"/>
      <c r="AG383" s="12"/>
      <c r="AH383" s="44" t="s">
        <v>17</v>
      </c>
      <c r="AI383" s="63">
        <f>IF(ISBLANK(S383),"",VLOOKUP(S383,'[2]plan gier'!$X$1:$AN$65536,12,FALSE))</f>
        <v>21</v>
      </c>
      <c r="AJ383" s="64">
        <f>IF(ISBLANK(S383),"",VLOOKUP(S383,'[2]plan gier'!$X$1:$AN$65536,13,FALSE))</f>
        <v>0</v>
      </c>
      <c r="AK383" s="64">
        <f>IF(ISBLANK(S383),"",VLOOKUP(S383,'[2]plan gier'!$X$1:$AN$65536,14,FALSE))</f>
        <v>21</v>
      </c>
      <c r="AL383" s="64">
        <f>IF(ISBLANK(S383),"",VLOOKUP(S383,'[2]plan gier'!$X$1:$AN$65536,15,FALSE))</f>
        <v>0</v>
      </c>
      <c r="AM383" s="64">
        <f>IF(ISBLANK(S383),"",VLOOKUP(S383,'[2]plan gier'!$X$1:$AN$65536,16,FALSE))</f>
        <v>0</v>
      </c>
      <c r="AN383" s="64">
        <f>IF(ISBLANK(S383),"",VLOOKUP(S383,'[2]plan gier'!$X$1:$AN$65536,17,FALSE))</f>
        <v>0</v>
      </c>
      <c r="AO383" s="65">
        <f t="shared" si="37"/>
        <v>21</v>
      </c>
      <c r="AP383" s="64">
        <f t="shared" si="37"/>
        <v>0</v>
      </c>
      <c r="AQ383" s="66">
        <f t="shared" si="37"/>
        <v>21</v>
      </c>
      <c r="AR383" s="64">
        <f t="shared" si="37"/>
        <v>0</v>
      </c>
      <c r="AS383" s="66">
        <f t="shared" si="37"/>
        <v>0</v>
      </c>
      <c r="AT383" s="64">
        <f t="shared" si="37"/>
        <v>0</v>
      </c>
      <c r="AU383" s="54">
        <f>SUM(AO383:AT383)</f>
        <v>42</v>
      </c>
      <c r="AV383" s="13">
        <v>2</v>
      </c>
      <c r="AW383" s="63">
        <f>IF(AI384&lt;AJ384,1,0)+IF(AK384&lt;AL384,1,0)+IF(AM384&lt;AN384,1,0)</f>
        <v>2</v>
      </c>
      <c r="AX383" s="64">
        <f>AY382</f>
        <v>0</v>
      </c>
      <c r="AY383" s="67"/>
      <c r="AZ383" s="68"/>
      <c r="BA383" s="64">
        <f>IF(AI383&gt;AJ383,1,0)+IF(AK383&gt;AL383,1,0)+IF(AM383&gt;AN383,1,0)</f>
        <v>2</v>
      </c>
      <c r="BB383" s="69">
        <f>AY384</f>
        <v>0</v>
      </c>
      <c r="BE383" s="63">
        <f>AO383+AQ383+AS383+AP384+AR384+AT384</f>
        <v>85</v>
      </c>
      <c r="BF383" s="69">
        <f>AP383+AR383+AT383+AO384+AQ384+AS384</f>
        <v>34</v>
      </c>
      <c r="BG383" s="63">
        <f>AW383+BA383</f>
        <v>4</v>
      </c>
      <c r="BH383" s="69">
        <f>AX383+BB383</f>
        <v>0</v>
      </c>
      <c r="BI383" s="63">
        <f>IF(AW383&gt;AX383,1,0)+IF(BA383&gt;BB383,1,0)</f>
        <v>2</v>
      </c>
      <c r="BJ383" s="70">
        <f>IF(AX383&gt;AW383,1,0)+IF(BB383&gt;BA383,1,0)</f>
        <v>0</v>
      </c>
      <c r="BK383" s="71">
        <f>IF(BI383+BJ383=0,"",IF(BL383=MAX(BL382:BL384),1,IF(BL383=MIN(BL382:BL384),3,2)))</f>
        <v>1</v>
      </c>
      <c r="BL383" s="60">
        <f>IF(BI383+BJ383&lt;&gt;0,BI383+1+(BG383-BH383)/100+(BE383-BF383)/100000+(BE383/BF383)/1000000,0)</f>
        <v>3.0405124999999997</v>
      </c>
    </row>
    <row r="384" spans="1:64" ht="11.45" customHeight="1" thickBot="1" x14ac:dyDescent="0.25">
      <c r="A384" s="19">
        <f>S384</f>
        <v>150</v>
      </c>
      <c r="B384" s="2" t="str">
        <f>IF(N380="","",N380)</f>
        <v>J3786</v>
      </c>
      <c r="C384" s="2" t="str">
        <f>IF(N381="","",N381)</f>
        <v/>
      </c>
      <c r="D384" s="2" t="str">
        <f>IF(N383="","",N383)</f>
        <v>S3951</v>
      </c>
      <c r="E384" s="2" t="str">
        <f>IF(N384="","",N384)</f>
        <v/>
      </c>
      <c r="I384" s="2" t="str">
        <f>"3"&amp;O378&amp;N379</f>
        <v>33pojedyncza dziewcząt JM</v>
      </c>
      <c r="J384" s="10" t="str">
        <f>IF(AD385="","",IF(AD379=3,N380,IF(AD382=3,N383,IF(AD385=3,N386,""))))</f>
        <v>X67</v>
      </c>
      <c r="K384" s="10">
        <f>IF(AD385="","",IF(AD379=3,N381,IF(AD382=3,N384,IF(AD385=3,N387,""))))</f>
        <v>0</v>
      </c>
      <c r="M384" s="42" t="str">
        <f>N379</f>
        <v>pojedyncza dziewcząt JM</v>
      </c>
      <c r="N384" s="38"/>
      <c r="O384" s="28"/>
      <c r="P384" s="28"/>
      <c r="Q384" s="43" t="str">
        <f>IF(AU384&gt;0,"",IF(A384=0,"",IF(VLOOKUP(A384,'[2]plan gier'!A$1:S$65536,19,FALSE)="","",VLOOKUP(A384,'[2]plan gier'!A$1:S$65536,19,FALSE))))</f>
        <v/>
      </c>
      <c r="R384" s="72" t="s">
        <v>18</v>
      </c>
      <c r="S384" s="45">
        <v>150</v>
      </c>
      <c r="T384" s="261"/>
      <c r="U384" s="265" t="str">
        <f>IF(N384&lt;&gt;"",CONCATENATE(VLOOKUP(N384,[2]zawodnicy!$A$1:$E$65536,1,FALSE)," ",VLOOKUP(N384,[2]zawodnicy!$A$1:$E$65536,2,FALSE)," ",VLOOKUP(N384,[2]zawodnicy!$A$1:$E$65536,3,FALSE)," - ",VLOOKUP(N384,[2]zawodnicy!$A$1:$E$65536,4,FALSE)),"")</f>
        <v/>
      </c>
      <c r="V384" s="266"/>
      <c r="W384" s="267"/>
      <c r="X384" s="73" t="str">
        <f>IF(SUM(AS384:AT384)=0,"",AT384&amp;":"&amp;AS384)</f>
        <v/>
      </c>
      <c r="Y384" s="62"/>
      <c r="Z384" s="40" t="str">
        <f>IF(SUM(AS383:AT383)=0,"",AS383&amp;":"&amp;AT383)</f>
        <v/>
      </c>
      <c r="AA384" s="262"/>
      <c r="AB384" s="263"/>
      <c r="AC384" s="263"/>
      <c r="AD384" s="264"/>
      <c r="AE384" s="2"/>
      <c r="AF384" s="12"/>
      <c r="AG384" s="12"/>
      <c r="AH384" s="72" t="s">
        <v>18</v>
      </c>
      <c r="AI384" s="74">
        <f>IF(ISBLANK(S384),"",VLOOKUP(S384,'[2]plan gier'!$X$1:$AN$65536,12,FALSE))</f>
        <v>14</v>
      </c>
      <c r="AJ384" s="75">
        <f>IF(ISBLANK(S384),"",VLOOKUP(S384,'[2]plan gier'!$X$1:$AN$65536,13,FALSE))</f>
        <v>21</v>
      </c>
      <c r="AK384" s="75">
        <f>IF(ISBLANK(S384),"",VLOOKUP(S384,'[2]plan gier'!$X$1:$AN$65536,14,FALSE))</f>
        <v>20</v>
      </c>
      <c r="AL384" s="75">
        <f>IF(ISBLANK(S384),"",VLOOKUP(S384,'[2]plan gier'!$X$1:$AN$65536,15,FALSE))</f>
        <v>22</v>
      </c>
      <c r="AM384" s="75">
        <f>IF(ISBLANK(S384),"",VLOOKUP(S384,'[2]plan gier'!$X$1:$AN$65536,16,FALSE))</f>
        <v>0</v>
      </c>
      <c r="AN384" s="75">
        <f>IF(ISBLANK(S384),"",VLOOKUP(S384,'[2]plan gier'!$X$1:$AN$65536,17,FALSE))</f>
        <v>0</v>
      </c>
      <c r="AO384" s="76">
        <f t="shared" si="37"/>
        <v>14</v>
      </c>
      <c r="AP384" s="75">
        <f t="shared" si="37"/>
        <v>21</v>
      </c>
      <c r="AQ384" s="77">
        <f t="shared" si="37"/>
        <v>20</v>
      </c>
      <c r="AR384" s="75">
        <f t="shared" si="37"/>
        <v>22</v>
      </c>
      <c r="AS384" s="77">
        <f t="shared" si="37"/>
        <v>0</v>
      </c>
      <c r="AT384" s="75">
        <f t="shared" si="37"/>
        <v>0</v>
      </c>
      <c r="AU384" s="54">
        <f>SUM(AO384:AT384)</f>
        <v>77</v>
      </c>
      <c r="AV384" s="13">
        <v>3</v>
      </c>
      <c r="AW384" s="74">
        <f>IF(AI382&lt;AJ382,1,0)+IF(AK382&lt;AL382,1,0)+IF(AM382&lt;AN382,1,0)</f>
        <v>0</v>
      </c>
      <c r="AX384" s="75">
        <f>BA382</f>
        <v>2</v>
      </c>
      <c r="AY384" s="75">
        <f>IF(AI383&lt;AJ383,1,0)+IF(AK383&lt;AL383,1,0)+IF(AM383&lt;AN383,1,0)</f>
        <v>0</v>
      </c>
      <c r="AZ384" s="75">
        <f>BA383</f>
        <v>2</v>
      </c>
      <c r="BA384" s="78"/>
      <c r="BB384" s="79"/>
      <c r="BE384" s="74">
        <f>AP382+AR382+AT382+AP383+AR383+AT383</f>
        <v>0</v>
      </c>
      <c r="BF384" s="80">
        <f>AO382+AQ382+AS382+AO383+AQ383+AS383</f>
        <v>84</v>
      </c>
      <c r="BG384" s="74">
        <f>AW384+AY384</f>
        <v>0</v>
      </c>
      <c r="BH384" s="80">
        <f>AX384+AZ384</f>
        <v>4</v>
      </c>
      <c r="BI384" s="74">
        <f>IF(AW384&gt;AX384,1,0)+IF(AY384&gt;AZ384,1,0)</f>
        <v>0</v>
      </c>
      <c r="BJ384" s="81">
        <f>IF(AX384&gt;AW384,1,0)+IF(AZ384&gt;AY384,1,0)</f>
        <v>2</v>
      </c>
      <c r="BK384" s="82">
        <f>IF(BI384+BJ384=0,"",IF(BL384=MAX(BL382:BL384),1,IF(BL384=MIN(BL382:BL384),3,2)))</f>
        <v>3</v>
      </c>
      <c r="BL384" s="60">
        <f>IF(BI384+BJ384&lt;&gt;0,BI384+1+(BG384-BH384)/100+(BE384-BF384)/100000+(BE384/BF384)/1000000,0)</f>
        <v>0.95916000000000001</v>
      </c>
    </row>
    <row r="385" spans="1:64" ht="11.45" customHeight="1" x14ac:dyDescent="0.2">
      <c r="A385" s="2"/>
      <c r="J385" s="28"/>
      <c r="K385" s="28"/>
      <c r="L385" s="28"/>
      <c r="O385" s="28"/>
      <c r="P385" s="28"/>
      <c r="Q385" s="2"/>
      <c r="R385" s="2"/>
      <c r="S385" s="2"/>
      <c r="T385" s="241">
        <v>3</v>
      </c>
      <c r="U385" s="244" t="str">
        <f>IF(AND(N386&lt;&gt;"",N387&lt;&gt;""),CONCATENATE(VLOOKUP(N386,[2]zawodnicy!$A$1:$E$65536,1,FALSE)," ",VLOOKUP(N386,[2]zawodnicy!$A$1:$E$65536,2,FALSE)," ",VLOOKUP(N386,[2]zawodnicy!$A$1:$E$65536,3,FALSE)," - ",VLOOKUP(N386,[2]zawodnicy!$A$1:$E$65536,4,FALSE)),"")</f>
        <v/>
      </c>
      <c r="V385" s="245"/>
      <c r="W385" s="246"/>
      <c r="X385" s="46" t="str">
        <f>IF(SUM(AO382:AP382)=0,"",AP382&amp;":"&amp;AO382)</f>
        <v>0:21</v>
      </c>
      <c r="Y385" s="83" t="str">
        <f>IF(SUM(AO383:AP383)=0,"",AP383&amp;":"&amp;AO383)</f>
        <v>0:21</v>
      </c>
      <c r="Z385" s="84"/>
      <c r="AA385" s="247" t="str">
        <f>IF(SUM(AW384:AZ384)=0,"",BE384&amp;":"&amp;BF384)</f>
        <v>0:84</v>
      </c>
      <c r="AB385" s="250" t="str">
        <f>IF(SUM(AW384:AZ384)=0,"",BG384&amp;":"&amp;BH384)</f>
        <v>0:4</v>
      </c>
      <c r="AC385" s="250" t="str">
        <f>IF(SUM(AW384:AZ384)=0,"",BI384&amp;":"&amp;BJ384)</f>
        <v>0:2</v>
      </c>
      <c r="AD385" s="253">
        <f>IF(SUM(BI382:BI384)&gt;0,BK384,"")</f>
        <v>3</v>
      </c>
      <c r="AE385" s="2"/>
      <c r="AF385" s="12"/>
      <c r="AG385" s="12"/>
      <c r="BE385" s="19">
        <f>SUM(BE382:BE384)</f>
        <v>161</v>
      </c>
      <c r="BF385" s="19">
        <f>SUM(BF382:BF384)</f>
        <v>161</v>
      </c>
      <c r="BG385" s="19">
        <f>SUM(BG382:BG384)</f>
        <v>6</v>
      </c>
      <c r="BH385" s="19">
        <f>SUM(BH382:BH384)</f>
        <v>6</v>
      </c>
      <c r="BK385" s="19"/>
      <c r="BL385" s="20"/>
    </row>
    <row r="386" spans="1:64" ht="11.45" customHeight="1" x14ac:dyDescent="0.2">
      <c r="A386" s="19"/>
      <c r="J386" s="19"/>
      <c r="K386" s="19"/>
      <c r="L386" s="19"/>
      <c r="N386" s="33" t="s">
        <v>86</v>
      </c>
      <c r="O386" s="34">
        <f>IF(O378&gt;0,(O378&amp;3)*1,"")</f>
        <v>33</v>
      </c>
      <c r="Q386" s="85"/>
      <c r="R386" s="85"/>
      <c r="S386" s="85"/>
      <c r="T386" s="242"/>
      <c r="U386" s="244" t="str">
        <f>IF(AND(N386&lt;&gt;"",N387=""),CONCATENATE(VLOOKUP(N386,[2]zawodnicy!$A$1:$E$65536,1,FALSE)," ",VLOOKUP(N386,[2]zawodnicy!$A$1:$E$65536,2,FALSE)," ",VLOOKUP(N386,[2]zawodnicy!$A$1:$E$65536,3,FALSE)," - ",VLOOKUP(N386,[2]zawodnicy!$A$1:$E$65536,4,FALSE)),"")</f>
        <v>X67 Katerina BORYSOV - Rosja</v>
      </c>
      <c r="V386" s="245"/>
      <c r="W386" s="246"/>
      <c r="X386" s="61" t="str">
        <f>IF(SUM(AQ382:AR382)=0,"",AR382&amp;":"&amp;AQ382)</f>
        <v>0:21</v>
      </c>
      <c r="Y386" s="36" t="str">
        <f>IF(SUM(AQ383:AR383)=0,"",AR383&amp;":"&amp;AQ383)</f>
        <v>0:21</v>
      </c>
      <c r="Z386" s="86"/>
      <c r="AA386" s="248"/>
      <c r="AB386" s="251"/>
      <c r="AC386" s="251"/>
      <c r="AD386" s="254"/>
      <c r="AE386" s="2"/>
      <c r="AF386" s="12"/>
      <c r="AG386" s="1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row>
    <row r="387" spans="1:64" ht="11.45" customHeight="1" thickBot="1" x14ac:dyDescent="0.25">
      <c r="A387" s="2"/>
      <c r="J387" s="28"/>
      <c r="K387" s="28"/>
      <c r="L387" s="28"/>
      <c r="N387" s="38"/>
      <c r="O387" s="28"/>
      <c r="P387" s="28"/>
      <c r="Q387" s="2"/>
      <c r="R387" s="2"/>
      <c r="S387" s="2"/>
      <c r="T387" s="243"/>
      <c r="U387" s="256" t="str">
        <f>IF(N387&lt;&gt;"",CONCATENATE(VLOOKUP(N387,[2]zawodnicy!$A$1:$E$65536,1,FALSE)," ",VLOOKUP(N387,[2]zawodnicy!$A$1:$E$65536,2,FALSE)," ",VLOOKUP(N387,[2]zawodnicy!$A$1:$E$65536,3,FALSE)," - ",VLOOKUP(N387,[2]zawodnicy!$A$1:$E$65536,4,FALSE)),"")</f>
        <v/>
      </c>
      <c r="V387" s="257"/>
      <c r="W387" s="258"/>
      <c r="X387" s="87" t="str">
        <f>IF(SUM(AS382:AT382)=0,"",AT382&amp;":"&amp;AS382)</f>
        <v/>
      </c>
      <c r="Y387" s="88" t="str">
        <f>IF(SUM(AS383:AT383)=0,"",AT383&amp;":"&amp;AS383)</f>
        <v/>
      </c>
      <c r="Z387" s="89"/>
      <c r="AA387" s="249"/>
      <c r="AB387" s="252"/>
      <c r="AC387" s="252"/>
      <c r="AD387" s="255"/>
      <c r="AE387" s="10"/>
      <c r="AF387" s="12"/>
      <c r="AG387" s="1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row>
    <row r="388" spans="1:64" s="19" customFormat="1" ht="5.0999999999999996" customHeight="1" thickBot="1" x14ac:dyDescent="0.25">
      <c r="M388" s="90"/>
      <c r="O388" s="90"/>
      <c r="P388" s="90"/>
      <c r="Q388" s="91"/>
      <c r="R388" s="91"/>
      <c r="S388" s="91"/>
      <c r="T388" s="91"/>
      <c r="U388" s="5"/>
      <c r="V388" s="5"/>
      <c r="W388" s="5"/>
      <c r="AA388" s="92"/>
      <c r="AB388" s="91"/>
      <c r="AC388" s="91"/>
      <c r="AD388" s="91"/>
      <c r="AE388" s="91"/>
      <c r="AF388" s="91"/>
      <c r="AI388" s="93"/>
      <c r="AJ388" s="94"/>
      <c r="AK388" s="94"/>
    </row>
    <row r="389" spans="1:64" ht="11.45" customHeight="1" thickBot="1" x14ac:dyDescent="0.25">
      <c r="N389" s="11"/>
      <c r="O389" s="21">
        <v>4</v>
      </c>
      <c r="Q389" s="277" t="str">
        <f>"Grupa "&amp;O389&amp;"."</f>
        <v>Grupa 4.</v>
      </c>
      <c r="R389" s="277"/>
      <c r="S389" s="277"/>
      <c r="T389" s="22" t="s">
        <v>1</v>
      </c>
      <c r="U389" s="278" t="s">
        <v>2</v>
      </c>
      <c r="V389" s="279"/>
      <c r="W389" s="280"/>
      <c r="X389" s="22">
        <v>1</v>
      </c>
      <c r="Y389" s="23">
        <v>2</v>
      </c>
      <c r="Z389" s="24">
        <v>3</v>
      </c>
      <c r="AA389" s="25" t="s">
        <v>3</v>
      </c>
      <c r="AB389" s="26" t="s">
        <v>4</v>
      </c>
      <c r="AC389" s="26" t="s">
        <v>5</v>
      </c>
      <c r="AD389" s="27" t="s">
        <v>6</v>
      </c>
      <c r="AE389" s="2"/>
      <c r="AF389" s="12"/>
      <c r="AG389" s="12"/>
      <c r="BK389" s="19"/>
      <c r="BL389" s="20"/>
    </row>
    <row r="390" spans="1:64" ht="11.45" customHeight="1" x14ac:dyDescent="0.2">
      <c r="J390" s="28"/>
      <c r="K390" s="28"/>
      <c r="L390" s="28"/>
      <c r="N390" s="29" t="s">
        <v>77</v>
      </c>
      <c r="Q390" s="274" t="s">
        <v>7</v>
      </c>
      <c r="R390" s="274"/>
      <c r="S390" s="275" t="s">
        <v>8</v>
      </c>
      <c r="T390" s="276">
        <v>1</v>
      </c>
      <c r="U390" s="244" t="str">
        <f>IF(AND(N391&lt;&gt;"",N392&lt;&gt;""),CONCATENATE(VLOOKUP(N391,[2]zawodnicy!$A$1:$E$65536,1,FALSE)," ",VLOOKUP(N391,[2]zawodnicy!$A$1:$E$65536,2,FALSE)," ",VLOOKUP(N391,[2]zawodnicy!$A$1:$E$65536,3,FALSE)," - ",VLOOKUP(N391,[2]zawodnicy!$A$1:$E$65536,4,FALSE)),"")</f>
        <v/>
      </c>
      <c r="V390" s="245"/>
      <c r="W390" s="246"/>
      <c r="X390" s="30"/>
      <c r="Y390" s="31" t="str">
        <f>IF(SUM(AO395:AP395)=0,"",AO395&amp;":"&amp;AP395)</f>
        <v>21:18</v>
      </c>
      <c r="Z390" s="32" t="str">
        <f>IF(SUM(AO393:AP393)=0,"",AO393&amp;":"&amp;AP393)</f>
        <v>21:18</v>
      </c>
      <c r="AA390" s="270" t="str">
        <f>IF(SUM(AY393:BB393)=0,"",BE393&amp;":"&amp;BF393)</f>
        <v>103:101</v>
      </c>
      <c r="AB390" s="271" t="str">
        <f>IF(SUM(AY393:BB393)=0,"",BG393&amp;":"&amp;BH393)</f>
        <v>3:2</v>
      </c>
      <c r="AC390" s="271" t="str">
        <f>IF(SUM(AY393:BB393)=0,"",BI393&amp;":"&amp;BJ393)</f>
        <v>1:1</v>
      </c>
      <c r="AD390" s="272">
        <f>IF(SUM(BI393:BI395)&gt;0,BK393,"")</f>
        <v>1</v>
      </c>
      <c r="AE390" s="2"/>
      <c r="AF390" s="12"/>
      <c r="AG390" s="12"/>
      <c r="AH390" s="14"/>
      <c r="AI390" s="273" t="s">
        <v>9</v>
      </c>
      <c r="AJ390" s="273"/>
      <c r="AK390" s="273"/>
      <c r="AL390" s="273"/>
      <c r="AM390" s="273"/>
      <c r="AN390" s="273"/>
      <c r="AO390" s="273" t="s">
        <v>10</v>
      </c>
      <c r="AP390" s="273"/>
      <c r="AQ390" s="273"/>
      <c r="AR390" s="273"/>
      <c r="AS390" s="273"/>
      <c r="AT390" s="273"/>
      <c r="BK390" s="19"/>
      <c r="BL390" s="20"/>
    </row>
    <row r="391" spans="1:64" ht="11.45" customHeight="1" thickBot="1" x14ac:dyDescent="0.25">
      <c r="I391" s="2" t="str">
        <f>"1"&amp;O389&amp;N390</f>
        <v>14pojedyncza dziewcząt JM</v>
      </c>
      <c r="J391" s="10" t="str">
        <f>IF(AD390="","",IF(AD390=1,N391,IF(AD393=1,N394,IF(AD396=1,N397,""))))</f>
        <v>I4204</v>
      </c>
      <c r="K391" s="10">
        <f>IF(AD390="","",IF(AD390=1,N392,IF(AD393=1,N395,IF(AD396=1,N398,""))))</f>
        <v>0</v>
      </c>
      <c r="L391" s="10"/>
      <c r="N391" s="33" t="s">
        <v>87</v>
      </c>
      <c r="O391" s="34">
        <f>IF(O389&gt;0,(O389&amp;1)*1,"")</f>
        <v>41</v>
      </c>
      <c r="Q391" s="274"/>
      <c r="R391" s="274"/>
      <c r="S391" s="275"/>
      <c r="T391" s="242"/>
      <c r="U391" s="244" t="str">
        <f>IF(AND(N391&lt;&gt;"",N392=""),CONCATENATE(VLOOKUP(N391,[2]zawodnicy!$A$1:$E$65536,1,FALSE)," ",VLOOKUP(N391,[2]zawodnicy!$A$1:$E$65536,2,FALSE)," ",VLOOKUP(N391,[2]zawodnicy!$A$1:$E$65536,3,FALSE)," - ",VLOOKUP(N391,[2]zawodnicy!$A$1:$E$65536,4,FALSE)),"")</f>
        <v>I4204 Agata ISKRA - UKS Unia Bieruń</v>
      </c>
      <c r="V391" s="245"/>
      <c r="W391" s="246"/>
      <c r="X391" s="35"/>
      <c r="Y391" s="36" t="str">
        <f>IF(SUM(AQ395:AR395)=0,"",AQ395&amp;":"&amp;AR395)</f>
        <v>23:21</v>
      </c>
      <c r="Z391" s="37" t="str">
        <f>IF(SUM(AQ393:AR393)=0,"",AQ393&amp;":"&amp;AR393)</f>
        <v>17:21</v>
      </c>
      <c r="AA391" s="248"/>
      <c r="AB391" s="251"/>
      <c r="AC391" s="251"/>
      <c r="AD391" s="254"/>
      <c r="AE391" s="2"/>
      <c r="AF391" s="12"/>
      <c r="AG391" s="12"/>
      <c r="AH391" s="14"/>
      <c r="BE391" s="19">
        <f>SUM(BE393:BE395)</f>
        <v>278</v>
      </c>
      <c r="BF391" s="19">
        <f>SUM(BF393:BF395)</f>
        <v>278</v>
      </c>
      <c r="BG391" s="19">
        <f>SUM(BG393:BG395)</f>
        <v>7</v>
      </c>
      <c r="BH391" s="19">
        <f>SUM(BH393:BH395)</f>
        <v>7</v>
      </c>
      <c r="BK391" s="19"/>
      <c r="BL391" s="20"/>
    </row>
    <row r="392" spans="1:64" ht="11.45" customHeight="1" thickBot="1" x14ac:dyDescent="0.25">
      <c r="J392" s="10"/>
      <c r="K392" s="28"/>
      <c r="L392" s="28"/>
      <c r="N392" s="38"/>
      <c r="O392" s="28"/>
      <c r="P392" s="28"/>
      <c r="Q392" s="274"/>
      <c r="R392" s="274"/>
      <c r="S392" s="275"/>
      <c r="T392" s="261"/>
      <c r="U392" s="265" t="str">
        <f>IF(N392&lt;&gt;"",CONCATENATE(VLOOKUP(N392,[2]zawodnicy!$A$1:$E$65536,1,FALSE)," ",VLOOKUP(N392,[2]zawodnicy!$A$1:$E$65536,2,FALSE)," ",VLOOKUP(N392,[2]zawodnicy!$A$1:$E$65536,3,FALSE)," - ",VLOOKUP(N392,[2]zawodnicy!$A$1:$E$65536,4,FALSE)),"")</f>
        <v/>
      </c>
      <c r="V392" s="266"/>
      <c r="W392" s="267"/>
      <c r="X392" s="35"/>
      <c r="Y392" s="39" t="str">
        <f>IF(SUM(AS395:AT395)=0,"",AS395&amp;":"&amp;AT395)</f>
        <v/>
      </c>
      <c r="Z392" s="40" t="str">
        <f>IF(SUM(AS393:AT393)=0,"",AS393&amp;":"&amp;AT393)</f>
        <v>21:23</v>
      </c>
      <c r="AA392" s="262"/>
      <c r="AB392" s="263"/>
      <c r="AC392" s="263"/>
      <c r="AD392" s="264"/>
      <c r="AE392" s="2"/>
      <c r="AF392" s="12"/>
      <c r="AG392" s="12"/>
      <c r="AH392" s="14"/>
      <c r="AI392" s="259" t="s">
        <v>12</v>
      </c>
      <c r="AJ392" s="269"/>
      <c r="AK392" s="268" t="s">
        <v>13</v>
      </c>
      <c r="AL392" s="269"/>
      <c r="AM392" s="268" t="s">
        <v>14</v>
      </c>
      <c r="AN392" s="260"/>
      <c r="AO392" s="259" t="s">
        <v>12</v>
      </c>
      <c r="AP392" s="269"/>
      <c r="AQ392" s="268" t="s">
        <v>13</v>
      </c>
      <c r="AR392" s="269"/>
      <c r="AS392" s="268" t="s">
        <v>14</v>
      </c>
      <c r="AT392" s="269"/>
      <c r="AU392" s="12"/>
      <c r="AV392" s="12"/>
      <c r="AW392" s="259">
        <v>1</v>
      </c>
      <c r="AX392" s="269"/>
      <c r="AY392" s="268">
        <v>2</v>
      </c>
      <c r="AZ392" s="269"/>
      <c r="BA392" s="268">
        <v>3</v>
      </c>
      <c r="BB392" s="260"/>
      <c r="BE392" s="259" t="s">
        <v>3</v>
      </c>
      <c r="BF392" s="260"/>
      <c r="BG392" s="259" t="s">
        <v>4</v>
      </c>
      <c r="BH392" s="260"/>
      <c r="BI392" s="259" t="s">
        <v>5</v>
      </c>
      <c r="BJ392" s="260"/>
      <c r="BK392" s="41" t="s">
        <v>6</v>
      </c>
      <c r="BL392" s="20"/>
    </row>
    <row r="393" spans="1:64" ht="11.45" customHeight="1" x14ac:dyDescent="0.2">
      <c r="A393" s="19">
        <f>S393</f>
        <v>21</v>
      </c>
      <c r="B393" s="2" t="str">
        <f>IF(N391="","",N391)</f>
        <v>I4204</v>
      </c>
      <c r="C393" s="2" t="str">
        <f>IF(N392="","",N392)</f>
        <v/>
      </c>
      <c r="D393" s="2" t="str">
        <f>IF(N397="","",N397)</f>
        <v>X09</v>
      </c>
      <c r="E393" s="2" t="str">
        <f>IF(N398="","",N398)</f>
        <v/>
      </c>
      <c r="I393" s="2" t="str">
        <f>"2"&amp;O389&amp;N390</f>
        <v>24pojedyncza dziewcząt JM</v>
      </c>
      <c r="J393" s="10" t="str">
        <f>IF(AD393="","",IF(AD390=2,N391,IF(AD393=2,N394,IF(AD396=2,N397,""))))</f>
        <v>R3686</v>
      </c>
      <c r="K393" s="10">
        <f>IF(AD393="","",IF(AD390=2,N392,IF(AD393=2,N395,IF(AD396=2,N398,""))))</f>
        <v>0</v>
      </c>
      <c r="M393" s="42" t="str">
        <f>N390</f>
        <v>pojedyncza dziewcząt JM</v>
      </c>
      <c r="O393" s="28"/>
      <c r="P393" s="28"/>
      <c r="Q393" s="43" t="str">
        <f>IF(AU393&gt;0,"",IF(A393=0,"",IF(VLOOKUP(A393,'[2]plan gier'!A$1:S$65536,19,FALSE)="","",VLOOKUP(A393,'[2]plan gier'!A$1:S$65536,19,FALSE))))</f>
        <v/>
      </c>
      <c r="R393" s="44" t="s">
        <v>15</v>
      </c>
      <c r="S393" s="45">
        <v>21</v>
      </c>
      <c r="T393" s="241">
        <v>2</v>
      </c>
      <c r="U393" s="244" t="str">
        <f>IF(AND(N394&lt;&gt;"",N395&lt;&gt;""),CONCATENATE(VLOOKUP(N394,[2]zawodnicy!$A$1:$E$65536,1,FALSE)," ",VLOOKUP(N394,[2]zawodnicy!$A$1:$E$65536,2,FALSE)," ",VLOOKUP(N394,[2]zawodnicy!$A$1:$E$65536,3,FALSE)," - ",VLOOKUP(N394,[2]zawodnicy!$A$1:$E$65536,4,FALSE)),"")</f>
        <v/>
      </c>
      <c r="V393" s="245"/>
      <c r="W393" s="246"/>
      <c r="X393" s="46" t="str">
        <f>IF(SUM(AO395:AP395)=0,"",AP395&amp;":"&amp;AO395)</f>
        <v>18:21</v>
      </c>
      <c r="Y393" s="47"/>
      <c r="Z393" s="48" t="str">
        <f>IF(SUM(AO394:AP394)=0,"",AO394&amp;":"&amp;AP394)</f>
        <v>21:19</v>
      </c>
      <c r="AA393" s="247" t="str">
        <f>IF(SUM(AW394:AX394,BA394:BB394)=0,"",BE394&amp;":"&amp;BF394)</f>
        <v>81:76</v>
      </c>
      <c r="AB393" s="250" t="str">
        <f>IF(SUM(AW394:AX394,BA394:BB394)=0,"",BG394&amp;":"&amp;BH394)</f>
        <v>2:2</v>
      </c>
      <c r="AC393" s="250" t="str">
        <f>IF(SUM(AW394:AX394,BA394:BB394)=0,"",BI394&amp;":"&amp;BJ394)</f>
        <v>1:1</v>
      </c>
      <c r="AD393" s="253">
        <f>IF(SUM(BI393:BI395)&gt;0,BK394,"")</f>
        <v>2</v>
      </c>
      <c r="AE393" s="2"/>
      <c r="AF393" s="12"/>
      <c r="AG393" s="12"/>
      <c r="AH393" s="44" t="s">
        <v>15</v>
      </c>
      <c r="AI393" s="49">
        <f>IF(ISBLANK(S393),"",VLOOKUP(S393,'[2]plan gier'!$X$1:$AN$65536,12,FALSE))</f>
        <v>21</v>
      </c>
      <c r="AJ393" s="50">
        <f>IF(ISBLANK(S393),"",VLOOKUP(S393,'[2]plan gier'!$X$1:$AN$65536,13,FALSE))</f>
        <v>18</v>
      </c>
      <c r="AK393" s="50">
        <f>IF(ISBLANK(S393),"",VLOOKUP(S393,'[2]plan gier'!$X$1:$AN$65536,14,FALSE))</f>
        <v>17</v>
      </c>
      <c r="AL393" s="50">
        <f>IF(ISBLANK(S393),"",VLOOKUP(S393,'[2]plan gier'!$X$1:$AN$65536,15,FALSE))</f>
        <v>21</v>
      </c>
      <c r="AM393" s="50">
        <f>IF(ISBLANK(S393),"",VLOOKUP(S393,'[2]plan gier'!$X$1:$AN$65536,16,FALSE))</f>
        <v>21</v>
      </c>
      <c r="AN393" s="50">
        <f>IF(ISBLANK(S393),"",VLOOKUP(S393,'[2]plan gier'!$X$1:$AN$65536,17,FALSE))</f>
        <v>23</v>
      </c>
      <c r="AO393" s="51">
        <f t="shared" ref="AO393:AT395" si="38">IF(AI393="",0,AI393)</f>
        <v>21</v>
      </c>
      <c r="AP393" s="52">
        <f t="shared" si="38"/>
        <v>18</v>
      </c>
      <c r="AQ393" s="53">
        <f t="shared" si="38"/>
        <v>17</v>
      </c>
      <c r="AR393" s="52">
        <f t="shared" si="38"/>
        <v>21</v>
      </c>
      <c r="AS393" s="53">
        <f t="shared" si="38"/>
        <v>21</v>
      </c>
      <c r="AT393" s="52">
        <f t="shared" si="38"/>
        <v>23</v>
      </c>
      <c r="AU393" s="54">
        <f>SUM(AO393:AT393)</f>
        <v>121</v>
      </c>
      <c r="AV393" s="13">
        <v>1</v>
      </c>
      <c r="AW393" s="55"/>
      <c r="AX393" s="56"/>
      <c r="AY393" s="50">
        <f>IF(AI395&gt;AJ395,1,0)+IF(AK395&gt;AL395,1,0)+IF(AM395&gt;AN395,1,0)</f>
        <v>2</v>
      </c>
      <c r="AZ393" s="50">
        <f>AW394</f>
        <v>0</v>
      </c>
      <c r="BA393" s="50">
        <f>IF(AI393&gt;AJ393,1,0)+IF(AK393&gt;AL393,1,0)+IF(AM393&gt;AN393,1,0)</f>
        <v>1</v>
      </c>
      <c r="BB393" s="57">
        <f>AW395</f>
        <v>2</v>
      </c>
      <c r="BE393" s="49">
        <f>AO393+AQ393+AS393+AO395+AQ395+AS395</f>
        <v>103</v>
      </c>
      <c r="BF393" s="57">
        <f>AP393+AR393+AT393+AP395+AR395+AT395</f>
        <v>101</v>
      </c>
      <c r="BG393" s="49">
        <f>AY393+BA393</f>
        <v>3</v>
      </c>
      <c r="BH393" s="57">
        <f>AZ393+BB393</f>
        <v>2</v>
      </c>
      <c r="BI393" s="49">
        <f>IF(AY393&gt;AZ393,1,0)+IF(BA393&gt;BB393,1,0)</f>
        <v>1</v>
      </c>
      <c r="BJ393" s="58">
        <f>IF(AZ393&gt;AY393,1,0)+IF(BB393&gt;BA393,1,0)</f>
        <v>1</v>
      </c>
      <c r="BK393" s="59">
        <f>IF(BI393+BJ393=0,"",IF(BL393=MAX(BL393:BL395),1,IF(BL393=MIN(BL393:BL395),3,2)))</f>
        <v>1</v>
      </c>
      <c r="BL393" s="60">
        <f>IF(BI393+BJ393&lt;&gt;0,BI393+1+(BG393-BH393)/100+(BE393-BF393)/100000+(BE393/BF393)/1000000,0)</f>
        <v>2.0100210198019801</v>
      </c>
    </row>
    <row r="394" spans="1:64" ht="11.45" customHeight="1" x14ac:dyDescent="0.2">
      <c r="A394" s="19">
        <f>S394</f>
        <v>86</v>
      </c>
      <c r="B394" s="2" t="str">
        <f>IF(N394="","",N394)</f>
        <v>R3686</v>
      </c>
      <c r="C394" s="2" t="str">
        <f>IF(N395="","",N395)</f>
        <v/>
      </c>
      <c r="D394" s="2" t="str">
        <f>IF(N397="","",N397)</f>
        <v>X09</v>
      </c>
      <c r="E394" s="2" t="str">
        <f>IF(N398="","",N398)</f>
        <v/>
      </c>
      <c r="J394" s="10"/>
      <c r="K394" s="19"/>
      <c r="M394" s="42" t="str">
        <f>N390</f>
        <v>pojedyncza dziewcząt JM</v>
      </c>
      <c r="N394" s="33" t="s">
        <v>88</v>
      </c>
      <c r="O394" s="34">
        <f>IF(O389&gt;0,(O389&amp;2)*1,"")</f>
        <v>42</v>
      </c>
      <c r="Q394" s="43" t="str">
        <f>IF(AU394&gt;0,"",IF(A394=0,"",IF(VLOOKUP(A394,'[2]plan gier'!A$1:S$65536,19,FALSE)="","",VLOOKUP(A394,'[2]plan gier'!A$1:S$65536,19,FALSE))))</f>
        <v/>
      </c>
      <c r="R394" s="44" t="s">
        <v>17</v>
      </c>
      <c r="S394" s="45">
        <v>86</v>
      </c>
      <c r="T394" s="242"/>
      <c r="U394" s="244" t="str">
        <f>IF(AND(N394&lt;&gt;"",N395=""),CONCATENATE(VLOOKUP(N394,[2]zawodnicy!$A$1:$E$65536,1,FALSE)," ",VLOOKUP(N394,[2]zawodnicy!$A$1:$E$65536,2,FALSE)," ",VLOOKUP(N394,[2]zawodnicy!$A$1:$E$65536,3,FALSE)," - ",VLOOKUP(N394,[2]zawodnicy!$A$1:$E$65536,4,FALSE)),"")</f>
        <v>R3686 Julita RYBAŁT - UKS Hubal Białystok</v>
      </c>
      <c r="V394" s="245"/>
      <c r="W394" s="246"/>
      <c r="X394" s="61" t="str">
        <f>IF(SUM(AQ395:AR395)=0,"",AR395&amp;":"&amp;AQ395)</f>
        <v>21:23</v>
      </c>
      <c r="Y394" s="62"/>
      <c r="Z394" s="37" t="str">
        <f>IF(SUM(AQ394:AR394)=0,"",AQ394&amp;":"&amp;AR394)</f>
        <v>21:13</v>
      </c>
      <c r="AA394" s="248"/>
      <c r="AB394" s="251"/>
      <c r="AC394" s="251"/>
      <c r="AD394" s="254"/>
      <c r="AE394" s="2"/>
      <c r="AF394" s="12"/>
      <c r="AG394" s="12"/>
      <c r="AH394" s="44" t="s">
        <v>17</v>
      </c>
      <c r="AI394" s="63">
        <f>IF(ISBLANK(S394),"",VLOOKUP(S394,'[2]plan gier'!$X$1:$AN$65536,12,FALSE))</f>
        <v>21</v>
      </c>
      <c r="AJ394" s="64">
        <f>IF(ISBLANK(S394),"",VLOOKUP(S394,'[2]plan gier'!$X$1:$AN$65536,13,FALSE))</f>
        <v>19</v>
      </c>
      <c r="AK394" s="64">
        <f>IF(ISBLANK(S394),"",VLOOKUP(S394,'[2]plan gier'!$X$1:$AN$65536,14,FALSE))</f>
        <v>21</v>
      </c>
      <c r="AL394" s="64">
        <f>IF(ISBLANK(S394),"",VLOOKUP(S394,'[2]plan gier'!$X$1:$AN$65536,15,FALSE))</f>
        <v>13</v>
      </c>
      <c r="AM394" s="64">
        <f>IF(ISBLANK(S394),"",VLOOKUP(S394,'[2]plan gier'!$X$1:$AN$65536,16,FALSE))</f>
        <v>0</v>
      </c>
      <c r="AN394" s="64">
        <f>IF(ISBLANK(S394),"",VLOOKUP(S394,'[2]plan gier'!$X$1:$AN$65536,17,FALSE))</f>
        <v>0</v>
      </c>
      <c r="AO394" s="65">
        <f t="shared" si="38"/>
        <v>21</v>
      </c>
      <c r="AP394" s="64">
        <f t="shared" si="38"/>
        <v>19</v>
      </c>
      <c r="AQ394" s="66">
        <f t="shared" si="38"/>
        <v>21</v>
      </c>
      <c r="AR394" s="64">
        <f t="shared" si="38"/>
        <v>13</v>
      </c>
      <c r="AS394" s="66">
        <f t="shared" si="38"/>
        <v>0</v>
      </c>
      <c r="AT394" s="64">
        <f t="shared" si="38"/>
        <v>0</v>
      </c>
      <c r="AU394" s="54">
        <f>SUM(AO394:AT394)</f>
        <v>74</v>
      </c>
      <c r="AV394" s="13">
        <v>2</v>
      </c>
      <c r="AW394" s="63">
        <f>IF(AI395&lt;AJ395,1,0)+IF(AK395&lt;AL395,1,0)+IF(AM395&lt;AN395,1,0)</f>
        <v>0</v>
      </c>
      <c r="AX394" s="64">
        <f>AY393</f>
        <v>2</v>
      </c>
      <c r="AY394" s="67"/>
      <c r="AZ394" s="68"/>
      <c r="BA394" s="64">
        <f>IF(AI394&gt;AJ394,1,0)+IF(AK394&gt;AL394,1,0)+IF(AM394&gt;AN394,1,0)</f>
        <v>2</v>
      </c>
      <c r="BB394" s="69">
        <f>AY395</f>
        <v>0</v>
      </c>
      <c r="BE394" s="63">
        <f>AO394+AQ394+AS394+AP395+AR395+AT395</f>
        <v>81</v>
      </c>
      <c r="BF394" s="69">
        <f>AP394+AR394+AT394+AO395+AQ395+AS395</f>
        <v>76</v>
      </c>
      <c r="BG394" s="63">
        <f>AW394+BA394</f>
        <v>2</v>
      </c>
      <c r="BH394" s="69">
        <f>AX394+BB394</f>
        <v>2</v>
      </c>
      <c r="BI394" s="63">
        <f>IF(AW394&gt;AX394,1,0)+IF(BA394&gt;BB394,1,0)</f>
        <v>1</v>
      </c>
      <c r="BJ394" s="70">
        <f>IF(AX394&gt;AW394,1,0)+IF(BB394&gt;BA394,1,0)</f>
        <v>1</v>
      </c>
      <c r="BK394" s="71">
        <f>IF(BI394+BJ394=0,"",IF(BL394=MAX(BL393:BL395),1,IF(BL394=MIN(BL393:BL395),3,2)))</f>
        <v>2</v>
      </c>
      <c r="BL394" s="60">
        <f>IF(BI394+BJ394&lt;&gt;0,BI394+1+(BG394-BH394)/100+(BE394-BF394)/100000+(BE394/BF394)/1000000,0)</f>
        <v>2.0000510657894734</v>
      </c>
    </row>
    <row r="395" spans="1:64" ht="11.45" customHeight="1" thickBot="1" x14ac:dyDescent="0.25">
      <c r="A395" s="19">
        <f>S395</f>
        <v>151</v>
      </c>
      <c r="B395" s="2" t="str">
        <f>IF(N391="","",N391)</f>
        <v>I4204</v>
      </c>
      <c r="C395" s="2" t="str">
        <f>IF(N392="","",N392)</f>
        <v/>
      </c>
      <c r="D395" s="2" t="str">
        <f>IF(N394="","",N394)</f>
        <v>R3686</v>
      </c>
      <c r="E395" s="2" t="str">
        <f>IF(N395="","",N395)</f>
        <v/>
      </c>
      <c r="I395" s="2" t="str">
        <f>"3"&amp;O389&amp;N390</f>
        <v>34pojedyncza dziewcząt JM</v>
      </c>
      <c r="J395" s="10" t="str">
        <f>IF(AD396="","",IF(AD390=3,N391,IF(AD393=3,N394,IF(AD396=3,N397,""))))</f>
        <v>X09</v>
      </c>
      <c r="K395" s="10">
        <f>IF(AD396="","",IF(AD390=3,N392,IF(AD393=3,N395,IF(AD396=3,N398,""))))</f>
        <v>0</v>
      </c>
      <c r="M395" s="42" t="str">
        <f>N390</f>
        <v>pojedyncza dziewcząt JM</v>
      </c>
      <c r="N395" s="38"/>
      <c r="O395" s="28"/>
      <c r="P395" s="28"/>
      <c r="Q395" s="43" t="str">
        <f>IF(AU395&gt;0,"",IF(A395=0,"",IF(VLOOKUP(A395,'[2]plan gier'!A$1:S$65536,19,FALSE)="","",VLOOKUP(A395,'[2]plan gier'!A$1:S$65536,19,FALSE))))</f>
        <v/>
      </c>
      <c r="R395" s="72" t="s">
        <v>18</v>
      </c>
      <c r="S395" s="45">
        <v>151</v>
      </c>
      <c r="T395" s="261"/>
      <c r="U395" s="265" t="str">
        <f>IF(N395&lt;&gt;"",CONCATENATE(VLOOKUP(N395,[2]zawodnicy!$A$1:$E$65536,1,FALSE)," ",VLOOKUP(N395,[2]zawodnicy!$A$1:$E$65536,2,FALSE)," ",VLOOKUP(N395,[2]zawodnicy!$A$1:$E$65536,3,FALSE)," - ",VLOOKUP(N395,[2]zawodnicy!$A$1:$E$65536,4,FALSE)),"")</f>
        <v/>
      </c>
      <c r="V395" s="266"/>
      <c r="W395" s="267"/>
      <c r="X395" s="73" t="str">
        <f>IF(SUM(AS395:AT395)=0,"",AT395&amp;":"&amp;AS395)</f>
        <v/>
      </c>
      <c r="Y395" s="62"/>
      <c r="Z395" s="40" t="str">
        <f>IF(SUM(AS394:AT394)=0,"",AS394&amp;":"&amp;AT394)</f>
        <v/>
      </c>
      <c r="AA395" s="262"/>
      <c r="AB395" s="263"/>
      <c r="AC395" s="263"/>
      <c r="AD395" s="264"/>
      <c r="AE395" s="2"/>
      <c r="AF395" s="12"/>
      <c r="AG395" s="12"/>
      <c r="AH395" s="72" t="s">
        <v>18</v>
      </c>
      <c r="AI395" s="74">
        <f>IF(ISBLANK(S395),"",VLOOKUP(S395,'[2]plan gier'!$X$1:$AN$65536,12,FALSE))</f>
        <v>21</v>
      </c>
      <c r="AJ395" s="75">
        <f>IF(ISBLANK(S395),"",VLOOKUP(S395,'[2]plan gier'!$X$1:$AN$65536,13,FALSE))</f>
        <v>18</v>
      </c>
      <c r="AK395" s="75">
        <f>IF(ISBLANK(S395),"",VLOOKUP(S395,'[2]plan gier'!$X$1:$AN$65536,14,FALSE))</f>
        <v>23</v>
      </c>
      <c r="AL395" s="75">
        <f>IF(ISBLANK(S395),"",VLOOKUP(S395,'[2]plan gier'!$X$1:$AN$65536,15,FALSE))</f>
        <v>21</v>
      </c>
      <c r="AM395" s="75">
        <f>IF(ISBLANK(S395),"",VLOOKUP(S395,'[2]plan gier'!$X$1:$AN$65536,16,FALSE))</f>
        <v>0</v>
      </c>
      <c r="AN395" s="75">
        <f>IF(ISBLANK(S395),"",VLOOKUP(S395,'[2]plan gier'!$X$1:$AN$65536,17,FALSE))</f>
        <v>0</v>
      </c>
      <c r="AO395" s="76">
        <f t="shared" si="38"/>
        <v>21</v>
      </c>
      <c r="AP395" s="75">
        <f t="shared" si="38"/>
        <v>18</v>
      </c>
      <c r="AQ395" s="77">
        <f t="shared" si="38"/>
        <v>23</v>
      </c>
      <c r="AR395" s="75">
        <f t="shared" si="38"/>
        <v>21</v>
      </c>
      <c r="AS395" s="77">
        <f t="shared" si="38"/>
        <v>0</v>
      </c>
      <c r="AT395" s="75">
        <f t="shared" si="38"/>
        <v>0</v>
      </c>
      <c r="AU395" s="54">
        <f>SUM(AO395:AT395)</f>
        <v>83</v>
      </c>
      <c r="AV395" s="13">
        <v>3</v>
      </c>
      <c r="AW395" s="74">
        <f>IF(AI393&lt;AJ393,1,0)+IF(AK393&lt;AL393,1,0)+IF(AM393&lt;AN393,1,0)</f>
        <v>2</v>
      </c>
      <c r="AX395" s="75">
        <f>BA393</f>
        <v>1</v>
      </c>
      <c r="AY395" s="75">
        <f>IF(AI394&lt;AJ394,1,0)+IF(AK394&lt;AL394,1,0)+IF(AM394&lt;AN394,1,0)</f>
        <v>0</v>
      </c>
      <c r="AZ395" s="75">
        <f>BA394</f>
        <v>2</v>
      </c>
      <c r="BA395" s="78"/>
      <c r="BB395" s="79"/>
      <c r="BE395" s="74">
        <f>AP393+AR393+AT393+AP394+AR394+AT394</f>
        <v>94</v>
      </c>
      <c r="BF395" s="80">
        <f>AO393+AQ393+AS393+AO394+AQ394+AS394</f>
        <v>101</v>
      </c>
      <c r="BG395" s="74">
        <f>AW395+AY395</f>
        <v>2</v>
      </c>
      <c r="BH395" s="80">
        <f>AX395+AZ395</f>
        <v>3</v>
      </c>
      <c r="BI395" s="74">
        <f>IF(AW395&gt;AX395,1,0)+IF(AY395&gt;AZ395,1,0)</f>
        <v>1</v>
      </c>
      <c r="BJ395" s="81">
        <f>IF(AX395&gt;AW395,1,0)+IF(AZ395&gt;AY395,1,0)</f>
        <v>1</v>
      </c>
      <c r="BK395" s="82">
        <f>IF(BI395+BJ395=0,"",IF(BL395=MAX(BL393:BL395),1,IF(BL395=MIN(BL393:BL395),3,2)))</f>
        <v>3</v>
      </c>
      <c r="BL395" s="60">
        <f>IF(BI395+BJ395&lt;&gt;0,BI395+1+(BG395-BH395)/100+(BE395-BF395)/100000+(BE395/BF395)/1000000,0)</f>
        <v>1.9899309306930693</v>
      </c>
    </row>
    <row r="396" spans="1:64" ht="11.45" customHeight="1" x14ac:dyDescent="0.2">
      <c r="A396" s="2"/>
      <c r="J396" s="28"/>
      <c r="K396" s="28"/>
      <c r="L396" s="28"/>
      <c r="O396" s="28"/>
      <c r="P396" s="28"/>
      <c r="Q396" s="2"/>
      <c r="R396" s="2"/>
      <c r="S396" s="2"/>
      <c r="T396" s="241">
        <v>3</v>
      </c>
      <c r="U396" s="244" t="str">
        <f>IF(AND(N397&lt;&gt;"",N398&lt;&gt;""),CONCATENATE(VLOOKUP(N397,[2]zawodnicy!$A$1:$E$65536,1,FALSE)," ",VLOOKUP(N397,[2]zawodnicy!$A$1:$E$65536,2,FALSE)," ",VLOOKUP(N397,[2]zawodnicy!$A$1:$E$65536,3,FALSE)," - ",VLOOKUP(N397,[2]zawodnicy!$A$1:$E$65536,4,FALSE)),"")</f>
        <v/>
      </c>
      <c r="V396" s="245"/>
      <c r="W396" s="246"/>
      <c r="X396" s="46" t="str">
        <f>IF(SUM(AO393:AP393)=0,"",AP393&amp;":"&amp;AO393)</f>
        <v>18:21</v>
      </c>
      <c r="Y396" s="83" t="str">
        <f>IF(SUM(AO394:AP394)=0,"",AP394&amp;":"&amp;AO394)</f>
        <v>19:21</v>
      </c>
      <c r="Z396" s="84"/>
      <c r="AA396" s="247" t="str">
        <f>IF(SUM(AW395:AZ395)=0,"",BE395&amp;":"&amp;BF395)</f>
        <v>94:101</v>
      </c>
      <c r="AB396" s="250" t="str">
        <f>IF(SUM(AW395:AZ395)=0,"",BG395&amp;":"&amp;BH395)</f>
        <v>2:3</v>
      </c>
      <c r="AC396" s="250" t="str">
        <f>IF(SUM(AW395:AZ395)=0,"",BI395&amp;":"&amp;BJ395)</f>
        <v>1:1</v>
      </c>
      <c r="AD396" s="253">
        <f>IF(SUM(BI393:BI395)&gt;0,BK395,"")</f>
        <v>3</v>
      </c>
      <c r="AE396" s="2"/>
      <c r="AF396" s="12"/>
      <c r="AG396" s="12"/>
      <c r="BE396" s="19">
        <f>SUM(BE393:BE395)</f>
        <v>278</v>
      </c>
      <c r="BF396" s="19">
        <f>SUM(BF393:BF395)</f>
        <v>278</v>
      </c>
      <c r="BG396" s="19">
        <f>SUM(BG393:BG395)</f>
        <v>7</v>
      </c>
      <c r="BH396" s="19">
        <f>SUM(BH393:BH395)</f>
        <v>7</v>
      </c>
      <c r="BK396" s="19"/>
      <c r="BL396" s="20"/>
    </row>
    <row r="397" spans="1:64" ht="11.45" customHeight="1" x14ac:dyDescent="0.2">
      <c r="A397" s="19"/>
      <c r="J397" s="19"/>
      <c r="K397" s="19"/>
      <c r="L397" s="19"/>
      <c r="N397" s="33" t="s">
        <v>89</v>
      </c>
      <c r="O397" s="34">
        <f>IF(O389&gt;0,(O389&amp;3)*1,"")</f>
        <v>43</v>
      </c>
      <c r="Q397" s="85"/>
      <c r="R397" s="85"/>
      <c r="S397" s="85"/>
      <c r="T397" s="242"/>
      <c r="U397" s="244" t="str">
        <f>IF(AND(N397&lt;&gt;"",N398=""),CONCATENATE(VLOOKUP(N397,[2]zawodnicy!$A$1:$E$65536,1,FALSE)," ",VLOOKUP(N397,[2]zawodnicy!$A$1:$E$65536,2,FALSE)," ",VLOOKUP(N397,[2]zawodnicy!$A$1:$E$65536,3,FALSE)," - ",VLOOKUP(N397,[2]zawodnicy!$A$1:$E$65536,4,FALSE)),"")</f>
        <v>X09 Mariana VERBITSKA - Brześć Białoruś</v>
      </c>
      <c r="V397" s="245"/>
      <c r="W397" s="246"/>
      <c r="X397" s="61" t="str">
        <f>IF(SUM(AQ393:AR393)=0,"",AR393&amp;":"&amp;AQ393)</f>
        <v>21:17</v>
      </c>
      <c r="Y397" s="36" t="str">
        <f>IF(SUM(AQ394:AR394)=0,"",AR394&amp;":"&amp;AQ394)</f>
        <v>13:21</v>
      </c>
      <c r="Z397" s="86"/>
      <c r="AA397" s="248"/>
      <c r="AB397" s="251"/>
      <c r="AC397" s="251"/>
      <c r="AD397" s="254"/>
      <c r="AE397" s="2"/>
      <c r="AF397" s="12"/>
      <c r="AG397" s="1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row>
    <row r="398" spans="1:64" ht="11.45" customHeight="1" thickBot="1" x14ac:dyDescent="0.25">
      <c r="A398" s="2"/>
      <c r="J398" s="28"/>
      <c r="K398" s="28"/>
      <c r="L398" s="28"/>
      <c r="N398" s="38"/>
      <c r="O398" s="28"/>
      <c r="P398" s="28"/>
      <c r="Q398" s="2"/>
      <c r="R398" s="2"/>
      <c r="S398" s="2"/>
      <c r="T398" s="243"/>
      <c r="U398" s="256" t="str">
        <f>IF(N398&lt;&gt;"",CONCATENATE(VLOOKUP(N398,[2]zawodnicy!$A$1:$E$65536,1,FALSE)," ",VLOOKUP(N398,[2]zawodnicy!$A$1:$E$65536,2,FALSE)," ",VLOOKUP(N398,[2]zawodnicy!$A$1:$E$65536,3,FALSE)," - ",VLOOKUP(N398,[2]zawodnicy!$A$1:$E$65536,4,FALSE)),"")</f>
        <v/>
      </c>
      <c r="V398" s="257"/>
      <c r="W398" s="258"/>
      <c r="X398" s="87" t="str">
        <f>IF(SUM(AS393:AT393)=0,"",AT393&amp;":"&amp;AS393)</f>
        <v>23:21</v>
      </c>
      <c r="Y398" s="88" t="str">
        <f>IF(SUM(AS394:AT394)=0,"",AT394&amp;":"&amp;AS394)</f>
        <v/>
      </c>
      <c r="Z398" s="89"/>
      <c r="AA398" s="249"/>
      <c r="AB398" s="252"/>
      <c r="AC398" s="252"/>
      <c r="AD398" s="255"/>
      <c r="AE398" s="10"/>
      <c r="AF398" s="12"/>
      <c r="AG398" s="1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row>
    <row r="399" spans="1:64" s="19" customFormat="1" ht="5.0999999999999996" customHeight="1" thickBot="1" x14ac:dyDescent="0.25">
      <c r="M399" s="90"/>
      <c r="O399" s="90"/>
      <c r="P399" s="90"/>
      <c r="Q399" s="91"/>
      <c r="R399" s="91"/>
      <c r="S399" s="91"/>
      <c r="T399" s="91"/>
      <c r="U399" s="5"/>
      <c r="V399" s="5"/>
      <c r="W399" s="5"/>
      <c r="AA399" s="92"/>
      <c r="AB399" s="91"/>
      <c r="AC399" s="91"/>
      <c r="AD399" s="91"/>
      <c r="AE399" s="91"/>
      <c r="AF399" s="91"/>
      <c r="AI399" s="93"/>
      <c r="AJ399" s="94"/>
      <c r="AK399" s="94"/>
    </row>
    <row r="400" spans="1:64" ht="11.45" customHeight="1" thickBot="1" x14ac:dyDescent="0.25">
      <c r="N400" s="11"/>
      <c r="O400" s="21">
        <v>5</v>
      </c>
      <c r="Q400" s="277" t="str">
        <f>"Grupa "&amp;O400&amp;"."</f>
        <v>Grupa 5.</v>
      </c>
      <c r="R400" s="277"/>
      <c r="S400" s="277"/>
      <c r="T400" s="22" t="s">
        <v>1</v>
      </c>
      <c r="U400" s="278" t="s">
        <v>2</v>
      </c>
      <c r="V400" s="279"/>
      <c r="W400" s="280"/>
      <c r="X400" s="22">
        <v>1</v>
      </c>
      <c r="Y400" s="23">
        <v>2</v>
      </c>
      <c r="Z400" s="24">
        <v>3</v>
      </c>
      <c r="AA400" s="25" t="s">
        <v>3</v>
      </c>
      <c r="AB400" s="26" t="s">
        <v>4</v>
      </c>
      <c r="AC400" s="26" t="s">
        <v>5</v>
      </c>
      <c r="AD400" s="27" t="s">
        <v>6</v>
      </c>
      <c r="AE400" s="2"/>
      <c r="AF400" s="12"/>
      <c r="AG400" s="12"/>
      <c r="BK400" s="19"/>
      <c r="BL400" s="20"/>
    </row>
    <row r="401" spans="1:64" ht="11.45" customHeight="1" x14ac:dyDescent="0.2">
      <c r="J401" s="28"/>
      <c r="K401" s="28"/>
      <c r="L401" s="28"/>
      <c r="N401" s="29" t="s">
        <v>77</v>
      </c>
      <c r="Q401" s="274" t="s">
        <v>7</v>
      </c>
      <c r="R401" s="274"/>
      <c r="S401" s="275" t="s">
        <v>8</v>
      </c>
      <c r="T401" s="276">
        <v>1</v>
      </c>
      <c r="U401" s="244" t="str">
        <f>IF(AND(N402&lt;&gt;"",N403&lt;&gt;""),CONCATENATE(VLOOKUP(N402,[2]zawodnicy!$A$1:$E$65536,1,FALSE)," ",VLOOKUP(N402,[2]zawodnicy!$A$1:$E$65536,2,FALSE)," ",VLOOKUP(N402,[2]zawodnicy!$A$1:$E$65536,3,FALSE)," - ",VLOOKUP(N402,[2]zawodnicy!$A$1:$E$65536,4,FALSE)),"")</f>
        <v/>
      </c>
      <c r="V401" s="245"/>
      <c r="W401" s="246"/>
      <c r="X401" s="30"/>
      <c r="Y401" s="31" t="str">
        <f>IF(SUM(AO406:AP406)=0,"",AO406&amp;":"&amp;AP406)</f>
        <v>21:17</v>
      </c>
      <c r="Z401" s="32" t="str">
        <f>IF(SUM(AO404:AP404)=0,"",AO404&amp;":"&amp;AP404)</f>
        <v>21:11</v>
      </c>
      <c r="AA401" s="270" t="str">
        <f>IF(SUM(AY404:BB404)=0,"",BE404&amp;":"&amp;BF404)</f>
        <v>95:74</v>
      </c>
      <c r="AB401" s="271" t="str">
        <f>IF(SUM(AY404:BB404)=0,"",BG404&amp;":"&amp;BH404)</f>
        <v>4:1</v>
      </c>
      <c r="AC401" s="271" t="str">
        <f>IF(SUM(AY404:BB404)=0,"",BI404&amp;":"&amp;BJ404)</f>
        <v>2:0</v>
      </c>
      <c r="AD401" s="272">
        <f>IF(SUM(BI404:BI406)&gt;0,BK404,"")</f>
        <v>1</v>
      </c>
      <c r="AE401" s="2"/>
      <c r="AF401" s="12"/>
      <c r="AG401" s="12"/>
      <c r="AH401" s="14"/>
      <c r="AI401" s="273" t="s">
        <v>9</v>
      </c>
      <c r="AJ401" s="273"/>
      <c r="AK401" s="273"/>
      <c r="AL401" s="273"/>
      <c r="AM401" s="273"/>
      <c r="AN401" s="273"/>
      <c r="AO401" s="273" t="s">
        <v>10</v>
      </c>
      <c r="AP401" s="273"/>
      <c r="AQ401" s="273"/>
      <c r="AR401" s="273"/>
      <c r="AS401" s="273"/>
      <c r="AT401" s="273"/>
      <c r="BK401" s="19"/>
      <c r="BL401" s="20"/>
    </row>
    <row r="402" spans="1:64" ht="11.45" customHeight="1" thickBot="1" x14ac:dyDescent="0.25">
      <c r="I402" s="2" t="str">
        <f>"1"&amp;O400&amp;N401</f>
        <v>15pojedyncza dziewcząt JM</v>
      </c>
      <c r="J402" s="10" t="str">
        <f>IF(AD401="","",IF(AD401=1,N402,IF(AD404=1,N405,IF(AD407=1,N408,""))))</f>
        <v>S3617</v>
      </c>
      <c r="K402" s="10">
        <f>IF(AD401="","",IF(AD401=1,N403,IF(AD404=1,N406,IF(AD407=1,N409,""))))</f>
        <v>0</v>
      </c>
      <c r="L402" s="10"/>
      <c r="N402" s="33" t="s">
        <v>90</v>
      </c>
      <c r="O402" s="34">
        <f>IF(O400&gt;0,(O400&amp;1)*1,"")</f>
        <v>51</v>
      </c>
      <c r="Q402" s="274"/>
      <c r="R402" s="274"/>
      <c r="S402" s="275"/>
      <c r="T402" s="242"/>
      <c r="U402" s="244" t="str">
        <f>IF(AND(N402&lt;&gt;"",N403=""),CONCATENATE(VLOOKUP(N402,[2]zawodnicy!$A$1:$E$65536,1,FALSE)," ",VLOOKUP(N402,[2]zawodnicy!$A$1:$E$65536,2,FALSE)," ",VLOOKUP(N402,[2]zawodnicy!$A$1:$E$65536,3,FALSE)," - ",VLOOKUP(N402,[2]zawodnicy!$A$1:$E$65536,4,FALSE)),"")</f>
        <v>S3617 Katarzyna SŁOMBA - UKSB Volant Mielec</v>
      </c>
      <c r="V402" s="245"/>
      <c r="W402" s="246"/>
      <c r="X402" s="35"/>
      <c r="Y402" s="36" t="str">
        <f>IF(SUM(AQ406:AR406)=0,"",AQ406&amp;":"&amp;AR406)</f>
        <v>11:21</v>
      </c>
      <c r="Z402" s="37" t="str">
        <f>IF(SUM(AQ404:AR404)=0,"",AQ404&amp;":"&amp;AR404)</f>
        <v>21:8</v>
      </c>
      <c r="AA402" s="248"/>
      <c r="AB402" s="251"/>
      <c r="AC402" s="251"/>
      <c r="AD402" s="254"/>
      <c r="AE402" s="2"/>
      <c r="AF402" s="12"/>
      <c r="AG402" s="12"/>
      <c r="AH402" s="14"/>
      <c r="BE402" s="19">
        <f>SUM(BE404:BE406)</f>
        <v>237</v>
      </c>
      <c r="BF402" s="19">
        <f>SUM(BF404:BF406)</f>
        <v>237</v>
      </c>
      <c r="BG402" s="19">
        <f>SUM(BG404:BG406)</f>
        <v>7</v>
      </c>
      <c r="BH402" s="19">
        <f>SUM(BH404:BH406)</f>
        <v>7</v>
      </c>
      <c r="BK402" s="19"/>
      <c r="BL402" s="20"/>
    </row>
    <row r="403" spans="1:64" ht="11.45" customHeight="1" thickBot="1" x14ac:dyDescent="0.25">
      <c r="J403" s="10"/>
      <c r="K403" s="28"/>
      <c r="L403" s="28"/>
      <c r="N403" s="38"/>
      <c r="O403" s="28"/>
      <c r="P403" s="28"/>
      <c r="Q403" s="274"/>
      <c r="R403" s="274"/>
      <c r="S403" s="275"/>
      <c r="T403" s="261"/>
      <c r="U403" s="265" t="str">
        <f>IF(N403&lt;&gt;"",CONCATENATE(VLOOKUP(N403,[2]zawodnicy!$A$1:$E$65536,1,FALSE)," ",VLOOKUP(N403,[2]zawodnicy!$A$1:$E$65536,2,FALSE)," ",VLOOKUP(N403,[2]zawodnicy!$A$1:$E$65536,3,FALSE)," - ",VLOOKUP(N403,[2]zawodnicy!$A$1:$E$65536,4,FALSE)),"")</f>
        <v/>
      </c>
      <c r="V403" s="266"/>
      <c r="W403" s="267"/>
      <c r="X403" s="35"/>
      <c r="Y403" s="39" t="str">
        <f>IF(SUM(AS406:AT406)=0,"",AS406&amp;":"&amp;AT406)</f>
        <v>21:17</v>
      </c>
      <c r="Z403" s="40" t="str">
        <f>IF(SUM(AS404:AT404)=0,"",AS404&amp;":"&amp;AT404)</f>
        <v/>
      </c>
      <c r="AA403" s="262"/>
      <c r="AB403" s="263"/>
      <c r="AC403" s="263"/>
      <c r="AD403" s="264"/>
      <c r="AE403" s="2"/>
      <c r="AF403" s="12"/>
      <c r="AG403" s="12"/>
      <c r="AH403" s="14"/>
      <c r="AI403" s="259" t="s">
        <v>12</v>
      </c>
      <c r="AJ403" s="269"/>
      <c r="AK403" s="268" t="s">
        <v>13</v>
      </c>
      <c r="AL403" s="269"/>
      <c r="AM403" s="268" t="s">
        <v>14</v>
      </c>
      <c r="AN403" s="260"/>
      <c r="AO403" s="259" t="s">
        <v>12</v>
      </c>
      <c r="AP403" s="269"/>
      <c r="AQ403" s="268" t="s">
        <v>13</v>
      </c>
      <c r="AR403" s="269"/>
      <c r="AS403" s="268" t="s">
        <v>14</v>
      </c>
      <c r="AT403" s="269"/>
      <c r="AU403" s="12"/>
      <c r="AV403" s="12"/>
      <c r="AW403" s="259">
        <v>1</v>
      </c>
      <c r="AX403" s="269"/>
      <c r="AY403" s="268">
        <v>2</v>
      </c>
      <c r="AZ403" s="269"/>
      <c r="BA403" s="268">
        <v>3</v>
      </c>
      <c r="BB403" s="260"/>
      <c r="BE403" s="259" t="s">
        <v>3</v>
      </c>
      <c r="BF403" s="260"/>
      <c r="BG403" s="259" t="s">
        <v>4</v>
      </c>
      <c r="BH403" s="260"/>
      <c r="BI403" s="259" t="s">
        <v>5</v>
      </c>
      <c r="BJ403" s="260"/>
      <c r="BK403" s="41" t="s">
        <v>6</v>
      </c>
      <c r="BL403" s="20"/>
    </row>
    <row r="404" spans="1:64" ht="11.45" customHeight="1" x14ac:dyDescent="0.2">
      <c r="A404" s="19">
        <f>S404</f>
        <v>22</v>
      </c>
      <c r="B404" s="2" t="str">
        <f>IF(N402="","",N402)</f>
        <v>S3617</v>
      </c>
      <c r="C404" s="2" t="str">
        <f>IF(N403="","",N403)</f>
        <v/>
      </c>
      <c r="D404" s="2" t="str">
        <f>IF(N408="","",N408)</f>
        <v>M5127</v>
      </c>
      <c r="E404" s="2" t="str">
        <f>IF(N409="","",N409)</f>
        <v/>
      </c>
      <c r="I404" s="2" t="str">
        <f>"2"&amp;O400&amp;N401</f>
        <v>25pojedyncza dziewcząt JM</v>
      </c>
      <c r="J404" s="10" t="str">
        <f>IF(AD404="","",IF(AD401=2,N402,IF(AD404=2,N405,IF(AD407=2,N408,""))))</f>
        <v>K4084</v>
      </c>
      <c r="K404" s="10">
        <f>IF(AD404="","",IF(AD401=2,N403,IF(AD404=2,N406,IF(AD407=2,N409,""))))</f>
        <v>0</v>
      </c>
      <c r="M404" s="42" t="str">
        <f>N401</f>
        <v>pojedyncza dziewcząt JM</v>
      </c>
      <c r="O404" s="28"/>
      <c r="P404" s="28"/>
      <c r="Q404" s="43" t="str">
        <f>IF(AU404&gt;0,"",IF(A404=0,"",IF(VLOOKUP(A404,'[2]plan gier'!A$1:S$65536,19,FALSE)="","",VLOOKUP(A404,'[2]plan gier'!A$1:S$65536,19,FALSE))))</f>
        <v/>
      </c>
      <c r="R404" s="44" t="s">
        <v>15</v>
      </c>
      <c r="S404" s="45">
        <v>22</v>
      </c>
      <c r="T404" s="241">
        <v>2</v>
      </c>
      <c r="U404" s="244" t="str">
        <f>IF(AND(N405&lt;&gt;"",N406&lt;&gt;""),CONCATENATE(VLOOKUP(N405,[2]zawodnicy!$A$1:$E$65536,1,FALSE)," ",VLOOKUP(N405,[2]zawodnicy!$A$1:$E$65536,2,FALSE)," ",VLOOKUP(N405,[2]zawodnicy!$A$1:$E$65536,3,FALSE)," - ",VLOOKUP(N405,[2]zawodnicy!$A$1:$E$65536,4,FALSE)),"")</f>
        <v/>
      </c>
      <c r="V404" s="245"/>
      <c r="W404" s="246"/>
      <c r="X404" s="46" t="str">
        <f>IF(SUM(AO406:AP406)=0,"",AP406&amp;":"&amp;AO406)</f>
        <v>17:21</v>
      </c>
      <c r="Y404" s="47"/>
      <c r="Z404" s="48" t="str">
        <f>IF(SUM(AO405:AP405)=0,"",AO405&amp;":"&amp;AP405)</f>
        <v>21:11</v>
      </c>
      <c r="AA404" s="247" t="str">
        <f>IF(SUM(AW405:AX405,BA405:BB405)=0,"",BE405&amp;":"&amp;BF405)</f>
        <v>97:79</v>
      </c>
      <c r="AB404" s="250" t="str">
        <f>IF(SUM(AW405:AX405,BA405:BB405)=0,"",BG405&amp;":"&amp;BH405)</f>
        <v>3:2</v>
      </c>
      <c r="AC404" s="250" t="str">
        <f>IF(SUM(AW405:AX405,BA405:BB405)=0,"",BI405&amp;":"&amp;BJ405)</f>
        <v>1:1</v>
      </c>
      <c r="AD404" s="253">
        <f>IF(SUM(BI404:BI406)&gt;0,BK405,"")</f>
        <v>2</v>
      </c>
      <c r="AE404" s="2"/>
      <c r="AF404" s="12"/>
      <c r="AG404" s="12"/>
      <c r="AH404" s="44" t="s">
        <v>15</v>
      </c>
      <c r="AI404" s="49">
        <f>IF(ISBLANK(S404),"",VLOOKUP(S404,'[2]plan gier'!$X$1:$AN$65536,12,FALSE))</f>
        <v>21</v>
      </c>
      <c r="AJ404" s="50">
        <f>IF(ISBLANK(S404),"",VLOOKUP(S404,'[2]plan gier'!$X$1:$AN$65536,13,FALSE))</f>
        <v>11</v>
      </c>
      <c r="AK404" s="50">
        <f>IF(ISBLANK(S404),"",VLOOKUP(S404,'[2]plan gier'!$X$1:$AN$65536,14,FALSE))</f>
        <v>21</v>
      </c>
      <c r="AL404" s="50">
        <f>IF(ISBLANK(S404),"",VLOOKUP(S404,'[2]plan gier'!$X$1:$AN$65536,15,FALSE))</f>
        <v>8</v>
      </c>
      <c r="AM404" s="50">
        <f>IF(ISBLANK(S404),"",VLOOKUP(S404,'[2]plan gier'!$X$1:$AN$65536,16,FALSE))</f>
        <v>0</v>
      </c>
      <c r="AN404" s="50">
        <f>IF(ISBLANK(S404),"",VLOOKUP(S404,'[2]plan gier'!$X$1:$AN$65536,17,FALSE))</f>
        <v>0</v>
      </c>
      <c r="AO404" s="51">
        <f t="shared" ref="AO404:AT406" si="39">IF(AI404="",0,AI404)</f>
        <v>21</v>
      </c>
      <c r="AP404" s="52">
        <f t="shared" si="39"/>
        <v>11</v>
      </c>
      <c r="AQ404" s="53">
        <f t="shared" si="39"/>
        <v>21</v>
      </c>
      <c r="AR404" s="52">
        <f t="shared" si="39"/>
        <v>8</v>
      </c>
      <c r="AS404" s="53">
        <f t="shared" si="39"/>
        <v>0</v>
      </c>
      <c r="AT404" s="52">
        <f t="shared" si="39"/>
        <v>0</v>
      </c>
      <c r="AU404" s="54">
        <f>SUM(AO404:AT404)</f>
        <v>61</v>
      </c>
      <c r="AV404" s="13">
        <v>1</v>
      </c>
      <c r="AW404" s="55"/>
      <c r="AX404" s="56"/>
      <c r="AY404" s="50">
        <f>IF(AI406&gt;AJ406,1,0)+IF(AK406&gt;AL406,1,0)+IF(AM406&gt;AN406,1,0)</f>
        <v>2</v>
      </c>
      <c r="AZ404" s="50">
        <f>AW405</f>
        <v>1</v>
      </c>
      <c r="BA404" s="50">
        <f>IF(AI404&gt;AJ404,1,0)+IF(AK404&gt;AL404,1,0)+IF(AM404&gt;AN404,1,0)</f>
        <v>2</v>
      </c>
      <c r="BB404" s="57">
        <f>AW406</f>
        <v>0</v>
      </c>
      <c r="BE404" s="49">
        <f>AO404+AQ404+AS404+AO406+AQ406+AS406</f>
        <v>95</v>
      </c>
      <c r="BF404" s="57">
        <f>AP404+AR404+AT404+AP406+AR406+AT406</f>
        <v>74</v>
      </c>
      <c r="BG404" s="49">
        <f>AY404+BA404</f>
        <v>4</v>
      </c>
      <c r="BH404" s="57">
        <f>AZ404+BB404</f>
        <v>1</v>
      </c>
      <c r="BI404" s="49">
        <f>IF(AY404&gt;AZ404,1,0)+IF(BA404&gt;BB404,1,0)</f>
        <v>2</v>
      </c>
      <c r="BJ404" s="58">
        <f>IF(AZ404&gt;AY404,1,0)+IF(BB404&gt;BA404,1,0)</f>
        <v>0</v>
      </c>
      <c r="BK404" s="59">
        <f>IF(BI404+BJ404=0,"",IF(BL404=MAX(BL404:BL406),1,IF(BL404=MIN(BL404:BL406),3,2)))</f>
        <v>1</v>
      </c>
      <c r="BL404" s="60">
        <f>IF(BI404+BJ404&lt;&gt;0,BI404+1+(BG404-BH404)/100+(BE404-BF404)/100000+(BE404/BF404)/1000000,0)</f>
        <v>3.0302112837837836</v>
      </c>
    </row>
    <row r="405" spans="1:64" ht="11.45" customHeight="1" x14ac:dyDescent="0.2">
      <c r="A405" s="19">
        <f>S405</f>
        <v>87</v>
      </c>
      <c r="B405" s="2" t="str">
        <f>IF(N405="","",N405)</f>
        <v>K4084</v>
      </c>
      <c r="C405" s="2" t="str">
        <f>IF(N406="","",N406)</f>
        <v/>
      </c>
      <c r="D405" s="2" t="str">
        <f>IF(N408="","",N408)</f>
        <v>M5127</v>
      </c>
      <c r="E405" s="2" t="str">
        <f>IF(N409="","",N409)</f>
        <v/>
      </c>
      <c r="J405" s="10"/>
      <c r="K405" s="19"/>
      <c r="M405" s="42" t="str">
        <f>N401</f>
        <v>pojedyncza dziewcząt JM</v>
      </c>
      <c r="N405" s="33" t="s">
        <v>91</v>
      </c>
      <c r="O405" s="34">
        <f>IF(O400&gt;0,(O400&amp;2)*1,"")</f>
        <v>52</v>
      </c>
      <c r="Q405" s="43" t="str">
        <f>IF(AU405&gt;0,"",IF(A405=0,"",IF(VLOOKUP(A405,'[2]plan gier'!A$1:S$65536,19,FALSE)="","",VLOOKUP(A405,'[2]plan gier'!A$1:S$65536,19,FALSE))))</f>
        <v/>
      </c>
      <c r="R405" s="44" t="s">
        <v>17</v>
      </c>
      <c r="S405" s="45">
        <v>87</v>
      </c>
      <c r="T405" s="242"/>
      <c r="U405" s="244" t="str">
        <f>IF(AND(N405&lt;&gt;"",N406=""),CONCATENATE(VLOOKUP(N405,[2]zawodnicy!$A$1:$E$65536,1,FALSE)," ",VLOOKUP(N405,[2]zawodnicy!$A$1:$E$65536,2,FALSE)," ",VLOOKUP(N405,[2]zawodnicy!$A$1:$E$65536,3,FALSE)," - ",VLOOKUP(N405,[2]zawodnicy!$A$1:$E$65536,4,FALSE)),"")</f>
        <v>K4084 Magdalena KOKOSZKA - AZSWAT Warszawa</v>
      </c>
      <c r="V405" s="245"/>
      <c r="W405" s="246"/>
      <c r="X405" s="61" t="str">
        <f>IF(SUM(AQ406:AR406)=0,"",AR406&amp;":"&amp;AQ406)</f>
        <v>21:11</v>
      </c>
      <c r="Y405" s="62"/>
      <c r="Z405" s="37" t="str">
        <f>IF(SUM(AQ405:AR405)=0,"",AQ405&amp;":"&amp;AR405)</f>
        <v>21:15</v>
      </c>
      <c r="AA405" s="248"/>
      <c r="AB405" s="251"/>
      <c r="AC405" s="251"/>
      <c r="AD405" s="254"/>
      <c r="AE405" s="2"/>
      <c r="AF405" s="12"/>
      <c r="AG405" s="12"/>
      <c r="AH405" s="44" t="s">
        <v>17</v>
      </c>
      <c r="AI405" s="63">
        <f>IF(ISBLANK(S405),"",VLOOKUP(S405,'[2]plan gier'!$X$1:$AN$65536,12,FALSE))</f>
        <v>21</v>
      </c>
      <c r="AJ405" s="64">
        <f>IF(ISBLANK(S405),"",VLOOKUP(S405,'[2]plan gier'!$X$1:$AN$65536,13,FALSE))</f>
        <v>11</v>
      </c>
      <c r="AK405" s="64">
        <f>IF(ISBLANK(S405),"",VLOOKUP(S405,'[2]plan gier'!$X$1:$AN$65536,14,FALSE))</f>
        <v>21</v>
      </c>
      <c r="AL405" s="64">
        <f>IF(ISBLANK(S405),"",VLOOKUP(S405,'[2]plan gier'!$X$1:$AN$65536,15,FALSE))</f>
        <v>15</v>
      </c>
      <c r="AM405" s="64">
        <f>IF(ISBLANK(S405),"",VLOOKUP(S405,'[2]plan gier'!$X$1:$AN$65536,16,FALSE))</f>
        <v>0</v>
      </c>
      <c r="AN405" s="64">
        <f>IF(ISBLANK(S405),"",VLOOKUP(S405,'[2]plan gier'!$X$1:$AN$65536,17,FALSE))</f>
        <v>0</v>
      </c>
      <c r="AO405" s="65">
        <f t="shared" si="39"/>
        <v>21</v>
      </c>
      <c r="AP405" s="64">
        <f t="shared" si="39"/>
        <v>11</v>
      </c>
      <c r="AQ405" s="66">
        <f t="shared" si="39"/>
        <v>21</v>
      </c>
      <c r="AR405" s="64">
        <f t="shared" si="39"/>
        <v>15</v>
      </c>
      <c r="AS405" s="66">
        <f t="shared" si="39"/>
        <v>0</v>
      </c>
      <c r="AT405" s="64">
        <f t="shared" si="39"/>
        <v>0</v>
      </c>
      <c r="AU405" s="54">
        <f>SUM(AO405:AT405)</f>
        <v>68</v>
      </c>
      <c r="AV405" s="13">
        <v>2</v>
      </c>
      <c r="AW405" s="63">
        <f>IF(AI406&lt;AJ406,1,0)+IF(AK406&lt;AL406,1,0)+IF(AM406&lt;AN406,1,0)</f>
        <v>1</v>
      </c>
      <c r="AX405" s="64">
        <f>AY404</f>
        <v>2</v>
      </c>
      <c r="AY405" s="67"/>
      <c r="AZ405" s="68"/>
      <c r="BA405" s="64">
        <f>IF(AI405&gt;AJ405,1,0)+IF(AK405&gt;AL405,1,0)+IF(AM405&gt;AN405,1,0)</f>
        <v>2</v>
      </c>
      <c r="BB405" s="69">
        <f>AY406</f>
        <v>0</v>
      </c>
      <c r="BE405" s="63">
        <f>AO405+AQ405+AS405+AP406+AR406+AT406</f>
        <v>97</v>
      </c>
      <c r="BF405" s="69">
        <f>AP405+AR405+AT405+AO406+AQ406+AS406</f>
        <v>79</v>
      </c>
      <c r="BG405" s="63">
        <f>AW405+BA405</f>
        <v>3</v>
      </c>
      <c r="BH405" s="69">
        <f>AX405+BB405</f>
        <v>2</v>
      </c>
      <c r="BI405" s="63">
        <f>IF(AW405&gt;AX405,1,0)+IF(BA405&gt;BB405,1,0)</f>
        <v>1</v>
      </c>
      <c r="BJ405" s="70">
        <f>IF(AX405&gt;AW405,1,0)+IF(BB405&gt;BA405,1,0)</f>
        <v>1</v>
      </c>
      <c r="BK405" s="71">
        <f>IF(BI405+BJ405=0,"",IF(BL405=MAX(BL404:BL406),1,IF(BL405=MIN(BL404:BL406),3,2)))</f>
        <v>2</v>
      </c>
      <c r="BL405" s="60">
        <f>IF(BI405+BJ405&lt;&gt;0,BI405+1+(BG405-BH405)/100+(BE405-BF405)/100000+(BE405/BF405)/1000000,0)</f>
        <v>2.010181227848101</v>
      </c>
    </row>
    <row r="406" spans="1:64" ht="11.45" customHeight="1" thickBot="1" x14ac:dyDescent="0.25">
      <c r="A406" s="19">
        <f>S406</f>
        <v>152</v>
      </c>
      <c r="B406" s="2" t="str">
        <f>IF(N402="","",N402)</f>
        <v>S3617</v>
      </c>
      <c r="C406" s="2" t="str">
        <f>IF(N403="","",N403)</f>
        <v/>
      </c>
      <c r="D406" s="2" t="str">
        <f>IF(N405="","",N405)</f>
        <v>K4084</v>
      </c>
      <c r="E406" s="2" t="str">
        <f>IF(N406="","",N406)</f>
        <v/>
      </c>
      <c r="I406" s="2" t="str">
        <f>"3"&amp;O400&amp;N401</f>
        <v>35pojedyncza dziewcząt JM</v>
      </c>
      <c r="J406" s="10" t="str">
        <f>IF(AD407="","",IF(AD401=3,N402,IF(AD404=3,N405,IF(AD407=3,N408,""))))</f>
        <v>M5127</v>
      </c>
      <c r="K406" s="10">
        <f>IF(AD407="","",IF(AD401=3,N403,IF(AD404=3,N406,IF(AD407=3,N409,""))))</f>
        <v>0</v>
      </c>
      <c r="M406" s="42" t="str">
        <f>N401</f>
        <v>pojedyncza dziewcząt JM</v>
      </c>
      <c r="N406" s="38"/>
      <c r="O406" s="28"/>
      <c r="P406" s="28"/>
      <c r="Q406" s="43" t="str">
        <f>IF(AU406&gt;0,"",IF(A406=0,"",IF(VLOOKUP(A406,'[2]plan gier'!A$1:S$65536,19,FALSE)="","",VLOOKUP(A406,'[2]plan gier'!A$1:S$65536,19,FALSE))))</f>
        <v/>
      </c>
      <c r="R406" s="72" t="s">
        <v>18</v>
      </c>
      <c r="S406" s="45">
        <v>152</v>
      </c>
      <c r="T406" s="261"/>
      <c r="U406" s="265" t="str">
        <f>IF(N406&lt;&gt;"",CONCATENATE(VLOOKUP(N406,[2]zawodnicy!$A$1:$E$65536,1,FALSE)," ",VLOOKUP(N406,[2]zawodnicy!$A$1:$E$65536,2,FALSE)," ",VLOOKUP(N406,[2]zawodnicy!$A$1:$E$65536,3,FALSE)," - ",VLOOKUP(N406,[2]zawodnicy!$A$1:$E$65536,4,FALSE)),"")</f>
        <v/>
      </c>
      <c r="V406" s="266"/>
      <c r="W406" s="267"/>
      <c r="X406" s="73" t="str">
        <f>IF(SUM(AS406:AT406)=0,"",AT406&amp;":"&amp;AS406)</f>
        <v>17:21</v>
      </c>
      <c r="Y406" s="62"/>
      <c r="Z406" s="40" t="str">
        <f>IF(SUM(AS405:AT405)=0,"",AS405&amp;":"&amp;AT405)</f>
        <v/>
      </c>
      <c r="AA406" s="262"/>
      <c r="AB406" s="263"/>
      <c r="AC406" s="263"/>
      <c r="AD406" s="264"/>
      <c r="AE406" s="2"/>
      <c r="AF406" s="12"/>
      <c r="AG406" s="12"/>
      <c r="AH406" s="72" t="s">
        <v>18</v>
      </c>
      <c r="AI406" s="74">
        <f>IF(ISBLANK(S406),"",VLOOKUP(S406,'[2]plan gier'!$X$1:$AN$65536,12,FALSE))</f>
        <v>21</v>
      </c>
      <c r="AJ406" s="75">
        <f>IF(ISBLANK(S406),"",VLOOKUP(S406,'[2]plan gier'!$X$1:$AN$65536,13,FALSE))</f>
        <v>17</v>
      </c>
      <c r="AK406" s="75">
        <f>IF(ISBLANK(S406),"",VLOOKUP(S406,'[2]plan gier'!$X$1:$AN$65536,14,FALSE))</f>
        <v>11</v>
      </c>
      <c r="AL406" s="75">
        <f>IF(ISBLANK(S406),"",VLOOKUP(S406,'[2]plan gier'!$X$1:$AN$65536,15,FALSE))</f>
        <v>21</v>
      </c>
      <c r="AM406" s="75">
        <f>IF(ISBLANK(S406),"",VLOOKUP(S406,'[2]plan gier'!$X$1:$AN$65536,16,FALSE))</f>
        <v>21</v>
      </c>
      <c r="AN406" s="75">
        <f>IF(ISBLANK(S406),"",VLOOKUP(S406,'[2]plan gier'!$X$1:$AN$65536,17,FALSE))</f>
        <v>17</v>
      </c>
      <c r="AO406" s="76">
        <f t="shared" si="39"/>
        <v>21</v>
      </c>
      <c r="AP406" s="75">
        <f t="shared" si="39"/>
        <v>17</v>
      </c>
      <c r="AQ406" s="77">
        <f t="shared" si="39"/>
        <v>11</v>
      </c>
      <c r="AR406" s="75">
        <f t="shared" si="39"/>
        <v>21</v>
      </c>
      <c r="AS406" s="77">
        <f t="shared" si="39"/>
        <v>21</v>
      </c>
      <c r="AT406" s="75">
        <f t="shared" si="39"/>
        <v>17</v>
      </c>
      <c r="AU406" s="54">
        <f>SUM(AO406:AT406)</f>
        <v>108</v>
      </c>
      <c r="AV406" s="13">
        <v>3</v>
      </c>
      <c r="AW406" s="74">
        <f>IF(AI404&lt;AJ404,1,0)+IF(AK404&lt;AL404,1,0)+IF(AM404&lt;AN404,1,0)</f>
        <v>0</v>
      </c>
      <c r="AX406" s="75">
        <f>BA404</f>
        <v>2</v>
      </c>
      <c r="AY406" s="75">
        <f>IF(AI405&lt;AJ405,1,0)+IF(AK405&lt;AL405,1,0)+IF(AM405&lt;AN405,1,0)</f>
        <v>0</v>
      </c>
      <c r="AZ406" s="75">
        <f>BA405</f>
        <v>2</v>
      </c>
      <c r="BA406" s="78"/>
      <c r="BB406" s="79"/>
      <c r="BE406" s="74">
        <f>AP404+AR404+AT404+AP405+AR405+AT405</f>
        <v>45</v>
      </c>
      <c r="BF406" s="80">
        <f>AO404+AQ404+AS404+AO405+AQ405+AS405</f>
        <v>84</v>
      </c>
      <c r="BG406" s="74">
        <f>AW406+AY406</f>
        <v>0</v>
      </c>
      <c r="BH406" s="80">
        <f>AX406+AZ406</f>
        <v>4</v>
      </c>
      <c r="BI406" s="74">
        <f>IF(AW406&gt;AX406,1,0)+IF(AY406&gt;AZ406,1,0)</f>
        <v>0</v>
      </c>
      <c r="BJ406" s="81">
        <f>IF(AX406&gt;AW406,1,0)+IF(AZ406&gt;AY406,1,0)</f>
        <v>2</v>
      </c>
      <c r="BK406" s="82">
        <f>IF(BI406+BJ406=0,"",IF(BL406=MAX(BL404:BL406),1,IF(BL406=MIN(BL404:BL406),3,2)))</f>
        <v>3</v>
      </c>
      <c r="BL406" s="60">
        <f>IF(BI406+BJ406&lt;&gt;0,BI406+1+(BG406-BH406)/100+(BE406-BF406)/100000+(BE406/BF406)/1000000,0)</f>
        <v>0.95961053571428567</v>
      </c>
    </row>
    <row r="407" spans="1:64" ht="11.45" customHeight="1" x14ac:dyDescent="0.2">
      <c r="A407" s="2"/>
      <c r="J407" s="28"/>
      <c r="K407" s="28"/>
      <c r="L407" s="28"/>
      <c r="O407" s="28"/>
      <c r="P407" s="28"/>
      <c r="Q407" s="2"/>
      <c r="R407" s="2"/>
      <c r="S407" s="2"/>
      <c r="T407" s="241">
        <v>3</v>
      </c>
      <c r="U407" s="244" t="str">
        <f>IF(AND(N408&lt;&gt;"",N409&lt;&gt;""),CONCATENATE(VLOOKUP(N408,[2]zawodnicy!$A$1:$E$65536,1,FALSE)," ",VLOOKUP(N408,[2]zawodnicy!$A$1:$E$65536,2,FALSE)," ",VLOOKUP(N408,[2]zawodnicy!$A$1:$E$65536,3,FALSE)," - ",VLOOKUP(N408,[2]zawodnicy!$A$1:$E$65536,4,FALSE)),"")</f>
        <v/>
      </c>
      <c r="V407" s="245"/>
      <c r="W407" s="246"/>
      <c r="X407" s="46" t="str">
        <f>IF(SUM(AO404:AP404)=0,"",AP404&amp;":"&amp;AO404)</f>
        <v>11:21</v>
      </c>
      <c r="Y407" s="83" t="str">
        <f>IF(SUM(AO405:AP405)=0,"",AP405&amp;":"&amp;AO405)</f>
        <v>11:21</v>
      </c>
      <c r="Z407" s="84"/>
      <c r="AA407" s="247" t="str">
        <f>IF(SUM(AW406:AZ406)=0,"",BE406&amp;":"&amp;BF406)</f>
        <v>45:84</v>
      </c>
      <c r="AB407" s="250" t="str">
        <f>IF(SUM(AW406:AZ406)=0,"",BG406&amp;":"&amp;BH406)</f>
        <v>0:4</v>
      </c>
      <c r="AC407" s="250" t="str">
        <f>IF(SUM(AW406:AZ406)=0,"",BI406&amp;":"&amp;BJ406)</f>
        <v>0:2</v>
      </c>
      <c r="AD407" s="253">
        <f>IF(SUM(BI404:BI406)&gt;0,BK406,"")</f>
        <v>3</v>
      </c>
      <c r="AE407" s="2"/>
      <c r="AF407" s="12"/>
      <c r="AG407" s="12"/>
      <c r="BE407" s="19">
        <f>SUM(BE404:BE406)</f>
        <v>237</v>
      </c>
      <c r="BF407" s="19">
        <f>SUM(BF404:BF406)</f>
        <v>237</v>
      </c>
      <c r="BG407" s="19">
        <f>SUM(BG404:BG406)</f>
        <v>7</v>
      </c>
      <c r="BH407" s="19">
        <f>SUM(BH404:BH406)</f>
        <v>7</v>
      </c>
      <c r="BK407" s="19"/>
      <c r="BL407" s="20"/>
    </row>
    <row r="408" spans="1:64" ht="11.45" customHeight="1" x14ac:dyDescent="0.2">
      <c r="A408" s="19"/>
      <c r="J408" s="19"/>
      <c r="K408" s="19"/>
      <c r="L408" s="19"/>
      <c r="N408" s="33" t="s">
        <v>92</v>
      </c>
      <c r="O408" s="34">
        <f>IF(O400&gt;0,(O400&amp;3)*1,"")</f>
        <v>53</v>
      </c>
      <c r="Q408" s="85"/>
      <c r="R408" s="85"/>
      <c r="S408" s="85"/>
      <c r="T408" s="242"/>
      <c r="U408" s="244" t="str">
        <f>IF(AND(N408&lt;&gt;"",N409=""),CONCATENATE(VLOOKUP(N408,[2]zawodnicy!$A$1:$E$65536,1,FALSE)," ",VLOOKUP(N408,[2]zawodnicy!$A$1:$E$65536,2,FALSE)," ",VLOOKUP(N408,[2]zawodnicy!$A$1:$E$65536,3,FALSE)," - ",VLOOKUP(N408,[2]zawodnicy!$A$1:$E$65536,4,FALSE)),"")</f>
        <v>M5127 Natalia MRÓZ - UKS Korona Pabianice</v>
      </c>
      <c r="V408" s="245"/>
      <c r="W408" s="246"/>
      <c r="X408" s="61" t="str">
        <f>IF(SUM(AQ404:AR404)=0,"",AR404&amp;":"&amp;AQ404)</f>
        <v>8:21</v>
      </c>
      <c r="Y408" s="36" t="str">
        <f>IF(SUM(AQ405:AR405)=0,"",AR405&amp;":"&amp;AQ405)</f>
        <v>15:21</v>
      </c>
      <c r="Z408" s="86"/>
      <c r="AA408" s="248"/>
      <c r="AB408" s="251"/>
      <c r="AC408" s="251"/>
      <c r="AD408" s="254"/>
      <c r="AE408" s="2"/>
      <c r="AF408" s="12"/>
      <c r="AG408" s="1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row>
    <row r="409" spans="1:64" ht="11.45" customHeight="1" thickBot="1" x14ac:dyDescent="0.25">
      <c r="A409" s="2"/>
      <c r="J409" s="28"/>
      <c r="K409" s="28"/>
      <c r="L409" s="28"/>
      <c r="N409" s="38"/>
      <c r="O409" s="28"/>
      <c r="P409" s="28"/>
      <c r="Q409" s="2"/>
      <c r="R409" s="2"/>
      <c r="S409" s="2"/>
      <c r="T409" s="243"/>
      <c r="U409" s="256" t="str">
        <f>IF(N409&lt;&gt;"",CONCATENATE(VLOOKUP(N409,[2]zawodnicy!$A$1:$E$65536,1,FALSE)," ",VLOOKUP(N409,[2]zawodnicy!$A$1:$E$65536,2,FALSE)," ",VLOOKUP(N409,[2]zawodnicy!$A$1:$E$65536,3,FALSE)," - ",VLOOKUP(N409,[2]zawodnicy!$A$1:$E$65536,4,FALSE)),"")</f>
        <v/>
      </c>
      <c r="V409" s="257"/>
      <c r="W409" s="258"/>
      <c r="X409" s="87" t="str">
        <f>IF(SUM(AS404:AT404)=0,"",AT404&amp;":"&amp;AS404)</f>
        <v/>
      </c>
      <c r="Y409" s="88" t="str">
        <f>IF(SUM(AS405:AT405)=0,"",AT405&amp;":"&amp;AS405)</f>
        <v/>
      </c>
      <c r="Z409" s="89"/>
      <c r="AA409" s="249"/>
      <c r="AB409" s="252"/>
      <c r="AC409" s="252"/>
      <c r="AD409" s="255"/>
      <c r="AE409" s="10"/>
      <c r="AF409" s="12"/>
      <c r="AG409" s="1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row>
    <row r="410" spans="1:64" s="19" customFormat="1" ht="5.0999999999999996" customHeight="1" thickBot="1" x14ac:dyDescent="0.25">
      <c r="M410" s="90"/>
      <c r="O410" s="90"/>
      <c r="P410" s="90"/>
      <c r="Q410" s="91"/>
      <c r="R410" s="91"/>
      <c r="S410" s="91"/>
      <c r="T410" s="91"/>
      <c r="U410" s="5"/>
      <c r="V410" s="5"/>
      <c r="W410" s="5"/>
      <c r="AA410" s="92"/>
      <c r="AB410" s="91"/>
      <c r="AC410" s="91"/>
      <c r="AD410" s="91"/>
      <c r="AE410" s="91"/>
      <c r="AF410" s="91"/>
      <c r="AI410" s="93"/>
      <c r="AJ410" s="94"/>
      <c r="AK410" s="94"/>
    </row>
    <row r="411" spans="1:64" ht="11.45" customHeight="1" thickBot="1" x14ac:dyDescent="0.25">
      <c r="N411" s="11"/>
      <c r="O411" s="21">
        <v>6</v>
      </c>
      <c r="Q411" s="277" t="str">
        <f>"Grupa "&amp;O411&amp;"."</f>
        <v>Grupa 6.</v>
      </c>
      <c r="R411" s="277"/>
      <c r="S411" s="277"/>
      <c r="T411" s="22" t="s">
        <v>1</v>
      </c>
      <c r="U411" s="278" t="s">
        <v>2</v>
      </c>
      <c r="V411" s="279"/>
      <c r="W411" s="280"/>
      <c r="X411" s="22">
        <v>1</v>
      </c>
      <c r="Y411" s="23">
        <v>2</v>
      </c>
      <c r="Z411" s="24">
        <v>3</v>
      </c>
      <c r="AA411" s="25" t="s">
        <v>3</v>
      </c>
      <c r="AB411" s="26" t="s">
        <v>4</v>
      </c>
      <c r="AC411" s="26" t="s">
        <v>5</v>
      </c>
      <c r="AD411" s="27" t="s">
        <v>6</v>
      </c>
      <c r="AE411" s="2"/>
      <c r="AF411" s="12"/>
      <c r="AG411" s="12"/>
      <c r="BK411" s="19"/>
      <c r="BL411" s="20"/>
    </row>
    <row r="412" spans="1:64" ht="11.45" customHeight="1" x14ac:dyDescent="0.2">
      <c r="J412" s="28"/>
      <c r="K412" s="28"/>
      <c r="L412" s="28"/>
      <c r="N412" s="29" t="s">
        <v>77</v>
      </c>
      <c r="Q412" s="274" t="s">
        <v>7</v>
      </c>
      <c r="R412" s="274"/>
      <c r="S412" s="275" t="s">
        <v>8</v>
      </c>
      <c r="T412" s="276">
        <v>1</v>
      </c>
      <c r="U412" s="244" t="str">
        <f>IF(AND(N413&lt;&gt;"",N414&lt;&gt;""),CONCATENATE(VLOOKUP(N413,[2]zawodnicy!$A$1:$E$65536,1,FALSE)," ",VLOOKUP(N413,[2]zawodnicy!$A$1:$E$65536,2,FALSE)," ",VLOOKUP(N413,[2]zawodnicy!$A$1:$E$65536,3,FALSE)," - ",VLOOKUP(N413,[2]zawodnicy!$A$1:$E$65536,4,FALSE)),"")</f>
        <v/>
      </c>
      <c r="V412" s="245"/>
      <c r="W412" s="246"/>
      <c r="X412" s="30"/>
      <c r="Y412" s="31" t="str">
        <f>IF(SUM(AO417:AP417)=0,"",AO417&amp;":"&amp;AP417)</f>
        <v>21:10</v>
      </c>
      <c r="Z412" s="32" t="str">
        <f>IF(SUM(AO415:AP415)=0,"",AO415&amp;":"&amp;AP415)</f>
        <v>21:5</v>
      </c>
      <c r="AA412" s="270" t="str">
        <f>IF(SUM(AY415:BB415)=0,"",BE415&amp;":"&amp;BF415)</f>
        <v>85:36</v>
      </c>
      <c r="AB412" s="271" t="str">
        <f>IF(SUM(AY415:BB415)=0,"",BG415&amp;":"&amp;BH415)</f>
        <v>4:0</v>
      </c>
      <c r="AC412" s="271" t="str">
        <f>IF(SUM(AY415:BB415)=0,"",BI415&amp;":"&amp;BJ415)</f>
        <v>2:0</v>
      </c>
      <c r="AD412" s="272">
        <f>IF(SUM(BI415:BI417)&gt;0,BK415,"")</f>
        <v>1</v>
      </c>
      <c r="AE412" s="2"/>
      <c r="AF412" s="12"/>
      <c r="AG412" s="12"/>
      <c r="AH412" s="14"/>
      <c r="AI412" s="273" t="s">
        <v>9</v>
      </c>
      <c r="AJ412" s="273"/>
      <c r="AK412" s="273"/>
      <c r="AL412" s="273"/>
      <c r="AM412" s="273"/>
      <c r="AN412" s="273"/>
      <c r="AO412" s="273" t="s">
        <v>10</v>
      </c>
      <c r="AP412" s="273"/>
      <c r="AQ412" s="273"/>
      <c r="AR412" s="273"/>
      <c r="AS412" s="273"/>
      <c r="AT412" s="273"/>
      <c r="BK412" s="19"/>
      <c r="BL412" s="20"/>
    </row>
    <row r="413" spans="1:64" ht="11.45" customHeight="1" thickBot="1" x14ac:dyDescent="0.25">
      <c r="I413" s="2" t="str">
        <f>"1"&amp;O411&amp;N412</f>
        <v>16pojedyncza dziewcząt JM</v>
      </c>
      <c r="J413" s="10" t="str">
        <f>IF(AD412="","",IF(AD412=1,N413,IF(AD415=1,N416,IF(AD418=1,N419,""))))</f>
        <v>S4168</v>
      </c>
      <c r="K413" s="10">
        <f>IF(AD412="","",IF(AD412=1,N414,IF(AD415=1,N417,IF(AD418=1,N420,""))))</f>
        <v>0</v>
      </c>
      <c r="L413" s="10"/>
      <c r="N413" s="33" t="s">
        <v>93</v>
      </c>
      <c r="O413" s="34">
        <f>IF(O411&gt;0,(O411&amp;1)*1,"")</f>
        <v>61</v>
      </c>
      <c r="Q413" s="274"/>
      <c r="R413" s="274"/>
      <c r="S413" s="275"/>
      <c r="T413" s="242"/>
      <c r="U413" s="244" t="str">
        <f>IF(AND(N413&lt;&gt;"",N414=""),CONCATENATE(VLOOKUP(N413,[2]zawodnicy!$A$1:$E$65536,1,FALSE)," ",VLOOKUP(N413,[2]zawodnicy!$A$1:$E$65536,2,FALSE)," ",VLOOKUP(N413,[2]zawodnicy!$A$1:$E$65536,3,FALSE)," - ",VLOOKUP(N413,[2]zawodnicy!$A$1:$E$65536,4,FALSE)),"")</f>
        <v>S4168 Agnieszka SZYMASZEK - UKS Orbitek Straszęcin</v>
      </c>
      <c r="V413" s="245"/>
      <c r="W413" s="246"/>
      <c r="X413" s="35"/>
      <c r="Y413" s="36" t="str">
        <f>IF(SUM(AQ417:AR417)=0,"",AQ417&amp;":"&amp;AR417)</f>
        <v>22:20</v>
      </c>
      <c r="Z413" s="37" t="str">
        <f>IF(SUM(AQ415:AR415)=0,"",AQ415&amp;":"&amp;AR415)</f>
        <v>21:1</v>
      </c>
      <c r="AA413" s="248"/>
      <c r="AB413" s="251"/>
      <c r="AC413" s="251"/>
      <c r="AD413" s="254"/>
      <c r="AE413" s="2"/>
      <c r="AF413" s="12"/>
      <c r="AG413" s="12"/>
      <c r="AH413" s="14"/>
      <c r="BE413" s="19">
        <f>SUM(BE415:BE417)</f>
        <v>180</v>
      </c>
      <c r="BF413" s="19">
        <f>SUM(BF415:BF417)</f>
        <v>180</v>
      </c>
      <c r="BG413" s="19">
        <f>SUM(BG415:BG417)</f>
        <v>6</v>
      </c>
      <c r="BH413" s="19">
        <f>SUM(BH415:BH417)</f>
        <v>6</v>
      </c>
      <c r="BK413" s="19"/>
      <c r="BL413" s="20"/>
    </row>
    <row r="414" spans="1:64" ht="11.45" customHeight="1" thickBot="1" x14ac:dyDescent="0.25">
      <c r="J414" s="10"/>
      <c r="K414" s="28"/>
      <c r="L414" s="28"/>
      <c r="N414" s="38"/>
      <c r="O414" s="28"/>
      <c r="P414" s="28"/>
      <c r="Q414" s="274"/>
      <c r="R414" s="274"/>
      <c r="S414" s="275"/>
      <c r="T414" s="261"/>
      <c r="U414" s="265" t="str">
        <f>IF(N414&lt;&gt;"",CONCATENATE(VLOOKUP(N414,[2]zawodnicy!$A$1:$E$65536,1,FALSE)," ",VLOOKUP(N414,[2]zawodnicy!$A$1:$E$65536,2,FALSE)," ",VLOOKUP(N414,[2]zawodnicy!$A$1:$E$65536,3,FALSE)," - ",VLOOKUP(N414,[2]zawodnicy!$A$1:$E$65536,4,FALSE)),"")</f>
        <v/>
      </c>
      <c r="V414" s="266"/>
      <c r="W414" s="267"/>
      <c r="X414" s="35"/>
      <c r="Y414" s="39" t="str">
        <f>IF(SUM(AS417:AT417)=0,"",AS417&amp;":"&amp;AT417)</f>
        <v/>
      </c>
      <c r="Z414" s="40" t="str">
        <f>IF(SUM(AS415:AT415)=0,"",AS415&amp;":"&amp;AT415)</f>
        <v/>
      </c>
      <c r="AA414" s="262"/>
      <c r="AB414" s="263"/>
      <c r="AC414" s="263"/>
      <c r="AD414" s="264"/>
      <c r="AE414" s="2"/>
      <c r="AF414" s="12"/>
      <c r="AG414" s="12"/>
      <c r="AH414" s="14"/>
      <c r="AI414" s="259" t="s">
        <v>12</v>
      </c>
      <c r="AJ414" s="269"/>
      <c r="AK414" s="268" t="s">
        <v>13</v>
      </c>
      <c r="AL414" s="269"/>
      <c r="AM414" s="268" t="s">
        <v>14</v>
      </c>
      <c r="AN414" s="260"/>
      <c r="AO414" s="259" t="s">
        <v>12</v>
      </c>
      <c r="AP414" s="269"/>
      <c r="AQ414" s="268" t="s">
        <v>13</v>
      </c>
      <c r="AR414" s="269"/>
      <c r="AS414" s="268" t="s">
        <v>14</v>
      </c>
      <c r="AT414" s="269"/>
      <c r="AU414" s="12"/>
      <c r="AV414" s="12"/>
      <c r="AW414" s="259">
        <v>1</v>
      </c>
      <c r="AX414" s="269"/>
      <c r="AY414" s="268">
        <v>2</v>
      </c>
      <c r="AZ414" s="269"/>
      <c r="BA414" s="268">
        <v>3</v>
      </c>
      <c r="BB414" s="260"/>
      <c r="BE414" s="259" t="s">
        <v>3</v>
      </c>
      <c r="BF414" s="260"/>
      <c r="BG414" s="259" t="s">
        <v>4</v>
      </c>
      <c r="BH414" s="260"/>
      <c r="BI414" s="259" t="s">
        <v>5</v>
      </c>
      <c r="BJ414" s="260"/>
      <c r="BK414" s="41" t="s">
        <v>6</v>
      </c>
      <c r="BL414" s="20"/>
    </row>
    <row r="415" spans="1:64" ht="11.45" customHeight="1" x14ac:dyDescent="0.2">
      <c r="A415" s="19">
        <f>S415</f>
        <v>23</v>
      </c>
      <c r="B415" s="2" t="str">
        <f>IF(N413="","",N413)</f>
        <v>S4168</v>
      </c>
      <c r="C415" s="2" t="str">
        <f>IF(N414="","",N414)</f>
        <v/>
      </c>
      <c r="D415" s="2" t="str">
        <f>IF(N419="","",N419)</f>
        <v>R3720</v>
      </c>
      <c r="E415" s="2" t="str">
        <f>IF(N420="","",N420)</f>
        <v/>
      </c>
      <c r="I415" s="2" t="str">
        <f>"2"&amp;O411&amp;N412</f>
        <v>26pojedyncza dziewcząt JM</v>
      </c>
      <c r="J415" s="10" t="str">
        <f>IF(AD415="","",IF(AD412=2,N413,IF(AD415=2,N416,IF(AD418=2,N419,""))))</f>
        <v>B4205</v>
      </c>
      <c r="K415" s="10">
        <f>IF(AD415="","",IF(AD412=2,N414,IF(AD415=2,N417,IF(AD418=2,N420,""))))</f>
        <v>0</v>
      </c>
      <c r="M415" s="42" t="str">
        <f>N412</f>
        <v>pojedyncza dziewcząt JM</v>
      </c>
      <c r="O415" s="28"/>
      <c r="P415" s="28"/>
      <c r="Q415" s="43" t="str">
        <f>IF(AU415&gt;0,"",IF(A415=0,"",IF(VLOOKUP(A415,'[2]plan gier'!A$1:S$65536,19,FALSE)="","",VLOOKUP(A415,'[2]plan gier'!A$1:S$65536,19,FALSE))))</f>
        <v/>
      </c>
      <c r="R415" s="44" t="s">
        <v>15</v>
      </c>
      <c r="S415" s="45">
        <v>23</v>
      </c>
      <c r="T415" s="241">
        <v>2</v>
      </c>
      <c r="U415" s="244" t="str">
        <f>IF(AND(N416&lt;&gt;"",N417&lt;&gt;""),CONCATENATE(VLOOKUP(N416,[2]zawodnicy!$A$1:$E$65536,1,FALSE)," ",VLOOKUP(N416,[2]zawodnicy!$A$1:$E$65536,2,FALSE)," ",VLOOKUP(N416,[2]zawodnicy!$A$1:$E$65536,3,FALSE)," - ",VLOOKUP(N416,[2]zawodnicy!$A$1:$E$65536,4,FALSE)),"")</f>
        <v/>
      </c>
      <c r="V415" s="245"/>
      <c r="W415" s="246"/>
      <c r="X415" s="46" t="str">
        <f>IF(SUM(AO417:AP417)=0,"",AP417&amp;":"&amp;AO417)</f>
        <v>10:21</v>
      </c>
      <c r="Y415" s="47"/>
      <c r="Z415" s="48" t="str">
        <f>IF(SUM(AO416:AP416)=0,"",AO416&amp;":"&amp;AP416)</f>
        <v>21:8</v>
      </c>
      <c r="AA415" s="247" t="str">
        <f>IF(SUM(AW416:AX416,BA416:BB416)=0,"",BE416&amp;":"&amp;BF416)</f>
        <v>72:60</v>
      </c>
      <c r="AB415" s="250" t="str">
        <f>IF(SUM(AW416:AX416,BA416:BB416)=0,"",BG416&amp;":"&amp;BH416)</f>
        <v>2:2</v>
      </c>
      <c r="AC415" s="250" t="str">
        <f>IF(SUM(AW416:AX416,BA416:BB416)=0,"",BI416&amp;":"&amp;BJ416)</f>
        <v>1:1</v>
      </c>
      <c r="AD415" s="253">
        <f>IF(SUM(BI415:BI417)&gt;0,BK416,"")</f>
        <v>2</v>
      </c>
      <c r="AE415" s="2"/>
      <c r="AF415" s="12"/>
      <c r="AG415" s="12"/>
      <c r="AH415" s="44" t="s">
        <v>15</v>
      </c>
      <c r="AI415" s="49">
        <f>IF(ISBLANK(S415),"",VLOOKUP(S415,'[2]plan gier'!$X$1:$AN$65536,12,FALSE))</f>
        <v>21</v>
      </c>
      <c r="AJ415" s="50">
        <f>IF(ISBLANK(S415),"",VLOOKUP(S415,'[2]plan gier'!$X$1:$AN$65536,13,FALSE))</f>
        <v>5</v>
      </c>
      <c r="AK415" s="50">
        <f>IF(ISBLANK(S415),"",VLOOKUP(S415,'[2]plan gier'!$X$1:$AN$65536,14,FALSE))</f>
        <v>21</v>
      </c>
      <c r="AL415" s="50">
        <f>IF(ISBLANK(S415),"",VLOOKUP(S415,'[2]plan gier'!$X$1:$AN$65536,15,FALSE))</f>
        <v>1</v>
      </c>
      <c r="AM415" s="50">
        <f>IF(ISBLANK(S415),"",VLOOKUP(S415,'[2]plan gier'!$X$1:$AN$65536,16,FALSE))</f>
        <v>0</v>
      </c>
      <c r="AN415" s="50">
        <f>IF(ISBLANK(S415),"",VLOOKUP(S415,'[2]plan gier'!$X$1:$AN$65536,17,FALSE))</f>
        <v>0</v>
      </c>
      <c r="AO415" s="51">
        <f t="shared" ref="AO415:AT417" si="40">IF(AI415="",0,AI415)</f>
        <v>21</v>
      </c>
      <c r="AP415" s="52">
        <f t="shared" si="40"/>
        <v>5</v>
      </c>
      <c r="AQ415" s="53">
        <f t="shared" si="40"/>
        <v>21</v>
      </c>
      <c r="AR415" s="52">
        <f t="shared" si="40"/>
        <v>1</v>
      </c>
      <c r="AS415" s="53">
        <f t="shared" si="40"/>
        <v>0</v>
      </c>
      <c r="AT415" s="52">
        <f t="shared" si="40"/>
        <v>0</v>
      </c>
      <c r="AU415" s="54">
        <f>SUM(AO415:AT415)</f>
        <v>48</v>
      </c>
      <c r="AV415" s="13">
        <v>1</v>
      </c>
      <c r="AW415" s="55"/>
      <c r="AX415" s="56"/>
      <c r="AY415" s="50">
        <f>IF(AI417&gt;AJ417,1,0)+IF(AK417&gt;AL417,1,0)+IF(AM417&gt;AN417,1,0)</f>
        <v>2</v>
      </c>
      <c r="AZ415" s="50">
        <f>AW416</f>
        <v>0</v>
      </c>
      <c r="BA415" s="50">
        <f>IF(AI415&gt;AJ415,1,0)+IF(AK415&gt;AL415,1,0)+IF(AM415&gt;AN415,1,0)</f>
        <v>2</v>
      </c>
      <c r="BB415" s="57">
        <f>AW417</f>
        <v>0</v>
      </c>
      <c r="BE415" s="49">
        <f>AO415+AQ415+AS415+AO417+AQ417+AS417</f>
        <v>85</v>
      </c>
      <c r="BF415" s="57">
        <f>AP415+AR415+AT415+AP417+AR417+AT417</f>
        <v>36</v>
      </c>
      <c r="BG415" s="49">
        <f>AY415+BA415</f>
        <v>4</v>
      </c>
      <c r="BH415" s="57">
        <f>AZ415+BB415</f>
        <v>0</v>
      </c>
      <c r="BI415" s="49">
        <f>IF(AY415&gt;AZ415,1,0)+IF(BA415&gt;BB415,1,0)</f>
        <v>2</v>
      </c>
      <c r="BJ415" s="58">
        <f>IF(AZ415&gt;AY415,1,0)+IF(BB415&gt;BA415,1,0)</f>
        <v>0</v>
      </c>
      <c r="BK415" s="59">
        <f>IF(BI415+BJ415=0,"",IF(BL415=MAX(BL415:BL417),1,IF(BL415=MIN(BL415:BL417),3,2)))</f>
        <v>1</v>
      </c>
      <c r="BL415" s="60">
        <f>IF(BI415+BJ415&lt;&gt;0,BI415+1+(BG415-BH415)/100+(BE415-BF415)/100000+(BE415/BF415)/1000000,0)</f>
        <v>3.0404923611111112</v>
      </c>
    </row>
    <row r="416" spans="1:64" ht="11.45" customHeight="1" x14ac:dyDescent="0.2">
      <c r="A416" s="19">
        <f>S416</f>
        <v>88</v>
      </c>
      <c r="B416" s="2" t="str">
        <f>IF(N416="","",N416)</f>
        <v>B4205</v>
      </c>
      <c r="C416" s="2" t="str">
        <f>IF(N417="","",N417)</f>
        <v/>
      </c>
      <c r="D416" s="2" t="str">
        <f>IF(N419="","",N419)</f>
        <v>R3720</v>
      </c>
      <c r="E416" s="2" t="str">
        <f>IF(N420="","",N420)</f>
        <v/>
      </c>
      <c r="J416" s="10"/>
      <c r="K416" s="19"/>
      <c r="M416" s="42" t="str">
        <f>N412</f>
        <v>pojedyncza dziewcząt JM</v>
      </c>
      <c r="N416" s="33" t="s">
        <v>94</v>
      </c>
      <c r="O416" s="34">
        <f>IF(O411&gt;0,(O411&amp;2)*1,"")</f>
        <v>62</v>
      </c>
      <c r="Q416" s="43" t="str">
        <f>IF(AU416&gt;0,"",IF(A416=0,"",IF(VLOOKUP(A416,'[2]plan gier'!A$1:S$65536,19,FALSE)="","",VLOOKUP(A416,'[2]plan gier'!A$1:S$65536,19,FALSE))))</f>
        <v/>
      </c>
      <c r="R416" s="44" t="s">
        <v>17</v>
      </c>
      <c r="S416" s="45">
        <v>88</v>
      </c>
      <c r="T416" s="242"/>
      <c r="U416" s="244" t="str">
        <f>IF(AND(N416&lt;&gt;"",N417=""),CONCATENATE(VLOOKUP(N416,[2]zawodnicy!$A$1:$E$65536,1,FALSE)," ",VLOOKUP(N416,[2]zawodnicy!$A$1:$E$65536,2,FALSE)," ",VLOOKUP(N416,[2]zawodnicy!$A$1:$E$65536,3,FALSE)," - ",VLOOKUP(N416,[2]zawodnicy!$A$1:$E$65536,4,FALSE)),"")</f>
        <v>B4205 Daniela BIELIŃSKA - UKS Unia Bieruń</v>
      </c>
      <c r="V416" s="245"/>
      <c r="W416" s="246"/>
      <c r="X416" s="61" t="str">
        <f>IF(SUM(AQ417:AR417)=0,"",AR417&amp;":"&amp;AQ417)</f>
        <v>20:22</v>
      </c>
      <c r="Y416" s="62"/>
      <c r="Z416" s="37" t="str">
        <f>IF(SUM(AQ416:AR416)=0,"",AQ416&amp;":"&amp;AR416)</f>
        <v>21:9</v>
      </c>
      <c r="AA416" s="248"/>
      <c r="AB416" s="251"/>
      <c r="AC416" s="251"/>
      <c r="AD416" s="254"/>
      <c r="AE416" s="2"/>
      <c r="AF416" s="12"/>
      <c r="AG416" s="12"/>
      <c r="AH416" s="44" t="s">
        <v>17</v>
      </c>
      <c r="AI416" s="63">
        <f>IF(ISBLANK(S416),"",VLOOKUP(S416,'[2]plan gier'!$X$1:$AN$65536,12,FALSE))</f>
        <v>21</v>
      </c>
      <c r="AJ416" s="64">
        <f>IF(ISBLANK(S416),"",VLOOKUP(S416,'[2]plan gier'!$X$1:$AN$65536,13,FALSE))</f>
        <v>8</v>
      </c>
      <c r="AK416" s="64">
        <f>IF(ISBLANK(S416),"",VLOOKUP(S416,'[2]plan gier'!$X$1:$AN$65536,14,FALSE))</f>
        <v>21</v>
      </c>
      <c r="AL416" s="64">
        <f>IF(ISBLANK(S416),"",VLOOKUP(S416,'[2]plan gier'!$X$1:$AN$65536,15,FALSE))</f>
        <v>9</v>
      </c>
      <c r="AM416" s="64">
        <f>IF(ISBLANK(S416),"",VLOOKUP(S416,'[2]plan gier'!$X$1:$AN$65536,16,FALSE))</f>
        <v>0</v>
      </c>
      <c r="AN416" s="64">
        <f>IF(ISBLANK(S416),"",VLOOKUP(S416,'[2]plan gier'!$X$1:$AN$65536,17,FALSE))</f>
        <v>0</v>
      </c>
      <c r="AO416" s="65">
        <f t="shared" si="40"/>
        <v>21</v>
      </c>
      <c r="AP416" s="64">
        <f t="shared" si="40"/>
        <v>8</v>
      </c>
      <c r="AQ416" s="66">
        <f t="shared" si="40"/>
        <v>21</v>
      </c>
      <c r="AR416" s="64">
        <f t="shared" si="40"/>
        <v>9</v>
      </c>
      <c r="AS416" s="66">
        <f t="shared" si="40"/>
        <v>0</v>
      </c>
      <c r="AT416" s="64">
        <f t="shared" si="40"/>
        <v>0</v>
      </c>
      <c r="AU416" s="54">
        <f>SUM(AO416:AT416)</f>
        <v>59</v>
      </c>
      <c r="AV416" s="13">
        <v>2</v>
      </c>
      <c r="AW416" s="63">
        <f>IF(AI417&lt;AJ417,1,0)+IF(AK417&lt;AL417,1,0)+IF(AM417&lt;AN417,1,0)</f>
        <v>0</v>
      </c>
      <c r="AX416" s="64">
        <f>AY415</f>
        <v>2</v>
      </c>
      <c r="AY416" s="67"/>
      <c r="AZ416" s="68"/>
      <c r="BA416" s="64">
        <f>IF(AI416&gt;AJ416,1,0)+IF(AK416&gt;AL416,1,0)+IF(AM416&gt;AN416,1,0)</f>
        <v>2</v>
      </c>
      <c r="BB416" s="69">
        <f>AY417</f>
        <v>0</v>
      </c>
      <c r="BE416" s="63">
        <f>AO416+AQ416+AS416+AP417+AR417+AT417</f>
        <v>72</v>
      </c>
      <c r="BF416" s="69">
        <f>AP416+AR416+AT416+AO417+AQ417+AS417</f>
        <v>60</v>
      </c>
      <c r="BG416" s="63">
        <f>AW416+BA416</f>
        <v>2</v>
      </c>
      <c r="BH416" s="69">
        <f>AX416+BB416</f>
        <v>2</v>
      </c>
      <c r="BI416" s="63">
        <f>IF(AW416&gt;AX416,1,0)+IF(BA416&gt;BB416,1,0)</f>
        <v>1</v>
      </c>
      <c r="BJ416" s="70">
        <f>IF(AX416&gt;AW416,1,0)+IF(BB416&gt;BA416,1,0)</f>
        <v>1</v>
      </c>
      <c r="BK416" s="71">
        <f>IF(BI416+BJ416=0,"",IF(BL416=MAX(BL415:BL417),1,IF(BL416=MIN(BL415:BL417),3,2)))</f>
        <v>2</v>
      </c>
      <c r="BL416" s="60">
        <f>IF(BI416+BJ416&lt;&gt;0,BI416+1+(BG416-BH416)/100+(BE416-BF416)/100000+(BE416/BF416)/1000000,0)</f>
        <v>2.0001211999999997</v>
      </c>
    </row>
    <row r="417" spans="1:64" ht="11.45" customHeight="1" thickBot="1" x14ac:dyDescent="0.25">
      <c r="A417" s="19">
        <f>S417</f>
        <v>153</v>
      </c>
      <c r="B417" s="2" t="str">
        <f>IF(N413="","",N413)</f>
        <v>S4168</v>
      </c>
      <c r="C417" s="2" t="str">
        <f>IF(N414="","",N414)</f>
        <v/>
      </c>
      <c r="D417" s="2" t="str">
        <f>IF(N416="","",N416)</f>
        <v>B4205</v>
      </c>
      <c r="E417" s="2" t="str">
        <f>IF(N417="","",N417)</f>
        <v/>
      </c>
      <c r="I417" s="2" t="str">
        <f>"3"&amp;O411&amp;N412</f>
        <v>36pojedyncza dziewcząt JM</v>
      </c>
      <c r="J417" s="10" t="str">
        <f>IF(AD418="","",IF(AD412=3,N413,IF(AD415=3,N416,IF(AD418=3,N419,""))))</f>
        <v>R3720</v>
      </c>
      <c r="K417" s="10">
        <f>IF(AD418="","",IF(AD412=3,N414,IF(AD415=3,N417,IF(AD418=3,N420,""))))</f>
        <v>0</v>
      </c>
      <c r="M417" s="42" t="str">
        <f>N412</f>
        <v>pojedyncza dziewcząt JM</v>
      </c>
      <c r="N417" s="38"/>
      <c r="O417" s="28"/>
      <c r="P417" s="28"/>
      <c r="Q417" s="43" t="str">
        <f>IF(AU417&gt;0,"",IF(A417=0,"",IF(VLOOKUP(A417,'[2]plan gier'!A$1:S$65536,19,FALSE)="","",VLOOKUP(A417,'[2]plan gier'!A$1:S$65536,19,FALSE))))</f>
        <v/>
      </c>
      <c r="R417" s="72" t="s">
        <v>18</v>
      </c>
      <c r="S417" s="45">
        <v>153</v>
      </c>
      <c r="T417" s="261"/>
      <c r="U417" s="265" t="str">
        <f>IF(N417&lt;&gt;"",CONCATENATE(VLOOKUP(N417,[2]zawodnicy!$A$1:$E$65536,1,FALSE)," ",VLOOKUP(N417,[2]zawodnicy!$A$1:$E$65536,2,FALSE)," ",VLOOKUP(N417,[2]zawodnicy!$A$1:$E$65536,3,FALSE)," - ",VLOOKUP(N417,[2]zawodnicy!$A$1:$E$65536,4,FALSE)),"")</f>
        <v/>
      </c>
      <c r="V417" s="266"/>
      <c r="W417" s="267"/>
      <c r="X417" s="73" t="str">
        <f>IF(SUM(AS417:AT417)=0,"",AT417&amp;":"&amp;AS417)</f>
        <v/>
      </c>
      <c r="Y417" s="62"/>
      <c r="Z417" s="40" t="str">
        <f>IF(SUM(AS416:AT416)=0,"",AS416&amp;":"&amp;AT416)</f>
        <v/>
      </c>
      <c r="AA417" s="262"/>
      <c r="AB417" s="263"/>
      <c r="AC417" s="263"/>
      <c r="AD417" s="264"/>
      <c r="AE417" s="2"/>
      <c r="AF417" s="12"/>
      <c r="AG417" s="12"/>
      <c r="AH417" s="72" t="s">
        <v>18</v>
      </c>
      <c r="AI417" s="74">
        <f>IF(ISBLANK(S417),"",VLOOKUP(S417,'[2]plan gier'!$X$1:$AN$65536,12,FALSE))</f>
        <v>21</v>
      </c>
      <c r="AJ417" s="75">
        <f>IF(ISBLANK(S417),"",VLOOKUP(S417,'[2]plan gier'!$X$1:$AN$65536,13,FALSE))</f>
        <v>10</v>
      </c>
      <c r="AK417" s="75">
        <f>IF(ISBLANK(S417),"",VLOOKUP(S417,'[2]plan gier'!$X$1:$AN$65536,14,FALSE))</f>
        <v>22</v>
      </c>
      <c r="AL417" s="75">
        <f>IF(ISBLANK(S417),"",VLOOKUP(S417,'[2]plan gier'!$X$1:$AN$65536,15,FALSE))</f>
        <v>20</v>
      </c>
      <c r="AM417" s="75">
        <f>IF(ISBLANK(S417),"",VLOOKUP(S417,'[2]plan gier'!$X$1:$AN$65536,16,FALSE))</f>
        <v>0</v>
      </c>
      <c r="AN417" s="75">
        <f>IF(ISBLANK(S417),"",VLOOKUP(S417,'[2]plan gier'!$X$1:$AN$65536,17,FALSE))</f>
        <v>0</v>
      </c>
      <c r="AO417" s="76">
        <f t="shared" si="40"/>
        <v>21</v>
      </c>
      <c r="AP417" s="75">
        <f t="shared" si="40"/>
        <v>10</v>
      </c>
      <c r="AQ417" s="77">
        <f t="shared" si="40"/>
        <v>22</v>
      </c>
      <c r="AR417" s="75">
        <f t="shared" si="40"/>
        <v>20</v>
      </c>
      <c r="AS417" s="77">
        <f t="shared" si="40"/>
        <v>0</v>
      </c>
      <c r="AT417" s="75">
        <f t="shared" si="40"/>
        <v>0</v>
      </c>
      <c r="AU417" s="54">
        <f>SUM(AO417:AT417)</f>
        <v>73</v>
      </c>
      <c r="AV417" s="13">
        <v>3</v>
      </c>
      <c r="AW417" s="74">
        <f>IF(AI415&lt;AJ415,1,0)+IF(AK415&lt;AL415,1,0)+IF(AM415&lt;AN415,1,0)</f>
        <v>0</v>
      </c>
      <c r="AX417" s="75">
        <f>BA415</f>
        <v>2</v>
      </c>
      <c r="AY417" s="75">
        <f>IF(AI416&lt;AJ416,1,0)+IF(AK416&lt;AL416,1,0)+IF(AM416&lt;AN416,1,0)</f>
        <v>0</v>
      </c>
      <c r="AZ417" s="75">
        <f>BA416</f>
        <v>2</v>
      </c>
      <c r="BA417" s="78"/>
      <c r="BB417" s="79"/>
      <c r="BE417" s="74">
        <f>AP415+AR415+AT415+AP416+AR416+AT416</f>
        <v>23</v>
      </c>
      <c r="BF417" s="80">
        <f>AO415+AQ415+AS415+AO416+AQ416+AS416</f>
        <v>84</v>
      </c>
      <c r="BG417" s="74">
        <f>AW417+AY417</f>
        <v>0</v>
      </c>
      <c r="BH417" s="80">
        <f>AX417+AZ417</f>
        <v>4</v>
      </c>
      <c r="BI417" s="74">
        <f>IF(AW417&gt;AX417,1,0)+IF(AY417&gt;AZ417,1,0)</f>
        <v>0</v>
      </c>
      <c r="BJ417" s="81">
        <f>IF(AX417&gt;AW417,1,0)+IF(AZ417&gt;AY417,1,0)</f>
        <v>2</v>
      </c>
      <c r="BK417" s="82">
        <f>IF(BI417+BJ417=0,"",IF(BL417=MAX(BL415:BL417),1,IF(BL417=MIN(BL415:BL417),3,2)))</f>
        <v>3</v>
      </c>
      <c r="BL417" s="60">
        <f>IF(BI417+BJ417&lt;&gt;0,BI417+1+(BG417-BH417)/100+(BE417-BF417)/100000+(BE417/BF417)/1000000,0)</f>
        <v>0.9593902738095238</v>
      </c>
    </row>
    <row r="418" spans="1:64" ht="11.45" customHeight="1" x14ac:dyDescent="0.2">
      <c r="A418" s="2"/>
      <c r="J418" s="28"/>
      <c r="K418" s="28"/>
      <c r="L418" s="28"/>
      <c r="O418" s="28"/>
      <c r="P418" s="28"/>
      <c r="Q418" s="2"/>
      <c r="R418" s="2"/>
      <c r="S418" s="2"/>
      <c r="T418" s="241">
        <v>3</v>
      </c>
      <c r="U418" s="244" t="str">
        <f>IF(AND(N419&lt;&gt;"",N420&lt;&gt;""),CONCATENATE(VLOOKUP(N419,[2]zawodnicy!$A$1:$E$65536,1,FALSE)," ",VLOOKUP(N419,[2]zawodnicy!$A$1:$E$65536,2,FALSE)," ",VLOOKUP(N419,[2]zawodnicy!$A$1:$E$65536,3,FALSE)," - ",VLOOKUP(N419,[2]zawodnicy!$A$1:$E$65536,4,FALSE)),"")</f>
        <v/>
      </c>
      <c r="V418" s="245"/>
      <c r="W418" s="246"/>
      <c r="X418" s="46" t="str">
        <f>IF(SUM(AO415:AP415)=0,"",AP415&amp;":"&amp;AO415)</f>
        <v>5:21</v>
      </c>
      <c r="Y418" s="83" t="str">
        <f>IF(SUM(AO416:AP416)=0,"",AP416&amp;":"&amp;AO416)</f>
        <v>8:21</v>
      </c>
      <c r="Z418" s="84"/>
      <c r="AA418" s="247" t="str">
        <f>IF(SUM(AW417:AZ417)=0,"",BE417&amp;":"&amp;BF417)</f>
        <v>23:84</v>
      </c>
      <c r="AB418" s="250" t="str">
        <f>IF(SUM(AW417:AZ417)=0,"",BG417&amp;":"&amp;BH417)</f>
        <v>0:4</v>
      </c>
      <c r="AC418" s="250" t="str">
        <f>IF(SUM(AW417:AZ417)=0,"",BI417&amp;":"&amp;BJ417)</f>
        <v>0:2</v>
      </c>
      <c r="AD418" s="253">
        <f>IF(SUM(BI415:BI417)&gt;0,BK417,"")</f>
        <v>3</v>
      </c>
      <c r="AE418" s="2"/>
      <c r="AF418" s="12"/>
      <c r="AG418" s="12"/>
      <c r="BE418" s="19">
        <f>SUM(BE415:BE417)</f>
        <v>180</v>
      </c>
      <c r="BF418" s="19">
        <f>SUM(BF415:BF417)</f>
        <v>180</v>
      </c>
      <c r="BG418" s="19">
        <f>SUM(BG415:BG417)</f>
        <v>6</v>
      </c>
      <c r="BH418" s="19">
        <f>SUM(BH415:BH417)</f>
        <v>6</v>
      </c>
      <c r="BK418" s="19"/>
      <c r="BL418" s="20"/>
    </row>
    <row r="419" spans="1:64" ht="11.45" customHeight="1" x14ac:dyDescent="0.2">
      <c r="A419" s="19"/>
      <c r="J419" s="19"/>
      <c r="K419" s="19"/>
      <c r="L419" s="19"/>
      <c r="N419" s="33" t="s">
        <v>95</v>
      </c>
      <c r="O419" s="34">
        <f>IF(O411&gt;0,(O411&amp;3)*1,"")</f>
        <v>63</v>
      </c>
      <c r="Q419" s="85"/>
      <c r="R419" s="85"/>
      <c r="S419" s="85"/>
      <c r="T419" s="242"/>
      <c r="U419" s="244" t="str">
        <f>IF(AND(N419&lt;&gt;"",N420=""),CONCATENATE(VLOOKUP(N419,[2]zawodnicy!$A$1:$E$65536,1,FALSE)," ",VLOOKUP(N419,[2]zawodnicy!$A$1:$E$65536,2,FALSE)," ",VLOOKUP(N419,[2]zawodnicy!$A$1:$E$65536,3,FALSE)," - ",VLOOKUP(N419,[2]zawodnicy!$A$1:$E$65536,4,FALSE)),"")</f>
        <v>R3720 Barbara RUTKOWSKA - ŚKBad Harcownik Warszawa</v>
      </c>
      <c r="V419" s="245"/>
      <c r="W419" s="246"/>
      <c r="X419" s="61" t="str">
        <f>IF(SUM(AQ415:AR415)=0,"",AR415&amp;":"&amp;AQ415)</f>
        <v>1:21</v>
      </c>
      <c r="Y419" s="36" t="str">
        <f>IF(SUM(AQ416:AR416)=0,"",AR416&amp;":"&amp;AQ416)</f>
        <v>9:21</v>
      </c>
      <c r="Z419" s="86"/>
      <c r="AA419" s="248"/>
      <c r="AB419" s="251"/>
      <c r="AC419" s="251"/>
      <c r="AD419" s="254"/>
      <c r="AE419" s="2"/>
      <c r="AF419" s="12"/>
      <c r="AG419" s="1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row>
    <row r="420" spans="1:64" ht="11.45" customHeight="1" thickBot="1" x14ac:dyDescent="0.25">
      <c r="A420" s="2"/>
      <c r="J420" s="28"/>
      <c r="K420" s="28"/>
      <c r="L420" s="28"/>
      <c r="N420" s="38"/>
      <c r="O420" s="28"/>
      <c r="P420" s="28"/>
      <c r="Q420" s="2"/>
      <c r="R420" s="2"/>
      <c r="S420" s="2"/>
      <c r="T420" s="243"/>
      <c r="U420" s="256" t="str">
        <f>IF(N420&lt;&gt;"",CONCATENATE(VLOOKUP(N420,[2]zawodnicy!$A$1:$E$65536,1,FALSE)," ",VLOOKUP(N420,[2]zawodnicy!$A$1:$E$65536,2,FALSE)," ",VLOOKUP(N420,[2]zawodnicy!$A$1:$E$65536,3,FALSE)," - ",VLOOKUP(N420,[2]zawodnicy!$A$1:$E$65536,4,FALSE)),"")</f>
        <v/>
      </c>
      <c r="V420" s="257"/>
      <c r="W420" s="258"/>
      <c r="X420" s="87" t="str">
        <f>IF(SUM(AS415:AT415)=0,"",AT415&amp;":"&amp;AS415)</f>
        <v/>
      </c>
      <c r="Y420" s="88" t="str">
        <f>IF(SUM(AS416:AT416)=0,"",AT416&amp;":"&amp;AS416)</f>
        <v/>
      </c>
      <c r="Z420" s="89"/>
      <c r="AA420" s="249"/>
      <c r="AB420" s="252"/>
      <c r="AC420" s="252"/>
      <c r="AD420" s="255"/>
      <c r="AE420" s="10"/>
      <c r="AF420" s="12"/>
      <c r="AG420" s="1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row>
    <row r="421" spans="1:64" s="19" customFormat="1" ht="5.0999999999999996" customHeight="1" thickBot="1" x14ac:dyDescent="0.25">
      <c r="M421" s="90"/>
      <c r="O421" s="90"/>
      <c r="P421" s="90"/>
      <c r="Q421" s="91"/>
      <c r="R421" s="91"/>
      <c r="S421" s="91"/>
      <c r="T421" s="91"/>
      <c r="U421" s="5"/>
      <c r="V421" s="5"/>
      <c r="W421" s="5"/>
      <c r="AA421" s="92"/>
      <c r="AB421" s="91"/>
      <c r="AC421" s="91"/>
      <c r="AD421" s="91"/>
      <c r="AE421" s="91"/>
      <c r="AF421" s="91"/>
      <c r="AI421" s="93"/>
      <c r="AJ421" s="94"/>
      <c r="AK421" s="94"/>
    </row>
    <row r="422" spans="1:64" ht="11.45" customHeight="1" thickBot="1" x14ac:dyDescent="0.25">
      <c r="N422" s="11"/>
      <c r="O422" s="21">
        <v>7</v>
      </c>
      <c r="Q422" s="277" t="str">
        <f>"Grupa "&amp;O422&amp;"."</f>
        <v>Grupa 7.</v>
      </c>
      <c r="R422" s="277"/>
      <c r="S422" s="277"/>
      <c r="T422" s="22" t="s">
        <v>1</v>
      </c>
      <c r="U422" s="278" t="s">
        <v>2</v>
      </c>
      <c r="V422" s="279"/>
      <c r="W422" s="280"/>
      <c r="X422" s="22">
        <v>1</v>
      </c>
      <c r="Y422" s="23">
        <v>2</v>
      </c>
      <c r="Z422" s="24">
        <v>3</v>
      </c>
      <c r="AA422" s="25" t="s">
        <v>3</v>
      </c>
      <c r="AB422" s="26" t="s">
        <v>4</v>
      </c>
      <c r="AC422" s="26" t="s">
        <v>5</v>
      </c>
      <c r="AD422" s="27" t="s">
        <v>6</v>
      </c>
      <c r="AE422" s="2"/>
      <c r="AF422" s="12"/>
      <c r="AG422" s="12"/>
      <c r="BK422" s="19"/>
      <c r="BL422" s="20"/>
    </row>
    <row r="423" spans="1:64" ht="11.45" customHeight="1" x14ac:dyDescent="0.2">
      <c r="J423" s="28"/>
      <c r="K423" s="28"/>
      <c r="L423" s="28"/>
      <c r="N423" s="29" t="s">
        <v>77</v>
      </c>
      <c r="Q423" s="274" t="s">
        <v>7</v>
      </c>
      <c r="R423" s="274"/>
      <c r="S423" s="275" t="s">
        <v>8</v>
      </c>
      <c r="T423" s="276">
        <v>1</v>
      </c>
      <c r="U423" s="244" t="str">
        <f>IF(AND(N424&lt;&gt;"",N425&lt;&gt;""),CONCATENATE(VLOOKUP(N424,[2]zawodnicy!$A$1:$E$65536,1,FALSE)," ",VLOOKUP(N424,[2]zawodnicy!$A$1:$E$65536,2,FALSE)," ",VLOOKUP(N424,[2]zawodnicy!$A$1:$E$65536,3,FALSE)," - ",VLOOKUP(N424,[2]zawodnicy!$A$1:$E$65536,4,FALSE)),"")</f>
        <v/>
      </c>
      <c r="V423" s="245"/>
      <c r="W423" s="246"/>
      <c r="X423" s="30"/>
      <c r="Y423" s="31" t="str">
        <f>IF(SUM(AO428:AP428)=0,"",AO428&amp;":"&amp;AP428)</f>
        <v>21:14</v>
      </c>
      <c r="Z423" s="32" t="str">
        <f>IF(SUM(AO426:AP426)=0,"",AO426&amp;":"&amp;AP426)</f>
        <v>21:17</v>
      </c>
      <c r="AA423" s="270" t="str">
        <f>IF(SUM(AY426:BB426)=0,"",BE426&amp;":"&amp;BF426)</f>
        <v>84:58</v>
      </c>
      <c r="AB423" s="271" t="str">
        <f>IF(SUM(AY426:BB426)=0,"",BG426&amp;":"&amp;BH426)</f>
        <v>4:0</v>
      </c>
      <c r="AC423" s="271" t="str">
        <f>IF(SUM(AY426:BB426)=0,"",BI426&amp;":"&amp;BJ426)</f>
        <v>2:0</v>
      </c>
      <c r="AD423" s="272">
        <f>IF(SUM(BI426:BI428)&gt;0,BK426,"")</f>
        <v>1</v>
      </c>
      <c r="AE423" s="2"/>
      <c r="AF423" s="12"/>
      <c r="AG423" s="12"/>
      <c r="AH423" s="14"/>
      <c r="AI423" s="273" t="s">
        <v>9</v>
      </c>
      <c r="AJ423" s="273"/>
      <c r="AK423" s="273"/>
      <c r="AL423" s="273"/>
      <c r="AM423" s="273"/>
      <c r="AN423" s="273"/>
      <c r="AO423" s="273" t="s">
        <v>10</v>
      </c>
      <c r="AP423" s="273"/>
      <c r="AQ423" s="273"/>
      <c r="AR423" s="273"/>
      <c r="AS423" s="273"/>
      <c r="AT423" s="273"/>
      <c r="BK423" s="19"/>
      <c r="BL423" s="20"/>
    </row>
    <row r="424" spans="1:64" ht="11.45" customHeight="1" thickBot="1" x14ac:dyDescent="0.25">
      <c r="I424" s="2" t="str">
        <f>"1"&amp;O422&amp;N423</f>
        <v>17pojedyncza dziewcząt JM</v>
      </c>
      <c r="J424" s="10" t="str">
        <f>IF(AD423="","",IF(AD423=1,N424,IF(AD426=1,N427,IF(AD429=1,N430,""))))</f>
        <v>K4207</v>
      </c>
      <c r="K424" s="10">
        <f>IF(AD423="","",IF(AD423=1,N425,IF(AD426=1,N428,IF(AD429=1,N431,""))))</f>
        <v>0</v>
      </c>
      <c r="L424" s="10"/>
      <c r="N424" s="33" t="s">
        <v>96</v>
      </c>
      <c r="O424" s="34">
        <f>IF(O422&gt;0,(O422&amp;1)*1,"")</f>
        <v>71</v>
      </c>
      <c r="Q424" s="274"/>
      <c r="R424" s="274"/>
      <c r="S424" s="275"/>
      <c r="T424" s="242"/>
      <c r="U424" s="244" t="str">
        <f>IF(AND(N424&lt;&gt;"",N425=""),CONCATENATE(VLOOKUP(N424,[2]zawodnicy!$A$1:$E$65536,1,FALSE)," ",VLOOKUP(N424,[2]zawodnicy!$A$1:$E$65536,2,FALSE)," ",VLOOKUP(N424,[2]zawodnicy!$A$1:$E$65536,3,FALSE)," - ",VLOOKUP(N424,[2]zawodnicy!$A$1:$E$65536,4,FALSE)),"")</f>
        <v>K4207 Urszula KARWOWSKA - UKSB Milenium Warszawa</v>
      </c>
      <c r="V424" s="245"/>
      <c r="W424" s="246"/>
      <c r="X424" s="35"/>
      <c r="Y424" s="36" t="str">
        <f>IF(SUM(AQ428:AR428)=0,"",AQ428&amp;":"&amp;AR428)</f>
        <v>21:17</v>
      </c>
      <c r="Z424" s="37" t="str">
        <f>IF(SUM(AQ426:AR426)=0,"",AQ426&amp;":"&amp;AR426)</f>
        <v>21:10</v>
      </c>
      <c r="AA424" s="248"/>
      <c r="AB424" s="251"/>
      <c r="AC424" s="251"/>
      <c r="AD424" s="254"/>
      <c r="AE424" s="2"/>
      <c r="AF424" s="12"/>
      <c r="AG424" s="12"/>
      <c r="AH424" s="14"/>
      <c r="BE424" s="19">
        <f>SUM(BE426:BE428)</f>
        <v>209</v>
      </c>
      <c r="BF424" s="19">
        <f>SUM(BF426:BF428)</f>
        <v>209</v>
      </c>
      <c r="BG424" s="19">
        <f>SUM(BG426:BG428)</f>
        <v>6</v>
      </c>
      <c r="BH424" s="19">
        <f>SUM(BH426:BH428)</f>
        <v>6</v>
      </c>
      <c r="BK424" s="19"/>
      <c r="BL424" s="20"/>
    </row>
    <row r="425" spans="1:64" ht="11.45" customHeight="1" thickBot="1" x14ac:dyDescent="0.25">
      <c r="J425" s="10"/>
      <c r="K425" s="28"/>
      <c r="L425" s="28"/>
      <c r="N425" s="38"/>
      <c r="O425" s="28"/>
      <c r="P425" s="28"/>
      <c r="Q425" s="274"/>
      <c r="R425" s="274"/>
      <c r="S425" s="275"/>
      <c r="T425" s="261"/>
      <c r="U425" s="265" t="str">
        <f>IF(N425&lt;&gt;"",CONCATENATE(VLOOKUP(N425,[2]zawodnicy!$A$1:$E$65536,1,FALSE)," ",VLOOKUP(N425,[2]zawodnicy!$A$1:$E$65536,2,FALSE)," ",VLOOKUP(N425,[2]zawodnicy!$A$1:$E$65536,3,FALSE)," - ",VLOOKUP(N425,[2]zawodnicy!$A$1:$E$65536,4,FALSE)),"")</f>
        <v/>
      </c>
      <c r="V425" s="266"/>
      <c r="W425" s="267"/>
      <c r="X425" s="35"/>
      <c r="Y425" s="39" t="str">
        <f>IF(SUM(AS428:AT428)=0,"",AS428&amp;":"&amp;AT428)</f>
        <v/>
      </c>
      <c r="Z425" s="40" t="str">
        <f>IF(SUM(AS426:AT426)=0,"",AS426&amp;":"&amp;AT426)</f>
        <v/>
      </c>
      <c r="AA425" s="262"/>
      <c r="AB425" s="263"/>
      <c r="AC425" s="263"/>
      <c r="AD425" s="264"/>
      <c r="AE425" s="2"/>
      <c r="AF425" s="12"/>
      <c r="AG425" s="12"/>
      <c r="AH425" s="14"/>
      <c r="AI425" s="259" t="s">
        <v>12</v>
      </c>
      <c r="AJ425" s="269"/>
      <c r="AK425" s="268" t="s">
        <v>13</v>
      </c>
      <c r="AL425" s="269"/>
      <c r="AM425" s="268" t="s">
        <v>14</v>
      </c>
      <c r="AN425" s="260"/>
      <c r="AO425" s="259" t="s">
        <v>12</v>
      </c>
      <c r="AP425" s="269"/>
      <c r="AQ425" s="268" t="s">
        <v>13</v>
      </c>
      <c r="AR425" s="269"/>
      <c r="AS425" s="268" t="s">
        <v>14</v>
      </c>
      <c r="AT425" s="269"/>
      <c r="AU425" s="12"/>
      <c r="AV425" s="12"/>
      <c r="AW425" s="259">
        <v>1</v>
      </c>
      <c r="AX425" s="269"/>
      <c r="AY425" s="268">
        <v>2</v>
      </c>
      <c r="AZ425" s="269"/>
      <c r="BA425" s="268">
        <v>3</v>
      </c>
      <c r="BB425" s="260"/>
      <c r="BE425" s="259" t="s">
        <v>3</v>
      </c>
      <c r="BF425" s="260"/>
      <c r="BG425" s="259" t="s">
        <v>4</v>
      </c>
      <c r="BH425" s="260"/>
      <c r="BI425" s="259" t="s">
        <v>5</v>
      </c>
      <c r="BJ425" s="260"/>
      <c r="BK425" s="41" t="s">
        <v>6</v>
      </c>
      <c r="BL425" s="20"/>
    </row>
    <row r="426" spans="1:64" ht="11.45" customHeight="1" x14ac:dyDescent="0.2">
      <c r="A426" s="19">
        <f>S426</f>
        <v>24</v>
      </c>
      <c r="B426" s="2" t="str">
        <f>IF(N424="","",N424)</f>
        <v>K4207</v>
      </c>
      <c r="C426" s="2" t="str">
        <f>IF(N425="","",N425)</f>
        <v/>
      </c>
      <c r="D426" s="2" t="str">
        <f>IF(N430="","",N430)</f>
        <v>K3764</v>
      </c>
      <c r="E426" s="2" t="str">
        <f>IF(N431="","",N431)</f>
        <v/>
      </c>
      <c r="I426" s="2" t="str">
        <f>"2"&amp;O422&amp;N423</f>
        <v>27pojedyncza dziewcząt JM</v>
      </c>
      <c r="J426" s="10" t="str">
        <f>IF(AD426="","",IF(AD423=2,N424,IF(AD426=2,N427,IF(AD429=2,N430,""))))</f>
        <v>K3764</v>
      </c>
      <c r="K426" s="10">
        <f>IF(AD426="","",IF(AD423=2,N425,IF(AD426=2,N428,IF(AD429=2,N431,""))))</f>
        <v>0</v>
      </c>
      <c r="M426" s="42" t="str">
        <f>N423</f>
        <v>pojedyncza dziewcząt JM</v>
      </c>
      <c r="O426" s="28"/>
      <c r="P426" s="28"/>
      <c r="Q426" s="43" t="str">
        <f>IF(AU426&gt;0,"",IF(A426=0,"",IF(VLOOKUP(A426,'[2]plan gier'!A$1:S$65536,19,FALSE)="","",VLOOKUP(A426,'[2]plan gier'!A$1:S$65536,19,FALSE))))</f>
        <v/>
      </c>
      <c r="R426" s="44" t="s">
        <v>15</v>
      </c>
      <c r="S426" s="45">
        <v>24</v>
      </c>
      <c r="T426" s="241">
        <v>2</v>
      </c>
      <c r="U426" s="244" t="str">
        <f>IF(AND(N427&lt;&gt;"",N428&lt;&gt;""),CONCATENATE(VLOOKUP(N427,[2]zawodnicy!$A$1:$E$65536,1,FALSE)," ",VLOOKUP(N427,[2]zawodnicy!$A$1:$E$65536,2,FALSE)," ",VLOOKUP(N427,[2]zawodnicy!$A$1:$E$65536,3,FALSE)," - ",VLOOKUP(N427,[2]zawodnicy!$A$1:$E$65536,4,FALSE)),"")</f>
        <v/>
      </c>
      <c r="V426" s="245"/>
      <c r="W426" s="246"/>
      <c r="X426" s="46" t="str">
        <f>IF(SUM(AO428:AP428)=0,"",AP428&amp;":"&amp;AO428)</f>
        <v>14:21</v>
      </c>
      <c r="Y426" s="47"/>
      <c r="Z426" s="48" t="str">
        <f>IF(SUM(AO427:AP427)=0,"",AO427&amp;":"&amp;AP427)</f>
        <v>14:21</v>
      </c>
      <c r="AA426" s="247" t="str">
        <f>IF(SUM(AW427:AX427,BA427:BB427)=0,"",BE427&amp;":"&amp;BF427)</f>
        <v>56:84</v>
      </c>
      <c r="AB426" s="250" t="str">
        <f>IF(SUM(AW427:AX427,BA427:BB427)=0,"",BG427&amp;":"&amp;BH427)</f>
        <v>0:4</v>
      </c>
      <c r="AC426" s="250" t="str">
        <f>IF(SUM(AW427:AX427,BA427:BB427)=0,"",BI427&amp;":"&amp;BJ427)</f>
        <v>0:2</v>
      </c>
      <c r="AD426" s="253">
        <f>IF(SUM(BI426:BI428)&gt;0,BK427,"")</f>
        <v>3</v>
      </c>
      <c r="AE426" s="2"/>
      <c r="AF426" s="12"/>
      <c r="AG426" s="12"/>
      <c r="AH426" s="44" t="s">
        <v>15</v>
      </c>
      <c r="AI426" s="49">
        <f>IF(ISBLANK(S426),"",VLOOKUP(S426,'[2]plan gier'!$X$1:$AN$65536,12,FALSE))</f>
        <v>21</v>
      </c>
      <c r="AJ426" s="50">
        <f>IF(ISBLANK(S426),"",VLOOKUP(S426,'[2]plan gier'!$X$1:$AN$65536,13,FALSE))</f>
        <v>17</v>
      </c>
      <c r="AK426" s="50">
        <f>IF(ISBLANK(S426),"",VLOOKUP(S426,'[2]plan gier'!$X$1:$AN$65536,14,FALSE))</f>
        <v>21</v>
      </c>
      <c r="AL426" s="50">
        <f>IF(ISBLANK(S426),"",VLOOKUP(S426,'[2]plan gier'!$X$1:$AN$65536,15,FALSE))</f>
        <v>10</v>
      </c>
      <c r="AM426" s="50">
        <f>IF(ISBLANK(S426),"",VLOOKUP(S426,'[2]plan gier'!$X$1:$AN$65536,16,FALSE))</f>
        <v>0</v>
      </c>
      <c r="AN426" s="50">
        <f>IF(ISBLANK(S426),"",VLOOKUP(S426,'[2]plan gier'!$X$1:$AN$65536,17,FALSE))</f>
        <v>0</v>
      </c>
      <c r="AO426" s="51">
        <f t="shared" ref="AO426:AT428" si="41">IF(AI426="",0,AI426)</f>
        <v>21</v>
      </c>
      <c r="AP426" s="52">
        <f t="shared" si="41"/>
        <v>17</v>
      </c>
      <c r="AQ426" s="53">
        <f t="shared" si="41"/>
        <v>21</v>
      </c>
      <c r="AR426" s="52">
        <f t="shared" si="41"/>
        <v>10</v>
      </c>
      <c r="AS426" s="53">
        <f t="shared" si="41"/>
        <v>0</v>
      </c>
      <c r="AT426" s="52">
        <f t="shared" si="41"/>
        <v>0</v>
      </c>
      <c r="AU426" s="54">
        <f>SUM(AO426:AT426)</f>
        <v>69</v>
      </c>
      <c r="AV426" s="13">
        <v>1</v>
      </c>
      <c r="AW426" s="55"/>
      <c r="AX426" s="56"/>
      <c r="AY426" s="50">
        <f>IF(AI428&gt;AJ428,1,0)+IF(AK428&gt;AL428,1,0)+IF(AM428&gt;AN428,1,0)</f>
        <v>2</v>
      </c>
      <c r="AZ426" s="50">
        <f>AW427</f>
        <v>0</v>
      </c>
      <c r="BA426" s="50">
        <f>IF(AI426&gt;AJ426,1,0)+IF(AK426&gt;AL426,1,0)+IF(AM426&gt;AN426,1,0)</f>
        <v>2</v>
      </c>
      <c r="BB426" s="57">
        <f>AW428</f>
        <v>0</v>
      </c>
      <c r="BE426" s="49">
        <f>AO426+AQ426+AS426+AO428+AQ428+AS428</f>
        <v>84</v>
      </c>
      <c r="BF426" s="57">
        <f>AP426+AR426+AT426+AP428+AR428+AT428</f>
        <v>58</v>
      </c>
      <c r="BG426" s="49">
        <f>AY426+BA426</f>
        <v>4</v>
      </c>
      <c r="BH426" s="57">
        <f>AZ426+BB426</f>
        <v>0</v>
      </c>
      <c r="BI426" s="49">
        <f>IF(AY426&gt;AZ426,1,0)+IF(BA426&gt;BB426,1,0)</f>
        <v>2</v>
      </c>
      <c r="BJ426" s="58">
        <f>IF(AZ426&gt;AY426,1,0)+IF(BB426&gt;BA426,1,0)</f>
        <v>0</v>
      </c>
      <c r="BK426" s="59">
        <f>IF(BI426+BJ426=0,"",IF(BL426=MAX(BL426:BL428),1,IF(BL426=MIN(BL426:BL428),3,2)))</f>
        <v>1</v>
      </c>
      <c r="BL426" s="60">
        <f>IF(BI426+BJ426&lt;&gt;0,BI426+1+(BG426-BH426)/100+(BE426-BF426)/100000+(BE426/BF426)/1000000,0)</f>
        <v>3.0402614482758619</v>
      </c>
    </row>
    <row r="427" spans="1:64" ht="11.45" customHeight="1" x14ac:dyDescent="0.2">
      <c r="A427" s="19">
        <f>S427</f>
        <v>89</v>
      </c>
      <c r="B427" s="2" t="str">
        <f>IF(N427="","",N427)</f>
        <v>B4184</v>
      </c>
      <c r="C427" s="2" t="str">
        <f>IF(N428="","",N428)</f>
        <v/>
      </c>
      <c r="D427" s="2" t="str">
        <f>IF(N430="","",N430)</f>
        <v>K3764</v>
      </c>
      <c r="E427" s="2" t="str">
        <f>IF(N431="","",N431)</f>
        <v/>
      </c>
      <c r="J427" s="10"/>
      <c r="K427" s="19"/>
      <c r="M427" s="42" t="str">
        <f>N423</f>
        <v>pojedyncza dziewcząt JM</v>
      </c>
      <c r="N427" s="33" t="s">
        <v>97</v>
      </c>
      <c r="O427" s="34">
        <f>IF(O422&gt;0,(O422&amp;2)*1,"")</f>
        <v>72</v>
      </c>
      <c r="Q427" s="43" t="str">
        <f>IF(AU427&gt;0,"",IF(A427=0,"",IF(VLOOKUP(A427,'[2]plan gier'!A$1:S$65536,19,FALSE)="","",VLOOKUP(A427,'[2]plan gier'!A$1:S$65536,19,FALSE))))</f>
        <v/>
      </c>
      <c r="R427" s="44" t="s">
        <v>17</v>
      </c>
      <c r="S427" s="45">
        <v>89</v>
      </c>
      <c r="T427" s="242"/>
      <c r="U427" s="244" t="str">
        <f>IF(AND(N427&lt;&gt;"",N428=""),CONCATENATE(VLOOKUP(N427,[2]zawodnicy!$A$1:$E$65536,1,FALSE)," ",VLOOKUP(N427,[2]zawodnicy!$A$1:$E$65536,2,FALSE)," ",VLOOKUP(N427,[2]zawodnicy!$A$1:$E$65536,3,FALSE)," - ",VLOOKUP(N427,[2]zawodnicy!$A$1:$E$65536,4,FALSE)),"")</f>
        <v>B4184 Milena BAŁON - SKB Suwałki</v>
      </c>
      <c r="V427" s="245"/>
      <c r="W427" s="246"/>
      <c r="X427" s="61" t="str">
        <f>IF(SUM(AQ428:AR428)=0,"",AR428&amp;":"&amp;AQ428)</f>
        <v>17:21</v>
      </c>
      <c r="Y427" s="62"/>
      <c r="Z427" s="37" t="str">
        <f>IF(SUM(AQ427:AR427)=0,"",AQ427&amp;":"&amp;AR427)</f>
        <v>11:21</v>
      </c>
      <c r="AA427" s="248"/>
      <c r="AB427" s="251"/>
      <c r="AC427" s="251"/>
      <c r="AD427" s="254"/>
      <c r="AE427" s="2"/>
      <c r="AF427" s="12"/>
      <c r="AG427" s="12"/>
      <c r="AH427" s="44" t="s">
        <v>17</v>
      </c>
      <c r="AI427" s="63">
        <f>IF(ISBLANK(S427),"",VLOOKUP(S427,'[2]plan gier'!$X$1:$AN$65536,12,FALSE))</f>
        <v>14</v>
      </c>
      <c r="AJ427" s="64">
        <f>IF(ISBLANK(S427),"",VLOOKUP(S427,'[2]plan gier'!$X$1:$AN$65536,13,FALSE))</f>
        <v>21</v>
      </c>
      <c r="AK427" s="64">
        <f>IF(ISBLANK(S427),"",VLOOKUP(S427,'[2]plan gier'!$X$1:$AN$65536,14,FALSE))</f>
        <v>11</v>
      </c>
      <c r="AL427" s="64">
        <f>IF(ISBLANK(S427),"",VLOOKUP(S427,'[2]plan gier'!$X$1:$AN$65536,15,FALSE))</f>
        <v>21</v>
      </c>
      <c r="AM427" s="64">
        <f>IF(ISBLANK(S427),"",VLOOKUP(S427,'[2]plan gier'!$X$1:$AN$65536,16,FALSE))</f>
        <v>0</v>
      </c>
      <c r="AN427" s="64">
        <f>IF(ISBLANK(S427),"",VLOOKUP(S427,'[2]plan gier'!$X$1:$AN$65536,17,FALSE))</f>
        <v>0</v>
      </c>
      <c r="AO427" s="65">
        <f t="shared" si="41"/>
        <v>14</v>
      </c>
      <c r="AP427" s="64">
        <f t="shared" si="41"/>
        <v>21</v>
      </c>
      <c r="AQ427" s="66">
        <f t="shared" si="41"/>
        <v>11</v>
      </c>
      <c r="AR427" s="64">
        <f t="shared" si="41"/>
        <v>21</v>
      </c>
      <c r="AS427" s="66">
        <f t="shared" si="41"/>
        <v>0</v>
      </c>
      <c r="AT427" s="64">
        <f t="shared" si="41"/>
        <v>0</v>
      </c>
      <c r="AU427" s="54">
        <f>SUM(AO427:AT427)</f>
        <v>67</v>
      </c>
      <c r="AV427" s="13">
        <v>2</v>
      </c>
      <c r="AW427" s="63">
        <f>IF(AI428&lt;AJ428,1,0)+IF(AK428&lt;AL428,1,0)+IF(AM428&lt;AN428,1,0)</f>
        <v>0</v>
      </c>
      <c r="AX427" s="64">
        <f>AY426</f>
        <v>2</v>
      </c>
      <c r="AY427" s="67"/>
      <c r="AZ427" s="68"/>
      <c r="BA427" s="64">
        <f>IF(AI427&gt;AJ427,1,0)+IF(AK427&gt;AL427,1,0)+IF(AM427&gt;AN427,1,0)</f>
        <v>0</v>
      </c>
      <c r="BB427" s="69">
        <f>AY428</f>
        <v>2</v>
      </c>
      <c r="BE427" s="63">
        <f>AO427+AQ427+AS427+AP428+AR428+AT428</f>
        <v>56</v>
      </c>
      <c r="BF427" s="69">
        <f>AP427+AR427+AT427+AO428+AQ428+AS428</f>
        <v>84</v>
      </c>
      <c r="BG427" s="63">
        <f>AW427+BA427</f>
        <v>0</v>
      </c>
      <c r="BH427" s="69">
        <f>AX427+BB427</f>
        <v>4</v>
      </c>
      <c r="BI427" s="63">
        <f>IF(AW427&gt;AX427,1,0)+IF(BA427&gt;BB427,1,0)</f>
        <v>0</v>
      </c>
      <c r="BJ427" s="70">
        <f>IF(AX427&gt;AW427,1,0)+IF(BB427&gt;BA427,1,0)</f>
        <v>2</v>
      </c>
      <c r="BK427" s="71">
        <f>IF(BI427+BJ427=0,"",IF(BL427=MAX(BL426:BL428),1,IF(BL427=MIN(BL426:BL428),3,2)))</f>
        <v>3</v>
      </c>
      <c r="BL427" s="60">
        <f>IF(BI427+BJ427&lt;&gt;0,BI427+1+(BG427-BH427)/100+(BE427-BF427)/100000+(BE427/BF427)/1000000,0)</f>
        <v>0.95972066666666667</v>
      </c>
    </row>
    <row r="428" spans="1:64" ht="11.45" customHeight="1" thickBot="1" x14ac:dyDescent="0.25">
      <c r="A428" s="19">
        <f>S428</f>
        <v>154</v>
      </c>
      <c r="B428" s="2" t="str">
        <f>IF(N424="","",N424)</f>
        <v>K4207</v>
      </c>
      <c r="C428" s="2" t="str">
        <f>IF(N425="","",N425)</f>
        <v/>
      </c>
      <c r="D428" s="2" t="str">
        <f>IF(N427="","",N427)</f>
        <v>B4184</v>
      </c>
      <c r="E428" s="2" t="str">
        <f>IF(N428="","",N428)</f>
        <v/>
      </c>
      <c r="I428" s="2" t="str">
        <f>"3"&amp;O422&amp;N423</f>
        <v>37pojedyncza dziewcząt JM</v>
      </c>
      <c r="J428" s="10" t="str">
        <f>IF(AD429="","",IF(AD423=3,N424,IF(AD426=3,N427,IF(AD429=3,N430,""))))</f>
        <v>B4184</v>
      </c>
      <c r="K428" s="10">
        <f>IF(AD429="","",IF(AD423=3,N425,IF(AD426=3,N428,IF(AD429=3,N431,""))))</f>
        <v>0</v>
      </c>
      <c r="M428" s="42" t="str">
        <f>N423</f>
        <v>pojedyncza dziewcząt JM</v>
      </c>
      <c r="N428" s="38"/>
      <c r="O428" s="28"/>
      <c r="P428" s="28"/>
      <c r="Q428" s="43" t="str">
        <f>IF(AU428&gt;0,"",IF(A428=0,"",IF(VLOOKUP(A428,'[2]plan gier'!A$1:S$65536,19,FALSE)="","",VLOOKUP(A428,'[2]plan gier'!A$1:S$65536,19,FALSE))))</f>
        <v/>
      </c>
      <c r="R428" s="72" t="s">
        <v>18</v>
      </c>
      <c r="S428" s="45">
        <v>154</v>
      </c>
      <c r="T428" s="261"/>
      <c r="U428" s="265" t="str">
        <f>IF(N428&lt;&gt;"",CONCATENATE(VLOOKUP(N428,[2]zawodnicy!$A$1:$E$65536,1,FALSE)," ",VLOOKUP(N428,[2]zawodnicy!$A$1:$E$65536,2,FALSE)," ",VLOOKUP(N428,[2]zawodnicy!$A$1:$E$65536,3,FALSE)," - ",VLOOKUP(N428,[2]zawodnicy!$A$1:$E$65536,4,FALSE)),"")</f>
        <v/>
      </c>
      <c r="V428" s="266"/>
      <c r="W428" s="267"/>
      <c r="X428" s="73" t="str">
        <f>IF(SUM(AS428:AT428)=0,"",AT428&amp;":"&amp;AS428)</f>
        <v/>
      </c>
      <c r="Y428" s="62"/>
      <c r="Z428" s="40" t="str">
        <f>IF(SUM(AS427:AT427)=0,"",AS427&amp;":"&amp;AT427)</f>
        <v/>
      </c>
      <c r="AA428" s="262"/>
      <c r="AB428" s="263"/>
      <c r="AC428" s="263"/>
      <c r="AD428" s="264"/>
      <c r="AE428" s="2"/>
      <c r="AF428" s="12"/>
      <c r="AG428" s="12"/>
      <c r="AH428" s="72" t="s">
        <v>18</v>
      </c>
      <c r="AI428" s="74">
        <f>IF(ISBLANK(S428),"",VLOOKUP(S428,'[2]plan gier'!$X$1:$AN$65536,12,FALSE))</f>
        <v>21</v>
      </c>
      <c r="AJ428" s="75">
        <f>IF(ISBLANK(S428),"",VLOOKUP(S428,'[2]plan gier'!$X$1:$AN$65536,13,FALSE))</f>
        <v>14</v>
      </c>
      <c r="AK428" s="75">
        <f>IF(ISBLANK(S428),"",VLOOKUP(S428,'[2]plan gier'!$X$1:$AN$65536,14,FALSE))</f>
        <v>21</v>
      </c>
      <c r="AL428" s="75">
        <f>IF(ISBLANK(S428),"",VLOOKUP(S428,'[2]plan gier'!$X$1:$AN$65536,15,FALSE))</f>
        <v>17</v>
      </c>
      <c r="AM428" s="75">
        <f>IF(ISBLANK(S428),"",VLOOKUP(S428,'[2]plan gier'!$X$1:$AN$65536,16,FALSE))</f>
        <v>0</v>
      </c>
      <c r="AN428" s="75">
        <f>IF(ISBLANK(S428),"",VLOOKUP(S428,'[2]plan gier'!$X$1:$AN$65536,17,FALSE))</f>
        <v>0</v>
      </c>
      <c r="AO428" s="76">
        <f t="shared" si="41"/>
        <v>21</v>
      </c>
      <c r="AP428" s="75">
        <f t="shared" si="41"/>
        <v>14</v>
      </c>
      <c r="AQ428" s="77">
        <f t="shared" si="41"/>
        <v>21</v>
      </c>
      <c r="AR428" s="75">
        <f t="shared" si="41"/>
        <v>17</v>
      </c>
      <c r="AS428" s="77">
        <f t="shared" si="41"/>
        <v>0</v>
      </c>
      <c r="AT428" s="75">
        <f t="shared" si="41"/>
        <v>0</v>
      </c>
      <c r="AU428" s="54">
        <f>SUM(AO428:AT428)</f>
        <v>73</v>
      </c>
      <c r="AV428" s="13">
        <v>3</v>
      </c>
      <c r="AW428" s="74">
        <f>IF(AI426&lt;AJ426,1,0)+IF(AK426&lt;AL426,1,0)+IF(AM426&lt;AN426,1,0)</f>
        <v>0</v>
      </c>
      <c r="AX428" s="75">
        <f>BA426</f>
        <v>2</v>
      </c>
      <c r="AY428" s="75">
        <f>IF(AI427&lt;AJ427,1,0)+IF(AK427&lt;AL427,1,0)+IF(AM427&lt;AN427,1,0)</f>
        <v>2</v>
      </c>
      <c r="AZ428" s="75">
        <f>BA427</f>
        <v>0</v>
      </c>
      <c r="BA428" s="78"/>
      <c r="BB428" s="79"/>
      <c r="BE428" s="74">
        <f>AP426+AR426+AT426+AP427+AR427+AT427</f>
        <v>69</v>
      </c>
      <c r="BF428" s="80">
        <f>AO426+AQ426+AS426+AO427+AQ427+AS427</f>
        <v>67</v>
      </c>
      <c r="BG428" s="74">
        <f>AW428+AY428</f>
        <v>2</v>
      </c>
      <c r="BH428" s="80">
        <f>AX428+AZ428</f>
        <v>2</v>
      </c>
      <c r="BI428" s="74">
        <f>IF(AW428&gt;AX428,1,0)+IF(AY428&gt;AZ428,1,0)</f>
        <v>1</v>
      </c>
      <c r="BJ428" s="81">
        <f>IF(AX428&gt;AW428,1,0)+IF(AZ428&gt;AY428,1,0)</f>
        <v>1</v>
      </c>
      <c r="BK428" s="82">
        <f>IF(BI428+BJ428=0,"",IF(BL428=MAX(BL426:BL428),1,IF(BL428=MIN(BL426:BL428),3,2)))</f>
        <v>2</v>
      </c>
      <c r="BL428" s="60">
        <f>IF(BI428+BJ428&lt;&gt;0,BI428+1+(BG428-BH428)/100+(BE428-BF428)/100000+(BE428/BF428)/1000000,0)</f>
        <v>2.0000210298507466</v>
      </c>
    </row>
    <row r="429" spans="1:64" ht="11.45" customHeight="1" x14ac:dyDescent="0.2">
      <c r="A429" s="2"/>
      <c r="J429" s="28"/>
      <c r="K429" s="28"/>
      <c r="L429" s="28"/>
      <c r="O429" s="28"/>
      <c r="P429" s="28"/>
      <c r="Q429" s="2"/>
      <c r="R429" s="2"/>
      <c r="S429" s="2"/>
      <c r="T429" s="241">
        <v>3</v>
      </c>
      <c r="U429" s="244" t="str">
        <f>IF(AND(N430&lt;&gt;"",N431&lt;&gt;""),CONCATENATE(VLOOKUP(N430,[2]zawodnicy!$A$1:$E$65536,1,FALSE)," ",VLOOKUP(N430,[2]zawodnicy!$A$1:$E$65536,2,FALSE)," ",VLOOKUP(N430,[2]zawodnicy!$A$1:$E$65536,3,FALSE)," - ",VLOOKUP(N430,[2]zawodnicy!$A$1:$E$65536,4,FALSE)),"")</f>
        <v/>
      </c>
      <c r="V429" s="245"/>
      <c r="W429" s="246"/>
      <c r="X429" s="46" t="str">
        <f>IF(SUM(AO426:AP426)=0,"",AP426&amp;":"&amp;AO426)</f>
        <v>17:21</v>
      </c>
      <c r="Y429" s="83" t="str">
        <f>IF(SUM(AO427:AP427)=0,"",AP427&amp;":"&amp;AO427)</f>
        <v>21:14</v>
      </c>
      <c r="Z429" s="84"/>
      <c r="AA429" s="247" t="str">
        <f>IF(SUM(AW428:AZ428)=0,"",BE428&amp;":"&amp;BF428)</f>
        <v>69:67</v>
      </c>
      <c r="AB429" s="250" t="str">
        <f>IF(SUM(AW428:AZ428)=0,"",BG428&amp;":"&amp;BH428)</f>
        <v>2:2</v>
      </c>
      <c r="AC429" s="250" t="str">
        <f>IF(SUM(AW428:AZ428)=0,"",BI428&amp;":"&amp;BJ428)</f>
        <v>1:1</v>
      </c>
      <c r="AD429" s="253">
        <f>IF(SUM(BI426:BI428)&gt;0,BK428,"")</f>
        <v>2</v>
      </c>
      <c r="AE429" s="2"/>
      <c r="AF429" s="12"/>
      <c r="AG429" s="12"/>
      <c r="BE429" s="19">
        <f>SUM(BE426:BE428)</f>
        <v>209</v>
      </c>
      <c r="BF429" s="19">
        <f>SUM(BF426:BF428)</f>
        <v>209</v>
      </c>
      <c r="BG429" s="19">
        <f>SUM(BG426:BG428)</f>
        <v>6</v>
      </c>
      <c r="BH429" s="19">
        <f>SUM(BH426:BH428)</f>
        <v>6</v>
      </c>
      <c r="BK429" s="19"/>
      <c r="BL429" s="20"/>
    </row>
    <row r="430" spans="1:64" ht="11.45" customHeight="1" x14ac:dyDescent="0.2">
      <c r="A430" s="19"/>
      <c r="J430" s="19"/>
      <c r="K430" s="19"/>
      <c r="L430" s="19"/>
      <c r="N430" s="33" t="s">
        <v>98</v>
      </c>
      <c r="O430" s="34">
        <f>IF(O422&gt;0,(O422&amp;3)*1,"")</f>
        <v>73</v>
      </c>
      <c r="Q430" s="85"/>
      <c r="R430" s="85"/>
      <c r="S430" s="85"/>
      <c r="T430" s="242"/>
      <c r="U430" s="244" t="str">
        <f>IF(AND(N430&lt;&gt;"",N431=""),CONCATENATE(VLOOKUP(N430,[2]zawodnicy!$A$1:$E$65536,1,FALSE)," ",VLOOKUP(N430,[2]zawodnicy!$A$1:$E$65536,2,FALSE)," ",VLOOKUP(N430,[2]zawodnicy!$A$1:$E$65536,3,FALSE)," - ",VLOOKUP(N430,[2]zawodnicy!$A$1:$E$65536,4,FALSE)),"")</f>
        <v>K3764 Sandra KUDYK - UKS Kiko Zamość</v>
      </c>
      <c r="V430" s="245"/>
      <c r="W430" s="246"/>
      <c r="X430" s="61" t="str">
        <f>IF(SUM(AQ426:AR426)=0,"",AR426&amp;":"&amp;AQ426)</f>
        <v>10:21</v>
      </c>
      <c r="Y430" s="36" t="str">
        <f>IF(SUM(AQ427:AR427)=0,"",AR427&amp;":"&amp;AQ427)</f>
        <v>21:11</v>
      </c>
      <c r="Z430" s="86"/>
      <c r="AA430" s="248"/>
      <c r="AB430" s="251"/>
      <c r="AC430" s="251"/>
      <c r="AD430" s="254"/>
      <c r="AE430" s="2"/>
      <c r="AF430" s="12"/>
      <c r="AG430" s="1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row>
    <row r="431" spans="1:64" ht="11.45" customHeight="1" thickBot="1" x14ac:dyDescent="0.25">
      <c r="A431" s="2"/>
      <c r="J431" s="28"/>
      <c r="K431" s="28"/>
      <c r="L431" s="28"/>
      <c r="N431" s="38"/>
      <c r="O431" s="28"/>
      <c r="P431" s="28"/>
      <c r="Q431" s="2"/>
      <c r="R431" s="2"/>
      <c r="S431" s="2"/>
      <c r="T431" s="243"/>
      <c r="U431" s="256" t="str">
        <f>IF(N431&lt;&gt;"",CONCATENATE(VLOOKUP(N431,[2]zawodnicy!$A$1:$E$65536,1,FALSE)," ",VLOOKUP(N431,[2]zawodnicy!$A$1:$E$65536,2,FALSE)," ",VLOOKUP(N431,[2]zawodnicy!$A$1:$E$65536,3,FALSE)," - ",VLOOKUP(N431,[2]zawodnicy!$A$1:$E$65536,4,FALSE)),"")</f>
        <v/>
      </c>
      <c r="V431" s="257"/>
      <c r="W431" s="258"/>
      <c r="X431" s="87" t="str">
        <f>IF(SUM(AS426:AT426)=0,"",AT426&amp;":"&amp;AS426)</f>
        <v/>
      </c>
      <c r="Y431" s="88" t="str">
        <f>IF(SUM(AS427:AT427)=0,"",AT427&amp;":"&amp;AS427)</f>
        <v/>
      </c>
      <c r="Z431" s="89"/>
      <c r="AA431" s="249"/>
      <c r="AB431" s="252"/>
      <c r="AC431" s="252"/>
      <c r="AD431" s="255"/>
      <c r="AE431" s="10"/>
      <c r="AF431" s="12"/>
      <c r="AG431" s="1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row>
    <row r="432" spans="1:64" s="19" customFormat="1" ht="5.0999999999999996" customHeight="1" thickBot="1" x14ac:dyDescent="0.25">
      <c r="M432" s="90"/>
      <c r="O432" s="90"/>
      <c r="P432" s="90"/>
      <c r="Q432" s="91"/>
      <c r="R432" s="91"/>
      <c r="S432" s="91"/>
      <c r="T432" s="91"/>
      <c r="U432" s="5"/>
      <c r="V432" s="5"/>
      <c r="W432" s="5"/>
      <c r="AA432" s="92"/>
      <c r="AB432" s="91"/>
      <c r="AC432" s="91"/>
      <c r="AD432" s="91"/>
      <c r="AE432" s="91"/>
      <c r="AF432" s="91"/>
      <c r="AI432" s="93"/>
      <c r="AJ432" s="94"/>
      <c r="AK432" s="94"/>
    </row>
    <row r="433" spans="1:64" ht="11.45" customHeight="1" thickBot="1" x14ac:dyDescent="0.25">
      <c r="N433" s="11"/>
      <c r="O433" s="21">
        <v>8</v>
      </c>
      <c r="Q433" s="277" t="str">
        <f>"Grupa "&amp;O433&amp;"."</f>
        <v>Grupa 8.</v>
      </c>
      <c r="R433" s="277"/>
      <c r="S433" s="277"/>
      <c r="T433" s="22" t="s">
        <v>1</v>
      </c>
      <c r="U433" s="278" t="s">
        <v>2</v>
      </c>
      <c r="V433" s="279"/>
      <c r="W433" s="280"/>
      <c r="X433" s="22">
        <v>1</v>
      </c>
      <c r="Y433" s="23">
        <v>2</v>
      </c>
      <c r="Z433" s="24">
        <v>3</v>
      </c>
      <c r="AA433" s="25" t="s">
        <v>3</v>
      </c>
      <c r="AB433" s="26" t="s">
        <v>4</v>
      </c>
      <c r="AC433" s="26" t="s">
        <v>5</v>
      </c>
      <c r="AD433" s="27" t="s">
        <v>6</v>
      </c>
      <c r="AE433" s="2"/>
      <c r="AF433" s="12"/>
      <c r="AG433" s="12"/>
      <c r="BK433" s="19"/>
      <c r="BL433" s="20"/>
    </row>
    <row r="434" spans="1:64" ht="11.45" customHeight="1" x14ac:dyDescent="0.2">
      <c r="J434" s="28"/>
      <c r="K434" s="28"/>
      <c r="L434" s="28"/>
      <c r="N434" s="29" t="s">
        <v>77</v>
      </c>
      <c r="Q434" s="274" t="s">
        <v>7</v>
      </c>
      <c r="R434" s="274"/>
      <c r="S434" s="275" t="s">
        <v>8</v>
      </c>
      <c r="T434" s="276">
        <v>1</v>
      </c>
      <c r="U434" s="244" t="str">
        <f>IF(AND(N435&lt;&gt;"",N436&lt;&gt;""),CONCATENATE(VLOOKUP(N435,[2]zawodnicy!$A$1:$E$65536,1,FALSE)," ",VLOOKUP(N435,[2]zawodnicy!$A$1:$E$65536,2,FALSE)," ",VLOOKUP(N435,[2]zawodnicy!$A$1:$E$65536,3,FALSE)," - ",VLOOKUP(N435,[2]zawodnicy!$A$1:$E$65536,4,FALSE)),"")</f>
        <v/>
      </c>
      <c r="V434" s="245"/>
      <c r="W434" s="246"/>
      <c r="X434" s="30"/>
      <c r="Y434" s="31" t="str">
        <f>IF(SUM(AO439:AP439)=0,"",AO439&amp;":"&amp;AP439)</f>
        <v>21:0</v>
      </c>
      <c r="Z434" s="32" t="str">
        <f>IF(SUM(AO437:AP437)=0,"",AO437&amp;":"&amp;AP437)</f>
        <v>21:13</v>
      </c>
      <c r="AA434" s="270" t="str">
        <f>IF(SUM(AY437:BB437)=0,"",BE437&amp;":"&amp;BF437)</f>
        <v>84:22</v>
      </c>
      <c r="AB434" s="271" t="str">
        <f>IF(SUM(AY437:BB437)=0,"",BG437&amp;":"&amp;BH437)</f>
        <v>4:0</v>
      </c>
      <c r="AC434" s="271" t="str">
        <f>IF(SUM(AY437:BB437)=0,"",BI437&amp;":"&amp;BJ437)</f>
        <v>2:0</v>
      </c>
      <c r="AD434" s="272">
        <f>IF(SUM(BI437:BI439)&gt;0,BK437,"")</f>
        <v>1</v>
      </c>
      <c r="AE434" s="2"/>
      <c r="AF434" s="12"/>
      <c r="AG434" s="12"/>
      <c r="AH434" s="14"/>
      <c r="AI434" s="273" t="s">
        <v>9</v>
      </c>
      <c r="AJ434" s="273"/>
      <c r="AK434" s="273"/>
      <c r="AL434" s="273"/>
      <c r="AM434" s="273"/>
      <c r="AN434" s="273"/>
      <c r="AO434" s="273" t="s">
        <v>10</v>
      </c>
      <c r="AP434" s="273"/>
      <c r="AQ434" s="273"/>
      <c r="AR434" s="273"/>
      <c r="AS434" s="273"/>
      <c r="AT434" s="273"/>
      <c r="BK434" s="19"/>
      <c r="BL434" s="20"/>
    </row>
    <row r="435" spans="1:64" ht="11.45" customHeight="1" thickBot="1" x14ac:dyDescent="0.25">
      <c r="I435" s="2" t="str">
        <f>"1"&amp;O433&amp;N434</f>
        <v>18pojedyncza dziewcząt JM</v>
      </c>
      <c r="J435" s="10" t="str">
        <f>IF(AD434="","",IF(AD434=1,N435,IF(AD437=1,N438,IF(AD440=1,N441,""))))</f>
        <v>Ś3779</v>
      </c>
      <c r="K435" s="10">
        <f>IF(AD434="","",IF(AD434=1,N436,IF(AD437=1,N439,IF(AD440=1,N442,""))))</f>
        <v>0</v>
      </c>
      <c r="L435" s="10"/>
      <c r="N435" s="33" t="s">
        <v>99</v>
      </c>
      <c r="O435" s="34">
        <f>IF(O433&gt;0,(O433&amp;1)*1,"")</f>
        <v>81</v>
      </c>
      <c r="Q435" s="274"/>
      <c r="R435" s="274"/>
      <c r="S435" s="275"/>
      <c r="T435" s="242"/>
      <c r="U435" s="244" t="str">
        <f>IF(AND(N435&lt;&gt;"",N436=""),CONCATENATE(VLOOKUP(N435,[2]zawodnicy!$A$1:$E$65536,1,FALSE)," ",VLOOKUP(N435,[2]zawodnicy!$A$1:$E$65536,2,FALSE)," ",VLOOKUP(N435,[2]zawodnicy!$A$1:$E$65536,3,FALSE)," - ",VLOOKUP(N435,[2]zawodnicy!$A$1:$E$65536,4,FALSE)),"")</f>
        <v>Ś3779 Magdalena ŚWIERCZYŃSKA - UKS Orkan Przeźmierowo</v>
      </c>
      <c r="V435" s="245"/>
      <c r="W435" s="246"/>
      <c r="X435" s="35"/>
      <c r="Y435" s="36" t="str">
        <f>IF(SUM(AQ439:AR439)=0,"",AQ439&amp;":"&amp;AR439)</f>
        <v>21:0</v>
      </c>
      <c r="Z435" s="37" t="str">
        <f>IF(SUM(AQ437:AR437)=0,"",AQ437&amp;":"&amp;AR437)</f>
        <v>21:9</v>
      </c>
      <c r="AA435" s="248"/>
      <c r="AB435" s="251"/>
      <c r="AC435" s="251"/>
      <c r="AD435" s="254"/>
      <c r="AE435" s="2"/>
      <c r="AF435" s="12"/>
      <c r="AG435" s="12"/>
      <c r="AH435" s="14"/>
      <c r="BE435" s="19">
        <f>SUM(BE437:BE439)</f>
        <v>148</v>
      </c>
      <c r="BF435" s="19">
        <f>SUM(BF437:BF439)</f>
        <v>148</v>
      </c>
      <c r="BG435" s="19">
        <f>SUM(BG437:BG439)</f>
        <v>6</v>
      </c>
      <c r="BH435" s="19">
        <f>SUM(BH437:BH439)</f>
        <v>6</v>
      </c>
      <c r="BK435" s="19"/>
      <c r="BL435" s="20"/>
    </row>
    <row r="436" spans="1:64" ht="11.45" customHeight="1" thickBot="1" x14ac:dyDescent="0.25">
      <c r="J436" s="10"/>
      <c r="K436" s="28"/>
      <c r="L436" s="28"/>
      <c r="N436" s="38"/>
      <c r="O436" s="28"/>
      <c r="P436" s="28"/>
      <c r="Q436" s="274"/>
      <c r="R436" s="274"/>
      <c r="S436" s="275"/>
      <c r="T436" s="261"/>
      <c r="U436" s="265" t="str">
        <f>IF(N436&lt;&gt;"",CONCATENATE(VLOOKUP(N436,[2]zawodnicy!$A$1:$E$65536,1,FALSE)," ",VLOOKUP(N436,[2]zawodnicy!$A$1:$E$65536,2,FALSE)," ",VLOOKUP(N436,[2]zawodnicy!$A$1:$E$65536,3,FALSE)," - ",VLOOKUP(N436,[2]zawodnicy!$A$1:$E$65536,4,FALSE)),"")</f>
        <v/>
      </c>
      <c r="V436" s="266"/>
      <c r="W436" s="267"/>
      <c r="X436" s="35"/>
      <c r="Y436" s="39" t="str">
        <f>IF(SUM(AS439:AT439)=0,"",AS439&amp;":"&amp;AT439)</f>
        <v/>
      </c>
      <c r="Z436" s="40" t="str">
        <f>IF(SUM(AS437:AT437)=0,"",AS437&amp;":"&amp;AT437)</f>
        <v/>
      </c>
      <c r="AA436" s="262"/>
      <c r="AB436" s="263"/>
      <c r="AC436" s="263"/>
      <c r="AD436" s="264"/>
      <c r="AE436" s="2"/>
      <c r="AF436" s="12"/>
      <c r="AG436" s="12"/>
      <c r="AH436" s="14"/>
      <c r="AI436" s="259" t="s">
        <v>12</v>
      </c>
      <c r="AJ436" s="269"/>
      <c r="AK436" s="268" t="s">
        <v>13</v>
      </c>
      <c r="AL436" s="269"/>
      <c r="AM436" s="268" t="s">
        <v>14</v>
      </c>
      <c r="AN436" s="260"/>
      <c r="AO436" s="259" t="s">
        <v>12</v>
      </c>
      <c r="AP436" s="269"/>
      <c r="AQ436" s="268" t="s">
        <v>13</v>
      </c>
      <c r="AR436" s="269"/>
      <c r="AS436" s="268" t="s">
        <v>14</v>
      </c>
      <c r="AT436" s="269"/>
      <c r="AU436" s="12"/>
      <c r="AV436" s="12"/>
      <c r="AW436" s="259">
        <v>1</v>
      </c>
      <c r="AX436" s="269"/>
      <c r="AY436" s="268">
        <v>2</v>
      </c>
      <c r="AZ436" s="269"/>
      <c r="BA436" s="268">
        <v>3</v>
      </c>
      <c r="BB436" s="260"/>
      <c r="BE436" s="259" t="s">
        <v>3</v>
      </c>
      <c r="BF436" s="260"/>
      <c r="BG436" s="259" t="s">
        <v>4</v>
      </c>
      <c r="BH436" s="260"/>
      <c r="BI436" s="259" t="s">
        <v>5</v>
      </c>
      <c r="BJ436" s="260"/>
      <c r="BK436" s="41" t="s">
        <v>6</v>
      </c>
      <c r="BL436" s="20"/>
    </row>
    <row r="437" spans="1:64" ht="11.45" customHeight="1" x14ac:dyDescent="0.2">
      <c r="A437" s="19">
        <f>S437</f>
        <v>25</v>
      </c>
      <c r="B437" s="2" t="str">
        <f>IF(N435="","",N435)</f>
        <v>Ś3779</v>
      </c>
      <c r="C437" s="2" t="str">
        <f>IF(N436="","",N436)</f>
        <v/>
      </c>
      <c r="D437" s="2" t="str">
        <f>IF(N441="","",N441)</f>
        <v>G4721</v>
      </c>
      <c r="E437" s="2" t="str">
        <f>IF(N442="","",N442)</f>
        <v/>
      </c>
      <c r="I437" s="2" t="str">
        <f>"2"&amp;O433&amp;N434</f>
        <v>28pojedyncza dziewcząt JM</v>
      </c>
      <c r="J437" s="10" t="str">
        <f>IF(AD437="","",IF(AD434=2,N435,IF(AD437=2,N438,IF(AD440=2,N441,""))))</f>
        <v>G4721</v>
      </c>
      <c r="K437" s="10">
        <f>IF(AD437="","",IF(AD434=2,N436,IF(AD437=2,N439,IF(AD440=2,N442,""))))</f>
        <v>0</v>
      </c>
      <c r="M437" s="42" t="str">
        <f>N434</f>
        <v>pojedyncza dziewcząt JM</v>
      </c>
      <c r="O437" s="28"/>
      <c r="P437" s="28"/>
      <c r="Q437" s="43" t="str">
        <f>IF(AU437&gt;0,"",IF(A437=0,"",IF(VLOOKUP(A437,'[2]plan gier'!A$1:S$65536,19,FALSE)="","",VLOOKUP(A437,'[2]plan gier'!A$1:S$65536,19,FALSE))))</f>
        <v/>
      </c>
      <c r="R437" s="44" t="s">
        <v>15</v>
      </c>
      <c r="S437" s="45">
        <v>25</v>
      </c>
      <c r="T437" s="241">
        <v>2</v>
      </c>
      <c r="U437" s="244" t="str">
        <f>IF(AND(N438&lt;&gt;"",N439&lt;&gt;""),CONCATENATE(VLOOKUP(N438,[2]zawodnicy!$A$1:$E$65536,1,FALSE)," ",VLOOKUP(N438,[2]zawodnicy!$A$1:$E$65536,2,FALSE)," ",VLOOKUP(N438,[2]zawodnicy!$A$1:$E$65536,3,FALSE)," - ",VLOOKUP(N438,[2]zawodnicy!$A$1:$E$65536,4,FALSE)),"")</f>
        <v/>
      </c>
      <c r="V437" s="245"/>
      <c r="W437" s="246"/>
      <c r="X437" s="46" t="str">
        <f>IF(SUM(AO439:AP439)=0,"",AP439&amp;":"&amp;AO439)</f>
        <v>0:21</v>
      </c>
      <c r="Y437" s="47"/>
      <c r="Z437" s="48" t="str">
        <f>IF(SUM(AO438:AP438)=0,"",AO438&amp;":"&amp;AP438)</f>
        <v>0:21</v>
      </c>
      <c r="AA437" s="247" t="str">
        <f>IF(SUM(AW438:AX438,BA438:BB438)=0,"",BE438&amp;":"&amp;BF438)</f>
        <v>0:84</v>
      </c>
      <c r="AB437" s="250" t="str">
        <f>IF(SUM(AW438:AX438,BA438:BB438)=0,"",BG438&amp;":"&amp;BH438)</f>
        <v>0:4</v>
      </c>
      <c r="AC437" s="250" t="str">
        <f>IF(SUM(AW438:AX438,BA438:BB438)=0,"",BI438&amp;":"&amp;BJ438)</f>
        <v>0:2</v>
      </c>
      <c r="AD437" s="253">
        <f>IF(SUM(BI437:BI439)&gt;0,BK438,"")</f>
        <v>3</v>
      </c>
      <c r="AE437" s="2"/>
      <c r="AF437" s="12"/>
      <c r="AG437" s="12"/>
      <c r="AH437" s="44" t="s">
        <v>15</v>
      </c>
      <c r="AI437" s="49">
        <f>IF(ISBLANK(S437),"",VLOOKUP(S437,'[2]plan gier'!$X$1:$AN$65536,12,FALSE))</f>
        <v>21</v>
      </c>
      <c r="AJ437" s="50">
        <f>IF(ISBLANK(S437),"",VLOOKUP(S437,'[2]plan gier'!$X$1:$AN$65536,13,FALSE))</f>
        <v>13</v>
      </c>
      <c r="AK437" s="50">
        <f>IF(ISBLANK(S437),"",VLOOKUP(S437,'[2]plan gier'!$X$1:$AN$65536,14,FALSE))</f>
        <v>21</v>
      </c>
      <c r="AL437" s="50">
        <f>IF(ISBLANK(S437),"",VLOOKUP(S437,'[2]plan gier'!$X$1:$AN$65536,15,FALSE))</f>
        <v>9</v>
      </c>
      <c r="AM437" s="50">
        <f>IF(ISBLANK(S437),"",VLOOKUP(S437,'[2]plan gier'!$X$1:$AN$65536,16,FALSE))</f>
        <v>0</v>
      </c>
      <c r="AN437" s="50">
        <f>IF(ISBLANK(S437),"",VLOOKUP(S437,'[2]plan gier'!$X$1:$AN$65536,17,FALSE))</f>
        <v>0</v>
      </c>
      <c r="AO437" s="51">
        <f t="shared" ref="AO437:AT439" si="42">IF(AI437="",0,AI437)</f>
        <v>21</v>
      </c>
      <c r="AP437" s="52">
        <f t="shared" si="42"/>
        <v>13</v>
      </c>
      <c r="AQ437" s="53">
        <f t="shared" si="42"/>
        <v>21</v>
      </c>
      <c r="AR437" s="52">
        <f t="shared" si="42"/>
        <v>9</v>
      </c>
      <c r="AS437" s="53">
        <f t="shared" si="42"/>
        <v>0</v>
      </c>
      <c r="AT437" s="52">
        <f t="shared" si="42"/>
        <v>0</v>
      </c>
      <c r="AU437" s="54">
        <f>SUM(AO437:AT437)</f>
        <v>64</v>
      </c>
      <c r="AV437" s="13">
        <v>1</v>
      </c>
      <c r="AW437" s="55"/>
      <c r="AX437" s="56"/>
      <c r="AY437" s="50">
        <f>IF(AI439&gt;AJ439,1,0)+IF(AK439&gt;AL439,1,0)+IF(AM439&gt;AN439,1,0)</f>
        <v>2</v>
      </c>
      <c r="AZ437" s="50">
        <f>AW438</f>
        <v>0</v>
      </c>
      <c r="BA437" s="50">
        <f>IF(AI437&gt;AJ437,1,0)+IF(AK437&gt;AL437,1,0)+IF(AM437&gt;AN437,1,0)</f>
        <v>2</v>
      </c>
      <c r="BB437" s="57">
        <f>AW439</f>
        <v>0</v>
      </c>
      <c r="BE437" s="49">
        <f>AO437+AQ437+AS437+AO439+AQ439+AS439</f>
        <v>84</v>
      </c>
      <c r="BF437" s="57">
        <f>AP437+AR437+AT437+AP439+AR439+AT439</f>
        <v>22</v>
      </c>
      <c r="BG437" s="49">
        <f>AY437+BA437</f>
        <v>4</v>
      </c>
      <c r="BH437" s="57">
        <f>AZ437+BB437</f>
        <v>0</v>
      </c>
      <c r="BI437" s="49">
        <f>IF(AY437&gt;AZ437,1,0)+IF(BA437&gt;BB437,1,0)</f>
        <v>2</v>
      </c>
      <c r="BJ437" s="58">
        <f>IF(AZ437&gt;AY437,1,0)+IF(BB437&gt;BA437,1,0)</f>
        <v>0</v>
      </c>
      <c r="BK437" s="59">
        <f>IF(BI437+BJ437=0,"",IF(BL437=MAX(BL437:BL439),1,IF(BL437=MIN(BL437:BL439),3,2)))</f>
        <v>1</v>
      </c>
      <c r="BL437" s="60">
        <f>IF(BI437+BJ437&lt;&gt;0,BI437+1+(BG437-BH437)/100+(BE437-BF437)/100000+(BE437/BF437)/1000000,0)</f>
        <v>3.0406238181818184</v>
      </c>
    </row>
    <row r="438" spans="1:64" ht="11.45" customHeight="1" x14ac:dyDescent="0.2">
      <c r="A438" s="19">
        <f>S438</f>
        <v>90</v>
      </c>
      <c r="B438" s="2" t="str">
        <f>IF(N438="","",N438)</f>
        <v>X20</v>
      </c>
      <c r="C438" s="2" t="str">
        <f>IF(N439="","",N439)</f>
        <v/>
      </c>
      <c r="D438" s="2" t="str">
        <f>IF(N441="","",N441)</f>
        <v>G4721</v>
      </c>
      <c r="E438" s="2" t="str">
        <f>IF(N442="","",N442)</f>
        <v/>
      </c>
      <c r="J438" s="10"/>
      <c r="K438" s="19"/>
      <c r="M438" s="42" t="str">
        <f>N434</f>
        <v>pojedyncza dziewcząt JM</v>
      </c>
      <c r="N438" s="33" t="s">
        <v>100</v>
      </c>
      <c r="O438" s="34">
        <f>IF(O433&gt;0,(O433&amp;2)*1,"")</f>
        <v>82</v>
      </c>
      <c r="Q438" s="43" t="str">
        <f>IF(AU438&gt;0,"",IF(A438=0,"",IF(VLOOKUP(A438,'[2]plan gier'!A$1:S$65536,19,FALSE)="","",VLOOKUP(A438,'[2]plan gier'!A$1:S$65536,19,FALSE))))</f>
        <v/>
      </c>
      <c r="R438" s="44" t="s">
        <v>17</v>
      </c>
      <c r="S438" s="45">
        <v>90</v>
      </c>
      <c r="T438" s="242"/>
      <c r="U438" s="244" t="str">
        <f>IF(AND(N438&lt;&gt;"",N439=""),CONCATENATE(VLOOKUP(N438,[2]zawodnicy!$A$1:$E$65536,1,FALSE)," ",VLOOKUP(N438,[2]zawodnicy!$A$1:$E$65536,2,FALSE)," ",VLOOKUP(N438,[2]zawodnicy!$A$1:$E$65536,3,FALSE)," - ",VLOOKUP(N438,[2]zawodnicy!$A$1:$E$65536,4,FALSE)),"")</f>
        <v>X20 Inna SEBOVA - Vinnica Ukraina</v>
      </c>
      <c r="V438" s="245"/>
      <c r="W438" s="246"/>
      <c r="X438" s="61" t="str">
        <f>IF(SUM(AQ439:AR439)=0,"",AR439&amp;":"&amp;AQ439)</f>
        <v>0:21</v>
      </c>
      <c r="Y438" s="62"/>
      <c r="Z438" s="37" t="str">
        <f>IF(SUM(AQ438:AR438)=0,"",AQ438&amp;":"&amp;AR438)</f>
        <v>0:21</v>
      </c>
      <c r="AA438" s="248"/>
      <c r="AB438" s="251"/>
      <c r="AC438" s="251"/>
      <c r="AD438" s="254"/>
      <c r="AE438" s="2"/>
      <c r="AF438" s="12"/>
      <c r="AG438" s="12"/>
      <c r="AH438" s="44" t="s">
        <v>17</v>
      </c>
      <c r="AI438" s="63">
        <f>IF(ISBLANK(S438),"",VLOOKUP(S438,'[2]plan gier'!$X$1:$AN$65536,12,FALSE))</f>
        <v>0</v>
      </c>
      <c r="AJ438" s="64">
        <f>IF(ISBLANK(S438),"",VLOOKUP(S438,'[2]plan gier'!$X$1:$AN$65536,13,FALSE))</f>
        <v>21</v>
      </c>
      <c r="AK438" s="64">
        <f>IF(ISBLANK(S438),"",VLOOKUP(S438,'[2]plan gier'!$X$1:$AN$65536,14,FALSE))</f>
        <v>0</v>
      </c>
      <c r="AL438" s="64">
        <f>IF(ISBLANK(S438),"",VLOOKUP(S438,'[2]plan gier'!$X$1:$AN$65536,15,FALSE))</f>
        <v>21</v>
      </c>
      <c r="AM438" s="64">
        <f>IF(ISBLANK(S438),"",VLOOKUP(S438,'[2]plan gier'!$X$1:$AN$65536,16,FALSE))</f>
        <v>0</v>
      </c>
      <c r="AN438" s="64">
        <f>IF(ISBLANK(S438),"",VLOOKUP(S438,'[2]plan gier'!$X$1:$AN$65536,17,FALSE))</f>
        <v>0</v>
      </c>
      <c r="AO438" s="65">
        <f t="shared" si="42"/>
        <v>0</v>
      </c>
      <c r="AP438" s="64">
        <f t="shared" si="42"/>
        <v>21</v>
      </c>
      <c r="AQ438" s="66">
        <f t="shared" si="42"/>
        <v>0</v>
      </c>
      <c r="AR438" s="64">
        <f t="shared" si="42"/>
        <v>21</v>
      </c>
      <c r="AS438" s="66">
        <f t="shared" si="42"/>
        <v>0</v>
      </c>
      <c r="AT438" s="64">
        <f t="shared" si="42"/>
        <v>0</v>
      </c>
      <c r="AU438" s="54">
        <f>SUM(AO438:AT438)</f>
        <v>42</v>
      </c>
      <c r="AV438" s="13">
        <v>2</v>
      </c>
      <c r="AW438" s="63">
        <f>IF(AI439&lt;AJ439,1,0)+IF(AK439&lt;AL439,1,0)+IF(AM439&lt;AN439,1,0)</f>
        <v>0</v>
      </c>
      <c r="AX438" s="64">
        <f>AY437</f>
        <v>2</v>
      </c>
      <c r="AY438" s="67"/>
      <c r="AZ438" s="68"/>
      <c r="BA438" s="64">
        <f>IF(AI438&gt;AJ438,1,0)+IF(AK438&gt;AL438,1,0)+IF(AM438&gt;AN438,1,0)</f>
        <v>0</v>
      </c>
      <c r="BB438" s="69">
        <f>AY439</f>
        <v>2</v>
      </c>
      <c r="BE438" s="63">
        <f>AO438+AQ438+AS438+AP439+AR439+AT439</f>
        <v>0</v>
      </c>
      <c r="BF438" s="69">
        <f>AP438+AR438+AT438+AO439+AQ439+AS439</f>
        <v>84</v>
      </c>
      <c r="BG438" s="63">
        <f>AW438+BA438</f>
        <v>0</v>
      </c>
      <c r="BH438" s="69">
        <f>AX438+BB438</f>
        <v>4</v>
      </c>
      <c r="BI438" s="63">
        <f>IF(AW438&gt;AX438,1,0)+IF(BA438&gt;BB438,1,0)</f>
        <v>0</v>
      </c>
      <c r="BJ438" s="70">
        <f>IF(AX438&gt;AW438,1,0)+IF(BB438&gt;BA438,1,0)</f>
        <v>2</v>
      </c>
      <c r="BK438" s="71">
        <f>IF(BI438+BJ438=0,"",IF(BL438=MAX(BL437:BL439),1,IF(BL438=MIN(BL437:BL439),3,2)))</f>
        <v>3</v>
      </c>
      <c r="BL438" s="60">
        <f>IF(BI438+BJ438&lt;&gt;0,BI438+1+(BG438-BH438)/100+(BE438-BF438)/100000+(BE438/BF438)/1000000,0)</f>
        <v>0.95916000000000001</v>
      </c>
    </row>
    <row r="439" spans="1:64" ht="11.45" customHeight="1" thickBot="1" x14ac:dyDescent="0.25">
      <c r="A439" s="19">
        <f>S439</f>
        <v>155</v>
      </c>
      <c r="B439" s="2" t="str">
        <f>IF(N435="","",N435)</f>
        <v>Ś3779</v>
      </c>
      <c r="C439" s="2" t="str">
        <f>IF(N436="","",N436)</f>
        <v/>
      </c>
      <c r="D439" s="2" t="str">
        <f>IF(N438="","",N438)</f>
        <v>X20</v>
      </c>
      <c r="E439" s="2" t="str">
        <f>IF(N439="","",N439)</f>
        <v/>
      </c>
      <c r="I439" s="2" t="str">
        <f>"3"&amp;O433&amp;N434</f>
        <v>38pojedyncza dziewcząt JM</v>
      </c>
      <c r="J439" s="10" t="str">
        <f>IF(AD440="","",IF(AD434=3,N435,IF(AD437=3,N438,IF(AD440=3,N441,""))))</f>
        <v>X20</v>
      </c>
      <c r="K439" s="10">
        <f>IF(AD440="","",IF(AD434=3,N436,IF(AD437=3,N439,IF(AD440=3,N442,""))))</f>
        <v>0</v>
      </c>
      <c r="M439" s="42" t="str">
        <f>N434</f>
        <v>pojedyncza dziewcząt JM</v>
      </c>
      <c r="N439" s="38"/>
      <c r="O439" s="28"/>
      <c r="P439" s="28"/>
      <c r="Q439" s="43" t="str">
        <f>IF(AU439&gt;0,"",IF(A439=0,"",IF(VLOOKUP(A439,'[2]plan gier'!A$1:S$65536,19,FALSE)="","",VLOOKUP(A439,'[2]plan gier'!A$1:S$65536,19,FALSE))))</f>
        <v/>
      </c>
      <c r="R439" s="72" t="s">
        <v>18</v>
      </c>
      <c r="S439" s="45">
        <v>155</v>
      </c>
      <c r="T439" s="261"/>
      <c r="U439" s="265" t="str">
        <f>IF(N439&lt;&gt;"",CONCATENATE(VLOOKUP(N439,[2]zawodnicy!$A$1:$E$65536,1,FALSE)," ",VLOOKUP(N439,[2]zawodnicy!$A$1:$E$65536,2,FALSE)," ",VLOOKUP(N439,[2]zawodnicy!$A$1:$E$65536,3,FALSE)," - ",VLOOKUP(N439,[2]zawodnicy!$A$1:$E$65536,4,FALSE)),"")</f>
        <v/>
      </c>
      <c r="V439" s="266"/>
      <c r="W439" s="267"/>
      <c r="X439" s="73" t="str">
        <f>IF(SUM(AS439:AT439)=0,"",AT439&amp;":"&amp;AS439)</f>
        <v/>
      </c>
      <c r="Y439" s="62"/>
      <c r="Z439" s="40" t="str">
        <f>IF(SUM(AS438:AT438)=0,"",AS438&amp;":"&amp;AT438)</f>
        <v/>
      </c>
      <c r="AA439" s="262"/>
      <c r="AB439" s="263"/>
      <c r="AC439" s="263"/>
      <c r="AD439" s="264"/>
      <c r="AE439" s="2"/>
      <c r="AF439" s="12"/>
      <c r="AG439" s="12"/>
      <c r="AH439" s="72" t="s">
        <v>18</v>
      </c>
      <c r="AI439" s="74">
        <f>IF(ISBLANK(S439),"",VLOOKUP(S439,'[2]plan gier'!$X$1:$AN$65536,12,FALSE))</f>
        <v>21</v>
      </c>
      <c r="AJ439" s="75">
        <f>IF(ISBLANK(S439),"",VLOOKUP(S439,'[2]plan gier'!$X$1:$AN$65536,13,FALSE))</f>
        <v>0</v>
      </c>
      <c r="AK439" s="75">
        <f>IF(ISBLANK(S439),"",VLOOKUP(S439,'[2]plan gier'!$X$1:$AN$65536,14,FALSE))</f>
        <v>21</v>
      </c>
      <c r="AL439" s="75">
        <f>IF(ISBLANK(S439),"",VLOOKUP(S439,'[2]plan gier'!$X$1:$AN$65536,15,FALSE))</f>
        <v>0</v>
      </c>
      <c r="AM439" s="75">
        <f>IF(ISBLANK(S439),"",VLOOKUP(S439,'[2]plan gier'!$X$1:$AN$65536,16,FALSE))</f>
        <v>0</v>
      </c>
      <c r="AN439" s="75">
        <f>IF(ISBLANK(S439),"",VLOOKUP(S439,'[2]plan gier'!$X$1:$AN$65536,17,FALSE))</f>
        <v>0</v>
      </c>
      <c r="AO439" s="76">
        <f t="shared" si="42"/>
        <v>21</v>
      </c>
      <c r="AP439" s="75">
        <f t="shared" si="42"/>
        <v>0</v>
      </c>
      <c r="AQ439" s="77">
        <f t="shared" si="42"/>
        <v>21</v>
      </c>
      <c r="AR439" s="75">
        <f t="shared" si="42"/>
        <v>0</v>
      </c>
      <c r="AS439" s="77">
        <f t="shared" si="42"/>
        <v>0</v>
      </c>
      <c r="AT439" s="75">
        <f t="shared" si="42"/>
        <v>0</v>
      </c>
      <c r="AU439" s="54">
        <f>SUM(AO439:AT439)</f>
        <v>42</v>
      </c>
      <c r="AV439" s="13">
        <v>3</v>
      </c>
      <c r="AW439" s="74">
        <f>IF(AI437&lt;AJ437,1,0)+IF(AK437&lt;AL437,1,0)+IF(AM437&lt;AN437,1,0)</f>
        <v>0</v>
      </c>
      <c r="AX439" s="75">
        <f>BA437</f>
        <v>2</v>
      </c>
      <c r="AY439" s="75">
        <f>IF(AI438&lt;AJ438,1,0)+IF(AK438&lt;AL438,1,0)+IF(AM438&lt;AN438,1,0)</f>
        <v>2</v>
      </c>
      <c r="AZ439" s="75">
        <f>BA438</f>
        <v>0</v>
      </c>
      <c r="BA439" s="78"/>
      <c r="BB439" s="79"/>
      <c r="BE439" s="74">
        <f>AP437+AR437+AT437+AP438+AR438+AT438</f>
        <v>64</v>
      </c>
      <c r="BF439" s="80">
        <f>AO437+AQ437+AS437+AO438+AQ438+AS438</f>
        <v>42</v>
      </c>
      <c r="BG439" s="74">
        <f>AW439+AY439</f>
        <v>2</v>
      </c>
      <c r="BH439" s="80">
        <f>AX439+AZ439</f>
        <v>2</v>
      </c>
      <c r="BI439" s="74">
        <f>IF(AW439&gt;AX439,1,0)+IF(AY439&gt;AZ439,1,0)</f>
        <v>1</v>
      </c>
      <c r="BJ439" s="81">
        <f>IF(AX439&gt;AW439,1,0)+IF(AZ439&gt;AY439,1,0)</f>
        <v>1</v>
      </c>
      <c r="BK439" s="82">
        <f>IF(BI439+BJ439=0,"",IF(BL439=MAX(BL437:BL439),1,IF(BL439=MIN(BL437:BL439),3,2)))</f>
        <v>2</v>
      </c>
      <c r="BL439" s="60">
        <f>IF(BI439+BJ439&lt;&gt;0,BI439+1+(BG439-BH439)/100+(BE439-BF439)/100000+(BE439/BF439)/1000000,0)</f>
        <v>2.000221523809524</v>
      </c>
    </row>
    <row r="440" spans="1:64" ht="11.45" customHeight="1" x14ac:dyDescent="0.2">
      <c r="A440" s="2"/>
      <c r="J440" s="28"/>
      <c r="K440" s="28"/>
      <c r="L440" s="28"/>
      <c r="O440" s="28"/>
      <c r="P440" s="28"/>
      <c r="Q440" s="2"/>
      <c r="R440" s="2"/>
      <c r="S440" s="2"/>
      <c r="T440" s="241">
        <v>3</v>
      </c>
      <c r="U440" s="244" t="str">
        <f>IF(AND(N441&lt;&gt;"",N442&lt;&gt;""),CONCATENATE(VLOOKUP(N441,[2]zawodnicy!$A$1:$E$65536,1,FALSE)," ",VLOOKUP(N441,[2]zawodnicy!$A$1:$E$65536,2,FALSE)," ",VLOOKUP(N441,[2]zawodnicy!$A$1:$E$65536,3,FALSE)," - ",VLOOKUP(N441,[2]zawodnicy!$A$1:$E$65536,4,FALSE)),"")</f>
        <v/>
      </c>
      <c r="V440" s="245"/>
      <c r="W440" s="246"/>
      <c r="X440" s="46" t="str">
        <f>IF(SUM(AO437:AP437)=0,"",AP437&amp;":"&amp;AO437)</f>
        <v>13:21</v>
      </c>
      <c r="Y440" s="83" t="str">
        <f>IF(SUM(AO438:AP438)=0,"",AP438&amp;":"&amp;AO438)</f>
        <v>21:0</v>
      </c>
      <c r="Z440" s="84"/>
      <c r="AA440" s="247" t="str">
        <f>IF(SUM(AW439:AZ439)=0,"",BE439&amp;":"&amp;BF439)</f>
        <v>64:42</v>
      </c>
      <c r="AB440" s="250" t="str">
        <f>IF(SUM(AW439:AZ439)=0,"",BG439&amp;":"&amp;BH439)</f>
        <v>2:2</v>
      </c>
      <c r="AC440" s="250" t="str">
        <f>IF(SUM(AW439:AZ439)=0,"",BI439&amp;":"&amp;BJ439)</f>
        <v>1:1</v>
      </c>
      <c r="AD440" s="253">
        <f>IF(SUM(BI437:BI439)&gt;0,BK439,"")</f>
        <v>2</v>
      </c>
      <c r="AE440" s="2"/>
      <c r="AF440" s="12"/>
      <c r="AG440" s="12"/>
      <c r="BE440" s="19">
        <f>SUM(BE437:BE439)</f>
        <v>148</v>
      </c>
      <c r="BF440" s="19">
        <f>SUM(BF437:BF439)</f>
        <v>148</v>
      </c>
      <c r="BG440" s="19">
        <f>SUM(BG437:BG439)</f>
        <v>6</v>
      </c>
      <c r="BH440" s="19">
        <f>SUM(BH437:BH439)</f>
        <v>6</v>
      </c>
      <c r="BK440" s="19"/>
      <c r="BL440" s="20"/>
    </row>
    <row r="441" spans="1:64" ht="11.45" customHeight="1" x14ac:dyDescent="0.2">
      <c r="A441" s="19"/>
      <c r="J441" s="19"/>
      <c r="K441" s="19"/>
      <c r="L441" s="19"/>
      <c r="N441" s="33" t="s">
        <v>101</v>
      </c>
      <c r="O441" s="34">
        <f>IF(O433&gt;0,(O433&amp;3)*1,"")</f>
        <v>83</v>
      </c>
      <c r="Q441" s="85"/>
      <c r="R441" s="85"/>
      <c r="S441" s="85"/>
      <c r="T441" s="242"/>
      <c r="U441" s="244" t="str">
        <f>IF(AND(N441&lt;&gt;"",N442=""),CONCATENATE(VLOOKUP(N441,[2]zawodnicy!$A$1:$E$65536,1,FALSE)," ",VLOOKUP(N441,[2]zawodnicy!$A$1:$E$65536,2,FALSE)," ",VLOOKUP(N441,[2]zawodnicy!$A$1:$E$65536,3,FALSE)," - ",VLOOKUP(N441,[2]zawodnicy!$A$1:$E$65536,4,FALSE)),"")</f>
        <v>G4721 Kinga GURZ - UKS Sokół Ropczyce</v>
      </c>
      <c r="V441" s="245"/>
      <c r="W441" s="246"/>
      <c r="X441" s="61" t="str">
        <f>IF(SUM(AQ437:AR437)=0,"",AR437&amp;":"&amp;AQ437)</f>
        <v>9:21</v>
      </c>
      <c r="Y441" s="36" t="str">
        <f>IF(SUM(AQ438:AR438)=0,"",AR438&amp;":"&amp;AQ438)</f>
        <v>21:0</v>
      </c>
      <c r="Z441" s="86"/>
      <c r="AA441" s="248"/>
      <c r="AB441" s="251"/>
      <c r="AC441" s="251"/>
      <c r="AD441" s="254"/>
      <c r="AE441" s="2"/>
      <c r="AF441" s="12"/>
      <c r="AG441" s="1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row>
    <row r="442" spans="1:64" ht="11.45" customHeight="1" thickBot="1" x14ac:dyDescent="0.25">
      <c r="A442" s="2"/>
      <c r="J442" s="28"/>
      <c r="K442" s="28"/>
      <c r="L442" s="28"/>
      <c r="N442" s="38"/>
      <c r="O442" s="28"/>
      <c r="P442" s="28"/>
      <c r="Q442" s="2"/>
      <c r="R442" s="2"/>
      <c r="S442" s="2"/>
      <c r="T442" s="243"/>
      <c r="U442" s="256" t="str">
        <f>IF(N442&lt;&gt;"",CONCATENATE(VLOOKUP(N442,[2]zawodnicy!$A$1:$E$65536,1,FALSE)," ",VLOOKUP(N442,[2]zawodnicy!$A$1:$E$65536,2,FALSE)," ",VLOOKUP(N442,[2]zawodnicy!$A$1:$E$65536,3,FALSE)," - ",VLOOKUP(N442,[2]zawodnicy!$A$1:$E$65536,4,FALSE)),"")</f>
        <v/>
      </c>
      <c r="V442" s="257"/>
      <c r="W442" s="258"/>
      <c r="X442" s="87" t="str">
        <f>IF(SUM(AS437:AT437)=0,"",AT437&amp;":"&amp;AS437)</f>
        <v/>
      </c>
      <c r="Y442" s="88" t="str">
        <f>IF(SUM(AS438:AT438)=0,"",AT438&amp;":"&amp;AS438)</f>
        <v/>
      </c>
      <c r="Z442" s="89"/>
      <c r="AA442" s="249"/>
      <c r="AB442" s="252"/>
      <c r="AC442" s="252"/>
      <c r="AD442" s="255"/>
      <c r="AE442" s="10"/>
      <c r="AF442" s="12"/>
      <c r="AG442" s="1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row>
    <row r="443" spans="1:64" s="19" customFormat="1" ht="5.0999999999999996" customHeight="1" thickBot="1" x14ac:dyDescent="0.25">
      <c r="M443" s="90"/>
      <c r="O443" s="90"/>
      <c r="P443" s="90"/>
      <c r="Q443" s="91"/>
      <c r="R443" s="91"/>
      <c r="S443" s="91"/>
      <c r="T443" s="91"/>
      <c r="U443" s="5"/>
      <c r="V443" s="5"/>
      <c r="W443" s="5"/>
      <c r="AA443" s="92"/>
      <c r="AB443" s="91"/>
      <c r="AC443" s="91"/>
      <c r="AD443" s="91"/>
      <c r="AE443" s="91"/>
      <c r="AF443" s="91"/>
      <c r="AI443" s="93"/>
      <c r="AJ443" s="94"/>
      <c r="AK443" s="94"/>
    </row>
    <row r="444" spans="1:64" ht="11.45" customHeight="1" thickBot="1" x14ac:dyDescent="0.25">
      <c r="N444" s="11"/>
      <c r="O444" s="21">
        <v>9</v>
      </c>
      <c r="Q444" s="277" t="str">
        <f>"Grupa "&amp;O444&amp;"."</f>
        <v>Grupa 9.</v>
      </c>
      <c r="R444" s="277"/>
      <c r="S444" s="277"/>
      <c r="T444" s="22" t="s">
        <v>1</v>
      </c>
      <c r="U444" s="278" t="s">
        <v>2</v>
      </c>
      <c r="V444" s="279"/>
      <c r="W444" s="280"/>
      <c r="X444" s="22">
        <v>1</v>
      </c>
      <c r="Y444" s="23">
        <v>2</v>
      </c>
      <c r="Z444" s="24">
        <v>3</v>
      </c>
      <c r="AA444" s="25" t="s">
        <v>3</v>
      </c>
      <c r="AB444" s="26" t="s">
        <v>4</v>
      </c>
      <c r="AC444" s="26" t="s">
        <v>5</v>
      </c>
      <c r="AD444" s="27" t="s">
        <v>6</v>
      </c>
      <c r="AE444" s="2"/>
      <c r="AF444" s="12"/>
      <c r="AG444" s="12"/>
      <c r="BK444" s="19"/>
      <c r="BL444" s="20"/>
    </row>
    <row r="445" spans="1:64" ht="11.45" customHeight="1" x14ac:dyDescent="0.2">
      <c r="J445" s="28"/>
      <c r="K445" s="28"/>
      <c r="L445" s="28"/>
      <c r="N445" s="29" t="s">
        <v>77</v>
      </c>
      <c r="Q445" s="274" t="s">
        <v>7</v>
      </c>
      <c r="R445" s="274"/>
      <c r="S445" s="275" t="s">
        <v>8</v>
      </c>
      <c r="T445" s="276">
        <v>1</v>
      </c>
      <c r="U445" s="244" t="str">
        <f>IF(AND(N446&lt;&gt;"",N447&lt;&gt;""),CONCATENATE(VLOOKUP(N446,[2]zawodnicy!$A$1:$E$65536,1,FALSE)," ",VLOOKUP(N446,[2]zawodnicy!$A$1:$E$65536,2,FALSE)," ",VLOOKUP(N446,[2]zawodnicy!$A$1:$E$65536,3,FALSE)," - ",VLOOKUP(N446,[2]zawodnicy!$A$1:$E$65536,4,FALSE)),"")</f>
        <v/>
      </c>
      <c r="V445" s="245"/>
      <c r="W445" s="246"/>
      <c r="X445" s="30"/>
      <c r="Y445" s="31" t="str">
        <f>IF(SUM(AO450:AP450)=0,"",AO450&amp;":"&amp;AP450)</f>
        <v>17:21</v>
      </c>
      <c r="Z445" s="32" t="str">
        <f>IF(SUM(AO448:AP448)=0,"",AO448&amp;":"&amp;AP448)</f>
        <v>21:11</v>
      </c>
      <c r="AA445" s="270" t="str">
        <f>IF(SUM(AY448:BB448)=0,"",BE448&amp;":"&amp;BF448)</f>
        <v>74:63</v>
      </c>
      <c r="AB445" s="271" t="str">
        <f>IF(SUM(AY448:BB448)=0,"",BG448&amp;":"&amp;BH448)</f>
        <v>2:2</v>
      </c>
      <c r="AC445" s="271" t="str">
        <f>IF(SUM(AY448:BB448)=0,"",BI448&amp;":"&amp;BJ448)</f>
        <v>1:1</v>
      </c>
      <c r="AD445" s="272">
        <f>IF(SUM(BI448:BI450)&gt;0,BK448,"")</f>
        <v>2</v>
      </c>
      <c r="AE445" s="2"/>
      <c r="AF445" s="12"/>
      <c r="AG445" s="12"/>
      <c r="AH445" s="14"/>
      <c r="AI445" s="273" t="s">
        <v>9</v>
      </c>
      <c r="AJ445" s="273"/>
      <c r="AK445" s="273"/>
      <c r="AL445" s="273"/>
      <c r="AM445" s="273"/>
      <c r="AN445" s="273"/>
      <c r="AO445" s="273" t="s">
        <v>10</v>
      </c>
      <c r="AP445" s="273"/>
      <c r="AQ445" s="273"/>
      <c r="AR445" s="273"/>
      <c r="AS445" s="273"/>
      <c r="AT445" s="273"/>
      <c r="BK445" s="19"/>
      <c r="BL445" s="20"/>
    </row>
    <row r="446" spans="1:64" ht="11.45" customHeight="1" thickBot="1" x14ac:dyDescent="0.25">
      <c r="I446" s="2" t="str">
        <f>"1"&amp;O444&amp;N445</f>
        <v>19pojedyncza dziewcząt JM</v>
      </c>
      <c r="J446" s="10" t="str">
        <f>IF(AD445="","",IF(AD445=1,N446,IF(AD448=1,N449,IF(AD451=1,N452,""))))</f>
        <v>X28</v>
      </c>
      <c r="K446" s="10">
        <f>IF(AD445="","",IF(AD445=1,N447,IF(AD448=1,N450,IF(AD451=1,N453,""))))</f>
        <v>0</v>
      </c>
      <c r="L446" s="10"/>
      <c r="N446" s="33" t="s">
        <v>102</v>
      </c>
      <c r="O446" s="34">
        <f>IF(O444&gt;0,(O444&amp;1)*1,"")</f>
        <v>91</v>
      </c>
      <c r="Q446" s="274"/>
      <c r="R446" s="274"/>
      <c r="S446" s="275"/>
      <c r="T446" s="242"/>
      <c r="U446" s="244" t="str">
        <f>IF(AND(N446&lt;&gt;"",N447=""),CONCATENATE(VLOOKUP(N446,[2]zawodnicy!$A$1:$E$65536,1,FALSE)," ",VLOOKUP(N446,[2]zawodnicy!$A$1:$E$65536,2,FALSE)," ",VLOOKUP(N446,[2]zawodnicy!$A$1:$E$65536,3,FALSE)," - ",VLOOKUP(N446,[2]zawodnicy!$A$1:$E$65536,4,FALSE)),"")</f>
        <v>K3437 Kornelia KOWALCZYK - UKS Kometa Sianów</v>
      </c>
      <c r="V446" s="245"/>
      <c r="W446" s="246"/>
      <c r="X446" s="35"/>
      <c r="Y446" s="36" t="str">
        <f>IF(SUM(AQ450:AR450)=0,"",AQ450&amp;":"&amp;AR450)</f>
        <v>15:21</v>
      </c>
      <c r="Z446" s="37" t="str">
        <f>IF(SUM(AQ448:AR448)=0,"",AQ448&amp;":"&amp;AR448)</f>
        <v>21:10</v>
      </c>
      <c r="AA446" s="248"/>
      <c r="AB446" s="251"/>
      <c r="AC446" s="251"/>
      <c r="AD446" s="254"/>
      <c r="AE446" s="2"/>
      <c r="AF446" s="12"/>
      <c r="AG446" s="12"/>
      <c r="AH446" s="14"/>
      <c r="BE446" s="19">
        <f>SUM(BE448:BE450)</f>
        <v>197</v>
      </c>
      <c r="BF446" s="19">
        <f>SUM(BF448:BF450)</f>
        <v>197</v>
      </c>
      <c r="BG446" s="19">
        <f>SUM(BG448:BG450)</f>
        <v>6</v>
      </c>
      <c r="BH446" s="19">
        <f>SUM(BH448:BH450)</f>
        <v>6</v>
      </c>
      <c r="BK446" s="19"/>
      <c r="BL446" s="20"/>
    </row>
    <row r="447" spans="1:64" ht="11.45" customHeight="1" thickBot="1" x14ac:dyDescent="0.25">
      <c r="J447" s="10"/>
      <c r="K447" s="28"/>
      <c r="L447" s="28"/>
      <c r="N447" s="38"/>
      <c r="O447" s="28"/>
      <c r="P447" s="28"/>
      <c r="Q447" s="274"/>
      <c r="R447" s="274"/>
      <c r="S447" s="275"/>
      <c r="T447" s="261"/>
      <c r="U447" s="265" t="str">
        <f>IF(N447&lt;&gt;"",CONCATENATE(VLOOKUP(N447,[2]zawodnicy!$A$1:$E$65536,1,FALSE)," ",VLOOKUP(N447,[2]zawodnicy!$A$1:$E$65536,2,FALSE)," ",VLOOKUP(N447,[2]zawodnicy!$A$1:$E$65536,3,FALSE)," - ",VLOOKUP(N447,[2]zawodnicy!$A$1:$E$65536,4,FALSE)),"")</f>
        <v/>
      </c>
      <c r="V447" s="266"/>
      <c r="W447" s="267"/>
      <c r="X447" s="35"/>
      <c r="Y447" s="39" t="str">
        <f>IF(SUM(AS450:AT450)=0,"",AS450&amp;":"&amp;AT450)</f>
        <v/>
      </c>
      <c r="Z447" s="40" t="str">
        <f>IF(SUM(AS448:AT448)=0,"",AS448&amp;":"&amp;AT448)</f>
        <v/>
      </c>
      <c r="AA447" s="262"/>
      <c r="AB447" s="263"/>
      <c r="AC447" s="263"/>
      <c r="AD447" s="264"/>
      <c r="AE447" s="2"/>
      <c r="AF447" s="12"/>
      <c r="AG447" s="12"/>
      <c r="AH447" s="14"/>
      <c r="AI447" s="259" t="s">
        <v>12</v>
      </c>
      <c r="AJ447" s="269"/>
      <c r="AK447" s="268" t="s">
        <v>13</v>
      </c>
      <c r="AL447" s="269"/>
      <c r="AM447" s="268" t="s">
        <v>14</v>
      </c>
      <c r="AN447" s="260"/>
      <c r="AO447" s="259" t="s">
        <v>12</v>
      </c>
      <c r="AP447" s="269"/>
      <c r="AQ447" s="268" t="s">
        <v>13</v>
      </c>
      <c r="AR447" s="269"/>
      <c r="AS447" s="268" t="s">
        <v>14</v>
      </c>
      <c r="AT447" s="269"/>
      <c r="AU447" s="12"/>
      <c r="AV447" s="12"/>
      <c r="AW447" s="259">
        <v>1</v>
      </c>
      <c r="AX447" s="269"/>
      <c r="AY447" s="268">
        <v>2</v>
      </c>
      <c r="AZ447" s="269"/>
      <c r="BA447" s="268">
        <v>3</v>
      </c>
      <c r="BB447" s="260"/>
      <c r="BE447" s="259" t="s">
        <v>3</v>
      </c>
      <c r="BF447" s="260"/>
      <c r="BG447" s="259" t="s">
        <v>4</v>
      </c>
      <c r="BH447" s="260"/>
      <c r="BI447" s="259" t="s">
        <v>5</v>
      </c>
      <c r="BJ447" s="260"/>
      <c r="BK447" s="41" t="s">
        <v>6</v>
      </c>
      <c r="BL447" s="20"/>
    </row>
    <row r="448" spans="1:64" ht="11.45" customHeight="1" x14ac:dyDescent="0.2">
      <c r="A448" s="19">
        <f>S448</f>
        <v>26</v>
      </c>
      <c r="B448" s="2" t="str">
        <f>IF(N446="","",N446)</f>
        <v>K3437</v>
      </c>
      <c r="C448" s="2" t="str">
        <f>IF(N447="","",N447)</f>
        <v/>
      </c>
      <c r="D448" s="2" t="str">
        <f>IF(N452="","",N452)</f>
        <v>B5199</v>
      </c>
      <c r="E448" s="2" t="str">
        <f>IF(N453="","",N453)</f>
        <v/>
      </c>
      <c r="I448" s="2" t="str">
        <f>"2"&amp;O444&amp;N445</f>
        <v>29pojedyncza dziewcząt JM</v>
      </c>
      <c r="J448" s="10" t="str">
        <f>IF(AD448="","",IF(AD445=2,N446,IF(AD448=2,N449,IF(AD451=2,N452,""))))</f>
        <v>K3437</v>
      </c>
      <c r="K448" s="10">
        <f>IF(AD448="","",IF(AD445=2,N447,IF(AD448=2,N450,IF(AD451=2,N453,""))))</f>
        <v>0</v>
      </c>
      <c r="M448" s="42" t="str">
        <f>N445</f>
        <v>pojedyncza dziewcząt JM</v>
      </c>
      <c r="O448" s="28"/>
      <c r="P448" s="28"/>
      <c r="Q448" s="43" t="str">
        <f>IF(AU448&gt;0,"",IF(A448=0,"",IF(VLOOKUP(A448,'[2]plan gier'!A$1:S$65536,19,FALSE)="","",VLOOKUP(A448,'[2]plan gier'!A$1:S$65536,19,FALSE))))</f>
        <v/>
      </c>
      <c r="R448" s="44" t="s">
        <v>15</v>
      </c>
      <c r="S448" s="45">
        <v>26</v>
      </c>
      <c r="T448" s="241">
        <v>2</v>
      </c>
      <c r="U448" s="244" t="str">
        <f>IF(AND(N449&lt;&gt;"",N450&lt;&gt;""),CONCATENATE(VLOOKUP(N449,[2]zawodnicy!$A$1:$E$65536,1,FALSE)," ",VLOOKUP(N449,[2]zawodnicy!$A$1:$E$65536,2,FALSE)," ",VLOOKUP(N449,[2]zawodnicy!$A$1:$E$65536,3,FALSE)," - ",VLOOKUP(N449,[2]zawodnicy!$A$1:$E$65536,4,FALSE)),"")</f>
        <v/>
      </c>
      <c r="V448" s="245"/>
      <c r="W448" s="246"/>
      <c r="X448" s="46" t="str">
        <f>IF(SUM(AO450:AP450)=0,"",AP450&amp;":"&amp;AO450)</f>
        <v>21:17</v>
      </c>
      <c r="Y448" s="47"/>
      <c r="Z448" s="48" t="str">
        <f>IF(SUM(AO449:AP449)=0,"",AO449&amp;":"&amp;AP449)</f>
        <v>21:4</v>
      </c>
      <c r="AA448" s="247" t="str">
        <f>IF(SUM(AW449:AX449,BA449:BB449)=0,"",BE449&amp;":"&amp;BF449)</f>
        <v>84:50</v>
      </c>
      <c r="AB448" s="250" t="str">
        <f>IF(SUM(AW449:AX449,BA449:BB449)=0,"",BG449&amp;":"&amp;BH449)</f>
        <v>4:0</v>
      </c>
      <c r="AC448" s="250" t="str">
        <f>IF(SUM(AW449:AX449,BA449:BB449)=0,"",BI449&amp;":"&amp;BJ449)</f>
        <v>2:0</v>
      </c>
      <c r="AD448" s="253">
        <f>IF(SUM(BI448:BI450)&gt;0,BK449,"")</f>
        <v>1</v>
      </c>
      <c r="AE448" s="2"/>
      <c r="AF448" s="12"/>
      <c r="AG448" s="12"/>
      <c r="AH448" s="44" t="s">
        <v>15</v>
      </c>
      <c r="AI448" s="49">
        <f>IF(ISBLANK(S448),"",VLOOKUP(S448,'[2]plan gier'!$X$1:$AN$65536,12,FALSE))</f>
        <v>21</v>
      </c>
      <c r="AJ448" s="50">
        <f>IF(ISBLANK(S448),"",VLOOKUP(S448,'[2]plan gier'!$X$1:$AN$65536,13,FALSE))</f>
        <v>11</v>
      </c>
      <c r="AK448" s="50">
        <f>IF(ISBLANK(S448),"",VLOOKUP(S448,'[2]plan gier'!$X$1:$AN$65536,14,FALSE))</f>
        <v>21</v>
      </c>
      <c r="AL448" s="50">
        <f>IF(ISBLANK(S448),"",VLOOKUP(S448,'[2]plan gier'!$X$1:$AN$65536,15,FALSE))</f>
        <v>10</v>
      </c>
      <c r="AM448" s="50">
        <f>IF(ISBLANK(S448),"",VLOOKUP(S448,'[2]plan gier'!$X$1:$AN$65536,16,FALSE))</f>
        <v>0</v>
      </c>
      <c r="AN448" s="50">
        <f>IF(ISBLANK(S448),"",VLOOKUP(S448,'[2]plan gier'!$X$1:$AN$65536,17,FALSE))</f>
        <v>0</v>
      </c>
      <c r="AO448" s="51">
        <f t="shared" ref="AO448:AT450" si="43">IF(AI448="",0,AI448)</f>
        <v>21</v>
      </c>
      <c r="AP448" s="52">
        <f t="shared" si="43"/>
        <v>11</v>
      </c>
      <c r="AQ448" s="53">
        <f t="shared" si="43"/>
        <v>21</v>
      </c>
      <c r="AR448" s="52">
        <f t="shared" si="43"/>
        <v>10</v>
      </c>
      <c r="AS448" s="53">
        <f t="shared" si="43"/>
        <v>0</v>
      </c>
      <c r="AT448" s="52">
        <f t="shared" si="43"/>
        <v>0</v>
      </c>
      <c r="AU448" s="54">
        <f>SUM(AO448:AT448)</f>
        <v>63</v>
      </c>
      <c r="AV448" s="13">
        <v>1</v>
      </c>
      <c r="AW448" s="55"/>
      <c r="AX448" s="56"/>
      <c r="AY448" s="50">
        <f>IF(AI450&gt;AJ450,1,0)+IF(AK450&gt;AL450,1,0)+IF(AM450&gt;AN450,1,0)</f>
        <v>0</v>
      </c>
      <c r="AZ448" s="50">
        <f>AW449</f>
        <v>2</v>
      </c>
      <c r="BA448" s="50">
        <f>IF(AI448&gt;AJ448,1,0)+IF(AK448&gt;AL448,1,0)+IF(AM448&gt;AN448,1,0)</f>
        <v>2</v>
      </c>
      <c r="BB448" s="57">
        <f>AW450</f>
        <v>0</v>
      </c>
      <c r="BE448" s="49">
        <f>AO448+AQ448+AS448+AO450+AQ450+AS450</f>
        <v>74</v>
      </c>
      <c r="BF448" s="57">
        <f>AP448+AR448+AT448+AP450+AR450+AT450</f>
        <v>63</v>
      </c>
      <c r="BG448" s="49">
        <f>AY448+BA448</f>
        <v>2</v>
      </c>
      <c r="BH448" s="57">
        <f>AZ448+BB448</f>
        <v>2</v>
      </c>
      <c r="BI448" s="49">
        <f>IF(AY448&gt;AZ448,1,0)+IF(BA448&gt;BB448,1,0)</f>
        <v>1</v>
      </c>
      <c r="BJ448" s="58">
        <f>IF(AZ448&gt;AY448,1,0)+IF(BB448&gt;BA448,1,0)</f>
        <v>1</v>
      </c>
      <c r="BK448" s="59">
        <f>IF(BI448+BJ448=0,"",IF(BL448=MAX(BL448:BL450),1,IF(BL448=MIN(BL448:BL450),3,2)))</f>
        <v>2</v>
      </c>
      <c r="BL448" s="60">
        <f>IF(BI448+BJ448&lt;&gt;0,BI448+1+(BG448-BH448)/100+(BE448-BF448)/100000+(BE448/BF448)/1000000,0)</f>
        <v>2.0001111746031746</v>
      </c>
    </row>
    <row r="449" spans="1:64" ht="11.45" customHeight="1" x14ac:dyDescent="0.2">
      <c r="A449" s="19">
        <f>S449</f>
        <v>91</v>
      </c>
      <c r="B449" s="2" t="str">
        <f>IF(N449="","",N449)</f>
        <v>X28</v>
      </c>
      <c r="C449" s="2" t="str">
        <f>IF(N450="","",N450)</f>
        <v/>
      </c>
      <c r="D449" s="2" t="str">
        <f>IF(N452="","",N452)</f>
        <v>B5199</v>
      </c>
      <c r="E449" s="2" t="str">
        <f>IF(N453="","",N453)</f>
        <v/>
      </c>
      <c r="J449" s="10"/>
      <c r="K449" s="19"/>
      <c r="M449" s="42" t="str">
        <f>N445</f>
        <v>pojedyncza dziewcząt JM</v>
      </c>
      <c r="N449" s="33" t="s">
        <v>103</v>
      </c>
      <c r="O449" s="34">
        <f>IF(O444&gt;0,(O444&amp;2)*1,"")</f>
        <v>92</v>
      </c>
      <c r="Q449" s="43" t="str">
        <f>IF(AU449&gt;0,"",IF(A449=0,"",IF(VLOOKUP(A449,'[2]plan gier'!A$1:S$65536,19,FALSE)="","",VLOOKUP(A449,'[2]plan gier'!A$1:S$65536,19,FALSE))))</f>
        <v/>
      </c>
      <c r="R449" s="44" t="s">
        <v>17</v>
      </c>
      <c r="S449" s="45">
        <v>91</v>
      </c>
      <c r="T449" s="242"/>
      <c r="U449" s="244" t="str">
        <f>IF(AND(N449&lt;&gt;"",N450=""),CONCATENATE(VLOOKUP(N449,[2]zawodnicy!$A$1:$E$65536,1,FALSE)," ",VLOOKUP(N449,[2]zawodnicy!$A$1:$E$65536,2,FALSE)," ",VLOOKUP(N449,[2]zawodnicy!$A$1:$E$65536,3,FALSE)," - ",VLOOKUP(N449,[2]zawodnicy!$A$1:$E$65536,4,FALSE)),"")</f>
        <v>X28 Yulia BAYAROUSKAYA - Białoruś</v>
      </c>
      <c r="V449" s="245"/>
      <c r="W449" s="246"/>
      <c r="X449" s="61" t="str">
        <f>IF(SUM(AQ450:AR450)=0,"",AR450&amp;":"&amp;AQ450)</f>
        <v>21:15</v>
      </c>
      <c r="Y449" s="62"/>
      <c r="Z449" s="37" t="str">
        <f>IF(SUM(AQ449:AR449)=0,"",AQ449&amp;":"&amp;AR449)</f>
        <v>21:14</v>
      </c>
      <c r="AA449" s="248"/>
      <c r="AB449" s="251"/>
      <c r="AC449" s="251"/>
      <c r="AD449" s="254"/>
      <c r="AE449" s="2"/>
      <c r="AF449" s="12"/>
      <c r="AG449" s="12"/>
      <c r="AH449" s="44" t="s">
        <v>17</v>
      </c>
      <c r="AI449" s="63">
        <f>IF(ISBLANK(S449),"",VLOOKUP(S449,'[2]plan gier'!$X$1:$AN$65536,12,FALSE))</f>
        <v>21</v>
      </c>
      <c r="AJ449" s="64">
        <f>IF(ISBLANK(S449),"",VLOOKUP(S449,'[2]plan gier'!$X$1:$AN$65536,13,FALSE))</f>
        <v>4</v>
      </c>
      <c r="AK449" s="64">
        <f>IF(ISBLANK(S449),"",VLOOKUP(S449,'[2]plan gier'!$X$1:$AN$65536,14,FALSE))</f>
        <v>21</v>
      </c>
      <c r="AL449" s="64">
        <f>IF(ISBLANK(S449),"",VLOOKUP(S449,'[2]plan gier'!$X$1:$AN$65536,15,FALSE))</f>
        <v>14</v>
      </c>
      <c r="AM449" s="64">
        <f>IF(ISBLANK(S449),"",VLOOKUP(S449,'[2]plan gier'!$X$1:$AN$65536,16,FALSE))</f>
        <v>0</v>
      </c>
      <c r="AN449" s="64">
        <f>IF(ISBLANK(S449),"",VLOOKUP(S449,'[2]plan gier'!$X$1:$AN$65536,17,FALSE))</f>
        <v>0</v>
      </c>
      <c r="AO449" s="65">
        <f t="shared" si="43"/>
        <v>21</v>
      </c>
      <c r="AP449" s="64">
        <f t="shared" si="43"/>
        <v>4</v>
      </c>
      <c r="AQ449" s="66">
        <f t="shared" si="43"/>
        <v>21</v>
      </c>
      <c r="AR449" s="64">
        <f t="shared" si="43"/>
        <v>14</v>
      </c>
      <c r="AS449" s="66">
        <f t="shared" si="43"/>
        <v>0</v>
      </c>
      <c r="AT449" s="64">
        <f t="shared" si="43"/>
        <v>0</v>
      </c>
      <c r="AU449" s="54">
        <f>SUM(AO449:AT449)</f>
        <v>60</v>
      </c>
      <c r="AV449" s="13">
        <v>2</v>
      </c>
      <c r="AW449" s="63">
        <f>IF(AI450&lt;AJ450,1,0)+IF(AK450&lt;AL450,1,0)+IF(AM450&lt;AN450,1,0)</f>
        <v>2</v>
      </c>
      <c r="AX449" s="64">
        <f>AY448</f>
        <v>0</v>
      </c>
      <c r="AY449" s="67"/>
      <c r="AZ449" s="68"/>
      <c r="BA449" s="64">
        <f>IF(AI449&gt;AJ449,1,0)+IF(AK449&gt;AL449,1,0)+IF(AM449&gt;AN449,1,0)</f>
        <v>2</v>
      </c>
      <c r="BB449" s="69">
        <f>AY450</f>
        <v>0</v>
      </c>
      <c r="BE449" s="63">
        <f>AO449+AQ449+AS449+AP450+AR450+AT450</f>
        <v>84</v>
      </c>
      <c r="BF449" s="69">
        <f>AP449+AR449+AT449+AO450+AQ450+AS450</f>
        <v>50</v>
      </c>
      <c r="BG449" s="63">
        <f>AW449+BA449</f>
        <v>4</v>
      </c>
      <c r="BH449" s="69">
        <f>AX449+BB449</f>
        <v>0</v>
      </c>
      <c r="BI449" s="63">
        <f>IF(AW449&gt;AX449,1,0)+IF(BA449&gt;BB449,1,0)</f>
        <v>2</v>
      </c>
      <c r="BJ449" s="70">
        <f>IF(AX449&gt;AW449,1,0)+IF(BB449&gt;BA449,1,0)</f>
        <v>0</v>
      </c>
      <c r="BK449" s="71">
        <f>IF(BI449+BJ449=0,"",IF(BL449=MAX(BL448:BL450),1,IF(BL449=MIN(BL448:BL450),3,2)))</f>
        <v>1</v>
      </c>
      <c r="BL449" s="60">
        <f>IF(BI449+BJ449&lt;&gt;0,BI449+1+(BG449-BH449)/100+(BE449-BF449)/100000+(BE449/BF449)/1000000,0)</f>
        <v>3.04034168</v>
      </c>
    </row>
    <row r="450" spans="1:64" ht="11.45" customHeight="1" thickBot="1" x14ac:dyDescent="0.25">
      <c r="A450" s="19">
        <f>S450</f>
        <v>156</v>
      </c>
      <c r="B450" s="2" t="str">
        <f>IF(N446="","",N446)</f>
        <v>K3437</v>
      </c>
      <c r="C450" s="2" t="str">
        <f>IF(N447="","",N447)</f>
        <v/>
      </c>
      <c r="D450" s="2" t="str">
        <f>IF(N449="","",N449)</f>
        <v>X28</v>
      </c>
      <c r="E450" s="2" t="str">
        <f>IF(N450="","",N450)</f>
        <v/>
      </c>
      <c r="I450" s="2" t="str">
        <f>"3"&amp;O444&amp;N445</f>
        <v>39pojedyncza dziewcząt JM</v>
      </c>
      <c r="J450" s="10" t="str">
        <f>IF(AD451="","",IF(AD445=3,N446,IF(AD448=3,N449,IF(AD451=3,N452,""))))</f>
        <v>B5199</v>
      </c>
      <c r="K450" s="10">
        <f>IF(AD451="","",IF(AD445=3,N447,IF(AD448=3,N450,IF(AD451=3,N453,""))))</f>
        <v>0</v>
      </c>
      <c r="M450" s="42" t="str">
        <f>N445</f>
        <v>pojedyncza dziewcząt JM</v>
      </c>
      <c r="N450" s="38"/>
      <c r="O450" s="28"/>
      <c r="P450" s="28"/>
      <c r="Q450" s="43" t="str">
        <f>IF(AU450&gt;0,"",IF(A450=0,"",IF(VLOOKUP(A450,'[2]plan gier'!A$1:S$65536,19,FALSE)="","",VLOOKUP(A450,'[2]plan gier'!A$1:S$65536,19,FALSE))))</f>
        <v/>
      </c>
      <c r="R450" s="72" t="s">
        <v>18</v>
      </c>
      <c r="S450" s="45">
        <v>156</v>
      </c>
      <c r="T450" s="261"/>
      <c r="U450" s="265" t="str">
        <f>IF(N450&lt;&gt;"",CONCATENATE(VLOOKUP(N450,[2]zawodnicy!$A$1:$E$65536,1,FALSE)," ",VLOOKUP(N450,[2]zawodnicy!$A$1:$E$65536,2,FALSE)," ",VLOOKUP(N450,[2]zawodnicy!$A$1:$E$65536,3,FALSE)," - ",VLOOKUP(N450,[2]zawodnicy!$A$1:$E$65536,4,FALSE)),"")</f>
        <v/>
      </c>
      <c r="V450" s="266"/>
      <c r="W450" s="267"/>
      <c r="X450" s="73" t="str">
        <f>IF(SUM(AS450:AT450)=0,"",AT450&amp;":"&amp;AS450)</f>
        <v/>
      </c>
      <c r="Y450" s="62"/>
      <c r="Z450" s="40" t="str">
        <f>IF(SUM(AS449:AT449)=0,"",AS449&amp;":"&amp;AT449)</f>
        <v/>
      </c>
      <c r="AA450" s="262"/>
      <c r="AB450" s="263"/>
      <c r="AC450" s="263"/>
      <c r="AD450" s="264"/>
      <c r="AE450" s="2"/>
      <c r="AF450" s="12"/>
      <c r="AG450" s="12"/>
      <c r="AH450" s="72" t="s">
        <v>18</v>
      </c>
      <c r="AI450" s="74">
        <f>IF(ISBLANK(S450),"",VLOOKUP(S450,'[2]plan gier'!$X$1:$AN$65536,12,FALSE))</f>
        <v>17</v>
      </c>
      <c r="AJ450" s="75">
        <f>IF(ISBLANK(S450),"",VLOOKUP(S450,'[2]plan gier'!$X$1:$AN$65536,13,FALSE))</f>
        <v>21</v>
      </c>
      <c r="AK450" s="75">
        <f>IF(ISBLANK(S450),"",VLOOKUP(S450,'[2]plan gier'!$X$1:$AN$65536,14,FALSE))</f>
        <v>15</v>
      </c>
      <c r="AL450" s="75">
        <f>IF(ISBLANK(S450),"",VLOOKUP(S450,'[2]plan gier'!$X$1:$AN$65536,15,FALSE))</f>
        <v>21</v>
      </c>
      <c r="AM450" s="75">
        <f>IF(ISBLANK(S450),"",VLOOKUP(S450,'[2]plan gier'!$X$1:$AN$65536,16,FALSE))</f>
        <v>0</v>
      </c>
      <c r="AN450" s="75">
        <f>IF(ISBLANK(S450),"",VLOOKUP(S450,'[2]plan gier'!$X$1:$AN$65536,17,FALSE))</f>
        <v>0</v>
      </c>
      <c r="AO450" s="76">
        <f t="shared" si="43"/>
        <v>17</v>
      </c>
      <c r="AP450" s="75">
        <f t="shared" si="43"/>
        <v>21</v>
      </c>
      <c r="AQ450" s="77">
        <f t="shared" si="43"/>
        <v>15</v>
      </c>
      <c r="AR450" s="75">
        <f t="shared" si="43"/>
        <v>21</v>
      </c>
      <c r="AS450" s="77">
        <f t="shared" si="43"/>
        <v>0</v>
      </c>
      <c r="AT450" s="75">
        <f t="shared" si="43"/>
        <v>0</v>
      </c>
      <c r="AU450" s="54">
        <f>SUM(AO450:AT450)</f>
        <v>74</v>
      </c>
      <c r="AV450" s="13">
        <v>3</v>
      </c>
      <c r="AW450" s="74">
        <f>IF(AI448&lt;AJ448,1,0)+IF(AK448&lt;AL448,1,0)+IF(AM448&lt;AN448,1,0)</f>
        <v>0</v>
      </c>
      <c r="AX450" s="75">
        <f>BA448</f>
        <v>2</v>
      </c>
      <c r="AY450" s="75">
        <f>IF(AI449&lt;AJ449,1,0)+IF(AK449&lt;AL449,1,0)+IF(AM449&lt;AN449,1,0)</f>
        <v>0</v>
      </c>
      <c r="AZ450" s="75">
        <f>BA449</f>
        <v>2</v>
      </c>
      <c r="BA450" s="78"/>
      <c r="BB450" s="79"/>
      <c r="BE450" s="74">
        <f>AP448+AR448+AT448+AP449+AR449+AT449</f>
        <v>39</v>
      </c>
      <c r="BF450" s="80">
        <f>AO448+AQ448+AS448+AO449+AQ449+AS449</f>
        <v>84</v>
      </c>
      <c r="BG450" s="74">
        <f>AW450+AY450</f>
        <v>0</v>
      </c>
      <c r="BH450" s="80">
        <f>AX450+AZ450</f>
        <v>4</v>
      </c>
      <c r="BI450" s="74">
        <f>IF(AW450&gt;AX450,1,0)+IF(AY450&gt;AZ450,1,0)</f>
        <v>0</v>
      </c>
      <c r="BJ450" s="81">
        <f>IF(AX450&gt;AW450,1,0)+IF(AZ450&gt;AY450,1,0)</f>
        <v>2</v>
      </c>
      <c r="BK450" s="82">
        <f>IF(BI450+BJ450=0,"",IF(BL450=MAX(BL448:BL450),1,IF(BL450=MIN(BL448:BL450),3,2)))</f>
        <v>3</v>
      </c>
      <c r="BL450" s="60">
        <f>IF(BI450+BJ450&lt;&gt;0,BI450+1+(BG450-BH450)/100+(BE450-BF450)/100000+(BE450/BF450)/1000000,0)</f>
        <v>0.95955046428571433</v>
      </c>
    </row>
    <row r="451" spans="1:64" ht="11.45" customHeight="1" x14ac:dyDescent="0.2">
      <c r="A451" s="2"/>
      <c r="J451" s="28"/>
      <c r="K451" s="28"/>
      <c r="L451" s="28"/>
      <c r="O451" s="28"/>
      <c r="P451" s="28"/>
      <c r="Q451" s="2"/>
      <c r="R451" s="2"/>
      <c r="S451" s="2"/>
      <c r="T451" s="241">
        <v>3</v>
      </c>
      <c r="U451" s="244" t="str">
        <f>IF(AND(N452&lt;&gt;"",N453&lt;&gt;""),CONCATENATE(VLOOKUP(N452,[2]zawodnicy!$A$1:$E$65536,1,FALSE)," ",VLOOKUP(N452,[2]zawodnicy!$A$1:$E$65536,2,FALSE)," ",VLOOKUP(N452,[2]zawodnicy!$A$1:$E$65536,3,FALSE)," - ",VLOOKUP(N452,[2]zawodnicy!$A$1:$E$65536,4,FALSE)),"")</f>
        <v/>
      </c>
      <c r="V451" s="245"/>
      <c r="W451" s="246"/>
      <c r="X451" s="46" t="str">
        <f>IF(SUM(AO448:AP448)=0,"",AP448&amp;":"&amp;AO448)</f>
        <v>11:21</v>
      </c>
      <c r="Y451" s="83" t="str">
        <f>IF(SUM(AO449:AP449)=0,"",AP449&amp;":"&amp;AO449)</f>
        <v>4:21</v>
      </c>
      <c r="Z451" s="84"/>
      <c r="AA451" s="247" t="str">
        <f>IF(SUM(AW450:AZ450)=0,"",BE450&amp;":"&amp;BF450)</f>
        <v>39:84</v>
      </c>
      <c r="AB451" s="250" t="str">
        <f>IF(SUM(AW450:AZ450)=0,"",BG450&amp;":"&amp;BH450)</f>
        <v>0:4</v>
      </c>
      <c r="AC451" s="250" t="str">
        <f>IF(SUM(AW450:AZ450)=0,"",BI450&amp;":"&amp;BJ450)</f>
        <v>0:2</v>
      </c>
      <c r="AD451" s="253">
        <f>IF(SUM(BI448:BI450)&gt;0,BK450,"")</f>
        <v>3</v>
      </c>
      <c r="AE451" s="2"/>
      <c r="AF451" s="12"/>
      <c r="AG451" s="12"/>
      <c r="BE451" s="19">
        <f>SUM(BE448:BE450)</f>
        <v>197</v>
      </c>
      <c r="BF451" s="19">
        <f>SUM(BF448:BF450)</f>
        <v>197</v>
      </c>
      <c r="BG451" s="19">
        <f>SUM(BG448:BG450)</f>
        <v>6</v>
      </c>
      <c r="BH451" s="19">
        <f>SUM(BH448:BH450)</f>
        <v>6</v>
      </c>
      <c r="BK451" s="19"/>
      <c r="BL451" s="20"/>
    </row>
    <row r="452" spans="1:64" ht="11.45" customHeight="1" x14ac:dyDescent="0.2">
      <c r="A452" s="19"/>
      <c r="J452" s="19"/>
      <c r="K452" s="19"/>
      <c r="L452" s="19"/>
      <c r="N452" s="33" t="s">
        <v>104</v>
      </c>
      <c r="O452" s="34">
        <f>IF(O444&gt;0,(O444&amp;3)*1,"")</f>
        <v>93</v>
      </c>
      <c r="Q452" s="85"/>
      <c r="R452" s="85"/>
      <c r="S452" s="85"/>
      <c r="T452" s="242"/>
      <c r="U452" s="244" t="str">
        <f>IF(AND(N452&lt;&gt;"",N453=""),CONCATENATE(VLOOKUP(N452,[2]zawodnicy!$A$1:$E$65536,1,FALSE)," ",VLOOKUP(N452,[2]zawodnicy!$A$1:$E$65536,2,FALSE)," ",VLOOKUP(N452,[2]zawodnicy!$A$1:$E$65536,3,FALSE)," - ",VLOOKUP(N452,[2]zawodnicy!$A$1:$E$65536,4,FALSE)),"")</f>
        <v>B5199 Olivia BATKO - MKB Lednik Miastko</v>
      </c>
      <c r="V452" s="245"/>
      <c r="W452" s="246"/>
      <c r="X452" s="61" t="str">
        <f>IF(SUM(AQ448:AR448)=0,"",AR448&amp;":"&amp;AQ448)</f>
        <v>10:21</v>
      </c>
      <c r="Y452" s="36" t="str">
        <f>IF(SUM(AQ449:AR449)=0,"",AR449&amp;":"&amp;AQ449)</f>
        <v>14:21</v>
      </c>
      <c r="Z452" s="86"/>
      <c r="AA452" s="248"/>
      <c r="AB452" s="251"/>
      <c r="AC452" s="251"/>
      <c r="AD452" s="254"/>
      <c r="AE452" s="2"/>
      <c r="AF452" s="12"/>
      <c r="AG452" s="1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row>
    <row r="453" spans="1:64" ht="11.45" customHeight="1" thickBot="1" x14ac:dyDescent="0.25">
      <c r="A453" s="2"/>
      <c r="J453" s="28"/>
      <c r="K453" s="28"/>
      <c r="L453" s="28"/>
      <c r="N453" s="38"/>
      <c r="O453" s="28"/>
      <c r="P453" s="28"/>
      <c r="Q453" s="2"/>
      <c r="R453" s="2"/>
      <c r="S453" s="2"/>
      <c r="T453" s="243"/>
      <c r="U453" s="256" t="str">
        <f>IF(N453&lt;&gt;"",CONCATENATE(VLOOKUP(N453,[2]zawodnicy!$A$1:$E$65536,1,FALSE)," ",VLOOKUP(N453,[2]zawodnicy!$A$1:$E$65536,2,FALSE)," ",VLOOKUP(N453,[2]zawodnicy!$A$1:$E$65536,3,FALSE)," - ",VLOOKUP(N453,[2]zawodnicy!$A$1:$E$65536,4,FALSE)),"")</f>
        <v/>
      </c>
      <c r="V453" s="257"/>
      <c r="W453" s="258"/>
      <c r="X453" s="87" t="str">
        <f>IF(SUM(AS448:AT448)=0,"",AT448&amp;":"&amp;AS448)</f>
        <v/>
      </c>
      <c r="Y453" s="88" t="str">
        <f>IF(SUM(AS449:AT449)=0,"",AT449&amp;":"&amp;AS449)</f>
        <v/>
      </c>
      <c r="Z453" s="89"/>
      <c r="AA453" s="249"/>
      <c r="AB453" s="252"/>
      <c r="AC453" s="252"/>
      <c r="AD453" s="255"/>
      <c r="AE453" s="10"/>
      <c r="AF453" s="12"/>
      <c r="AG453" s="1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row>
    <row r="454" spans="1:64" s="19" customFormat="1" ht="5.0999999999999996" customHeight="1" x14ac:dyDescent="0.2">
      <c r="M454" s="90"/>
      <c r="O454" s="90"/>
      <c r="P454" s="90"/>
      <c r="Q454" s="91"/>
      <c r="R454" s="91"/>
      <c r="S454" s="91"/>
      <c r="T454" s="91"/>
      <c r="U454" s="5"/>
      <c r="V454" s="5"/>
      <c r="W454" s="5"/>
      <c r="AA454" s="92"/>
      <c r="AB454" s="91"/>
      <c r="AC454" s="91"/>
      <c r="AD454" s="91"/>
      <c r="AE454" s="91"/>
      <c r="AF454" s="91"/>
      <c r="AI454" s="93"/>
      <c r="AJ454" s="94"/>
      <c r="AK454" s="94"/>
    </row>
    <row r="456" spans="1:64" ht="11.45" customHeight="1" x14ac:dyDescent="0.2">
      <c r="J456" s="2"/>
      <c r="K456" s="2"/>
      <c r="L456" s="2"/>
      <c r="M456" s="95"/>
      <c r="N456" s="96">
        <v>1</v>
      </c>
      <c r="O456" s="97">
        <v>9</v>
      </c>
      <c r="P456" s="98"/>
      <c r="Q456" s="1"/>
      <c r="R456" s="1"/>
      <c r="S456" s="1"/>
      <c r="T456" s="229"/>
      <c r="U456" s="229"/>
      <c r="V456" s="229"/>
      <c r="W456" s="229"/>
      <c r="X456" s="229"/>
      <c r="Y456" s="229"/>
      <c r="Z456" s="229"/>
      <c r="AA456" s="229"/>
      <c r="AB456" s="229"/>
      <c r="AC456" s="229"/>
      <c r="AD456" s="229"/>
      <c r="AE456" s="229"/>
      <c r="AF456" s="229"/>
      <c r="AG456" s="2"/>
      <c r="BK456" s="19"/>
      <c r="BL456" s="20"/>
    </row>
    <row r="457" spans="1:64" ht="11.45" customHeight="1" x14ac:dyDescent="0.2">
      <c r="J457" s="2"/>
      <c r="N457" s="99" t="s">
        <v>77</v>
      </c>
      <c r="P457" s="98"/>
      <c r="Q457" s="1"/>
      <c r="R457" s="1"/>
      <c r="S457" s="1"/>
      <c r="T457" s="1"/>
      <c r="U457" s="100"/>
      <c r="V457" s="101"/>
      <c r="W457" s="101"/>
      <c r="X457" s="101"/>
      <c r="Y457" s="2"/>
      <c r="Z457" s="2"/>
      <c r="AA457" s="2"/>
      <c r="AB457" s="2"/>
      <c r="AC457" s="2"/>
      <c r="AD457" s="2"/>
      <c r="AE457" s="2"/>
      <c r="AF457" s="2"/>
      <c r="AG457" s="2"/>
      <c r="BK457" s="19"/>
      <c r="BL457" s="20"/>
    </row>
    <row r="458" spans="1:64" ht="11.45" customHeight="1" x14ac:dyDescent="0.2">
      <c r="A458" s="102">
        <f>W458</f>
        <v>0</v>
      </c>
      <c r="B458" s="2" t="str">
        <f>IF(TYPE(T458)=16,"",T458)</f>
        <v>W4435</v>
      </c>
      <c r="D458" s="2" t="str">
        <f>IF(TYPE(T459)=16,"",T459)</f>
        <v/>
      </c>
      <c r="F458" s="2" t="str">
        <f>IF(A458=0,IF(AND(LEN(B458)&gt;0,LEN(D458)=0),VLOOKUP(B458,[2]zawodnicy!$A$1:$E$65536,1,FALSE),IF(AND(LEN(D458)&gt;0,LEN(B458)=0),VLOOKUP(D458,[2]zawodnicy!$A$1:$E$65536,1,FALSE),"")),IF((VLOOKUP(A458,'[2]plan gier'!$X$1:$AF$65536,7,FALSE))="","",VLOOKUP(VLOOKUP(A458,'[2]plan gier'!$X$1:$AF$65536,7,FALSE),[2]zawodnicy!$A$1:$E$65536,1,FALSE)))</f>
        <v>W4435</v>
      </c>
      <c r="H458" s="2" t="str">
        <f>IF(A458=0,"",IF((VLOOKUP(A458,'[2]plan gier'!$X$1:$AF$65536,7,FALSE))="","",VLOOKUP(A458,'[2]plan gier'!$X$1:$AF$65536,9,FALSE)))</f>
        <v/>
      </c>
      <c r="J458" s="103"/>
      <c r="L458" s="43" t="str">
        <f>IF(A458=0,"",IF(VLOOKUP(A458,'[2]plan gier'!A$1:S$65536,19,FALSE)="","",VLOOKUP(A458,'[2]plan gier'!A$1:S$65536,19,FALSE)))</f>
        <v/>
      </c>
      <c r="M458" s="2" t="str">
        <f>N457</f>
        <v>pojedyncza dziewcząt JM</v>
      </c>
      <c r="N458" s="104"/>
      <c r="O458" s="105">
        <f>IF(P458="","",1)</f>
        <v>1</v>
      </c>
      <c r="P458" s="106">
        <f>IF(O456&gt;8,1,"")</f>
        <v>1</v>
      </c>
      <c r="Q458" s="5">
        <f>O458</f>
        <v>1</v>
      </c>
      <c r="T458" s="286" t="str">
        <f>UPPER(IF(O458="","",IF(ISTEXT(N458),N458,IF(AND(N456&gt;0,O458&gt;0),VLOOKUP(N456&amp;O458&amp;N457,I:J,2,FALSE),""))))</f>
        <v>W4435</v>
      </c>
      <c r="U458" s="287"/>
      <c r="V458" s="107" t="str">
        <f>IF(T458&lt;&gt;"",CONCATENATE(VLOOKUP(T458,[2]zawodnicy!$A$1:$E$65536,2,FALSE)," ",VLOOKUP(T458,[2]zawodnicy!$A$1:$E$65536,3,FALSE)," - ",VLOOKUP(T458,[2]zawodnicy!$A$1:$E$65536,4,FALSE)),"")</f>
        <v>Karolina WŁADZIŃSKA - ----</v>
      </c>
      <c r="W458" s="108"/>
      <c r="X458" s="231" t="str">
        <f>IF(ISBLANK(W458),IF(AND(LEN(T458)&gt;0,LEN(T459)=0),VLOOKUP(T458,[2]zawodnicy!$A$1:$E$65536,3,FALSE),IF(AND(LEN(T459)&gt;0,LEN(T458)=0),VLOOKUP(T459,[2]zawodnicy!$A$1:$E$65536,3,FALSE),"")),IF((VLOOKUP(W458,'[2]plan gier'!$X$1:$AF$65536,7,FALSE))="","",VLOOKUP(VLOOKUP(W458,'[2]plan gier'!$X$1:$AF$65536,7,FALSE),[2]zawodnicy!$A$1:$E$65536,3,FALSE)))</f>
        <v>WŁADZIŃSKA</v>
      </c>
      <c r="Y458" s="232"/>
      <c r="Z458" s="232"/>
      <c r="AA458" s="2"/>
      <c r="AB458" s="2"/>
      <c r="AC458" s="2"/>
      <c r="AD458" s="2"/>
      <c r="AE458" s="2"/>
      <c r="AF458" s="2"/>
      <c r="AG458" s="2"/>
      <c r="BK458" s="19"/>
      <c r="BL458" s="20"/>
    </row>
    <row r="459" spans="1:64" ht="11.45" customHeight="1" x14ac:dyDescent="0.2">
      <c r="J459" s="103"/>
      <c r="N459" s="104"/>
      <c r="O459" s="109" t="str">
        <f>IF(P459="","",2)</f>
        <v/>
      </c>
      <c r="P459" s="106" t="str">
        <f>IF(O456&gt;15,3,"")</f>
        <v/>
      </c>
      <c r="Q459" s="5" t="str">
        <f>O459</f>
        <v/>
      </c>
      <c r="T459" s="286" t="str">
        <f>UPPER(IF(O459="","",IF(ISTEXT(N459),N459,IF(AND(N456&gt;0,O459&gt;0),VLOOKUP(N456&amp;O459&amp;N457,I:J,2,FALSE),""))))</f>
        <v/>
      </c>
      <c r="U459" s="287"/>
      <c r="V459" s="107" t="str">
        <f>IF(T459&lt;&gt;"",CONCATENATE(VLOOKUP(T459,[2]zawodnicy!$A$1:$E$65536,2,FALSE)," ",VLOOKUP(T459,[2]zawodnicy!$A$1:$E$65536,3,FALSE)," - ",VLOOKUP(T459,[2]zawodnicy!$A$1:$E$65536,4,FALSE)),"")</f>
        <v/>
      </c>
      <c r="W459" s="110"/>
      <c r="X459" s="236" t="str">
        <f>IF(ISBLANK(W458),"",IF((VLOOKUP(W458,'[2]plan gier'!$X$1:$AF$65536,7,FALSE))="",L458,VLOOKUP(W458,'[2]plan gier'!$X$1:$AF$65536,9,FALSE)))</f>
        <v/>
      </c>
      <c r="Y459" s="237"/>
      <c r="Z459" s="240"/>
      <c r="AA459" s="2"/>
      <c r="AB459" s="2"/>
      <c r="AC459" s="2"/>
      <c r="AD459" s="2"/>
      <c r="AE459" s="2"/>
      <c r="AF459" s="2"/>
      <c r="AG459" s="2"/>
      <c r="BK459" s="19"/>
      <c r="BL459" s="20"/>
    </row>
    <row r="460" spans="1:64" ht="11.45" customHeight="1" x14ac:dyDescent="0.2">
      <c r="A460" s="111">
        <f>Z460</f>
        <v>210</v>
      </c>
      <c r="B460" s="2" t="str">
        <f>F458</f>
        <v>W4435</v>
      </c>
      <c r="D460" s="2" t="str">
        <f>F462</f>
        <v>X19</v>
      </c>
      <c r="F460" s="2" t="str">
        <f>IF(A460=0,IF(AND(LEN(B460)&gt;0,LEN(D460)=0),B460,IF(AND(LEN(D460)&gt;0,LEN(B460)=0),D460,"")),IF((VLOOKUP(A460,'[2]plan gier'!$X$1:$AF$65536,7,FALSE))="","",VLOOKUP(VLOOKUP(A460,'[2]plan gier'!$X$1:$AF$65536,7,FALSE),[2]zawodnicy!$A$1:$E$65536,1,FALSE)))</f>
        <v>X19</v>
      </c>
      <c r="H460" s="2" t="str">
        <f>IF(A460=0,"",IF((VLOOKUP(A460,'[2]plan gier'!$X$1:$AF$65536,7,FALSE))="","",VLOOKUP(A460,'[2]plan gier'!$X$1:$AF$65536,9,FALSE)))</f>
        <v>21:8,20:22,21:14</v>
      </c>
      <c r="J460" s="103"/>
      <c r="L460" s="43" t="str">
        <f>IF(A460=0,"",IF(VLOOKUP(A460,'[2]plan gier'!A$1:S$65536,19,FALSE)="","",VLOOKUP(A460,'[2]plan gier'!A$1:S$65536,19,FALSE)))</f>
        <v>sob 16:30</v>
      </c>
      <c r="M460" s="2" t="str">
        <f>N457</f>
        <v>pojedyncza dziewcząt JM</v>
      </c>
      <c r="N460" s="95"/>
      <c r="O460" s="112"/>
      <c r="P460" s="106"/>
      <c r="T460" s="9"/>
      <c r="U460" s="113"/>
      <c r="V460" s="2"/>
      <c r="W460" s="2"/>
      <c r="X460" s="114"/>
      <c r="Y460" s="10"/>
      <c r="Z460" s="115">
        <v>210</v>
      </c>
      <c r="AA460" s="232" t="str">
        <f>IF(ISBLANK(Z460),IF(AND(LEN(X458)&gt;0,LEN(X462)=0),X458,IF(AND(LEN(X462)&gt;0,LEN(X458)=0),X462,"")),IF((VLOOKUP(Z460,'[2]plan gier'!$X$1:$AF$65536,7,FALSE))="","",VLOOKUP(VLOOKUP(Z460,'[2]plan gier'!$X$1:$AF$65536,7,FALSE),[2]zawodnicy!$A$1:$E$65536,3,FALSE)))</f>
        <v>LUGOVYKH</v>
      </c>
      <c r="AB460" s="232"/>
      <c r="AC460" s="232"/>
      <c r="AD460" s="2"/>
      <c r="AE460" s="2"/>
      <c r="AF460" s="2"/>
      <c r="AG460" s="2"/>
      <c r="BK460" s="19"/>
      <c r="BL460" s="20"/>
    </row>
    <row r="461" spans="1:64" ht="11.45" customHeight="1" x14ac:dyDescent="0.2">
      <c r="J461" s="103"/>
      <c r="N461" s="95"/>
      <c r="O461" s="112"/>
      <c r="P461" s="106"/>
      <c r="T461" s="9"/>
      <c r="U461" s="113"/>
      <c r="V461" s="2"/>
      <c r="W461" s="2"/>
      <c r="X461" s="114"/>
      <c r="Y461" s="10"/>
      <c r="Z461" s="116"/>
      <c r="AA461" s="237" t="str">
        <f>IF(ISBLANK(Z460),"",IF((VLOOKUP(Z460,'[2]plan gier'!$X$1:$AF$65536,7,FALSE))="",L460,VLOOKUP(Z460,'[2]plan gier'!$X$1:$AF$65536,9,FALSE)))</f>
        <v>21:8,20:22,21:14</v>
      </c>
      <c r="AB461" s="237"/>
      <c r="AC461" s="240"/>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row>
    <row r="462" spans="1:64" ht="11.45" customHeight="1" x14ac:dyDescent="0.2">
      <c r="A462" s="102">
        <f>W462</f>
        <v>0</v>
      </c>
      <c r="B462" s="2" t="str">
        <f>IF(TYPE(T462)=16,"",T462)</f>
        <v>X19</v>
      </c>
      <c r="D462" s="2" t="str">
        <f>IF(TYPE(T463)=16,"",T463)</f>
        <v/>
      </c>
      <c r="F462" s="2" t="str">
        <f>IF(A462=0,IF(AND(LEN(B462)&gt;0,LEN(D462)=0),VLOOKUP(B462,[2]zawodnicy!$A$1:$E$65536,1,FALSE),IF(AND(LEN(D462)&gt;0,LEN(B462)=0),VLOOKUP(D462,[2]zawodnicy!$A$1:$E$65536,1,FALSE),"")),IF((VLOOKUP(A462,'[2]plan gier'!$X$1:$AF$65536,7,FALSE))="","",VLOOKUP(VLOOKUP(A462,'[2]plan gier'!$X$1:$AF$65536,7,FALSE),[2]zawodnicy!$A$1:$E$65536,1,FALSE)))</f>
        <v>X19</v>
      </c>
      <c r="H462" s="2" t="str">
        <f>IF(A462=0,"",IF((VLOOKUP(A462,'[2]plan gier'!$X$1:$AF$65536,7,FALSE))="","",VLOOKUP(A462,'[2]plan gier'!$X$1:$AF$65536,9,FALSE)))</f>
        <v/>
      </c>
      <c r="J462" s="103"/>
      <c r="L462" s="43" t="str">
        <f>IF(A462=0,"",IF(VLOOKUP(A462,'[2]plan gier'!A$1:S$65536,19,FALSE)="","",VLOOKUP(A462,'[2]plan gier'!A$1:S$65536,19,FALSE)))</f>
        <v/>
      </c>
      <c r="M462" s="2" t="str">
        <f>N457</f>
        <v>pojedyncza dziewcząt JM</v>
      </c>
      <c r="N462" s="104"/>
      <c r="O462" s="105">
        <f>IF(P462="","",MAX(O458:O461)+1)</f>
        <v>2</v>
      </c>
      <c r="P462" s="106">
        <f>IF(O456&gt;8,5,"")</f>
        <v>5</v>
      </c>
      <c r="Q462" s="5">
        <f>O462</f>
        <v>2</v>
      </c>
      <c r="T462" s="286" t="str">
        <f>UPPER(IF(O462="","",IF(ISTEXT(N462),N462,IF(AND(N456&gt;0,O462&gt;0),VLOOKUP(N456&amp;O462&amp;N457,I:J,2,FALSE),""))))</f>
        <v>X19</v>
      </c>
      <c r="U462" s="287"/>
      <c r="V462" s="107" t="str">
        <f>IF(T462&lt;&gt;"",CONCATENATE(VLOOKUP(T462,[2]zawodnicy!$A$1:$E$65536,2,FALSE)," ",VLOOKUP(T462,[2]zawodnicy!$A$1:$E$65536,3,FALSE)," - ",VLOOKUP(T462,[2]zawodnicy!$A$1:$E$65536,4,FALSE)),"")</f>
        <v>Oleksandra LUGOVYKH - Vinnica Ukraina</v>
      </c>
      <c r="W462" s="108"/>
      <c r="X462" s="231" t="str">
        <f>IF(ISBLANK(W462),IF(AND(LEN(T462)&gt;0,LEN(T463)=0),VLOOKUP(T462,[2]zawodnicy!$A$1:$E$65536,3,FALSE),IF(AND(LEN(T463)&gt;0,LEN(T462)=0),VLOOKUP(T463,[2]zawodnicy!$A$1:$E$65536,3,FALSE),"")),IF((VLOOKUP(W462,'[2]plan gier'!$X$1:$AF$65536,7,FALSE))="","",VLOOKUP(VLOOKUP(W462,'[2]plan gier'!$X$1:$AF$65536,7,FALSE),[2]zawodnicy!$A$1:$E$65536,3,FALSE)))</f>
        <v>LUGOVYKH</v>
      </c>
      <c r="Y462" s="232"/>
      <c r="Z462" s="233"/>
      <c r="AA462" s="10"/>
      <c r="AB462" s="10"/>
      <c r="AC462" s="117"/>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row>
    <row r="463" spans="1:64" ht="11.45" customHeight="1" x14ac:dyDescent="0.2">
      <c r="J463" s="103"/>
      <c r="N463" s="104"/>
      <c r="O463" s="109" t="str">
        <f>IF(P463="","",MAX(O458:O462)+1)</f>
        <v/>
      </c>
      <c r="P463" s="106" t="str">
        <f>IF(O456&gt;11,7,"")</f>
        <v/>
      </c>
      <c r="Q463" s="5" t="str">
        <f>O463</f>
        <v/>
      </c>
      <c r="T463" s="286" t="str">
        <f>UPPER(IF(O463="","",IF(ISTEXT(N463),N463,IF(AND(N456&gt;0,O463&gt;0),VLOOKUP(N456&amp;O463&amp;N457,I:J,2,FALSE),""))))</f>
        <v/>
      </c>
      <c r="U463" s="287"/>
      <c r="V463" s="107" t="str">
        <f>IF(T463&lt;&gt;"",CONCATENATE(VLOOKUP(T463,[2]zawodnicy!$A$1:$E$65536,2,FALSE)," ",VLOOKUP(T463,[2]zawodnicy!$A$1:$E$65536,3,FALSE)," - ",VLOOKUP(T463,[2]zawodnicy!$A$1:$E$65536,4,FALSE)),"")</f>
        <v/>
      </c>
      <c r="W463" s="110"/>
      <c r="X463" s="228" t="str">
        <f>IF(ISBLANK(W462),"",IF((VLOOKUP(W462,'[2]plan gier'!$X$1:$AF$65536,7,FALSE))="",L462,VLOOKUP(W462,'[2]plan gier'!$X$1:$AF$65536,9,FALSE)))</f>
        <v/>
      </c>
      <c r="Y463" s="229"/>
      <c r="Z463" s="229"/>
      <c r="AA463" s="10"/>
      <c r="AB463" s="10"/>
      <c r="AC463" s="117"/>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row>
    <row r="464" spans="1:64" ht="11.45" customHeight="1" x14ac:dyDescent="0.2">
      <c r="A464" s="118">
        <f>AC464</f>
        <v>229</v>
      </c>
      <c r="B464" s="2" t="str">
        <f>F460</f>
        <v>X19</v>
      </c>
      <c r="D464" s="2" t="str">
        <f>F468</f>
        <v>S3951</v>
      </c>
      <c r="F464" s="2" t="str">
        <f>IF(A464=0,IF(AND(LEN(B464)&gt;0,LEN(D464)=0),B464,IF(AND(LEN(D464)&gt;0,LEN(B464)=0),D464,"")),IF((VLOOKUP(A464,'[2]plan gier'!$X$1:$AF$65536,7,FALSE))="","",VLOOKUP(VLOOKUP(A464,'[2]plan gier'!$X$1:$AF$65536,7,FALSE),[2]zawodnicy!$A$1:$E$65536,1,FALSE)))</f>
        <v>X19</v>
      </c>
      <c r="H464" s="2" t="str">
        <f>IF(A464=0,"",IF((VLOOKUP(A464,'[2]plan gier'!$X$1:$AF$65536,7,FALSE))="","",VLOOKUP(A464,'[2]plan gier'!$X$1:$AF$65536,9,FALSE)))</f>
        <v>21:11,21:17</v>
      </c>
      <c r="J464" s="103"/>
      <c r="L464" s="43" t="str">
        <f>IF(A464=0,"",IF(VLOOKUP(A464,'[2]plan gier'!A$1:S$65536,19,FALSE)="","",VLOOKUP(A464,'[2]plan gier'!A$1:S$65536,19,FALSE)))</f>
        <v>sob 18:00</v>
      </c>
      <c r="M464" s="2" t="str">
        <f>N457</f>
        <v>pojedyncza dziewcząt JM</v>
      </c>
      <c r="N464" s="95"/>
      <c r="O464" s="112"/>
      <c r="P464" s="106"/>
      <c r="T464" s="9"/>
      <c r="U464" s="113"/>
      <c r="V464" s="114"/>
      <c r="W464" s="2"/>
      <c r="X464" s="10"/>
      <c r="Y464" s="2"/>
      <c r="Z464" s="2"/>
      <c r="AA464" s="10"/>
      <c r="AB464" s="10"/>
      <c r="AC464" s="115">
        <v>229</v>
      </c>
      <c r="AD464" s="232" t="str">
        <f>IF(ISBLANK(AC464),IF(AND(LEN(AA460)&gt;0,LEN(AA468)=0),AA460,IF(AND(LEN(AA468)&gt;0,LEN(AA460)=0),AA468,"")),IF((VLOOKUP(AC464,'[2]plan gier'!$X$1:$AF$65536,7,FALSE))="","",VLOOKUP(VLOOKUP(AC464,'[2]plan gier'!$X$1:$AF$65536,7,FALSE),[2]zawodnicy!$A$1:$E$65536,3,FALSE)))</f>
        <v>LUGOVYKH</v>
      </c>
      <c r="AE464" s="232"/>
      <c r="AF464" s="23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row>
    <row r="465" spans="1:63" ht="11.45" customHeight="1" x14ac:dyDescent="0.2">
      <c r="J465" s="103"/>
      <c r="N465" s="95"/>
      <c r="O465" s="112"/>
      <c r="P465" s="106"/>
      <c r="T465" s="9"/>
      <c r="U465" s="113"/>
      <c r="V465" s="114"/>
      <c r="W465" s="2"/>
      <c r="X465" s="10"/>
      <c r="Y465" s="2"/>
      <c r="Z465" s="2"/>
      <c r="AA465" s="10"/>
      <c r="AB465" s="10"/>
      <c r="AC465" s="116"/>
      <c r="AD465" s="237" t="str">
        <f>IF(ISBLANK(AC464),"",IF((VLOOKUP(AC464,'[2]plan gier'!$X$1:$AF$65536,7,FALSE))="",L464,VLOOKUP(AC464,'[2]plan gier'!$X$1:$AF$65536,9,FALSE)))</f>
        <v>21:11,21:17</v>
      </c>
      <c r="AE465" s="237"/>
      <c r="AF465" s="240"/>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row>
    <row r="466" spans="1:63" ht="11.45" customHeight="1" x14ac:dyDescent="0.2">
      <c r="A466" s="102">
        <f>W466</f>
        <v>0</v>
      </c>
      <c r="B466" s="2" t="str">
        <f>IF(TYPE(T466)=16,"",T466)</f>
        <v>S3951</v>
      </c>
      <c r="D466" s="2" t="str">
        <f>IF(TYPE(T467)=16,"",T467)</f>
        <v/>
      </c>
      <c r="F466" s="2" t="str">
        <f>IF(A466=0,IF(AND(LEN(B466)&gt;0,LEN(D466)=0),VLOOKUP(B466,[2]zawodnicy!$A$1:$E$65536,1,FALSE),IF(AND(LEN(D466)&gt;0,LEN(B466)=0),VLOOKUP(D466,[2]zawodnicy!$A$1:$E$65536,1,FALSE),"")),IF((VLOOKUP(A466,'[2]plan gier'!$X$1:$AF$65536,7,FALSE))="","",VLOOKUP(VLOOKUP(A466,'[2]plan gier'!$X$1:$AF$65536,7,FALSE),[2]zawodnicy!$A$1:$E$65536,1,FALSE)))</f>
        <v>S3951</v>
      </c>
      <c r="H466" s="2" t="str">
        <f>IF(A466=0,"",IF((VLOOKUP(A466,'[2]plan gier'!$X$1:$AF$65536,7,FALSE))="","",VLOOKUP(A466,'[2]plan gier'!$X$1:$AF$65536,9,FALSE)))</f>
        <v/>
      </c>
      <c r="J466" s="103"/>
      <c r="L466" s="43" t="str">
        <f>IF(A466=0,"",IF(VLOOKUP(A466,'[2]plan gier'!A$1:S$65536,19,FALSE)="","",VLOOKUP(A466,'[2]plan gier'!A$1:S$65536,19,FALSE)))</f>
        <v/>
      </c>
      <c r="M466" s="2" t="str">
        <f>N457</f>
        <v>pojedyncza dziewcząt JM</v>
      </c>
      <c r="N466" s="104"/>
      <c r="O466" s="105">
        <f>IF(P466="","",MAX(O458:O465)+1)</f>
        <v>3</v>
      </c>
      <c r="P466" s="106">
        <f>IF(O456&gt;8,9,"")</f>
        <v>9</v>
      </c>
      <c r="Q466" s="5">
        <f>O466</f>
        <v>3</v>
      </c>
      <c r="T466" s="286" t="str">
        <f>UPPER(IF(O466="","",IF(ISTEXT(N466),N466,IF(AND(N456&gt;0,O466&gt;0),VLOOKUP(N456&amp;O466&amp;N457,I:J,2,FALSE),""))))</f>
        <v>S3951</v>
      </c>
      <c r="U466" s="287"/>
      <c r="V466" s="107" t="str">
        <f>IF(T466&lt;&gt;"",CONCATENATE(VLOOKUP(T466,[2]zawodnicy!$A$1:$E$65536,2,FALSE)," ",VLOOKUP(T466,[2]zawodnicy!$A$1:$E$65536,3,FALSE)," - ",VLOOKUP(T466,[2]zawodnicy!$A$1:$E$65536,4,FALSE)),"")</f>
        <v>Oliwia SOCHA - KS Chojnik Jelenia Góra</v>
      </c>
      <c r="W466" s="108"/>
      <c r="X466" s="231" t="str">
        <f>IF(ISBLANK(W466),IF(AND(LEN(T466)&gt;0,LEN(T467)=0),VLOOKUP(T466,[2]zawodnicy!$A$1:$E$65536,3,FALSE),IF(AND(LEN(T467)&gt;0,LEN(T466)=0),VLOOKUP(T467,[2]zawodnicy!$A$1:$E$65536,3,FALSE),"")),IF((VLOOKUP(W466,'[2]plan gier'!$X$1:$AF$65536,7,FALSE))="","",VLOOKUP(VLOOKUP(W466,'[2]plan gier'!$X$1:$AF$65536,7,FALSE),[2]zawodnicy!$A$1:$E$65536,3,FALSE)))</f>
        <v>SOCHA</v>
      </c>
      <c r="Y466" s="232"/>
      <c r="Z466" s="232"/>
      <c r="AA466" s="10"/>
      <c r="AB466" s="10"/>
      <c r="AC466" s="117"/>
      <c r="AD466" s="10"/>
      <c r="AE466" s="10"/>
      <c r="AF466" s="117"/>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row>
    <row r="467" spans="1:63" ht="11.45" customHeight="1" x14ac:dyDescent="0.2">
      <c r="J467" s="103"/>
      <c r="N467" s="104"/>
      <c r="O467" s="109" t="str">
        <f>IF(P467="","",MAX(O458:O466)+1)</f>
        <v/>
      </c>
      <c r="P467" s="106" t="str">
        <f>IF(O456&gt;13,11,"")</f>
        <v/>
      </c>
      <c r="Q467" s="5" t="str">
        <f>O467</f>
        <v/>
      </c>
      <c r="T467" s="286" t="str">
        <f>UPPER(IF(O467="","",IF(ISTEXT(N467),N467,IF(AND(N456&gt;0,O467&gt;0),VLOOKUP(N456&amp;O467&amp;N457,I:J,2,FALSE),""))))</f>
        <v/>
      </c>
      <c r="U467" s="287"/>
      <c r="V467" s="107" t="str">
        <f>IF(T467&lt;&gt;"",CONCATENATE(VLOOKUP(T467,[2]zawodnicy!$A$1:$E$65536,2,FALSE)," ",VLOOKUP(T467,[2]zawodnicy!$A$1:$E$65536,3,FALSE)," - ",VLOOKUP(T467,[2]zawodnicy!$A$1:$E$65536,4,FALSE)),"")</f>
        <v/>
      </c>
      <c r="W467" s="110"/>
      <c r="X467" s="236" t="str">
        <f>IF(ISBLANK(W466),"",IF((VLOOKUP(W466,'[2]plan gier'!$X$1:$AF$65536,7,FALSE))="",L466,VLOOKUP(W466,'[2]plan gier'!$X$1:$AF$65536,9,FALSE)))</f>
        <v/>
      </c>
      <c r="Y467" s="237"/>
      <c r="Z467" s="240"/>
      <c r="AA467" s="10"/>
      <c r="AB467" s="10"/>
      <c r="AC467" s="117"/>
      <c r="AD467" s="10"/>
      <c r="AE467" s="10"/>
      <c r="AF467" s="117"/>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row>
    <row r="468" spans="1:63" ht="11.45" customHeight="1" x14ac:dyDescent="0.2">
      <c r="A468" s="111">
        <f>Z468</f>
        <v>211</v>
      </c>
      <c r="B468" s="2" t="str">
        <f>F466</f>
        <v>S3951</v>
      </c>
      <c r="D468" s="2" t="str">
        <f>F470</f>
        <v>I4204</v>
      </c>
      <c r="F468" s="2" t="str">
        <f>IF(A468=0,IF(AND(LEN(B468)&gt;0,LEN(D468)=0),B468,IF(AND(LEN(D468)&gt;0,LEN(B468)=0),D468,"")),IF((VLOOKUP(A468,'[2]plan gier'!$X$1:$AF$65536,7,FALSE))="","",VLOOKUP(VLOOKUP(A468,'[2]plan gier'!$X$1:$AF$65536,7,FALSE),[2]zawodnicy!$A$1:$E$65536,1,FALSE)))</f>
        <v>S3951</v>
      </c>
      <c r="H468" s="2" t="str">
        <f>IF(A468=0,"",IF((VLOOKUP(A468,'[2]plan gier'!$X$1:$AF$65536,7,FALSE))="","",VLOOKUP(A468,'[2]plan gier'!$X$1:$AF$65536,9,FALSE)))</f>
        <v>21:6,21:14</v>
      </c>
      <c r="J468" s="103"/>
      <c r="L468" s="43" t="str">
        <f>IF(A468=0,"",IF(VLOOKUP(A468,'[2]plan gier'!A$1:S$65536,19,FALSE)="","",VLOOKUP(A468,'[2]plan gier'!A$1:S$65536,19,FALSE)))</f>
        <v>sob 16:30</v>
      </c>
      <c r="M468" s="2" t="str">
        <f>N457</f>
        <v>pojedyncza dziewcząt JM</v>
      </c>
      <c r="N468" s="95"/>
      <c r="O468" s="112"/>
      <c r="P468" s="106"/>
      <c r="T468" s="9"/>
      <c r="U468" s="113"/>
      <c r="V468" s="2"/>
      <c r="W468" s="2"/>
      <c r="X468" s="114"/>
      <c r="Y468" s="10"/>
      <c r="Z468" s="115">
        <v>211</v>
      </c>
      <c r="AA468" s="232" t="str">
        <f>IF(ISBLANK(Z468),IF(AND(LEN(X466)&gt;0,LEN(X470)=0),X466,IF(AND(LEN(X470)&gt;0,LEN(X466)=0),X470,"")),IF((VLOOKUP(Z468,'[2]plan gier'!$X$1:$AF$65536,7,FALSE))="","",VLOOKUP(VLOOKUP(Z468,'[2]plan gier'!$X$1:$AF$65536,7,FALSE),[2]zawodnicy!$A$1:$E$65536,3,FALSE)))</f>
        <v>SOCHA</v>
      </c>
      <c r="AB468" s="232"/>
      <c r="AC468" s="233"/>
      <c r="AD468" s="10"/>
      <c r="AE468" s="10"/>
      <c r="AF468" s="117"/>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row>
    <row r="469" spans="1:63" ht="11.45" customHeight="1" x14ac:dyDescent="0.2">
      <c r="J469" s="103"/>
      <c r="N469" s="95"/>
      <c r="O469" s="112"/>
      <c r="P469" s="106"/>
      <c r="T469" s="9"/>
      <c r="U469" s="113"/>
      <c r="V469" s="2"/>
      <c r="W469" s="2"/>
      <c r="X469" s="114"/>
      <c r="Y469" s="10"/>
      <c r="Z469" s="116"/>
      <c r="AA469" s="229" t="str">
        <f>IF(ISBLANK(Z468),"",IF((VLOOKUP(Z468,'[2]plan gier'!$X$1:$AF$65536,7,FALSE))="",L468,VLOOKUP(Z468,'[2]plan gier'!$X$1:$AF$65536,9,FALSE)))</f>
        <v>21:6,21:14</v>
      </c>
      <c r="AB469" s="229"/>
      <c r="AC469" s="229"/>
      <c r="AD469" s="10"/>
      <c r="AE469" s="10"/>
      <c r="AF469" s="117"/>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row>
    <row r="470" spans="1:63" ht="11.45" customHeight="1" x14ac:dyDescent="0.2">
      <c r="A470" s="102">
        <f>W470</f>
        <v>0</v>
      </c>
      <c r="B470" s="2" t="str">
        <f>IF(TYPE(T470)=16,"",T470)</f>
        <v>I4204</v>
      </c>
      <c r="D470" s="2" t="str">
        <f>IF(TYPE(T471)=16,"",T471)</f>
        <v/>
      </c>
      <c r="F470" s="2" t="str">
        <f>IF(A470=0,IF(AND(LEN(B470)&gt;0,LEN(D470)=0),VLOOKUP(B470,[2]zawodnicy!$A$1:$E$65536,1,FALSE),IF(AND(LEN(D470)&gt;0,LEN(B470)=0),VLOOKUP(D470,[2]zawodnicy!$A$1:$E$65536,1,FALSE),"")),IF((VLOOKUP(A470,'[2]plan gier'!$X$1:$AF$65536,7,FALSE))="","",VLOOKUP(VLOOKUP(A470,'[2]plan gier'!$X$1:$AF$65536,7,FALSE),[2]zawodnicy!$A$1:$E$65536,1,FALSE)))</f>
        <v>I4204</v>
      </c>
      <c r="H470" s="2" t="str">
        <f>IF(A470=0,"",IF((VLOOKUP(A470,'[2]plan gier'!$X$1:$AF$65536,7,FALSE))="","",VLOOKUP(A470,'[2]plan gier'!$X$1:$AF$65536,9,FALSE)))</f>
        <v/>
      </c>
      <c r="J470" s="103"/>
      <c r="L470" s="43" t="str">
        <f>IF(A470=0,"",IF(VLOOKUP(A470,'[2]plan gier'!A$1:S$65536,19,FALSE)="","",VLOOKUP(A470,'[2]plan gier'!A$1:S$65536,19,FALSE)))</f>
        <v/>
      </c>
      <c r="M470" s="2" t="str">
        <f>N457</f>
        <v>pojedyncza dziewcząt JM</v>
      </c>
      <c r="N470" s="104"/>
      <c r="O470" s="105">
        <f>IF(P470="","",MAX(O458:O469)+1)</f>
        <v>4</v>
      </c>
      <c r="P470" s="106">
        <f>IF(O456&gt;8,13,"")</f>
        <v>13</v>
      </c>
      <c r="Q470" s="5">
        <f>O470</f>
        <v>4</v>
      </c>
      <c r="T470" s="286" t="str">
        <f>UPPER(IF(O470="","",IF(ISTEXT(N470),N470,IF(AND(N456&gt;0,O470&gt;0),VLOOKUP(N456&amp;O470&amp;N457,I:J,2,FALSE),""))))</f>
        <v>I4204</v>
      </c>
      <c r="U470" s="287"/>
      <c r="V470" s="107" t="str">
        <f>IF(T470&lt;&gt;"",CONCATENATE(VLOOKUP(T470,[2]zawodnicy!$A$1:$E$65536,2,FALSE)," ",VLOOKUP(T470,[2]zawodnicy!$A$1:$E$65536,3,FALSE)," - ",VLOOKUP(T470,[2]zawodnicy!$A$1:$E$65536,4,FALSE)),"")</f>
        <v>Agata ISKRA - UKS Unia Bieruń</v>
      </c>
      <c r="W470" s="108"/>
      <c r="X470" s="231" t="str">
        <f>IF(ISBLANK(W470),IF(AND(LEN(T470)&gt;0,LEN(T471)=0),VLOOKUP(T470,[2]zawodnicy!$A$1:$E$65536,3,FALSE),IF(AND(LEN(T471)&gt;0,LEN(T470)=0),VLOOKUP(T471,[2]zawodnicy!$A$1:$E$65536,3,FALSE),"")),IF((VLOOKUP(W470,'[2]plan gier'!$X$1:$AF$65536,7,FALSE))="","",VLOOKUP(VLOOKUP(W470,'[2]plan gier'!$X$1:$AF$65536,7,FALSE),[2]zawodnicy!$A$1:$E$65536,3,FALSE)))</f>
        <v>ISKRA</v>
      </c>
      <c r="Y470" s="232"/>
      <c r="Z470" s="233"/>
      <c r="AA470" s="2"/>
      <c r="AB470" s="2"/>
      <c r="AC470" s="2"/>
      <c r="AD470" s="229"/>
      <c r="AE470" s="229"/>
      <c r="AF470" s="230"/>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row>
    <row r="471" spans="1:63" ht="11.45" customHeight="1" x14ac:dyDescent="0.2">
      <c r="J471" s="103"/>
      <c r="N471" s="104"/>
      <c r="O471" s="109" t="str">
        <f>IF(P471="","",MAX(O458:O470)+1)</f>
        <v/>
      </c>
      <c r="P471" s="106" t="str">
        <f>IF(O456&gt;9,15,"")</f>
        <v/>
      </c>
      <c r="Q471" s="5" t="str">
        <f>O471</f>
        <v/>
      </c>
      <c r="T471" s="286" t="str">
        <f>UPPER(IF(O471="","",IF(ISTEXT(N471),N471,IF(AND(N456&gt;0,O471&gt;0),VLOOKUP(N456&amp;O471&amp;N457,I:J,2,FALSE),""))))</f>
        <v/>
      </c>
      <c r="U471" s="287"/>
      <c r="V471" s="107" t="str">
        <f>IF(T471&lt;&gt;"",CONCATENATE(VLOOKUP(T471,[2]zawodnicy!$A$1:$E$65536,2,FALSE)," ",VLOOKUP(T471,[2]zawodnicy!$A$1:$E$65536,3,FALSE)," - ",VLOOKUP(T471,[2]zawodnicy!$A$1:$E$65536,4,FALSE)),"")</f>
        <v/>
      </c>
      <c r="W471" s="110"/>
      <c r="X471" s="228" t="str">
        <f>IF(ISBLANK(W470),"",IF((VLOOKUP(W470,'[2]plan gier'!$X$1:$AF$65536,7,FALSE))="",L470,VLOOKUP(W470,'[2]plan gier'!$X$1:$AF$65536,9,FALSE)))</f>
        <v/>
      </c>
      <c r="Y471" s="229"/>
      <c r="Z471" s="229"/>
      <c r="AA471" s="2"/>
      <c r="AB471" s="2"/>
      <c r="AC471" s="2"/>
      <c r="AD471" s="10"/>
      <c r="AE471" s="10"/>
      <c r="AF471" s="117"/>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row>
    <row r="472" spans="1:63" ht="11.45" customHeight="1" x14ac:dyDescent="0.2">
      <c r="A472" s="172">
        <f>AC472</f>
        <v>242</v>
      </c>
      <c r="B472" s="2" t="str">
        <f>F464</f>
        <v>X19</v>
      </c>
      <c r="D472" s="2" t="str">
        <f>F480</f>
        <v>Ś3779</v>
      </c>
      <c r="F472" s="2" t="str">
        <f>IF(A472=0,IF(AND(LEN(B472)&gt;0,LEN(D472)=0),B472,IF(AND(LEN(D472)&gt;0,LEN(B472)=0),D472,"")),IF((VLOOKUP(A472,'[2]plan gier'!$X$1:$AF$65536,7,FALSE))="","",VLOOKUP(VLOOKUP(A472,'[2]plan gier'!$X$1:$AF$65536,7,FALSE),[2]zawodnicy!$A$1:$E$65536,1,FALSE)))</f>
        <v>X19</v>
      </c>
      <c r="H472" s="2" t="str">
        <f>IF(A472=0,"",IF((VLOOKUP(A472,'[2]plan gier'!$X$1:$AF$65536,7,FALSE))="","",VLOOKUP(A472,'[2]plan gier'!$X$1:$AF$65536,9,FALSE)))</f>
        <v>21:10,21:13</v>
      </c>
      <c r="J472" s="103"/>
      <c r="L472" s="43" t="str">
        <f>IF(A472=0,"",IF(VLOOKUP(A472,'[2]plan gier'!A$1:S$65536,19,FALSE)="","",VLOOKUP(A472,'[2]plan gier'!A$1:S$65536,19,FALSE)))</f>
        <v>nie 12:30</v>
      </c>
      <c r="M472" s="2" t="str">
        <f>N457</f>
        <v>pojedyncza dziewcząt JM</v>
      </c>
      <c r="N472" s="95"/>
      <c r="O472" s="112"/>
      <c r="P472" s="106"/>
      <c r="T472" s="9"/>
      <c r="U472" s="113"/>
      <c r="V472" s="114"/>
      <c r="W472" s="2"/>
      <c r="X472" s="10"/>
      <c r="Y472" s="2"/>
      <c r="Z472" s="2"/>
      <c r="AA472" s="2"/>
      <c r="AB472" s="2"/>
      <c r="AC472" s="137">
        <v>242</v>
      </c>
      <c r="AD472" s="232" t="str">
        <f>IF(ISBLANK(AC472),IF(AND(LEN(AD464)&gt;0,LEN(AD480)=0),AD464,IF(AND(LEN(AD480)&gt;0,LEN(AD464)=0),AD480,"")),IF((VLOOKUP(AC472,'[2]plan gier'!$X$1:$AF$65536,7,FALSE))="","",VLOOKUP(VLOOKUP(AC472,'[2]plan gier'!$X$1:$AF$65536,7,FALSE),[2]zawodnicy!$A$1:$E$65536,3,FALSE)))</f>
        <v>LUGOVYKH</v>
      </c>
      <c r="AE472" s="232"/>
      <c r="AF472" s="233"/>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row>
    <row r="473" spans="1:63" ht="11.45" customHeight="1" x14ac:dyDescent="0.2">
      <c r="J473" s="103"/>
      <c r="N473" s="95"/>
      <c r="O473" s="112"/>
      <c r="P473" s="106"/>
      <c r="T473" s="9"/>
      <c r="U473" s="113"/>
      <c r="V473" s="114"/>
      <c r="W473" s="2"/>
      <c r="X473" s="10"/>
      <c r="Y473" s="2"/>
      <c r="Z473" s="2"/>
      <c r="AA473" s="2"/>
      <c r="AB473" s="2"/>
      <c r="AC473" s="2"/>
      <c r="AD473" s="229" t="str">
        <f>IF(ISBLANK(AC472),"",IF((VLOOKUP(AC472,'[2]plan gier'!$X$1:$AF$65536,7,FALSE))="",L472,VLOOKUP(AC472,'[2]plan gier'!$X$1:$AF$65536,9,FALSE)))</f>
        <v>21:10,21:13</v>
      </c>
      <c r="AE473" s="229"/>
      <c r="AF473" s="230"/>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row>
    <row r="474" spans="1:63" ht="11.45" customHeight="1" x14ac:dyDescent="0.2">
      <c r="A474" s="102">
        <f>W474</f>
        <v>196</v>
      </c>
      <c r="B474" s="2" t="str">
        <f>IF(TYPE(T474)=16,"",T474)</f>
        <v>S3617</v>
      </c>
      <c r="D474" s="2" t="str">
        <f>IF(TYPE(T475)=16,"",T475)</f>
        <v>S4168</v>
      </c>
      <c r="F474" s="2" t="str">
        <f>IF(A474=0,IF(AND(LEN(B474)&gt;0,LEN(D474)=0),VLOOKUP(B474,[2]zawodnicy!$A$1:$E$65536,1,FALSE),IF(AND(LEN(D474)&gt;0,LEN(B474)=0),VLOOKUP(D474,[2]zawodnicy!$A$1:$E$65536,1,FALSE),"")),IF((VLOOKUP(A474,'[2]plan gier'!$X$1:$AF$65536,7,FALSE))="","",VLOOKUP(VLOOKUP(A474,'[2]plan gier'!$X$1:$AF$65536,7,FALSE),[2]zawodnicy!$A$1:$E$65536,1,FALSE)))</f>
        <v>S3617</v>
      </c>
      <c r="H474" s="2" t="str">
        <f>IF(A474=0,"",IF((VLOOKUP(A474,'[2]plan gier'!$X$1:$AF$65536,7,FALSE))="","",VLOOKUP(A474,'[2]plan gier'!$X$1:$AF$65536,9,FALSE)))</f>
        <v>21:13,21:17</v>
      </c>
      <c r="J474" s="103"/>
      <c r="L474" s="43" t="str">
        <f>IF(A474=0,"",IF(VLOOKUP(A474,'[2]plan gier'!A$1:S$65536,19,FALSE)="","",VLOOKUP(A474,'[2]plan gier'!A$1:S$65536,19,FALSE)))</f>
        <v>sob 15:00</v>
      </c>
      <c r="M474" s="2" t="str">
        <f>N457</f>
        <v>pojedyncza dziewcząt JM</v>
      </c>
      <c r="N474" s="104"/>
      <c r="O474" s="105">
        <f>IF(P474="","",MAX(O458:O473)+1)</f>
        <v>5</v>
      </c>
      <c r="P474" s="106">
        <f>IF(O456&gt;8,18,"")</f>
        <v>18</v>
      </c>
      <c r="Q474" s="5">
        <f>O474</f>
        <v>5</v>
      </c>
      <c r="T474" s="286" t="str">
        <f>UPPER(IF(O474="","",IF(ISTEXT(N474),N474,IF(AND(N456&gt;0,O474&gt;0),VLOOKUP(N456&amp;O474&amp;N457,I:J,2,FALSE),""))))</f>
        <v>S3617</v>
      </c>
      <c r="U474" s="287"/>
      <c r="V474" s="107" t="str">
        <f>IF(T474&lt;&gt;"",CONCATENATE(VLOOKUP(T474,[2]zawodnicy!$A$1:$E$65536,2,FALSE)," ",VLOOKUP(T474,[2]zawodnicy!$A$1:$E$65536,3,FALSE)," - ",VLOOKUP(T474,[2]zawodnicy!$A$1:$E$65536,4,FALSE)),"")</f>
        <v>Katarzyna SŁOMBA - UKSB Volant Mielec</v>
      </c>
      <c r="W474" s="108">
        <v>196</v>
      </c>
      <c r="X474" s="231" t="str">
        <f>IF(ISBLANK(W474),IF(AND(LEN(T474)&gt;0,LEN(T475)=0),VLOOKUP(T474,[2]zawodnicy!$A$1:$E$65536,3,FALSE),IF(AND(LEN(T475)&gt;0,LEN(T474)=0),VLOOKUP(T475,[2]zawodnicy!$A$1:$E$65536,3,FALSE),"")),IF((VLOOKUP(W474,'[2]plan gier'!$X$1:$AF$65536,7,FALSE))="","",VLOOKUP(VLOOKUP(W474,'[2]plan gier'!$X$1:$AF$65536,7,FALSE),[2]zawodnicy!$A$1:$E$65536,3,FALSE)))</f>
        <v>SŁOMBA</v>
      </c>
      <c r="Y474" s="232"/>
      <c r="Z474" s="232"/>
      <c r="AA474" s="2"/>
      <c r="AB474" s="2"/>
      <c r="AC474" s="2"/>
      <c r="AD474" s="10"/>
      <c r="AE474" s="10"/>
      <c r="AF474" s="117"/>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row>
    <row r="475" spans="1:63" ht="11.45" customHeight="1" x14ac:dyDescent="0.2">
      <c r="J475" s="103"/>
      <c r="N475" s="104"/>
      <c r="O475" s="109">
        <f>IF(P475="","",MAX(O458:O474)+1)</f>
        <v>6</v>
      </c>
      <c r="P475" s="106">
        <f>IF(O456&gt;8,20,"")</f>
        <v>20</v>
      </c>
      <c r="Q475" s="5">
        <f>O475</f>
        <v>6</v>
      </c>
      <c r="T475" s="286" t="str">
        <f>UPPER(IF(O475="","",IF(ISTEXT(N475),N475,IF(AND(N456&gt;0,O475&gt;0),VLOOKUP(N456&amp;O475&amp;N457,I:J,2,FALSE),""))))</f>
        <v>S4168</v>
      </c>
      <c r="U475" s="287"/>
      <c r="V475" s="107" t="str">
        <f>IF(T475&lt;&gt;"",CONCATENATE(VLOOKUP(T475,[2]zawodnicy!$A$1:$E$65536,2,FALSE)," ",VLOOKUP(T475,[2]zawodnicy!$A$1:$E$65536,3,FALSE)," - ",VLOOKUP(T475,[2]zawodnicy!$A$1:$E$65536,4,FALSE)),"")</f>
        <v>Agnieszka SZYMASZEK - UKS Orbitek Straszęcin</v>
      </c>
      <c r="W475" s="110"/>
      <c r="X475" s="236" t="str">
        <f>IF(ISBLANK(W474),"",IF((VLOOKUP(W474,'[2]plan gier'!$X$1:$AF$65536,7,FALSE))="",L474,VLOOKUP(W474,'[2]plan gier'!$X$1:$AF$65536,9,FALSE)))</f>
        <v>21:13,21:17</v>
      </c>
      <c r="Y475" s="237"/>
      <c r="Z475" s="240"/>
      <c r="AA475" s="2"/>
      <c r="AB475" s="2"/>
      <c r="AC475" s="2"/>
      <c r="AD475" s="10"/>
      <c r="AE475" s="10"/>
      <c r="AF475" s="117"/>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row>
    <row r="476" spans="1:63" ht="11.45" customHeight="1" x14ac:dyDescent="0.2">
      <c r="A476" s="111">
        <f>Z476</f>
        <v>212</v>
      </c>
      <c r="B476" s="2" t="str">
        <f>F474</f>
        <v>S3617</v>
      </c>
      <c r="D476" s="2" t="str">
        <f>F478</f>
        <v>K4207</v>
      </c>
      <c r="F476" s="2" t="str">
        <f>IF(A476=0,IF(AND(LEN(B476)&gt;0,LEN(D476)=0),B476,IF(AND(LEN(D476)&gt;0,LEN(B476)=0),D476,"")),IF((VLOOKUP(A476,'[2]plan gier'!$X$1:$AF$65536,7,FALSE))="","",VLOOKUP(VLOOKUP(A476,'[2]plan gier'!$X$1:$AF$65536,7,FALSE),[2]zawodnicy!$A$1:$E$65536,1,FALSE)))</f>
        <v>K4207</v>
      </c>
      <c r="H476" s="2" t="str">
        <f>IF(A476=0,"",IF((VLOOKUP(A476,'[2]plan gier'!$X$1:$AF$65536,7,FALSE))="","",VLOOKUP(A476,'[2]plan gier'!$X$1:$AF$65536,9,FALSE)))</f>
        <v>21:7,21:14</v>
      </c>
      <c r="J476" s="103"/>
      <c r="L476" s="43" t="str">
        <f>IF(A476=0,"",IF(VLOOKUP(A476,'[2]plan gier'!A$1:S$65536,19,FALSE)="","",VLOOKUP(A476,'[2]plan gier'!A$1:S$65536,19,FALSE)))</f>
        <v>sob 16:30</v>
      </c>
      <c r="M476" s="2" t="str">
        <f>N457</f>
        <v>pojedyncza dziewcząt JM</v>
      </c>
      <c r="N476" s="95"/>
      <c r="O476" s="112"/>
      <c r="P476" s="106"/>
      <c r="T476" s="9"/>
      <c r="U476" s="113"/>
      <c r="V476" s="2"/>
      <c r="W476" s="2"/>
      <c r="X476" s="114"/>
      <c r="Y476" s="10"/>
      <c r="Z476" s="115">
        <v>212</v>
      </c>
      <c r="AA476" s="229" t="str">
        <f>IF(ISBLANK(Z476),IF(AND(LEN(X474)&gt;0,LEN(X478)=0),X474,IF(AND(LEN(X478)&gt;0,LEN(X474)=0),X478,"")),IF((VLOOKUP(Z476,'[2]plan gier'!$X$1:$AF$65536,7,FALSE))="","",VLOOKUP(VLOOKUP(Z476,'[2]plan gier'!$X$1:$AF$65536,7,FALSE),[2]zawodnicy!$A$1:$E$65536,3,FALSE)))</f>
        <v>KARWOWSKA</v>
      </c>
      <c r="AB476" s="229"/>
      <c r="AC476" s="229"/>
      <c r="AD476" s="10"/>
      <c r="AE476" s="10"/>
      <c r="AF476" s="117"/>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row>
    <row r="477" spans="1:63" ht="11.45" customHeight="1" x14ac:dyDescent="0.2">
      <c r="J477" s="103"/>
      <c r="N477" s="95"/>
      <c r="O477" s="112"/>
      <c r="P477" s="106"/>
      <c r="T477" s="9"/>
      <c r="U477" s="113"/>
      <c r="V477" s="2"/>
      <c r="W477" s="2"/>
      <c r="X477" s="114"/>
      <c r="Y477" s="10"/>
      <c r="Z477" s="116"/>
      <c r="AA477" s="237" t="str">
        <f>IF(ISBLANK(Z476),"",IF((VLOOKUP(Z476,'[2]plan gier'!$X$1:$AF$65536,7,FALSE))="",L476,VLOOKUP(Z476,'[2]plan gier'!$X$1:$AF$65536,9,FALSE)))</f>
        <v>21:7,21:14</v>
      </c>
      <c r="AB477" s="237"/>
      <c r="AC477" s="240"/>
      <c r="AD477" s="10"/>
      <c r="AE477" s="10"/>
      <c r="AF477" s="117"/>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row>
    <row r="478" spans="1:63" ht="11.45" customHeight="1" x14ac:dyDescent="0.2">
      <c r="A478" s="102">
        <f>W478</f>
        <v>0</v>
      </c>
      <c r="B478" s="2" t="str">
        <f>IF(TYPE(T478)=16,"",T478)</f>
        <v/>
      </c>
      <c r="D478" s="2" t="str">
        <f>IF(TYPE(T479)=16,"",T479)</f>
        <v>K4207</v>
      </c>
      <c r="F478" s="2" t="str">
        <f>IF(A478=0,IF(AND(LEN(B478)&gt;0,LEN(D478)=0),VLOOKUP(B478,[2]zawodnicy!$A$1:$E$65536,1,FALSE),IF(AND(LEN(D478)&gt;0,LEN(B478)=0),VLOOKUP(D478,[2]zawodnicy!$A$1:$E$65536,1,FALSE),"")),IF((VLOOKUP(A478,'[2]plan gier'!$X$1:$AF$65536,7,FALSE))="","",VLOOKUP(VLOOKUP(A478,'[2]plan gier'!$X$1:$AF$65536,7,FALSE),[2]zawodnicy!$A$1:$E$65536,1,FALSE)))</f>
        <v>K4207</v>
      </c>
      <c r="H478" s="2" t="str">
        <f>IF(A478=0,"",IF((VLOOKUP(A478,'[2]plan gier'!$X$1:$AF$65536,7,FALSE))="","",VLOOKUP(A478,'[2]plan gier'!$X$1:$AF$65536,9,FALSE)))</f>
        <v/>
      </c>
      <c r="J478" s="103"/>
      <c r="L478" s="43" t="str">
        <f>IF(A478=0,"",IF(VLOOKUP(A478,'[2]plan gier'!A$1:S$65536,19,FALSE)="","",VLOOKUP(A478,'[2]plan gier'!A$1:S$65536,19,FALSE)))</f>
        <v/>
      </c>
      <c r="M478" s="2" t="str">
        <f>N457</f>
        <v>pojedyncza dziewcząt JM</v>
      </c>
      <c r="N478" s="104"/>
      <c r="O478" s="105" t="str">
        <f>IF(P478="","",MAX(O458:O477)+1)</f>
        <v/>
      </c>
      <c r="P478" s="106" t="str">
        <f>IF(O456&gt;12,22,"")</f>
        <v/>
      </c>
      <c r="Q478" s="5" t="str">
        <f>O478</f>
        <v/>
      </c>
      <c r="T478" s="286" t="str">
        <f>UPPER(IF(O478="","",IF(ISTEXT(N478),N478,IF(AND(N456&gt;0,O478&gt;0),VLOOKUP(N456&amp;O478&amp;N457,I:J,2,FALSE),""))))</f>
        <v/>
      </c>
      <c r="U478" s="287"/>
      <c r="V478" s="107" t="str">
        <f>IF(T478&lt;&gt;"",CONCATENATE(VLOOKUP(T478,[2]zawodnicy!$A$1:$E$65536,2,FALSE)," ",VLOOKUP(T478,[2]zawodnicy!$A$1:$E$65536,3,FALSE)," - ",VLOOKUP(T478,[2]zawodnicy!$A$1:$E$65536,4,FALSE)),"")</f>
        <v/>
      </c>
      <c r="W478" s="108"/>
      <c r="X478" s="231" t="str">
        <f>IF(ISBLANK(W478),IF(AND(LEN(T478)&gt;0,LEN(T479)=0),VLOOKUP(T478,[2]zawodnicy!$A$1:$E$65536,3,FALSE),IF(AND(LEN(T479)&gt;0,LEN(T478)=0),VLOOKUP(T479,[2]zawodnicy!$A$1:$E$65536,3,FALSE),"")),IF((VLOOKUP(W478,'[2]plan gier'!$X$1:$AF$65536,7,FALSE))="","",VLOOKUP(VLOOKUP(W478,'[2]plan gier'!$X$1:$AF$65536,7,FALSE),[2]zawodnicy!$A$1:$E$65536,3,FALSE)))</f>
        <v>KARWOWSKA</v>
      </c>
      <c r="Y478" s="232"/>
      <c r="Z478" s="233"/>
      <c r="AA478" s="10"/>
      <c r="AB478" s="10"/>
      <c r="AC478" s="117"/>
      <c r="AD478" s="10"/>
      <c r="AE478" s="10"/>
      <c r="AF478" s="117"/>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row>
    <row r="479" spans="1:63" ht="11.45" customHeight="1" x14ac:dyDescent="0.2">
      <c r="J479" s="103"/>
      <c r="N479" s="104"/>
      <c r="O479" s="109">
        <f>IF(P479="","",MAX(O458:O478)+1)</f>
        <v>7</v>
      </c>
      <c r="P479" s="106">
        <f>IF(O456&gt;8,24,"")</f>
        <v>24</v>
      </c>
      <c r="Q479" s="5">
        <f>O479</f>
        <v>7</v>
      </c>
      <c r="T479" s="286" t="str">
        <f>UPPER(IF(O479="","",IF(ISTEXT(N479),N479,IF(AND(N456&gt;0,O479&gt;0),VLOOKUP(N456&amp;O479&amp;N457,I:J,2,FALSE),""))))</f>
        <v>K4207</v>
      </c>
      <c r="U479" s="287"/>
      <c r="V479" s="107" t="str">
        <f>IF(T479&lt;&gt;"",CONCATENATE(VLOOKUP(T479,[2]zawodnicy!$A$1:$E$65536,2,FALSE)," ",VLOOKUP(T479,[2]zawodnicy!$A$1:$E$65536,3,FALSE)," - ",VLOOKUP(T479,[2]zawodnicy!$A$1:$E$65536,4,FALSE)),"")</f>
        <v>Urszula KARWOWSKA - UKSB Milenium Warszawa</v>
      </c>
      <c r="W479" s="110"/>
      <c r="X479" s="228" t="str">
        <f>IF(ISBLANK(W478),"",IF((VLOOKUP(W478,'[2]plan gier'!$X$1:$AF$65536,7,FALSE))="",L478,VLOOKUP(W478,'[2]plan gier'!$X$1:$AF$65536,9,FALSE)))</f>
        <v/>
      </c>
      <c r="Y479" s="229"/>
      <c r="Z479" s="229"/>
      <c r="AA479" s="10"/>
      <c r="AB479" s="10"/>
      <c r="AC479" s="117"/>
      <c r="AD479" s="10"/>
      <c r="AE479" s="10"/>
      <c r="AF479" s="117"/>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row>
    <row r="480" spans="1:63" ht="11.45" customHeight="1" x14ac:dyDescent="0.2">
      <c r="A480" s="118">
        <f>AC480</f>
        <v>230</v>
      </c>
      <c r="B480" s="2" t="str">
        <f>F476</f>
        <v>K4207</v>
      </c>
      <c r="D480" s="2" t="str">
        <f>F484</f>
        <v>Ś3779</v>
      </c>
      <c r="F480" s="2" t="str">
        <f>IF(A480=0,IF(AND(LEN(B480)&gt;0,LEN(D480)=0),B480,IF(AND(LEN(D480)&gt;0,LEN(B480)=0),D480,"")),IF((VLOOKUP(A480,'[2]plan gier'!$X$1:$AF$65536,7,FALSE))="","",VLOOKUP(VLOOKUP(A480,'[2]plan gier'!$X$1:$AF$65536,7,FALSE),[2]zawodnicy!$A$1:$E$65536,1,FALSE)))</f>
        <v>Ś3779</v>
      </c>
      <c r="H480" s="2" t="str">
        <f>IF(A480=0,"",IF((VLOOKUP(A480,'[2]plan gier'!$X$1:$AF$65536,7,FALSE))="","",VLOOKUP(A480,'[2]plan gier'!$X$1:$AF$65536,9,FALSE)))</f>
        <v>21:9,15:21,21:10</v>
      </c>
      <c r="J480" s="103"/>
      <c r="L480" s="43" t="str">
        <f>IF(A480=0,"",IF(VLOOKUP(A480,'[2]plan gier'!A$1:S$65536,19,FALSE)="","",VLOOKUP(A480,'[2]plan gier'!A$1:S$65536,19,FALSE)))</f>
        <v>sob 18:00</v>
      </c>
      <c r="M480" s="2" t="str">
        <f>N457</f>
        <v>pojedyncza dziewcząt JM</v>
      </c>
      <c r="N480" s="95"/>
      <c r="O480" s="112"/>
      <c r="P480" s="106"/>
      <c r="T480" s="9"/>
      <c r="U480" s="113"/>
      <c r="V480" s="114"/>
      <c r="W480" s="2"/>
      <c r="X480" s="10"/>
      <c r="Y480" s="2"/>
      <c r="Z480" s="2"/>
      <c r="AA480" s="10"/>
      <c r="AB480" s="10"/>
      <c r="AC480" s="115">
        <v>230</v>
      </c>
      <c r="AD480" s="232" t="str">
        <f>IF(ISBLANK(AC480),IF(AND(LEN(AA476)&gt;0,LEN(AA484)=0),AA476,IF(AND(LEN(AA484)&gt;0,LEN(AA476)=0),AA484,"")),IF((VLOOKUP(AC480,'[2]plan gier'!$X$1:$AF$65536,7,FALSE))="","",VLOOKUP(VLOOKUP(AC480,'[2]plan gier'!$X$1:$AF$65536,7,FALSE),[2]zawodnicy!$A$1:$E$65536,3,FALSE)))</f>
        <v>ŚWIERCZYŃSKA</v>
      </c>
      <c r="AE480" s="232"/>
      <c r="AF480" s="233"/>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row>
    <row r="481" spans="1:64" ht="11.45" customHeight="1" x14ac:dyDescent="0.2">
      <c r="J481" s="103"/>
      <c r="N481" s="95"/>
      <c r="O481" s="112"/>
      <c r="P481" s="106"/>
      <c r="T481" s="9"/>
      <c r="U481" s="113"/>
      <c r="V481" s="114"/>
      <c r="W481" s="2"/>
      <c r="X481" s="10"/>
      <c r="Y481" s="2"/>
      <c r="Z481" s="2"/>
      <c r="AA481" s="10"/>
      <c r="AB481" s="10"/>
      <c r="AC481" s="116"/>
      <c r="AD481" s="237" t="str">
        <f>IF(ISBLANK(AC480),"",IF((VLOOKUP(AC480,'[2]plan gier'!$X$1:$AF$65536,7,FALSE))="",L480,VLOOKUP(AC480,'[2]plan gier'!$X$1:$AF$65536,9,FALSE)))</f>
        <v>21:9,15:21,21:10</v>
      </c>
      <c r="AE481" s="237"/>
      <c r="AF481" s="237"/>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row>
    <row r="482" spans="1:64" ht="11.45" customHeight="1" x14ac:dyDescent="0.2">
      <c r="A482" s="102">
        <f>W482</f>
        <v>0</v>
      </c>
      <c r="B482" s="2" t="str">
        <f>IF(TYPE(T482)=16,"",T482)</f>
        <v/>
      </c>
      <c r="D482" s="2" t="str">
        <f>IF(TYPE(T483)=16,"",T483)</f>
        <v>Ś3779</v>
      </c>
      <c r="F482" s="2" t="str">
        <f>IF(A482=0,IF(AND(LEN(B482)&gt;0,LEN(D482)=0),VLOOKUP(B482,[2]zawodnicy!$A$1:$E$65536,1,FALSE),IF(AND(LEN(D482)&gt;0,LEN(B482)=0),VLOOKUP(D482,[2]zawodnicy!$A$1:$E$65536,1,FALSE),"")),IF((VLOOKUP(A482,'[2]plan gier'!$X$1:$AF$65536,7,FALSE))="","",VLOOKUP(VLOOKUP(A482,'[2]plan gier'!$X$1:$AF$65536,7,FALSE),[2]zawodnicy!$A$1:$E$65536,1,FALSE)))</f>
        <v>Ś3779</v>
      </c>
      <c r="H482" s="2" t="str">
        <f>IF(A482=0,"",IF((VLOOKUP(A482,'[2]plan gier'!$X$1:$AF$65536,7,FALSE))="","",VLOOKUP(A482,'[2]plan gier'!$X$1:$AF$65536,9,FALSE)))</f>
        <v/>
      </c>
      <c r="J482" s="103"/>
      <c r="L482" s="43" t="str">
        <f>IF(A482=0,"",IF(VLOOKUP(A482,'[2]plan gier'!A$1:S$65536,19,FALSE)="","",VLOOKUP(A482,'[2]plan gier'!A$1:S$65536,19,FALSE)))</f>
        <v/>
      </c>
      <c r="M482" s="2" t="str">
        <f>N457</f>
        <v>pojedyncza dziewcząt JM</v>
      </c>
      <c r="N482" s="104"/>
      <c r="O482" s="105" t="str">
        <f>IF(P482="","",MAX(O458:O481)+1)</f>
        <v/>
      </c>
      <c r="P482" s="106" t="str">
        <f>IF(O456&gt;10,26,"")</f>
        <v/>
      </c>
      <c r="Q482" s="5" t="str">
        <f>O482</f>
        <v/>
      </c>
      <c r="T482" s="286" t="str">
        <f>UPPER(IF(O482="","",IF(ISTEXT(N482),N482,IF(AND(N456&gt;0,O482&gt;0),VLOOKUP(N456&amp;O482&amp;N457,I:J,2,FALSE),""))))</f>
        <v/>
      </c>
      <c r="U482" s="287"/>
      <c r="V482" s="107" t="str">
        <f>IF(T482&lt;&gt;"",CONCATENATE(VLOOKUP(T482,[2]zawodnicy!$A$1:$E$65536,2,FALSE)," ",VLOOKUP(T482,[2]zawodnicy!$A$1:$E$65536,3,FALSE)," - ",VLOOKUP(T482,[2]zawodnicy!$A$1:$E$65536,4,FALSE)),"")</f>
        <v/>
      </c>
      <c r="W482" s="108"/>
      <c r="X482" s="231" t="str">
        <f>IF(ISBLANK(W482),IF(AND(LEN(T482)&gt;0,LEN(T483)=0),VLOOKUP(T482,[2]zawodnicy!$A$1:$E$65536,3,FALSE),IF(AND(LEN(T483)&gt;0,LEN(T482)=0),VLOOKUP(T483,[2]zawodnicy!$A$1:$E$65536,3,FALSE),"")),IF((VLOOKUP(W482,'[2]plan gier'!$X$1:$AF$65536,7,FALSE))="","",VLOOKUP(VLOOKUP(W482,'[2]plan gier'!$X$1:$AF$65536,7,FALSE),[2]zawodnicy!$A$1:$E$65536,3,FALSE)))</f>
        <v>ŚWIERCZYŃSKA</v>
      </c>
      <c r="Y482" s="232"/>
      <c r="Z482" s="232"/>
      <c r="AA482" s="10"/>
      <c r="AB482" s="10"/>
      <c r="AC482" s="117"/>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row>
    <row r="483" spans="1:64" ht="11.45" customHeight="1" x14ac:dyDescent="0.2">
      <c r="J483" s="103"/>
      <c r="N483" s="104"/>
      <c r="O483" s="109">
        <f>IF(P483="","",MAX(O458:O482)+1)</f>
        <v>8</v>
      </c>
      <c r="P483" s="106">
        <f>IF(O456&gt;8,28,"")</f>
        <v>28</v>
      </c>
      <c r="Q483" s="5">
        <f>O483</f>
        <v>8</v>
      </c>
      <c r="T483" s="286" t="str">
        <f>UPPER(IF(O483="","",IF(ISTEXT(N483),N483,IF(AND(N456&gt;0,O483&gt;0),VLOOKUP(N456&amp;O483&amp;N457,I:J,2,FALSE),""))))</f>
        <v>Ś3779</v>
      </c>
      <c r="U483" s="287"/>
      <c r="V483" s="107" t="str">
        <f>IF(T483&lt;&gt;"",CONCATENATE(VLOOKUP(T483,[2]zawodnicy!$A$1:$E$65536,2,FALSE)," ",VLOOKUP(T483,[2]zawodnicy!$A$1:$E$65536,3,FALSE)," - ",VLOOKUP(T483,[2]zawodnicy!$A$1:$E$65536,4,FALSE)),"")</f>
        <v>Magdalena ŚWIERCZYŃSKA - UKS Orkan Przeźmierowo</v>
      </c>
      <c r="W483" s="110"/>
      <c r="X483" s="236" t="str">
        <f>IF(ISBLANK(W482),"",IF((VLOOKUP(W482,'[2]plan gier'!$X$1:$AF$65536,7,FALSE))="",L482,VLOOKUP(W482,'[2]plan gier'!$X$1:$AF$65536,9,FALSE)))</f>
        <v/>
      </c>
      <c r="Y483" s="237"/>
      <c r="Z483" s="240"/>
      <c r="AA483" s="10"/>
      <c r="AB483" s="10"/>
      <c r="AC483" s="117"/>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row>
    <row r="484" spans="1:64" ht="11.45" customHeight="1" x14ac:dyDescent="0.2">
      <c r="A484" s="111">
        <f>Z484</f>
        <v>213</v>
      </c>
      <c r="B484" s="2" t="str">
        <f>F482</f>
        <v>Ś3779</v>
      </c>
      <c r="D484" s="2" t="str">
        <f>F486</f>
        <v>X28</v>
      </c>
      <c r="F484" s="2" t="str">
        <f>IF(A484=0,IF(AND(LEN(B484)&gt;0,LEN(D484)=0),B484,IF(AND(LEN(D484)&gt;0,LEN(B484)=0),D484,"")),IF((VLOOKUP(A484,'[2]plan gier'!$X$1:$AF$65536,7,FALSE))="","",VLOOKUP(VLOOKUP(A484,'[2]plan gier'!$X$1:$AF$65536,7,FALSE),[2]zawodnicy!$A$1:$E$65536,1,FALSE)))</f>
        <v>Ś3779</v>
      </c>
      <c r="H484" s="2" t="str">
        <f>IF(A484=0,"",IF((VLOOKUP(A484,'[2]plan gier'!$X$1:$AF$65536,7,FALSE))="","",VLOOKUP(A484,'[2]plan gier'!$X$1:$AF$65536,9,FALSE)))</f>
        <v>21:10,21:13</v>
      </c>
      <c r="J484" s="103"/>
      <c r="L484" s="43" t="str">
        <f>IF(A484=0,"",IF(VLOOKUP(A484,'[2]plan gier'!A$1:S$65536,19,FALSE)="","",VLOOKUP(A484,'[2]plan gier'!A$1:S$65536,19,FALSE)))</f>
        <v>sob 16:30</v>
      </c>
      <c r="M484" s="2" t="str">
        <f>N457</f>
        <v>pojedyncza dziewcząt JM</v>
      </c>
      <c r="N484" s="95"/>
      <c r="O484" s="112"/>
      <c r="P484" s="106"/>
      <c r="T484" s="9"/>
      <c r="U484" s="113"/>
      <c r="V484" s="2"/>
      <c r="W484" s="2"/>
      <c r="X484" s="114"/>
      <c r="Y484" s="10"/>
      <c r="Z484" s="115">
        <v>213</v>
      </c>
      <c r="AA484" s="232" t="str">
        <f>IF(ISBLANK(Z484),IF(AND(LEN(X482)&gt;0,LEN(X486)=0),X482,IF(AND(LEN(X486)&gt;0,LEN(X482)=0),X486,"")),IF((VLOOKUP(Z484,'[2]plan gier'!$X$1:$AF$65536,7,FALSE))="","",VLOOKUP(VLOOKUP(Z484,'[2]plan gier'!$X$1:$AF$65536,7,FALSE),[2]zawodnicy!$A$1:$E$65536,3,FALSE)))</f>
        <v>ŚWIERCZYŃSKA</v>
      </c>
      <c r="AB484" s="232"/>
      <c r="AC484" s="233"/>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row>
    <row r="485" spans="1:64" ht="11.45" customHeight="1" x14ac:dyDescent="0.2">
      <c r="J485" s="103"/>
      <c r="N485" s="95"/>
      <c r="O485" s="112"/>
      <c r="P485" s="106"/>
      <c r="T485" s="9"/>
      <c r="U485" s="113"/>
      <c r="V485" s="2"/>
      <c r="W485" s="2"/>
      <c r="X485" s="114"/>
      <c r="Y485" s="10"/>
      <c r="Z485" s="116"/>
      <c r="AA485" s="229" t="str">
        <f>IF(ISBLANK(Z484),"",IF((VLOOKUP(Z484,'[2]plan gier'!$X$1:$AF$65536,7,FALSE))="",L484,VLOOKUP(Z484,'[2]plan gier'!$X$1:$AF$65536,9,FALSE)))</f>
        <v>21:10,21:13</v>
      </c>
      <c r="AB485" s="229"/>
      <c r="AC485" s="229"/>
      <c r="AD485" s="288"/>
      <c r="AE485" s="288"/>
      <c r="AF485" s="288"/>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row>
    <row r="486" spans="1:64" ht="11.45" customHeight="1" x14ac:dyDescent="0.2">
      <c r="A486" s="102">
        <f>W486</f>
        <v>0</v>
      </c>
      <c r="B486" s="2" t="str">
        <f>IF(TYPE(T486)=16,"",T486)</f>
        <v/>
      </c>
      <c r="D486" s="2" t="str">
        <f>IF(TYPE(T487)=16,"",T487)</f>
        <v>X28</v>
      </c>
      <c r="F486" s="2" t="str">
        <f>IF(A486=0,IF(AND(LEN(B486)&gt;0,LEN(D486)=0),VLOOKUP(B486,[2]zawodnicy!$A$1:$E$65536,1,FALSE),IF(AND(LEN(D486)&gt;0,LEN(B486)=0),VLOOKUP(D486,[2]zawodnicy!$A$1:$E$65536,1,FALSE),"")),IF((VLOOKUP(A486,'[2]plan gier'!$X$1:$AF$65536,7,FALSE))="","",VLOOKUP(VLOOKUP(A486,'[2]plan gier'!$X$1:$AF$65536,7,FALSE),[2]zawodnicy!$A$1:$E$65536,1,FALSE)))</f>
        <v>X28</v>
      </c>
      <c r="H486" s="2" t="str">
        <f>IF(A486=0,"",IF((VLOOKUP(A486,'[2]plan gier'!$X$1:$AF$65536,7,FALSE))="","",VLOOKUP(A486,'[2]plan gier'!$X$1:$AF$65536,9,FALSE)))</f>
        <v/>
      </c>
      <c r="J486" s="103"/>
      <c r="L486" s="43" t="str">
        <f>IF(A486=0,"",IF(VLOOKUP(A486,'[2]plan gier'!A$1:S$65536,19,FALSE)="","",VLOOKUP(A486,'[2]plan gier'!A$1:S$65536,19,FALSE)))</f>
        <v/>
      </c>
      <c r="M486" s="2" t="str">
        <f>N457</f>
        <v>pojedyncza dziewcząt JM</v>
      </c>
      <c r="N486" s="104"/>
      <c r="O486" s="105" t="str">
        <f>IF(P486="","",MAX(O458:O485)+1)</f>
        <v/>
      </c>
      <c r="P486" s="106" t="str">
        <f>IF(O456&gt;14,30,"")</f>
        <v/>
      </c>
      <c r="Q486" s="5" t="str">
        <f>O486</f>
        <v/>
      </c>
      <c r="T486" s="286" t="str">
        <f>UPPER(IF(O486="","",IF(ISTEXT(N486),N486,IF(AND(N456&gt;0,O486&gt;0),VLOOKUP(N456&amp;O486&amp;N457,I:J,2,FALSE),""))))</f>
        <v/>
      </c>
      <c r="U486" s="287"/>
      <c r="V486" s="107" t="str">
        <f>IF(T486&lt;&gt;"",CONCATENATE(VLOOKUP(T486,[2]zawodnicy!$A$1:$E$65536,2,FALSE)," ",VLOOKUP(T486,[2]zawodnicy!$A$1:$E$65536,3,FALSE)," - ",VLOOKUP(T486,[2]zawodnicy!$A$1:$E$65536,4,FALSE)),"")</f>
        <v/>
      </c>
      <c r="W486" s="108"/>
      <c r="X486" s="231" t="str">
        <f>IF(ISBLANK(W486),IF(AND(LEN(T486)&gt;0,LEN(T487)=0),VLOOKUP(T486,[2]zawodnicy!$A$1:$E$65536,3,FALSE),IF(AND(LEN(T487)&gt;0,LEN(T486)=0),VLOOKUP(T487,[2]zawodnicy!$A$1:$E$65536,3,FALSE),"")),IF((VLOOKUP(W486,'[2]plan gier'!$X$1:$AF$65536,7,FALSE))="","",VLOOKUP(VLOOKUP(W486,'[2]plan gier'!$X$1:$AF$65536,7,FALSE),[2]zawodnicy!$A$1:$E$65536,3,FALSE)))</f>
        <v>BAYAROUSKAYA</v>
      </c>
      <c r="Y486" s="232"/>
      <c r="Z486" s="233"/>
      <c r="AA486" s="2"/>
      <c r="AB486" s="18"/>
      <c r="AC486" s="18"/>
      <c r="AD486" s="18"/>
      <c r="AE486" s="18"/>
      <c r="AF486" s="18"/>
      <c r="AO486" s="2"/>
      <c r="AP486" s="2"/>
      <c r="AQ486" s="2"/>
      <c r="AR486" s="2"/>
      <c r="AS486" s="2"/>
      <c r="AT486" s="2"/>
      <c r="AU486" s="2"/>
      <c r="AV486" s="2"/>
      <c r="AW486" s="2"/>
      <c r="AX486" s="2"/>
      <c r="AY486" s="2"/>
      <c r="AZ486" s="2"/>
      <c r="BA486" s="2"/>
      <c r="BB486" s="2"/>
      <c r="BC486" s="2"/>
      <c r="BD486" s="2"/>
      <c r="BE486" s="2"/>
      <c r="BF486" s="2"/>
      <c r="BG486" s="2"/>
      <c r="BH486" s="2"/>
      <c r="BI486" s="2"/>
      <c r="BJ486" s="2"/>
      <c r="BK486" s="2"/>
    </row>
    <row r="487" spans="1:64" ht="11.45" customHeight="1" x14ac:dyDescent="0.2">
      <c r="J487" s="103"/>
      <c r="N487" s="104"/>
      <c r="O487" s="109">
        <f>IF(P487="","",MAX(O458:O486)+1)</f>
        <v>9</v>
      </c>
      <c r="P487" s="106">
        <f>IF(O456&gt;8,32,"")</f>
        <v>32</v>
      </c>
      <c r="Q487" s="5">
        <f>O487</f>
        <v>9</v>
      </c>
      <c r="T487" s="286" t="str">
        <f>UPPER(IF(O487="","",IF(ISTEXT(N487),N487,IF(AND(N456&gt;0,O487&gt;0),VLOOKUP(N456&amp;O487&amp;N457,I:J,2,FALSE),""))))</f>
        <v>X28</v>
      </c>
      <c r="U487" s="287"/>
      <c r="V487" s="107" t="str">
        <f>IF(T487&lt;&gt;"",CONCATENATE(VLOOKUP(T487,[2]zawodnicy!$A$1:$E$65536,2,FALSE)," ",VLOOKUP(T487,[2]zawodnicy!$A$1:$E$65536,3,FALSE)," - ",VLOOKUP(T487,[2]zawodnicy!$A$1:$E$65536,4,FALSE)),"")</f>
        <v>Yulia BAYAROUSKAYA - Białoruś</v>
      </c>
      <c r="W487" s="110"/>
      <c r="X487" s="228" t="str">
        <f>IF(ISBLANK(W486),"",IF((VLOOKUP(W486,'[2]plan gier'!$X$1:$AF$65536,7,FALSE))="",L486,VLOOKUP(W486,'[2]plan gier'!$X$1:$AF$65536,9,FALSE)))</f>
        <v/>
      </c>
      <c r="Y487" s="229"/>
      <c r="Z487" s="229"/>
      <c r="AA487" s="2"/>
      <c r="AB487" s="91"/>
      <c r="AC487" s="91"/>
      <c r="AD487" s="91"/>
      <c r="AE487" s="91"/>
      <c r="AF487" s="91"/>
      <c r="AG487" s="13"/>
      <c r="AH487" s="173"/>
      <c r="AI487" s="173"/>
      <c r="AO487" s="2"/>
      <c r="AP487" s="2"/>
      <c r="AQ487" s="2"/>
      <c r="AR487" s="2"/>
      <c r="AS487" s="2"/>
      <c r="AT487" s="2"/>
      <c r="AU487" s="2"/>
      <c r="AV487" s="2"/>
      <c r="AW487" s="2"/>
      <c r="AX487" s="2"/>
      <c r="AY487" s="2"/>
      <c r="AZ487" s="2"/>
      <c r="BA487" s="2"/>
      <c r="BB487" s="2"/>
      <c r="BC487" s="2"/>
      <c r="BD487" s="2"/>
      <c r="BE487" s="2"/>
      <c r="BF487" s="2"/>
      <c r="BG487" s="2"/>
      <c r="BH487" s="2"/>
      <c r="BI487" s="2"/>
      <c r="BJ487" s="2"/>
      <c r="BK487" s="2"/>
    </row>
    <row r="489" spans="1:64" ht="11.45" customHeight="1" x14ac:dyDescent="0.2">
      <c r="M489" s="16"/>
      <c r="N489" s="17" t="s">
        <v>105</v>
      </c>
      <c r="R489" s="18"/>
      <c r="S489" s="18"/>
      <c r="T489" s="277" t="str">
        <f>"Gra "&amp;N489</f>
        <v>Gra pojedyncza chłopców JM</v>
      </c>
      <c r="U489" s="277"/>
      <c r="V489" s="277"/>
      <c r="W489" s="277"/>
      <c r="X489" s="277"/>
      <c r="Y489" s="277"/>
      <c r="Z489" s="277"/>
      <c r="AA489" s="277"/>
      <c r="AB489" s="277"/>
      <c r="AC489" s="277"/>
      <c r="AD489" s="277"/>
      <c r="AE489" s="18"/>
    </row>
    <row r="490" spans="1:64" ht="11.45" customHeight="1" thickBot="1" x14ac:dyDescent="0.25"/>
    <row r="491" spans="1:64" ht="11.45" customHeight="1" thickBot="1" x14ac:dyDescent="0.25">
      <c r="N491" s="11"/>
      <c r="O491" s="21">
        <v>1</v>
      </c>
      <c r="Q491" s="277" t="str">
        <f>"Grupa "&amp;O491&amp;"."</f>
        <v>Grupa 1.</v>
      </c>
      <c r="R491" s="277"/>
      <c r="S491" s="277"/>
      <c r="T491" s="22" t="s">
        <v>1</v>
      </c>
      <c r="U491" s="278" t="s">
        <v>2</v>
      </c>
      <c r="V491" s="279"/>
      <c r="W491" s="280"/>
      <c r="X491" s="22">
        <v>1</v>
      </c>
      <c r="Y491" s="23">
        <v>2</v>
      </c>
      <c r="Z491" s="24">
        <v>3</v>
      </c>
      <c r="AA491" s="25" t="s">
        <v>3</v>
      </c>
      <c r="AB491" s="26" t="s">
        <v>4</v>
      </c>
      <c r="AC491" s="26" t="s">
        <v>5</v>
      </c>
      <c r="AD491" s="27" t="s">
        <v>6</v>
      </c>
      <c r="AE491" s="2"/>
      <c r="AF491" s="12"/>
      <c r="AG491" s="12"/>
      <c r="BK491" s="19"/>
      <c r="BL491" s="20"/>
    </row>
    <row r="492" spans="1:64" ht="11.45" customHeight="1" x14ac:dyDescent="0.2">
      <c r="J492" s="28"/>
      <c r="K492" s="28"/>
      <c r="L492" s="28"/>
      <c r="N492" s="29" t="s">
        <v>105</v>
      </c>
      <c r="Q492" s="274" t="s">
        <v>7</v>
      </c>
      <c r="R492" s="274"/>
      <c r="S492" s="275" t="s">
        <v>8</v>
      </c>
      <c r="T492" s="276">
        <v>1</v>
      </c>
      <c r="U492" s="244" t="str">
        <f>IF(AND(N493&lt;&gt;"",N494&lt;&gt;""),CONCATENATE(VLOOKUP(N493,[2]zawodnicy!$A$1:$E$65536,1,FALSE)," ",VLOOKUP(N493,[2]zawodnicy!$A$1:$E$65536,2,FALSE)," ",VLOOKUP(N493,[2]zawodnicy!$A$1:$E$65536,3,FALSE)," - ",VLOOKUP(N493,[2]zawodnicy!$A$1:$E$65536,4,FALSE)),"")</f>
        <v/>
      </c>
      <c r="V492" s="245"/>
      <c r="W492" s="246"/>
      <c r="X492" s="30"/>
      <c r="Y492" s="31" t="str">
        <f>IF(SUM(AO497:AP497)=0,"",AO497&amp;":"&amp;AP497)</f>
        <v>21:6</v>
      </c>
      <c r="Z492" s="32" t="str">
        <f>IF(SUM(AO495:AP495)=0,"",AO495&amp;":"&amp;AP495)</f>
        <v>21:8</v>
      </c>
      <c r="AA492" s="270" t="str">
        <f>IF(SUM(AY495:BB495)=0,"",BE495&amp;":"&amp;BF495)</f>
        <v>84:34</v>
      </c>
      <c r="AB492" s="271" t="str">
        <f>IF(SUM(AY495:BB495)=0,"",BG495&amp;":"&amp;BH495)</f>
        <v>4:0</v>
      </c>
      <c r="AC492" s="271" t="str">
        <f>IF(SUM(AY495:BB495)=0,"",BI495&amp;":"&amp;BJ495)</f>
        <v>2:0</v>
      </c>
      <c r="AD492" s="272">
        <f>IF(SUM(BI495:BI497)&gt;0,BK495,"")</f>
        <v>1</v>
      </c>
      <c r="AE492" s="2"/>
      <c r="AF492" s="12"/>
      <c r="AG492" s="12"/>
      <c r="AH492" s="14"/>
      <c r="AI492" s="273" t="s">
        <v>9</v>
      </c>
      <c r="AJ492" s="273"/>
      <c r="AK492" s="273"/>
      <c r="AL492" s="273"/>
      <c r="AM492" s="273"/>
      <c r="AN492" s="273"/>
      <c r="AO492" s="273" t="s">
        <v>10</v>
      </c>
      <c r="AP492" s="273"/>
      <c r="AQ492" s="273"/>
      <c r="AR492" s="273"/>
      <c r="AS492" s="273"/>
      <c r="AT492" s="273"/>
      <c r="BK492" s="19"/>
      <c r="BL492" s="20"/>
    </row>
    <row r="493" spans="1:64" ht="11.45" customHeight="1" thickBot="1" x14ac:dyDescent="0.25">
      <c r="I493" s="2" t="str">
        <f>"1"&amp;O491&amp;N492</f>
        <v>11pojedyncza chłopców JM</v>
      </c>
      <c r="J493" s="10" t="str">
        <f>IF(AD492="","",IF(AD492=1,N493,IF(AD495=1,N496,IF(AD498=1,N499,""))))</f>
        <v>J2970</v>
      </c>
      <c r="K493" s="10">
        <f>IF(AD492="","",IF(AD492=1,N494,IF(AD495=1,N497,IF(AD498=1,N500,""))))</f>
        <v>0</v>
      </c>
      <c r="L493" s="10"/>
      <c r="N493" s="33" t="s">
        <v>106</v>
      </c>
      <c r="O493" s="34">
        <f>IF(O491&gt;0,(O491&amp;1)*1,"")</f>
        <v>11</v>
      </c>
      <c r="Q493" s="274"/>
      <c r="R493" s="274"/>
      <c r="S493" s="275"/>
      <c r="T493" s="242"/>
      <c r="U493" s="244" t="str">
        <f>IF(AND(N493&lt;&gt;"",N494=""),CONCATENATE(VLOOKUP(N493,[2]zawodnicy!$A$1:$E$65536,1,FALSE)," ",VLOOKUP(N493,[2]zawodnicy!$A$1:$E$65536,2,FALSE)," ",VLOOKUP(N493,[2]zawodnicy!$A$1:$E$65536,3,FALSE)," - ",VLOOKUP(N493,[2]zawodnicy!$A$1:$E$65536,4,FALSE)),"")</f>
        <v>J2970 Aleksander JABŁOŃSKI - UKS Hubal Białystok</v>
      </c>
      <c r="V493" s="245"/>
      <c r="W493" s="246"/>
      <c r="X493" s="35"/>
      <c r="Y493" s="36" t="str">
        <f>IF(SUM(AQ497:AR497)=0,"",AQ497&amp;":"&amp;AR497)</f>
        <v>21:9</v>
      </c>
      <c r="Z493" s="37" t="str">
        <f>IF(SUM(AQ495:AR495)=0,"",AQ495&amp;":"&amp;AR495)</f>
        <v>21:11</v>
      </c>
      <c r="AA493" s="248"/>
      <c r="AB493" s="251"/>
      <c r="AC493" s="251"/>
      <c r="AD493" s="254"/>
      <c r="AE493" s="2"/>
      <c r="AF493" s="12"/>
      <c r="AG493" s="12"/>
      <c r="AH493" s="14"/>
      <c r="BE493" s="19">
        <f>SUM(BE495:BE497)</f>
        <v>194</v>
      </c>
      <c r="BF493" s="19">
        <f>SUM(BF495:BF497)</f>
        <v>194</v>
      </c>
      <c r="BG493" s="19">
        <f>SUM(BG495:BG497)</f>
        <v>6</v>
      </c>
      <c r="BH493" s="19">
        <f>SUM(BH495:BH497)</f>
        <v>6</v>
      </c>
      <c r="BK493" s="19"/>
      <c r="BL493" s="20"/>
    </row>
    <row r="494" spans="1:64" ht="11.45" customHeight="1" thickBot="1" x14ac:dyDescent="0.25">
      <c r="J494" s="10"/>
      <c r="K494" s="28"/>
      <c r="L494" s="28"/>
      <c r="N494" s="38"/>
      <c r="O494" s="28"/>
      <c r="P494" s="28"/>
      <c r="Q494" s="274"/>
      <c r="R494" s="274"/>
      <c r="S494" s="275"/>
      <c r="T494" s="261"/>
      <c r="U494" s="265" t="str">
        <f>IF(N494&lt;&gt;"",CONCATENATE(VLOOKUP(N494,[2]zawodnicy!$A$1:$E$65536,1,FALSE)," ",VLOOKUP(N494,[2]zawodnicy!$A$1:$E$65536,2,FALSE)," ",VLOOKUP(N494,[2]zawodnicy!$A$1:$E$65536,3,FALSE)," - ",VLOOKUP(N494,[2]zawodnicy!$A$1:$E$65536,4,FALSE)),"")</f>
        <v/>
      </c>
      <c r="V494" s="266"/>
      <c r="W494" s="267"/>
      <c r="X494" s="35"/>
      <c r="Y494" s="39" t="str">
        <f>IF(SUM(AS497:AT497)=0,"",AS497&amp;":"&amp;AT497)</f>
        <v/>
      </c>
      <c r="Z494" s="40" t="str">
        <f>IF(SUM(AS495:AT495)=0,"",AS495&amp;":"&amp;AT495)</f>
        <v/>
      </c>
      <c r="AA494" s="262"/>
      <c r="AB494" s="263"/>
      <c r="AC494" s="263"/>
      <c r="AD494" s="264"/>
      <c r="AE494" s="2"/>
      <c r="AF494" s="12"/>
      <c r="AG494" s="12"/>
      <c r="AH494" s="14"/>
      <c r="AI494" s="259" t="s">
        <v>12</v>
      </c>
      <c r="AJ494" s="269"/>
      <c r="AK494" s="268" t="s">
        <v>13</v>
      </c>
      <c r="AL494" s="269"/>
      <c r="AM494" s="268" t="s">
        <v>14</v>
      </c>
      <c r="AN494" s="260"/>
      <c r="AO494" s="259" t="s">
        <v>12</v>
      </c>
      <c r="AP494" s="269"/>
      <c r="AQ494" s="268" t="s">
        <v>13</v>
      </c>
      <c r="AR494" s="269"/>
      <c r="AS494" s="268" t="s">
        <v>14</v>
      </c>
      <c r="AT494" s="269"/>
      <c r="AU494" s="12"/>
      <c r="AV494" s="12"/>
      <c r="AW494" s="259">
        <v>1</v>
      </c>
      <c r="AX494" s="269"/>
      <c r="AY494" s="268">
        <v>2</v>
      </c>
      <c r="AZ494" s="269"/>
      <c r="BA494" s="268">
        <v>3</v>
      </c>
      <c r="BB494" s="260"/>
      <c r="BE494" s="259" t="s">
        <v>3</v>
      </c>
      <c r="BF494" s="260"/>
      <c r="BG494" s="259" t="s">
        <v>4</v>
      </c>
      <c r="BH494" s="260"/>
      <c r="BI494" s="259" t="s">
        <v>5</v>
      </c>
      <c r="BJ494" s="260"/>
      <c r="BK494" s="41" t="s">
        <v>6</v>
      </c>
      <c r="BL494" s="20"/>
    </row>
    <row r="495" spans="1:64" ht="11.45" customHeight="1" x14ac:dyDescent="0.2">
      <c r="A495" s="19">
        <f>S495</f>
        <v>27</v>
      </c>
      <c r="B495" s="2" t="str">
        <f>IF(N493="","",N493)</f>
        <v>J2970</v>
      </c>
      <c r="C495" s="2" t="str">
        <f>IF(N494="","",N494)</f>
        <v/>
      </c>
      <c r="D495" s="2" t="str">
        <f>IF(N499="","",N499)</f>
        <v>S4544</v>
      </c>
      <c r="E495" s="2" t="str">
        <f>IF(N500="","",N500)</f>
        <v/>
      </c>
      <c r="I495" s="2" t="str">
        <f>"2"&amp;O491&amp;N492</f>
        <v>21pojedyncza chłopców JM</v>
      </c>
      <c r="J495" s="10" t="str">
        <f>IF(AD495="","",IF(AD492=2,N493,IF(AD495=2,N496,IF(AD498=2,N499,""))))</f>
        <v>L4078</v>
      </c>
      <c r="K495" s="10">
        <f>IF(AD495="","",IF(AD492=2,N494,IF(AD495=2,N497,IF(AD498=2,N500,""))))</f>
        <v>0</v>
      </c>
      <c r="M495" s="42" t="str">
        <f>N492</f>
        <v>pojedyncza chłopców JM</v>
      </c>
      <c r="O495" s="28"/>
      <c r="P495" s="28"/>
      <c r="Q495" s="43" t="str">
        <f>IF(AU495&gt;0,"",IF(A495=0,"",IF(VLOOKUP(A495,'[2]plan gier'!A$1:S$65536,19,FALSE)="","",VLOOKUP(A495,'[2]plan gier'!A$1:S$65536,19,FALSE))))</f>
        <v/>
      </c>
      <c r="R495" s="44" t="s">
        <v>15</v>
      </c>
      <c r="S495" s="45">
        <v>27</v>
      </c>
      <c r="T495" s="241">
        <v>2</v>
      </c>
      <c r="U495" s="244" t="str">
        <f>IF(AND(N496&lt;&gt;"",N497&lt;&gt;""),CONCATENATE(VLOOKUP(N496,[2]zawodnicy!$A$1:$E$65536,1,FALSE)," ",VLOOKUP(N496,[2]zawodnicy!$A$1:$E$65536,2,FALSE)," ",VLOOKUP(N496,[2]zawodnicy!$A$1:$E$65536,3,FALSE)," - ",VLOOKUP(N496,[2]zawodnicy!$A$1:$E$65536,4,FALSE)),"")</f>
        <v/>
      </c>
      <c r="V495" s="245"/>
      <c r="W495" s="246"/>
      <c r="X495" s="46" t="str">
        <f>IF(SUM(AO497:AP497)=0,"",AP497&amp;":"&amp;AO497)</f>
        <v>6:21</v>
      </c>
      <c r="Y495" s="47"/>
      <c r="Z495" s="48" t="str">
        <f>IF(SUM(AO496:AP496)=0,"",AO496&amp;":"&amp;AP496)</f>
        <v>21:19</v>
      </c>
      <c r="AA495" s="247" t="str">
        <f>IF(SUM(AW496:AX496,BA496:BB496)=0,"",BE496&amp;":"&amp;BF496)</f>
        <v>57:76</v>
      </c>
      <c r="AB495" s="250" t="str">
        <f>IF(SUM(AW496:AX496,BA496:BB496)=0,"",BG496&amp;":"&amp;BH496)</f>
        <v>2:2</v>
      </c>
      <c r="AC495" s="250" t="str">
        <f>IF(SUM(AW496:AX496,BA496:BB496)=0,"",BI496&amp;":"&amp;BJ496)</f>
        <v>1:1</v>
      </c>
      <c r="AD495" s="253">
        <f>IF(SUM(BI495:BI497)&gt;0,BK496,"")</f>
        <v>2</v>
      </c>
      <c r="AE495" s="2"/>
      <c r="AF495" s="12"/>
      <c r="AG495" s="12"/>
      <c r="AH495" s="44" t="s">
        <v>15</v>
      </c>
      <c r="AI495" s="49">
        <f>IF(ISBLANK(S495),"",VLOOKUP(S495,'[2]plan gier'!$X$1:$AN$65536,12,FALSE))</f>
        <v>21</v>
      </c>
      <c r="AJ495" s="50">
        <f>IF(ISBLANK(S495),"",VLOOKUP(S495,'[2]plan gier'!$X$1:$AN$65536,13,FALSE))</f>
        <v>8</v>
      </c>
      <c r="AK495" s="50">
        <f>IF(ISBLANK(S495),"",VLOOKUP(S495,'[2]plan gier'!$X$1:$AN$65536,14,FALSE))</f>
        <v>21</v>
      </c>
      <c r="AL495" s="50">
        <f>IF(ISBLANK(S495),"",VLOOKUP(S495,'[2]plan gier'!$X$1:$AN$65536,15,FALSE))</f>
        <v>11</v>
      </c>
      <c r="AM495" s="50">
        <f>IF(ISBLANK(S495),"",VLOOKUP(S495,'[2]plan gier'!$X$1:$AN$65536,16,FALSE))</f>
        <v>0</v>
      </c>
      <c r="AN495" s="50">
        <f>IF(ISBLANK(S495),"",VLOOKUP(S495,'[2]plan gier'!$X$1:$AN$65536,17,FALSE))</f>
        <v>0</v>
      </c>
      <c r="AO495" s="51">
        <f t="shared" ref="AO495:AT497" si="44">IF(AI495="",0,AI495)</f>
        <v>21</v>
      </c>
      <c r="AP495" s="52">
        <f t="shared" si="44"/>
        <v>8</v>
      </c>
      <c r="AQ495" s="53">
        <f t="shared" si="44"/>
        <v>21</v>
      </c>
      <c r="AR495" s="52">
        <f t="shared" si="44"/>
        <v>11</v>
      </c>
      <c r="AS495" s="53">
        <f t="shared" si="44"/>
        <v>0</v>
      </c>
      <c r="AT495" s="52">
        <f t="shared" si="44"/>
        <v>0</v>
      </c>
      <c r="AU495" s="54">
        <f>SUM(AO495:AT495)</f>
        <v>61</v>
      </c>
      <c r="AV495" s="13">
        <v>1</v>
      </c>
      <c r="AW495" s="55"/>
      <c r="AX495" s="56"/>
      <c r="AY495" s="50">
        <f>IF(AI497&gt;AJ497,1,0)+IF(AK497&gt;AL497,1,0)+IF(AM497&gt;AN497,1,0)</f>
        <v>2</v>
      </c>
      <c r="AZ495" s="50">
        <f>AW496</f>
        <v>0</v>
      </c>
      <c r="BA495" s="50">
        <f>IF(AI495&gt;AJ495,1,0)+IF(AK495&gt;AL495,1,0)+IF(AM495&gt;AN495,1,0)</f>
        <v>2</v>
      </c>
      <c r="BB495" s="57">
        <f>AW497</f>
        <v>0</v>
      </c>
      <c r="BE495" s="49">
        <f>AO495+AQ495+AS495+AO497+AQ497+AS497</f>
        <v>84</v>
      </c>
      <c r="BF495" s="57">
        <f>AP495+AR495+AT495+AP497+AR497+AT497</f>
        <v>34</v>
      </c>
      <c r="BG495" s="49">
        <f>AY495+BA495</f>
        <v>4</v>
      </c>
      <c r="BH495" s="57">
        <f>AZ495+BB495</f>
        <v>0</v>
      </c>
      <c r="BI495" s="49">
        <f>IF(AY495&gt;AZ495,1,0)+IF(BA495&gt;BB495,1,0)</f>
        <v>2</v>
      </c>
      <c r="BJ495" s="58">
        <f>IF(AZ495&gt;AY495,1,0)+IF(BB495&gt;BA495,1,0)</f>
        <v>0</v>
      </c>
      <c r="BK495" s="59">
        <f>IF(BI495+BJ495=0,"",IF(BL495=MAX(BL495:BL497),1,IF(BL495=MIN(BL495:BL497),3,2)))</f>
        <v>1</v>
      </c>
      <c r="BL495" s="60">
        <f>IF(BI495+BJ495&lt;&gt;0,BI495+1+(BG495-BH495)/100+(BE495-BF495)/100000+(BE495/BF495)/1000000,0)</f>
        <v>3.0405024705882355</v>
      </c>
    </row>
    <row r="496" spans="1:64" ht="11.45" customHeight="1" x14ac:dyDescent="0.2">
      <c r="A496" s="19">
        <f>S496</f>
        <v>92</v>
      </c>
      <c r="B496" s="2" t="str">
        <f>IF(N496="","",N496)</f>
        <v>L4078</v>
      </c>
      <c r="C496" s="2" t="str">
        <f>IF(N497="","",N497)</f>
        <v/>
      </c>
      <c r="D496" s="2" t="str">
        <f>IF(N499="","",N499)</f>
        <v>S4544</v>
      </c>
      <c r="E496" s="2" t="str">
        <f>IF(N500="","",N500)</f>
        <v/>
      </c>
      <c r="J496" s="10"/>
      <c r="K496" s="19"/>
      <c r="M496" s="42" t="str">
        <f>N492</f>
        <v>pojedyncza chłopców JM</v>
      </c>
      <c r="N496" s="33" t="s">
        <v>107</v>
      </c>
      <c r="O496" s="34">
        <f>IF(O491&gt;0,(O491&amp;2)*1,"")</f>
        <v>12</v>
      </c>
      <c r="Q496" s="43" t="str">
        <f>IF(AU496&gt;0,"",IF(A496=0,"",IF(VLOOKUP(A496,'[2]plan gier'!A$1:S$65536,19,FALSE)="","",VLOOKUP(A496,'[2]plan gier'!A$1:S$65536,19,FALSE))))</f>
        <v/>
      </c>
      <c r="R496" s="44" t="s">
        <v>17</v>
      </c>
      <c r="S496" s="45">
        <v>92</v>
      </c>
      <c r="T496" s="242"/>
      <c r="U496" s="244" t="str">
        <f>IF(AND(N496&lt;&gt;"",N497=""),CONCATENATE(VLOOKUP(N496,[2]zawodnicy!$A$1:$E$65536,1,FALSE)," ",VLOOKUP(N496,[2]zawodnicy!$A$1:$E$65536,2,FALSE)," ",VLOOKUP(N496,[2]zawodnicy!$A$1:$E$65536,3,FALSE)," - ",VLOOKUP(N496,[2]zawodnicy!$A$1:$E$65536,4,FALSE)),"")</f>
        <v>L4078 Norbert LECH - UKS Ząbkowice Dąbrowa Górn.</v>
      </c>
      <c r="V496" s="245"/>
      <c r="W496" s="246"/>
      <c r="X496" s="61" t="str">
        <f>IF(SUM(AQ497:AR497)=0,"",AR497&amp;":"&amp;AQ497)</f>
        <v>9:21</v>
      </c>
      <c r="Y496" s="62"/>
      <c r="Z496" s="37" t="str">
        <f>IF(SUM(AQ496:AR496)=0,"",AQ496&amp;":"&amp;AR496)</f>
        <v>21:15</v>
      </c>
      <c r="AA496" s="248"/>
      <c r="AB496" s="251"/>
      <c r="AC496" s="251"/>
      <c r="AD496" s="254"/>
      <c r="AE496" s="2"/>
      <c r="AF496" s="12"/>
      <c r="AG496" s="12"/>
      <c r="AH496" s="44" t="s">
        <v>17</v>
      </c>
      <c r="AI496" s="63">
        <f>IF(ISBLANK(S496),"",VLOOKUP(S496,'[2]plan gier'!$X$1:$AN$65536,12,FALSE))</f>
        <v>21</v>
      </c>
      <c r="AJ496" s="64">
        <f>IF(ISBLANK(S496),"",VLOOKUP(S496,'[2]plan gier'!$X$1:$AN$65536,13,FALSE))</f>
        <v>19</v>
      </c>
      <c r="AK496" s="64">
        <f>IF(ISBLANK(S496),"",VLOOKUP(S496,'[2]plan gier'!$X$1:$AN$65536,14,FALSE))</f>
        <v>21</v>
      </c>
      <c r="AL496" s="64">
        <f>IF(ISBLANK(S496),"",VLOOKUP(S496,'[2]plan gier'!$X$1:$AN$65536,15,FALSE))</f>
        <v>15</v>
      </c>
      <c r="AM496" s="64">
        <f>IF(ISBLANK(S496),"",VLOOKUP(S496,'[2]plan gier'!$X$1:$AN$65536,16,FALSE))</f>
        <v>0</v>
      </c>
      <c r="AN496" s="64">
        <f>IF(ISBLANK(S496),"",VLOOKUP(S496,'[2]plan gier'!$X$1:$AN$65536,17,FALSE))</f>
        <v>0</v>
      </c>
      <c r="AO496" s="65">
        <f t="shared" si="44"/>
        <v>21</v>
      </c>
      <c r="AP496" s="64">
        <f t="shared" si="44"/>
        <v>19</v>
      </c>
      <c r="AQ496" s="66">
        <f t="shared" si="44"/>
        <v>21</v>
      </c>
      <c r="AR496" s="64">
        <f t="shared" si="44"/>
        <v>15</v>
      </c>
      <c r="AS496" s="66">
        <f t="shared" si="44"/>
        <v>0</v>
      </c>
      <c r="AT496" s="64">
        <f t="shared" si="44"/>
        <v>0</v>
      </c>
      <c r="AU496" s="54">
        <f>SUM(AO496:AT496)</f>
        <v>76</v>
      </c>
      <c r="AV496" s="13">
        <v>2</v>
      </c>
      <c r="AW496" s="63">
        <f>IF(AI497&lt;AJ497,1,0)+IF(AK497&lt;AL497,1,0)+IF(AM497&lt;AN497,1,0)</f>
        <v>0</v>
      </c>
      <c r="AX496" s="64">
        <f>AY495</f>
        <v>2</v>
      </c>
      <c r="AY496" s="67"/>
      <c r="AZ496" s="68"/>
      <c r="BA496" s="64">
        <f>IF(AI496&gt;AJ496,1,0)+IF(AK496&gt;AL496,1,0)+IF(AM496&gt;AN496,1,0)</f>
        <v>2</v>
      </c>
      <c r="BB496" s="69">
        <f>AY497</f>
        <v>0</v>
      </c>
      <c r="BE496" s="63">
        <f>AO496+AQ496+AS496+AP497+AR497+AT497</f>
        <v>57</v>
      </c>
      <c r="BF496" s="69">
        <f>AP496+AR496+AT496+AO497+AQ497+AS497</f>
        <v>76</v>
      </c>
      <c r="BG496" s="63">
        <f>AW496+BA496</f>
        <v>2</v>
      </c>
      <c r="BH496" s="69">
        <f>AX496+BB496</f>
        <v>2</v>
      </c>
      <c r="BI496" s="63">
        <f>IF(AW496&gt;AX496,1,0)+IF(BA496&gt;BB496,1,0)</f>
        <v>1</v>
      </c>
      <c r="BJ496" s="70">
        <f>IF(AX496&gt;AW496,1,0)+IF(BB496&gt;BA496,1,0)</f>
        <v>1</v>
      </c>
      <c r="BK496" s="71">
        <f>IF(BI496+BJ496=0,"",IF(BL496=MAX(BL495:BL497),1,IF(BL496=MIN(BL495:BL497),3,2)))</f>
        <v>2</v>
      </c>
      <c r="BL496" s="60">
        <f>IF(BI496+BJ496&lt;&gt;0,BI496+1+(BG496-BH496)/100+(BE496-BF496)/100000+(BE496/BF496)/1000000,0)</f>
        <v>1.9998107500000002</v>
      </c>
    </row>
    <row r="497" spans="1:64" ht="11.45" customHeight="1" thickBot="1" x14ac:dyDescent="0.25">
      <c r="A497" s="19">
        <f>S497</f>
        <v>157</v>
      </c>
      <c r="B497" s="2" t="str">
        <f>IF(N493="","",N493)</f>
        <v>J2970</v>
      </c>
      <c r="C497" s="2" t="str">
        <f>IF(N494="","",N494)</f>
        <v/>
      </c>
      <c r="D497" s="2" t="str">
        <f>IF(N496="","",N496)</f>
        <v>L4078</v>
      </c>
      <c r="E497" s="2" t="str">
        <f>IF(N497="","",N497)</f>
        <v/>
      </c>
      <c r="I497" s="2" t="str">
        <f>"3"&amp;O491&amp;N492</f>
        <v>31pojedyncza chłopców JM</v>
      </c>
      <c r="J497" s="10" t="str">
        <f>IF(AD498="","",IF(AD492=3,N493,IF(AD495=3,N496,IF(AD498=3,N499,""))))</f>
        <v>S4544</v>
      </c>
      <c r="K497" s="10">
        <f>IF(AD498="","",IF(AD492=3,N494,IF(AD495=3,N497,IF(AD498=3,N500,""))))</f>
        <v>0</v>
      </c>
      <c r="M497" s="42" t="str">
        <f>N492</f>
        <v>pojedyncza chłopców JM</v>
      </c>
      <c r="N497" s="38"/>
      <c r="O497" s="28"/>
      <c r="P497" s="28"/>
      <c r="Q497" s="43" t="str">
        <f>IF(AU497&gt;0,"",IF(A497=0,"",IF(VLOOKUP(A497,'[2]plan gier'!A$1:S$65536,19,FALSE)="","",VLOOKUP(A497,'[2]plan gier'!A$1:S$65536,19,FALSE))))</f>
        <v/>
      </c>
      <c r="R497" s="72" t="s">
        <v>18</v>
      </c>
      <c r="S497" s="45">
        <v>157</v>
      </c>
      <c r="T497" s="261"/>
      <c r="U497" s="265" t="str">
        <f>IF(N497&lt;&gt;"",CONCATENATE(VLOOKUP(N497,[2]zawodnicy!$A$1:$E$65536,1,FALSE)," ",VLOOKUP(N497,[2]zawodnicy!$A$1:$E$65536,2,FALSE)," ",VLOOKUP(N497,[2]zawodnicy!$A$1:$E$65536,3,FALSE)," - ",VLOOKUP(N497,[2]zawodnicy!$A$1:$E$65536,4,FALSE)),"")</f>
        <v/>
      </c>
      <c r="V497" s="266"/>
      <c r="W497" s="267"/>
      <c r="X497" s="73" t="str">
        <f>IF(SUM(AS497:AT497)=0,"",AT497&amp;":"&amp;AS497)</f>
        <v/>
      </c>
      <c r="Y497" s="62"/>
      <c r="Z497" s="40" t="str">
        <f>IF(SUM(AS496:AT496)=0,"",AS496&amp;":"&amp;AT496)</f>
        <v/>
      </c>
      <c r="AA497" s="262"/>
      <c r="AB497" s="263"/>
      <c r="AC497" s="263"/>
      <c r="AD497" s="264"/>
      <c r="AE497" s="2"/>
      <c r="AF497" s="12"/>
      <c r="AG497" s="12"/>
      <c r="AH497" s="72" t="s">
        <v>18</v>
      </c>
      <c r="AI497" s="74">
        <f>IF(ISBLANK(S497),"",VLOOKUP(S497,'[2]plan gier'!$X$1:$AN$65536,12,FALSE))</f>
        <v>21</v>
      </c>
      <c r="AJ497" s="75">
        <f>IF(ISBLANK(S497),"",VLOOKUP(S497,'[2]plan gier'!$X$1:$AN$65536,13,FALSE))</f>
        <v>6</v>
      </c>
      <c r="AK497" s="75">
        <f>IF(ISBLANK(S497),"",VLOOKUP(S497,'[2]plan gier'!$X$1:$AN$65536,14,FALSE))</f>
        <v>21</v>
      </c>
      <c r="AL497" s="75">
        <f>IF(ISBLANK(S497),"",VLOOKUP(S497,'[2]plan gier'!$X$1:$AN$65536,15,FALSE))</f>
        <v>9</v>
      </c>
      <c r="AM497" s="75">
        <f>IF(ISBLANK(S497),"",VLOOKUP(S497,'[2]plan gier'!$X$1:$AN$65536,16,FALSE))</f>
        <v>0</v>
      </c>
      <c r="AN497" s="75">
        <f>IF(ISBLANK(S497),"",VLOOKUP(S497,'[2]plan gier'!$X$1:$AN$65536,17,FALSE))</f>
        <v>0</v>
      </c>
      <c r="AO497" s="76">
        <f t="shared" si="44"/>
        <v>21</v>
      </c>
      <c r="AP497" s="75">
        <f t="shared" si="44"/>
        <v>6</v>
      </c>
      <c r="AQ497" s="77">
        <f t="shared" si="44"/>
        <v>21</v>
      </c>
      <c r="AR497" s="75">
        <f t="shared" si="44"/>
        <v>9</v>
      </c>
      <c r="AS497" s="77">
        <f t="shared" si="44"/>
        <v>0</v>
      </c>
      <c r="AT497" s="75">
        <f t="shared" si="44"/>
        <v>0</v>
      </c>
      <c r="AU497" s="54">
        <f>SUM(AO497:AT497)</f>
        <v>57</v>
      </c>
      <c r="AV497" s="13">
        <v>3</v>
      </c>
      <c r="AW497" s="74">
        <f>IF(AI495&lt;AJ495,1,0)+IF(AK495&lt;AL495,1,0)+IF(AM495&lt;AN495,1,0)</f>
        <v>0</v>
      </c>
      <c r="AX497" s="75">
        <f>BA495</f>
        <v>2</v>
      </c>
      <c r="AY497" s="75">
        <f>IF(AI496&lt;AJ496,1,0)+IF(AK496&lt;AL496,1,0)+IF(AM496&lt;AN496,1,0)</f>
        <v>0</v>
      </c>
      <c r="AZ497" s="75">
        <f>BA496</f>
        <v>2</v>
      </c>
      <c r="BA497" s="78"/>
      <c r="BB497" s="79"/>
      <c r="BE497" s="74">
        <f>AP495+AR495+AT495+AP496+AR496+AT496</f>
        <v>53</v>
      </c>
      <c r="BF497" s="80">
        <f>AO495+AQ495+AS495+AO496+AQ496+AS496</f>
        <v>84</v>
      </c>
      <c r="BG497" s="74">
        <f>AW497+AY497</f>
        <v>0</v>
      </c>
      <c r="BH497" s="80">
        <f>AX497+AZ497</f>
        <v>4</v>
      </c>
      <c r="BI497" s="74">
        <f>IF(AW497&gt;AX497,1,0)+IF(AY497&gt;AZ497,1,0)</f>
        <v>0</v>
      </c>
      <c r="BJ497" s="81">
        <f>IF(AX497&gt;AW497,1,0)+IF(AZ497&gt;AY497,1,0)</f>
        <v>2</v>
      </c>
      <c r="BK497" s="82">
        <f>IF(BI497+BJ497=0,"",IF(BL497=MAX(BL495:BL497),1,IF(BL497=MIN(BL495:BL497),3,2)))</f>
        <v>3</v>
      </c>
      <c r="BL497" s="60">
        <f>IF(BI497+BJ497&lt;&gt;0,BI497+1+(BG497-BH497)/100+(BE497-BF497)/100000+(BE497/BF497)/1000000,0)</f>
        <v>0.95969063095238083</v>
      </c>
    </row>
    <row r="498" spans="1:64" ht="11.45" customHeight="1" x14ac:dyDescent="0.2">
      <c r="A498" s="2"/>
      <c r="J498" s="28"/>
      <c r="K498" s="28"/>
      <c r="L498" s="28"/>
      <c r="O498" s="28"/>
      <c r="P498" s="28"/>
      <c r="Q498" s="2"/>
      <c r="R498" s="2"/>
      <c r="S498" s="2"/>
      <c r="T498" s="241">
        <v>3</v>
      </c>
      <c r="U498" s="244" t="str">
        <f>IF(AND(N499&lt;&gt;"",N500&lt;&gt;""),CONCATENATE(VLOOKUP(N499,[2]zawodnicy!$A$1:$E$65536,1,FALSE)," ",VLOOKUP(N499,[2]zawodnicy!$A$1:$E$65536,2,FALSE)," ",VLOOKUP(N499,[2]zawodnicy!$A$1:$E$65536,3,FALSE)," - ",VLOOKUP(N499,[2]zawodnicy!$A$1:$E$65536,4,FALSE)),"")</f>
        <v/>
      </c>
      <c r="V498" s="245"/>
      <c r="W498" s="246"/>
      <c r="X498" s="46" t="str">
        <f>IF(SUM(AO495:AP495)=0,"",AP495&amp;":"&amp;AO495)</f>
        <v>8:21</v>
      </c>
      <c r="Y498" s="83" t="str">
        <f>IF(SUM(AO496:AP496)=0,"",AP496&amp;":"&amp;AO496)</f>
        <v>19:21</v>
      </c>
      <c r="Z498" s="84"/>
      <c r="AA498" s="247" t="str">
        <f>IF(SUM(AW497:AZ497)=0,"",BE497&amp;":"&amp;BF497)</f>
        <v>53:84</v>
      </c>
      <c r="AB498" s="250" t="str">
        <f>IF(SUM(AW497:AZ497)=0,"",BG497&amp;":"&amp;BH497)</f>
        <v>0:4</v>
      </c>
      <c r="AC498" s="250" t="str">
        <f>IF(SUM(AW497:AZ497)=0,"",BI497&amp;":"&amp;BJ497)</f>
        <v>0:2</v>
      </c>
      <c r="AD498" s="253">
        <f>IF(SUM(BI495:BI497)&gt;0,BK497,"")</f>
        <v>3</v>
      </c>
      <c r="AE498" s="2"/>
      <c r="AF498" s="12"/>
      <c r="AG498" s="12"/>
      <c r="BE498" s="19">
        <f>SUM(BE495:BE497)</f>
        <v>194</v>
      </c>
      <c r="BF498" s="19">
        <f>SUM(BF495:BF497)</f>
        <v>194</v>
      </c>
      <c r="BG498" s="19">
        <f>SUM(BG495:BG497)</f>
        <v>6</v>
      </c>
      <c r="BH498" s="19">
        <f>SUM(BH495:BH497)</f>
        <v>6</v>
      </c>
      <c r="BK498" s="19"/>
      <c r="BL498" s="20"/>
    </row>
    <row r="499" spans="1:64" ht="11.45" customHeight="1" x14ac:dyDescent="0.2">
      <c r="A499" s="19"/>
      <c r="J499" s="19"/>
      <c r="K499" s="19"/>
      <c r="L499" s="19"/>
      <c r="N499" s="33" t="s">
        <v>108</v>
      </c>
      <c r="O499" s="34">
        <f>IF(O491&gt;0,(O491&amp;3)*1,"")</f>
        <v>13</v>
      </c>
      <c r="Q499" s="85"/>
      <c r="R499" s="85"/>
      <c r="S499" s="85"/>
      <c r="T499" s="242"/>
      <c r="U499" s="244" t="str">
        <f>IF(AND(N499&lt;&gt;"",N500=""),CONCATENATE(VLOOKUP(N499,[2]zawodnicy!$A$1:$E$65536,1,FALSE)," ",VLOOKUP(N499,[2]zawodnicy!$A$1:$E$65536,2,FALSE)," ",VLOOKUP(N499,[2]zawodnicy!$A$1:$E$65536,3,FALSE)," - ",VLOOKUP(N499,[2]zawodnicy!$A$1:$E$65536,4,FALSE)),"")</f>
        <v>S4544 Paweł SZWEDA - MKB Lednik Miastko</v>
      </c>
      <c r="V499" s="245"/>
      <c r="W499" s="246"/>
      <c r="X499" s="61" t="str">
        <f>IF(SUM(AQ495:AR495)=0,"",AR495&amp;":"&amp;AQ495)</f>
        <v>11:21</v>
      </c>
      <c r="Y499" s="36" t="str">
        <f>IF(SUM(AQ496:AR496)=0,"",AR496&amp;":"&amp;AQ496)</f>
        <v>15:21</v>
      </c>
      <c r="Z499" s="86"/>
      <c r="AA499" s="248"/>
      <c r="AB499" s="251"/>
      <c r="AC499" s="251"/>
      <c r="AD499" s="254"/>
      <c r="AE499" s="2"/>
      <c r="AF499" s="12"/>
      <c r="AG499" s="1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row>
    <row r="500" spans="1:64" ht="11.45" customHeight="1" thickBot="1" x14ac:dyDescent="0.25">
      <c r="A500" s="2"/>
      <c r="J500" s="28"/>
      <c r="K500" s="28"/>
      <c r="L500" s="28"/>
      <c r="N500" s="38"/>
      <c r="O500" s="28"/>
      <c r="P500" s="28"/>
      <c r="Q500" s="2"/>
      <c r="R500" s="2"/>
      <c r="S500" s="2"/>
      <c r="T500" s="243"/>
      <c r="U500" s="256" t="str">
        <f>IF(N500&lt;&gt;"",CONCATENATE(VLOOKUP(N500,[2]zawodnicy!$A$1:$E$65536,1,FALSE)," ",VLOOKUP(N500,[2]zawodnicy!$A$1:$E$65536,2,FALSE)," ",VLOOKUP(N500,[2]zawodnicy!$A$1:$E$65536,3,FALSE)," - ",VLOOKUP(N500,[2]zawodnicy!$A$1:$E$65536,4,FALSE)),"")</f>
        <v/>
      </c>
      <c r="V500" s="257"/>
      <c r="W500" s="258"/>
      <c r="X500" s="87" t="str">
        <f>IF(SUM(AS495:AT495)=0,"",AT495&amp;":"&amp;AS495)</f>
        <v/>
      </c>
      <c r="Y500" s="88" t="str">
        <f>IF(SUM(AS496:AT496)=0,"",AT496&amp;":"&amp;AS496)</f>
        <v/>
      </c>
      <c r="Z500" s="89"/>
      <c r="AA500" s="249"/>
      <c r="AB500" s="252"/>
      <c r="AC500" s="252"/>
      <c r="AD500" s="255"/>
      <c r="AE500" s="10"/>
      <c r="AF500" s="12"/>
      <c r="AG500" s="1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row>
    <row r="501" spans="1:64" s="19" customFormat="1" ht="5.0999999999999996" customHeight="1" thickBot="1" x14ac:dyDescent="0.25">
      <c r="M501" s="90"/>
      <c r="O501" s="90"/>
      <c r="P501" s="90"/>
      <c r="Q501" s="91"/>
      <c r="R501" s="91"/>
      <c r="S501" s="91"/>
      <c r="T501" s="91"/>
      <c r="U501" s="5"/>
      <c r="V501" s="5"/>
      <c r="W501" s="5"/>
      <c r="AA501" s="92"/>
      <c r="AB501" s="91"/>
      <c r="AC501" s="91"/>
      <c r="AD501" s="91"/>
      <c r="AE501" s="91"/>
      <c r="AF501" s="91"/>
      <c r="AI501" s="93"/>
      <c r="AJ501" s="94"/>
      <c r="AK501" s="94"/>
    </row>
    <row r="502" spans="1:64" ht="11.45" customHeight="1" thickBot="1" x14ac:dyDescent="0.25">
      <c r="N502" s="11"/>
      <c r="O502" s="21">
        <v>2</v>
      </c>
      <c r="Q502" s="277" t="str">
        <f>"Grupa "&amp;O502&amp;"."</f>
        <v>Grupa 2.</v>
      </c>
      <c r="R502" s="277"/>
      <c r="S502" s="277"/>
      <c r="T502" s="22" t="s">
        <v>1</v>
      </c>
      <c r="U502" s="278" t="s">
        <v>2</v>
      </c>
      <c r="V502" s="279"/>
      <c r="W502" s="280"/>
      <c r="X502" s="22">
        <v>1</v>
      </c>
      <c r="Y502" s="23">
        <v>2</v>
      </c>
      <c r="Z502" s="24">
        <v>3</v>
      </c>
      <c r="AA502" s="25" t="s">
        <v>3</v>
      </c>
      <c r="AB502" s="26" t="s">
        <v>4</v>
      </c>
      <c r="AC502" s="26" t="s">
        <v>5</v>
      </c>
      <c r="AD502" s="27" t="s">
        <v>6</v>
      </c>
      <c r="AE502" s="2"/>
      <c r="AF502" s="12"/>
      <c r="AG502" s="12"/>
      <c r="BK502" s="19"/>
      <c r="BL502" s="20"/>
    </row>
    <row r="503" spans="1:64" ht="11.45" customHeight="1" x14ac:dyDescent="0.2">
      <c r="J503" s="28"/>
      <c r="K503" s="28"/>
      <c r="L503" s="28"/>
      <c r="N503" s="29" t="s">
        <v>105</v>
      </c>
      <c r="Q503" s="274" t="s">
        <v>7</v>
      </c>
      <c r="R503" s="274"/>
      <c r="S503" s="275" t="s">
        <v>8</v>
      </c>
      <c r="T503" s="276">
        <v>1</v>
      </c>
      <c r="U503" s="244" t="str">
        <f>IF(AND(N504&lt;&gt;"",N505&lt;&gt;""),CONCATENATE(VLOOKUP(N504,[2]zawodnicy!$A$1:$E$65536,1,FALSE)," ",VLOOKUP(N504,[2]zawodnicy!$A$1:$E$65536,2,FALSE)," ",VLOOKUP(N504,[2]zawodnicy!$A$1:$E$65536,3,FALSE)," - ",VLOOKUP(N504,[2]zawodnicy!$A$1:$E$65536,4,FALSE)),"")</f>
        <v/>
      </c>
      <c r="V503" s="245"/>
      <c r="W503" s="246"/>
      <c r="X503" s="30"/>
      <c r="Y503" s="31" t="str">
        <f>IF(SUM(AO508:AP508)=0,"",AO508&amp;":"&amp;AP508)</f>
        <v>22:20</v>
      </c>
      <c r="Z503" s="32" t="str">
        <f>IF(SUM(AO506:AP506)=0,"",AO506&amp;":"&amp;AP506)</f>
        <v>18:21</v>
      </c>
      <c r="AA503" s="270" t="str">
        <f>IF(SUM(AY506:BB506)=0,"",BE506&amp;":"&amp;BF506)</f>
        <v>113:107</v>
      </c>
      <c r="AB503" s="271" t="str">
        <f>IF(SUM(AY506:BB506)=0,"",BG506&amp;":"&amp;BH506)</f>
        <v>4:2</v>
      </c>
      <c r="AC503" s="271" t="str">
        <f>IF(SUM(AY506:BB506)=0,"",BI506&amp;":"&amp;BJ506)</f>
        <v>2:0</v>
      </c>
      <c r="AD503" s="272">
        <f>IF(SUM(BI506:BI508)&gt;0,BK506,"")</f>
        <v>1</v>
      </c>
      <c r="AE503" s="2"/>
      <c r="AF503" s="12"/>
      <c r="AG503" s="12"/>
      <c r="AH503" s="14"/>
      <c r="AI503" s="273" t="s">
        <v>9</v>
      </c>
      <c r="AJ503" s="273"/>
      <c r="AK503" s="273"/>
      <c r="AL503" s="273"/>
      <c r="AM503" s="273"/>
      <c r="AN503" s="273"/>
      <c r="AO503" s="273" t="s">
        <v>10</v>
      </c>
      <c r="AP503" s="273"/>
      <c r="AQ503" s="273"/>
      <c r="AR503" s="273"/>
      <c r="AS503" s="273"/>
      <c r="AT503" s="273"/>
      <c r="BK503" s="19"/>
      <c r="BL503" s="20"/>
    </row>
    <row r="504" spans="1:64" ht="11.45" customHeight="1" thickBot="1" x14ac:dyDescent="0.25">
      <c r="I504" s="2" t="str">
        <f>"1"&amp;O502&amp;N503</f>
        <v>12pojedyncza chłopców JM</v>
      </c>
      <c r="J504" s="10" t="str">
        <f>IF(AD503="","",IF(AD503=1,N504,IF(AD506=1,N507,IF(AD509=1,N510,""))))</f>
        <v>K3867</v>
      </c>
      <c r="K504" s="10">
        <f>IF(AD503="","",IF(AD503=1,N505,IF(AD506=1,N508,IF(AD509=1,N511,""))))</f>
        <v>0</v>
      </c>
      <c r="L504" s="10"/>
      <c r="N504" s="33" t="s">
        <v>109</v>
      </c>
      <c r="O504" s="34">
        <f>IF(O502&gt;0,(O502&amp;1)*1,"")</f>
        <v>21</v>
      </c>
      <c r="Q504" s="274"/>
      <c r="R504" s="274"/>
      <c r="S504" s="275"/>
      <c r="T504" s="242"/>
      <c r="U504" s="244" t="str">
        <f>IF(AND(N504&lt;&gt;"",N505=""),CONCATENATE(VLOOKUP(N504,[2]zawodnicy!$A$1:$E$65536,1,FALSE)," ",VLOOKUP(N504,[2]zawodnicy!$A$1:$E$65536,2,FALSE)," ",VLOOKUP(N504,[2]zawodnicy!$A$1:$E$65536,3,FALSE)," - ",VLOOKUP(N504,[2]zawodnicy!$A$1:$E$65536,4,FALSE)),"")</f>
        <v>K3867 Patryk KOPEĆ - MKS Stal Nowa Dęba</v>
      </c>
      <c r="V504" s="245"/>
      <c r="W504" s="246"/>
      <c r="X504" s="35"/>
      <c r="Y504" s="36" t="str">
        <f>IF(SUM(AQ508:AR508)=0,"",AQ508&amp;":"&amp;AR508)</f>
        <v>10:21</v>
      </c>
      <c r="Z504" s="37" t="str">
        <f>IF(SUM(AQ506:AR506)=0,"",AQ506&amp;":"&amp;AR506)</f>
        <v>21:11</v>
      </c>
      <c r="AA504" s="248"/>
      <c r="AB504" s="251"/>
      <c r="AC504" s="251"/>
      <c r="AD504" s="254"/>
      <c r="AE504" s="2"/>
      <c r="AF504" s="12"/>
      <c r="AG504" s="12"/>
      <c r="AH504" s="14"/>
      <c r="BE504" s="19">
        <f>SUM(BE506:BE508)</f>
        <v>287</v>
      </c>
      <c r="BF504" s="19">
        <f>SUM(BF506:BF508)</f>
        <v>287</v>
      </c>
      <c r="BG504" s="19">
        <f>SUM(BG506:BG508)</f>
        <v>8</v>
      </c>
      <c r="BH504" s="19">
        <f>SUM(BH506:BH508)</f>
        <v>8</v>
      </c>
      <c r="BK504" s="19"/>
      <c r="BL504" s="20"/>
    </row>
    <row r="505" spans="1:64" ht="11.45" customHeight="1" thickBot="1" x14ac:dyDescent="0.25">
      <c r="J505" s="10"/>
      <c r="K505" s="28"/>
      <c r="L505" s="28"/>
      <c r="N505" s="38"/>
      <c r="O505" s="28"/>
      <c r="P505" s="28"/>
      <c r="Q505" s="274"/>
      <c r="R505" s="274"/>
      <c r="S505" s="275"/>
      <c r="T505" s="261"/>
      <c r="U505" s="265" t="str">
        <f>IF(N505&lt;&gt;"",CONCATENATE(VLOOKUP(N505,[2]zawodnicy!$A$1:$E$65536,1,FALSE)," ",VLOOKUP(N505,[2]zawodnicy!$A$1:$E$65536,2,FALSE)," ",VLOOKUP(N505,[2]zawodnicy!$A$1:$E$65536,3,FALSE)," - ",VLOOKUP(N505,[2]zawodnicy!$A$1:$E$65536,4,FALSE)),"")</f>
        <v/>
      </c>
      <c r="V505" s="266"/>
      <c r="W505" s="267"/>
      <c r="X505" s="35"/>
      <c r="Y505" s="39" t="str">
        <f>IF(SUM(AS508:AT508)=0,"",AS508&amp;":"&amp;AT508)</f>
        <v>21:19</v>
      </c>
      <c r="Z505" s="40" t="str">
        <f>IF(SUM(AS506:AT506)=0,"",AS506&amp;":"&amp;AT506)</f>
        <v>21:15</v>
      </c>
      <c r="AA505" s="262"/>
      <c r="AB505" s="263"/>
      <c r="AC505" s="263"/>
      <c r="AD505" s="264"/>
      <c r="AE505" s="2"/>
      <c r="AF505" s="12"/>
      <c r="AG505" s="12"/>
      <c r="AH505" s="14"/>
      <c r="AI505" s="259" t="s">
        <v>12</v>
      </c>
      <c r="AJ505" s="269"/>
      <c r="AK505" s="268" t="s">
        <v>13</v>
      </c>
      <c r="AL505" s="269"/>
      <c r="AM505" s="268" t="s">
        <v>14</v>
      </c>
      <c r="AN505" s="260"/>
      <c r="AO505" s="259" t="s">
        <v>12</v>
      </c>
      <c r="AP505" s="269"/>
      <c r="AQ505" s="268" t="s">
        <v>13</v>
      </c>
      <c r="AR505" s="269"/>
      <c r="AS505" s="268" t="s">
        <v>14</v>
      </c>
      <c r="AT505" s="269"/>
      <c r="AU505" s="12"/>
      <c r="AV505" s="12"/>
      <c r="AW505" s="259">
        <v>1</v>
      </c>
      <c r="AX505" s="269"/>
      <c r="AY505" s="268">
        <v>2</v>
      </c>
      <c r="AZ505" s="269"/>
      <c r="BA505" s="268">
        <v>3</v>
      </c>
      <c r="BB505" s="260"/>
      <c r="BE505" s="259" t="s">
        <v>3</v>
      </c>
      <c r="BF505" s="260"/>
      <c r="BG505" s="259" t="s">
        <v>4</v>
      </c>
      <c r="BH505" s="260"/>
      <c r="BI505" s="259" t="s">
        <v>5</v>
      </c>
      <c r="BJ505" s="260"/>
      <c r="BK505" s="41" t="s">
        <v>6</v>
      </c>
      <c r="BL505" s="20"/>
    </row>
    <row r="506" spans="1:64" ht="11.45" customHeight="1" x14ac:dyDescent="0.2">
      <c r="A506" s="19">
        <f>S506</f>
        <v>28</v>
      </c>
      <c r="B506" s="2" t="str">
        <f>IF(N504="","",N504)</f>
        <v>K3867</v>
      </c>
      <c r="C506" s="2" t="str">
        <f>IF(N505="","",N505)</f>
        <v/>
      </c>
      <c r="D506" s="2" t="str">
        <f>IF(N510="","",N510)</f>
        <v>Ł4234</v>
      </c>
      <c r="E506" s="2" t="str">
        <f>IF(N511="","",N511)</f>
        <v/>
      </c>
      <c r="I506" s="2" t="str">
        <f>"2"&amp;O502&amp;N503</f>
        <v>22pojedyncza chłopców JM</v>
      </c>
      <c r="J506" s="10" t="str">
        <f>IF(AD506="","",IF(AD503=2,N504,IF(AD506=2,N507,IF(AD509=2,N510,""))))</f>
        <v>M3704</v>
      </c>
      <c r="K506" s="10">
        <f>IF(AD506="","",IF(AD503=2,N505,IF(AD506=2,N508,IF(AD509=2,N511,""))))</f>
        <v>0</v>
      </c>
      <c r="M506" s="42" t="str">
        <f>N503</f>
        <v>pojedyncza chłopców JM</v>
      </c>
      <c r="O506" s="28"/>
      <c r="P506" s="28"/>
      <c r="Q506" s="43" t="str">
        <f>IF(AU506&gt;0,"",IF(A506=0,"",IF(VLOOKUP(A506,'[2]plan gier'!A$1:S$65536,19,FALSE)="","",VLOOKUP(A506,'[2]plan gier'!A$1:S$65536,19,FALSE))))</f>
        <v/>
      </c>
      <c r="R506" s="44" t="s">
        <v>15</v>
      </c>
      <c r="S506" s="45">
        <v>28</v>
      </c>
      <c r="T506" s="241">
        <v>2</v>
      </c>
      <c r="U506" s="244" t="str">
        <f>IF(AND(N507&lt;&gt;"",N508&lt;&gt;""),CONCATENATE(VLOOKUP(N507,[2]zawodnicy!$A$1:$E$65536,1,FALSE)," ",VLOOKUP(N507,[2]zawodnicy!$A$1:$E$65536,2,FALSE)," ",VLOOKUP(N507,[2]zawodnicy!$A$1:$E$65536,3,FALSE)," - ",VLOOKUP(N507,[2]zawodnicy!$A$1:$E$65536,4,FALSE)),"")</f>
        <v/>
      </c>
      <c r="V506" s="245"/>
      <c r="W506" s="246"/>
      <c r="X506" s="46" t="str">
        <f>IF(SUM(AO508:AP508)=0,"",AP508&amp;":"&amp;AO508)</f>
        <v>20:22</v>
      </c>
      <c r="Y506" s="47"/>
      <c r="Z506" s="48" t="str">
        <f>IF(SUM(AO507:AP507)=0,"",AO507&amp;":"&amp;AP507)</f>
        <v>21:15</v>
      </c>
      <c r="AA506" s="247" t="str">
        <f>IF(SUM(AW507:AX507,BA507:BB507)=0,"",BE507&amp;":"&amp;BF507)</f>
        <v>102:78</v>
      </c>
      <c r="AB506" s="250" t="str">
        <f>IF(SUM(AW507:AX507,BA507:BB507)=0,"",BG507&amp;":"&amp;BH507)</f>
        <v>3:2</v>
      </c>
      <c r="AC506" s="250" t="str">
        <f>IF(SUM(AW507:AX507,BA507:BB507)=0,"",BI507&amp;":"&amp;BJ507)</f>
        <v>1:1</v>
      </c>
      <c r="AD506" s="253">
        <f>IF(SUM(BI506:BI508)&gt;0,BK507,"")</f>
        <v>2</v>
      </c>
      <c r="AE506" s="2"/>
      <c r="AF506" s="12"/>
      <c r="AG506" s="12"/>
      <c r="AH506" s="44" t="s">
        <v>15</v>
      </c>
      <c r="AI506" s="49">
        <f>IF(ISBLANK(S506),"",VLOOKUP(S506,'[2]plan gier'!$X$1:$AN$65536,12,FALSE))</f>
        <v>18</v>
      </c>
      <c r="AJ506" s="50">
        <f>IF(ISBLANK(S506),"",VLOOKUP(S506,'[2]plan gier'!$X$1:$AN$65536,13,FALSE))</f>
        <v>21</v>
      </c>
      <c r="AK506" s="50">
        <f>IF(ISBLANK(S506),"",VLOOKUP(S506,'[2]plan gier'!$X$1:$AN$65536,14,FALSE))</f>
        <v>21</v>
      </c>
      <c r="AL506" s="50">
        <f>IF(ISBLANK(S506),"",VLOOKUP(S506,'[2]plan gier'!$X$1:$AN$65536,15,FALSE))</f>
        <v>11</v>
      </c>
      <c r="AM506" s="50">
        <f>IF(ISBLANK(S506),"",VLOOKUP(S506,'[2]plan gier'!$X$1:$AN$65536,16,FALSE))</f>
        <v>21</v>
      </c>
      <c r="AN506" s="50">
        <f>IF(ISBLANK(S506),"",VLOOKUP(S506,'[2]plan gier'!$X$1:$AN$65536,17,FALSE))</f>
        <v>15</v>
      </c>
      <c r="AO506" s="51">
        <f t="shared" ref="AO506:AT508" si="45">IF(AI506="",0,AI506)</f>
        <v>18</v>
      </c>
      <c r="AP506" s="52">
        <f t="shared" si="45"/>
        <v>21</v>
      </c>
      <c r="AQ506" s="53">
        <f t="shared" si="45"/>
        <v>21</v>
      </c>
      <c r="AR506" s="52">
        <f t="shared" si="45"/>
        <v>11</v>
      </c>
      <c r="AS506" s="53">
        <f t="shared" si="45"/>
        <v>21</v>
      </c>
      <c r="AT506" s="52">
        <f t="shared" si="45"/>
        <v>15</v>
      </c>
      <c r="AU506" s="54">
        <f>SUM(AO506:AT506)</f>
        <v>107</v>
      </c>
      <c r="AV506" s="13">
        <v>1</v>
      </c>
      <c r="AW506" s="55"/>
      <c r="AX506" s="56"/>
      <c r="AY506" s="50">
        <f>IF(AI508&gt;AJ508,1,0)+IF(AK508&gt;AL508,1,0)+IF(AM508&gt;AN508,1,0)</f>
        <v>2</v>
      </c>
      <c r="AZ506" s="50">
        <f>AW507</f>
        <v>1</v>
      </c>
      <c r="BA506" s="50">
        <f>IF(AI506&gt;AJ506,1,0)+IF(AK506&gt;AL506,1,0)+IF(AM506&gt;AN506,1,0)</f>
        <v>2</v>
      </c>
      <c r="BB506" s="57">
        <f>AW508</f>
        <v>1</v>
      </c>
      <c r="BE506" s="49">
        <f>AO506+AQ506+AS506+AO508+AQ508+AS508</f>
        <v>113</v>
      </c>
      <c r="BF506" s="57">
        <f>AP506+AR506+AT506+AP508+AR508+AT508</f>
        <v>107</v>
      </c>
      <c r="BG506" s="49">
        <f>AY506+BA506</f>
        <v>4</v>
      </c>
      <c r="BH506" s="57">
        <f>AZ506+BB506</f>
        <v>2</v>
      </c>
      <c r="BI506" s="49">
        <f>IF(AY506&gt;AZ506,1,0)+IF(BA506&gt;BB506,1,0)</f>
        <v>2</v>
      </c>
      <c r="BJ506" s="58">
        <f>IF(AZ506&gt;AY506,1,0)+IF(BB506&gt;BA506,1,0)</f>
        <v>0</v>
      </c>
      <c r="BK506" s="59">
        <f>IF(BI506+BJ506=0,"",IF(BL506=MAX(BL506:BL508),1,IF(BL506=MIN(BL506:BL508),3,2)))</f>
        <v>1</v>
      </c>
      <c r="BL506" s="60">
        <f>IF(BI506+BJ506&lt;&gt;0,BI506+1+(BG506-BH506)/100+(BE506-BF506)/100000+(BE506/BF506)/1000000,0)</f>
        <v>3.0200610560747663</v>
      </c>
    </row>
    <row r="507" spans="1:64" ht="11.45" customHeight="1" x14ac:dyDescent="0.2">
      <c r="A507" s="19">
        <f>S507</f>
        <v>93</v>
      </c>
      <c r="B507" s="2" t="str">
        <f>IF(N507="","",N507)</f>
        <v>M3704</v>
      </c>
      <c r="C507" s="2" t="str">
        <f>IF(N508="","",N508)</f>
        <v/>
      </c>
      <c r="D507" s="2" t="str">
        <f>IF(N510="","",N510)</f>
        <v>Ł4234</v>
      </c>
      <c r="E507" s="2" t="str">
        <f>IF(N511="","",N511)</f>
        <v/>
      </c>
      <c r="J507" s="10"/>
      <c r="K507" s="19"/>
      <c r="M507" s="42" t="str">
        <f>N503</f>
        <v>pojedyncza chłopców JM</v>
      </c>
      <c r="N507" s="33" t="s">
        <v>110</v>
      </c>
      <c r="O507" s="34">
        <f>IF(O502&gt;0,(O502&amp;2)*1,"")</f>
        <v>22</v>
      </c>
      <c r="Q507" s="43" t="str">
        <f>IF(AU507&gt;0,"",IF(A507=0,"",IF(VLOOKUP(A507,'[2]plan gier'!A$1:S$65536,19,FALSE)="","",VLOOKUP(A507,'[2]plan gier'!A$1:S$65536,19,FALSE))))</f>
        <v/>
      </c>
      <c r="R507" s="44" t="s">
        <v>17</v>
      </c>
      <c r="S507" s="45">
        <v>93</v>
      </c>
      <c r="T507" s="242"/>
      <c r="U507" s="244" t="str">
        <f>IF(AND(N507&lt;&gt;"",N508=""),CONCATENATE(VLOOKUP(N507,[2]zawodnicy!$A$1:$E$65536,1,FALSE)," ",VLOOKUP(N507,[2]zawodnicy!$A$1:$E$65536,2,FALSE)," ",VLOOKUP(N507,[2]zawodnicy!$A$1:$E$65536,3,FALSE)," - ",VLOOKUP(N507,[2]zawodnicy!$A$1:$E$65536,4,FALSE)),"")</f>
        <v>M3704 Rafał MARKOWICZ - UKS Orliki Ropica Polska</v>
      </c>
      <c r="V507" s="245"/>
      <c r="W507" s="246"/>
      <c r="X507" s="61" t="str">
        <f>IF(SUM(AQ508:AR508)=0,"",AR508&amp;":"&amp;AQ508)</f>
        <v>21:10</v>
      </c>
      <c r="Y507" s="62"/>
      <c r="Z507" s="37" t="str">
        <f>IF(SUM(AQ507:AR507)=0,"",AQ507&amp;":"&amp;AR507)</f>
        <v>21:10</v>
      </c>
      <c r="AA507" s="248"/>
      <c r="AB507" s="251"/>
      <c r="AC507" s="251"/>
      <c r="AD507" s="254"/>
      <c r="AE507" s="2"/>
      <c r="AF507" s="12"/>
      <c r="AG507" s="12"/>
      <c r="AH507" s="44" t="s">
        <v>17</v>
      </c>
      <c r="AI507" s="63">
        <f>IF(ISBLANK(S507),"",VLOOKUP(S507,'[2]plan gier'!$X$1:$AN$65536,12,FALSE))</f>
        <v>21</v>
      </c>
      <c r="AJ507" s="64">
        <f>IF(ISBLANK(S507),"",VLOOKUP(S507,'[2]plan gier'!$X$1:$AN$65536,13,FALSE))</f>
        <v>15</v>
      </c>
      <c r="AK507" s="64">
        <f>IF(ISBLANK(S507),"",VLOOKUP(S507,'[2]plan gier'!$X$1:$AN$65536,14,FALSE))</f>
        <v>21</v>
      </c>
      <c r="AL507" s="64">
        <f>IF(ISBLANK(S507),"",VLOOKUP(S507,'[2]plan gier'!$X$1:$AN$65536,15,FALSE))</f>
        <v>10</v>
      </c>
      <c r="AM507" s="64">
        <f>IF(ISBLANK(S507),"",VLOOKUP(S507,'[2]plan gier'!$X$1:$AN$65536,16,FALSE))</f>
        <v>0</v>
      </c>
      <c r="AN507" s="64">
        <f>IF(ISBLANK(S507),"",VLOOKUP(S507,'[2]plan gier'!$X$1:$AN$65536,17,FALSE))</f>
        <v>0</v>
      </c>
      <c r="AO507" s="65">
        <f t="shared" si="45"/>
        <v>21</v>
      </c>
      <c r="AP507" s="64">
        <f t="shared" si="45"/>
        <v>15</v>
      </c>
      <c r="AQ507" s="66">
        <f t="shared" si="45"/>
        <v>21</v>
      </c>
      <c r="AR507" s="64">
        <f t="shared" si="45"/>
        <v>10</v>
      </c>
      <c r="AS507" s="66">
        <f t="shared" si="45"/>
        <v>0</v>
      </c>
      <c r="AT507" s="64">
        <f t="shared" si="45"/>
        <v>0</v>
      </c>
      <c r="AU507" s="54">
        <f>SUM(AO507:AT507)</f>
        <v>67</v>
      </c>
      <c r="AV507" s="13">
        <v>2</v>
      </c>
      <c r="AW507" s="63">
        <f>IF(AI508&lt;AJ508,1,0)+IF(AK508&lt;AL508,1,0)+IF(AM508&lt;AN508,1,0)</f>
        <v>1</v>
      </c>
      <c r="AX507" s="64">
        <f>AY506</f>
        <v>2</v>
      </c>
      <c r="AY507" s="67"/>
      <c r="AZ507" s="68"/>
      <c r="BA507" s="64">
        <f>IF(AI507&gt;AJ507,1,0)+IF(AK507&gt;AL507,1,0)+IF(AM507&gt;AN507,1,0)</f>
        <v>2</v>
      </c>
      <c r="BB507" s="69">
        <f>AY508</f>
        <v>0</v>
      </c>
      <c r="BE507" s="63">
        <f>AO507+AQ507+AS507+AP508+AR508+AT508</f>
        <v>102</v>
      </c>
      <c r="BF507" s="69">
        <f>AP507+AR507+AT507+AO508+AQ508+AS508</f>
        <v>78</v>
      </c>
      <c r="BG507" s="63">
        <f>AW507+BA507</f>
        <v>3</v>
      </c>
      <c r="BH507" s="69">
        <f>AX507+BB507</f>
        <v>2</v>
      </c>
      <c r="BI507" s="63">
        <f>IF(AW507&gt;AX507,1,0)+IF(BA507&gt;BB507,1,0)</f>
        <v>1</v>
      </c>
      <c r="BJ507" s="70">
        <f>IF(AX507&gt;AW507,1,0)+IF(BB507&gt;BA507,1,0)</f>
        <v>1</v>
      </c>
      <c r="BK507" s="71">
        <f>IF(BI507+BJ507=0,"",IF(BL507=MAX(BL506:BL508),1,IF(BL507=MIN(BL506:BL508),3,2)))</f>
        <v>2</v>
      </c>
      <c r="BL507" s="60">
        <f>IF(BI507+BJ507&lt;&gt;0,BI507+1+(BG507-BH507)/100+(BE507-BF507)/100000+(BE507/BF507)/1000000,0)</f>
        <v>2.0102413076923074</v>
      </c>
    </row>
    <row r="508" spans="1:64" ht="11.45" customHeight="1" thickBot="1" x14ac:dyDescent="0.25">
      <c r="A508" s="19">
        <f>S508</f>
        <v>158</v>
      </c>
      <c r="B508" s="2" t="str">
        <f>IF(N504="","",N504)</f>
        <v>K3867</v>
      </c>
      <c r="C508" s="2" t="str">
        <f>IF(N505="","",N505)</f>
        <v/>
      </c>
      <c r="D508" s="2" t="str">
        <f>IF(N507="","",N507)</f>
        <v>M3704</v>
      </c>
      <c r="E508" s="2" t="str">
        <f>IF(N508="","",N508)</f>
        <v/>
      </c>
      <c r="I508" s="2" t="str">
        <f>"3"&amp;O502&amp;N503</f>
        <v>32pojedyncza chłopców JM</v>
      </c>
      <c r="J508" s="10" t="str">
        <f>IF(AD509="","",IF(AD503=3,N504,IF(AD506=3,N507,IF(AD509=3,N510,""))))</f>
        <v>Ł4234</v>
      </c>
      <c r="K508" s="10">
        <f>IF(AD509="","",IF(AD503=3,N505,IF(AD506=3,N508,IF(AD509=3,N511,""))))</f>
        <v>0</v>
      </c>
      <c r="M508" s="42" t="str">
        <f>N503</f>
        <v>pojedyncza chłopców JM</v>
      </c>
      <c r="N508" s="38"/>
      <c r="O508" s="28"/>
      <c r="P508" s="28"/>
      <c r="Q508" s="43" t="str">
        <f>IF(AU508&gt;0,"",IF(A508=0,"",IF(VLOOKUP(A508,'[2]plan gier'!A$1:S$65536,19,FALSE)="","",VLOOKUP(A508,'[2]plan gier'!A$1:S$65536,19,FALSE))))</f>
        <v/>
      </c>
      <c r="R508" s="72" t="s">
        <v>18</v>
      </c>
      <c r="S508" s="45">
        <v>158</v>
      </c>
      <c r="T508" s="261"/>
      <c r="U508" s="265" t="str">
        <f>IF(N508&lt;&gt;"",CONCATENATE(VLOOKUP(N508,[2]zawodnicy!$A$1:$E$65536,1,FALSE)," ",VLOOKUP(N508,[2]zawodnicy!$A$1:$E$65536,2,FALSE)," ",VLOOKUP(N508,[2]zawodnicy!$A$1:$E$65536,3,FALSE)," - ",VLOOKUP(N508,[2]zawodnicy!$A$1:$E$65536,4,FALSE)),"")</f>
        <v/>
      </c>
      <c r="V508" s="266"/>
      <c r="W508" s="267"/>
      <c r="X508" s="73" t="str">
        <f>IF(SUM(AS508:AT508)=0,"",AT508&amp;":"&amp;AS508)</f>
        <v>19:21</v>
      </c>
      <c r="Y508" s="62"/>
      <c r="Z508" s="40" t="str">
        <f>IF(SUM(AS507:AT507)=0,"",AS507&amp;":"&amp;AT507)</f>
        <v/>
      </c>
      <c r="AA508" s="262"/>
      <c r="AB508" s="263"/>
      <c r="AC508" s="263"/>
      <c r="AD508" s="264"/>
      <c r="AE508" s="2"/>
      <c r="AF508" s="12"/>
      <c r="AG508" s="12"/>
      <c r="AH508" s="72" t="s">
        <v>18</v>
      </c>
      <c r="AI508" s="74">
        <f>IF(ISBLANK(S508),"",VLOOKUP(S508,'[2]plan gier'!$X$1:$AN$65536,12,FALSE))</f>
        <v>22</v>
      </c>
      <c r="AJ508" s="75">
        <f>IF(ISBLANK(S508),"",VLOOKUP(S508,'[2]plan gier'!$X$1:$AN$65536,13,FALSE))</f>
        <v>20</v>
      </c>
      <c r="AK508" s="75">
        <f>IF(ISBLANK(S508),"",VLOOKUP(S508,'[2]plan gier'!$X$1:$AN$65536,14,FALSE))</f>
        <v>10</v>
      </c>
      <c r="AL508" s="75">
        <f>IF(ISBLANK(S508),"",VLOOKUP(S508,'[2]plan gier'!$X$1:$AN$65536,15,FALSE))</f>
        <v>21</v>
      </c>
      <c r="AM508" s="75">
        <f>IF(ISBLANK(S508),"",VLOOKUP(S508,'[2]plan gier'!$X$1:$AN$65536,16,FALSE))</f>
        <v>21</v>
      </c>
      <c r="AN508" s="75">
        <f>IF(ISBLANK(S508),"",VLOOKUP(S508,'[2]plan gier'!$X$1:$AN$65536,17,FALSE))</f>
        <v>19</v>
      </c>
      <c r="AO508" s="76">
        <f t="shared" si="45"/>
        <v>22</v>
      </c>
      <c r="AP508" s="75">
        <f t="shared" si="45"/>
        <v>20</v>
      </c>
      <c r="AQ508" s="77">
        <f t="shared" si="45"/>
        <v>10</v>
      </c>
      <c r="AR508" s="75">
        <f t="shared" si="45"/>
        <v>21</v>
      </c>
      <c r="AS508" s="77">
        <f t="shared" si="45"/>
        <v>21</v>
      </c>
      <c r="AT508" s="75">
        <f t="shared" si="45"/>
        <v>19</v>
      </c>
      <c r="AU508" s="54">
        <f>SUM(AO508:AT508)</f>
        <v>113</v>
      </c>
      <c r="AV508" s="13">
        <v>3</v>
      </c>
      <c r="AW508" s="74">
        <f>IF(AI506&lt;AJ506,1,0)+IF(AK506&lt;AL506,1,0)+IF(AM506&lt;AN506,1,0)</f>
        <v>1</v>
      </c>
      <c r="AX508" s="75">
        <f>BA506</f>
        <v>2</v>
      </c>
      <c r="AY508" s="75">
        <f>IF(AI507&lt;AJ507,1,0)+IF(AK507&lt;AL507,1,0)+IF(AM507&lt;AN507,1,0)</f>
        <v>0</v>
      </c>
      <c r="AZ508" s="75">
        <f>BA507</f>
        <v>2</v>
      </c>
      <c r="BA508" s="78"/>
      <c r="BB508" s="79"/>
      <c r="BE508" s="74">
        <f>AP506+AR506+AT506+AP507+AR507+AT507</f>
        <v>72</v>
      </c>
      <c r="BF508" s="80">
        <f>AO506+AQ506+AS506+AO507+AQ507+AS507</f>
        <v>102</v>
      </c>
      <c r="BG508" s="74">
        <f>AW508+AY508</f>
        <v>1</v>
      </c>
      <c r="BH508" s="80">
        <f>AX508+AZ508</f>
        <v>4</v>
      </c>
      <c r="BI508" s="74">
        <f>IF(AW508&gt;AX508,1,0)+IF(AY508&gt;AZ508,1,0)</f>
        <v>0</v>
      </c>
      <c r="BJ508" s="81">
        <f>IF(AX508&gt;AW508,1,0)+IF(AZ508&gt;AY508,1,0)</f>
        <v>2</v>
      </c>
      <c r="BK508" s="82">
        <f>IF(BI508+BJ508=0,"",IF(BL508=MAX(BL506:BL508),1,IF(BL508=MIN(BL506:BL508),3,2)))</f>
        <v>3</v>
      </c>
      <c r="BL508" s="60">
        <f>IF(BI508+BJ508&lt;&gt;0,BI508+1+(BG508-BH508)/100+(BE508-BF508)/100000+(BE508/BF508)/1000000,0)</f>
        <v>0.96970070588235291</v>
      </c>
    </row>
    <row r="509" spans="1:64" ht="11.45" customHeight="1" x14ac:dyDescent="0.2">
      <c r="A509" s="2"/>
      <c r="J509" s="28"/>
      <c r="K509" s="28"/>
      <c r="L509" s="28"/>
      <c r="O509" s="28"/>
      <c r="P509" s="28"/>
      <c r="Q509" s="2"/>
      <c r="R509" s="2"/>
      <c r="S509" s="2"/>
      <c r="T509" s="241">
        <v>3</v>
      </c>
      <c r="U509" s="244" t="str">
        <f>IF(AND(N510&lt;&gt;"",N511&lt;&gt;""),CONCATENATE(VLOOKUP(N510,[2]zawodnicy!$A$1:$E$65536,1,FALSE)," ",VLOOKUP(N510,[2]zawodnicy!$A$1:$E$65536,2,FALSE)," ",VLOOKUP(N510,[2]zawodnicy!$A$1:$E$65536,3,FALSE)," - ",VLOOKUP(N510,[2]zawodnicy!$A$1:$E$65536,4,FALSE)),"")</f>
        <v/>
      </c>
      <c r="V509" s="245"/>
      <c r="W509" s="246"/>
      <c r="X509" s="46" t="str">
        <f>IF(SUM(AO506:AP506)=0,"",AP506&amp;":"&amp;AO506)</f>
        <v>21:18</v>
      </c>
      <c r="Y509" s="83" t="str">
        <f>IF(SUM(AO507:AP507)=0,"",AP507&amp;":"&amp;AO507)</f>
        <v>15:21</v>
      </c>
      <c r="Z509" s="84"/>
      <c r="AA509" s="247" t="str">
        <f>IF(SUM(AW508:AZ508)=0,"",BE508&amp;":"&amp;BF508)</f>
        <v>72:102</v>
      </c>
      <c r="AB509" s="250" t="str">
        <f>IF(SUM(AW508:AZ508)=0,"",BG508&amp;":"&amp;BH508)</f>
        <v>1:4</v>
      </c>
      <c r="AC509" s="250" t="str">
        <f>IF(SUM(AW508:AZ508)=0,"",BI508&amp;":"&amp;BJ508)</f>
        <v>0:2</v>
      </c>
      <c r="AD509" s="253">
        <f>IF(SUM(BI506:BI508)&gt;0,BK508,"")</f>
        <v>3</v>
      </c>
      <c r="AE509" s="2"/>
      <c r="AF509" s="12"/>
      <c r="AG509" s="12"/>
      <c r="BE509" s="19">
        <f>SUM(BE506:BE508)</f>
        <v>287</v>
      </c>
      <c r="BF509" s="19">
        <f>SUM(BF506:BF508)</f>
        <v>287</v>
      </c>
      <c r="BG509" s="19">
        <f>SUM(BG506:BG508)</f>
        <v>8</v>
      </c>
      <c r="BH509" s="19">
        <f>SUM(BH506:BH508)</f>
        <v>8</v>
      </c>
      <c r="BK509" s="19"/>
      <c r="BL509" s="20"/>
    </row>
    <row r="510" spans="1:64" ht="11.45" customHeight="1" x14ac:dyDescent="0.2">
      <c r="A510" s="19"/>
      <c r="J510" s="19"/>
      <c r="K510" s="19"/>
      <c r="L510" s="19"/>
      <c r="N510" s="33" t="s">
        <v>111</v>
      </c>
      <c r="O510" s="34">
        <f>IF(O502&gt;0,(O502&amp;3)*1,"")</f>
        <v>23</v>
      </c>
      <c r="Q510" s="85"/>
      <c r="R510" s="85"/>
      <c r="S510" s="85"/>
      <c r="T510" s="242"/>
      <c r="U510" s="244" t="str">
        <f>IF(AND(N510&lt;&gt;"",N511=""),CONCATENATE(VLOOKUP(N510,[2]zawodnicy!$A$1:$E$65536,1,FALSE)," ",VLOOKUP(N510,[2]zawodnicy!$A$1:$E$65536,2,FALSE)," ",VLOOKUP(N510,[2]zawodnicy!$A$1:$E$65536,3,FALSE)," - ",VLOOKUP(N510,[2]zawodnicy!$A$1:$E$65536,4,FALSE)),"")</f>
        <v>Ł4234 Krzysztof ŁUKOMSKI - BKS Kolejarz Częstochowa</v>
      </c>
      <c r="V510" s="245"/>
      <c r="W510" s="246"/>
      <c r="X510" s="61" t="str">
        <f>IF(SUM(AQ506:AR506)=0,"",AR506&amp;":"&amp;AQ506)</f>
        <v>11:21</v>
      </c>
      <c r="Y510" s="36" t="str">
        <f>IF(SUM(AQ507:AR507)=0,"",AR507&amp;":"&amp;AQ507)</f>
        <v>10:21</v>
      </c>
      <c r="Z510" s="86"/>
      <c r="AA510" s="248"/>
      <c r="AB510" s="251"/>
      <c r="AC510" s="251"/>
      <c r="AD510" s="254"/>
      <c r="AE510" s="2"/>
      <c r="AF510" s="12"/>
      <c r="AG510" s="1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row>
    <row r="511" spans="1:64" ht="11.45" customHeight="1" thickBot="1" x14ac:dyDescent="0.25">
      <c r="A511" s="2"/>
      <c r="J511" s="28"/>
      <c r="K511" s="28"/>
      <c r="L511" s="28"/>
      <c r="N511" s="38"/>
      <c r="O511" s="28"/>
      <c r="P511" s="28"/>
      <c r="Q511" s="2"/>
      <c r="R511" s="2"/>
      <c r="S511" s="2"/>
      <c r="T511" s="243"/>
      <c r="U511" s="256" t="str">
        <f>IF(N511&lt;&gt;"",CONCATENATE(VLOOKUP(N511,[2]zawodnicy!$A$1:$E$65536,1,FALSE)," ",VLOOKUP(N511,[2]zawodnicy!$A$1:$E$65536,2,FALSE)," ",VLOOKUP(N511,[2]zawodnicy!$A$1:$E$65536,3,FALSE)," - ",VLOOKUP(N511,[2]zawodnicy!$A$1:$E$65536,4,FALSE)),"")</f>
        <v/>
      </c>
      <c r="V511" s="257"/>
      <c r="W511" s="258"/>
      <c r="X511" s="87" t="str">
        <f>IF(SUM(AS506:AT506)=0,"",AT506&amp;":"&amp;AS506)</f>
        <v>15:21</v>
      </c>
      <c r="Y511" s="88" t="str">
        <f>IF(SUM(AS507:AT507)=0,"",AT507&amp;":"&amp;AS507)</f>
        <v/>
      </c>
      <c r="Z511" s="89"/>
      <c r="AA511" s="249"/>
      <c r="AB511" s="252"/>
      <c r="AC511" s="252"/>
      <c r="AD511" s="255"/>
      <c r="AE511" s="10"/>
      <c r="AF511" s="12"/>
      <c r="AG511" s="1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row>
    <row r="512" spans="1:64" s="19" customFormat="1" ht="5.0999999999999996" customHeight="1" thickBot="1" x14ac:dyDescent="0.25">
      <c r="M512" s="90"/>
      <c r="O512" s="90"/>
      <c r="P512" s="90"/>
      <c r="Q512" s="91"/>
      <c r="R512" s="91"/>
      <c r="S512" s="91"/>
      <c r="T512" s="91"/>
      <c r="U512" s="5"/>
      <c r="V512" s="5"/>
      <c r="W512" s="5"/>
      <c r="AA512" s="92"/>
      <c r="AB512" s="91"/>
      <c r="AC512" s="91"/>
      <c r="AD512" s="91"/>
      <c r="AE512" s="91"/>
      <c r="AF512" s="91"/>
      <c r="AI512" s="93"/>
      <c r="AJ512" s="94"/>
      <c r="AK512" s="94"/>
    </row>
    <row r="513" spans="1:64" ht="11.45" customHeight="1" thickBot="1" x14ac:dyDescent="0.25">
      <c r="N513" s="11"/>
      <c r="O513" s="21">
        <v>3</v>
      </c>
      <c r="Q513" s="277" t="str">
        <f>"Grupa "&amp;O513&amp;"."</f>
        <v>Grupa 3.</v>
      </c>
      <c r="R513" s="277"/>
      <c r="S513" s="277"/>
      <c r="T513" s="22" t="s">
        <v>1</v>
      </c>
      <c r="U513" s="278" t="s">
        <v>2</v>
      </c>
      <c r="V513" s="279"/>
      <c r="W513" s="280"/>
      <c r="X513" s="22">
        <v>1</v>
      </c>
      <c r="Y513" s="23">
        <v>2</v>
      </c>
      <c r="Z513" s="24">
        <v>3</v>
      </c>
      <c r="AA513" s="25" t="s">
        <v>3</v>
      </c>
      <c r="AB513" s="26" t="s">
        <v>4</v>
      </c>
      <c r="AC513" s="26" t="s">
        <v>5</v>
      </c>
      <c r="AD513" s="27" t="s">
        <v>6</v>
      </c>
      <c r="AE513" s="2"/>
      <c r="AF513" s="12"/>
      <c r="AG513" s="12"/>
      <c r="BK513" s="19"/>
      <c r="BL513" s="20"/>
    </row>
    <row r="514" spans="1:64" ht="11.45" customHeight="1" x14ac:dyDescent="0.2">
      <c r="J514" s="28"/>
      <c r="K514" s="28"/>
      <c r="L514" s="28"/>
      <c r="N514" s="29" t="s">
        <v>105</v>
      </c>
      <c r="Q514" s="274" t="s">
        <v>7</v>
      </c>
      <c r="R514" s="274"/>
      <c r="S514" s="275" t="s">
        <v>8</v>
      </c>
      <c r="T514" s="276">
        <v>1</v>
      </c>
      <c r="U514" s="244" t="str">
        <f>IF(AND(N515&lt;&gt;"",N516&lt;&gt;""),CONCATENATE(VLOOKUP(N515,[2]zawodnicy!$A$1:$E$65536,1,FALSE)," ",VLOOKUP(N515,[2]zawodnicy!$A$1:$E$65536,2,FALSE)," ",VLOOKUP(N515,[2]zawodnicy!$A$1:$E$65536,3,FALSE)," - ",VLOOKUP(N515,[2]zawodnicy!$A$1:$E$65536,4,FALSE)),"")</f>
        <v/>
      </c>
      <c r="V514" s="245"/>
      <c r="W514" s="246"/>
      <c r="X514" s="30"/>
      <c r="Y514" s="31" t="str">
        <f>IF(SUM(AO519:AP519)=0,"",AO519&amp;":"&amp;AP519)</f>
        <v>7:21</v>
      </c>
      <c r="Z514" s="32" t="str">
        <f>IF(SUM(AO517:AP517)=0,"",AO517&amp;":"&amp;AP517)</f>
        <v>6:21</v>
      </c>
      <c r="AA514" s="270" t="str">
        <f>IF(SUM(AY517:BB517)=0,"",BE517&amp;":"&amp;BF517)</f>
        <v>73:89</v>
      </c>
      <c r="AB514" s="271" t="str">
        <f>IF(SUM(AY517:BB517)=0,"",BG517&amp;":"&amp;BH517)</f>
        <v>2:3</v>
      </c>
      <c r="AC514" s="271" t="str">
        <f>IF(SUM(AY517:BB517)=0,"",BI517&amp;":"&amp;BJ517)</f>
        <v>1:1</v>
      </c>
      <c r="AD514" s="272">
        <f>IF(SUM(BI517:BI519)&gt;0,BK517,"")</f>
        <v>2</v>
      </c>
      <c r="AE514" s="2"/>
      <c r="AF514" s="12"/>
      <c r="AG514" s="12"/>
      <c r="AH514" s="14"/>
      <c r="AI514" s="273" t="s">
        <v>9</v>
      </c>
      <c r="AJ514" s="273"/>
      <c r="AK514" s="273"/>
      <c r="AL514" s="273"/>
      <c r="AM514" s="273"/>
      <c r="AN514" s="273"/>
      <c r="AO514" s="273" t="s">
        <v>10</v>
      </c>
      <c r="AP514" s="273"/>
      <c r="AQ514" s="273"/>
      <c r="AR514" s="273"/>
      <c r="AS514" s="273"/>
      <c r="AT514" s="273"/>
      <c r="BK514" s="19"/>
      <c r="BL514" s="20"/>
    </row>
    <row r="515" spans="1:64" ht="11.45" customHeight="1" thickBot="1" x14ac:dyDescent="0.25">
      <c r="I515" s="2" t="str">
        <f>"1"&amp;O513&amp;N514</f>
        <v>13pojedyncza chłopców JM</v>
      </c>
      <c r="J515" s="10" t="str">
        <f>IF(AD514="","",IF(AD514=1,N515,IF(AD517=1,N518,IF(AD520=1,N521,""))))</f>
        <v>X10</v>
      </c>
      <c r="K515" s="10">
        <f>IF(AD514="","",IF(AD514=1,N516,IF(AD517=1,N519,IF(AD520=1,N522,""))))</f>
        <v>0</v>
      </c>
      <c r="L515" s="10"/>
      <c r="N515" s="33" t="s">
        <v>112</v>
      </c>
      <c r="O515" s="34">
        <f>IF(O513&gt;0,(O513&amp;1)*1,"")</f>
        <v>31</v>
      </c>
      <c r="Q515" s="274"/>
      <c r="R515" s="274"/>
      <c r="S515" s="275"/>
      <c r="T515" s="242"/>
      <c r="U515" s="244" t="str">
        <f>IF(AND(N515&lt;&gt;"",N516=""),CONCATENATE(VLOOKUP(N515,[2]zawodnicy!$A$1:$E$65536,1,FALSE)," ",VLOOKUP(N515,[2]zawodnicy!$A$1:$E$65536,2,FALSE)," ",VLOOKUP(N515,[2]zawodnicy!$A$1:$E$65536,3,FALSE)," - ",VLOOKUP(N515,[2]zawodnicy!$A$1:$E$65536,4,FALSE)),"")</f>
        <v>W4270 Jędrzej WACHOWSKI - STB Energia Lubliniec</v>
      </c>
      <c r="V515" s="245"/>
      <c r="W515" s="246"/>
      <c r="X515" s="35"/>
      <c r="Y515" s="36" t="str">
        <f>IF(SUM(AQ519:AR519)=0,"",AQ519&amp;":"&amp;AR519)</f>
        <v>21:9</v>
      </c>
      <c r="Z515" s="37" t="str">
        <f>IF(SUM(AQ517:AR517)=0,"",AQ517&amp;":"&amp;AR517)</f>
        <v>18:21</v>
      </c>
      <c r="AA515" s="248"/>
      <c r="AB515" s="251"/>
      <c r="AC515" s="251"/>
      <c r="AD515" s="254"/>
      <c r="AE515" s="2"/>
      <c r="AF515" s="12"/>
      <c r="AG515" s="12"/>
      <c r="AH515" s="14"/>
      <c r="BE515" s="19">
        <f>SUM(BE517:BE519)</f>
        <v>234</v>
      </c>
      <c r="BF515" s="19">
        <f>SUM(BF517:BF519)</f>
        <v>234</v>
      </c>
      <c r="BG515" s="19">
        <f>SUM(BG517:BG519)</f>
        <v>7</v>
      </c>
      <c r="BH515" s="19">
        <f>SUM(BH517:BH519)</f>
        <v>7</v>
      </c>
      <c r="BK515" s="19"/>
      <c r="BL515" s="20"/>
    </row>
    <row r="516" spans="1:64" ht="11.45" customHeight="1" thickBot="1" x14ac:dyDescent="0.25">
      <c r="J516" s="10"/>
      <c r="K516" s="28"/>
      <c r="L516" s="28"/>
      <c r="N516" s="38"/>
      <c r="O516" s="28"/>
      <c r="P516" s="28"/>
      <c r="Q516" s="274"/>
      <c r="R516" s="274"/>
      <c r="S516" s="275"/>
      <c r="T516" s="261"/>
      <c r="U516" s="265" t="str">
        <f>IF(N516&lt;&gt;"",CONCATENATE(VLOOKUP(N516,[2]zawodnicy!$A$1:$E$65536,1,FALSE)," ",VLOOKUP(N516,[2]zawodnicy!$A$1:$E$65536,2,FALSE)," ",VLOOKUP(N516,[2]zawodnicy!$A$1:$E$65536,3,FALSE)," - ",VLOOKUP(N516,[2]zawodnicy!$A$1:$E$65536,4,FALSE)),"")</f>
        <v/>
      </c>
      <c r="V516" s="266"/>
      <c r="W516" s="267"/>
      <c r="X516" s="35"/>
      <c r="Y516" s="39" t="str">
        <f>IF(SUM(AS519:AT519)=0,"",AS519&amp;":"&amp;AT519)</f>
        <v>21:17</v>
      </c>
      <c r="Z516" s="40" t="str">
        <f>IF(SUM(AS517:AT517)=0,"",AS517&amp;":"&amp;AT517)</f>
        <v/>
      </c>
      <c r="AA516" s="262"/>
      <c r="AB516" s="263"/>
      <c r="AC516" s="263"/>
      <c r="AD516" s="264"/>
      <c r="AE516" s="2"/>
      <c r="AF516" s="12"/>
      <c r="AG516" s="12"/>
      <c r="AH516" s="14"/>
      <c r="AI516" s="259" t="s">
        <v>12</v>
      </c>
      <c r="AJ516" s="269"/>
      <c r="AK516" s="268" t="s">
        <v>13</v>
      </c>
      <c r="AL516" s="269"/>
      <c r="AM516" s="268" t="s">
        <v>14</v>
      </c>
      <c r="AN516" s="260"/>
      <c r="AO516" s="259" t="s">
        <v>12</v>
      </c>
      <c r="AP516" s="269"/>
      <c r="AQ516" s="268" t="s">
        <v>13</v>
      </c>
      <c r="AR516" s="269"/>
      <c r="AS516" s="268" t="s">
        <v>14</v>
      </c>
      <c r="AT516" s="269"/>
      <c r="AU516" s="12"/>
      <c r="AV516" s="12"/>
      <c r="AW516" s="259">
        <v>1</v>
      </c>
      <c r="AX516" s="269"/>
      <c r="AY516" s="268">
        <v>2</v>
      </c>
      <c r="AZ516" s="269"/>
      <c r="BA516" s="268">
        <v>3</v>
      </c>
      <c r="BB516" s="260"/>
      <c r="BE516" s="259" t="s">
        <v>3</v>
      </c>
      <c r="BF516" s="260"/>
      <c r="BG516" s="259" t="s">
        <v>4</v>
      </c>
      <c r="BH516" s="260"/>
      <c r="BI516" s="259" t="s">
        <v>5</v>
      </c>
      <c r="BJ516" s="260"/>
      <c r="BK516" s="41" t="s">
        <v>6</v>
      </c>
      <c r="BL516" s="20"/>
    </row>
    <row r="517" spans="1:64" ht="11.45" customHeight="1" x14ac:dyDescent="0.2">
      <c r="A517" s="19">
        <f>S517</f>
        <v>29</v>
      </c>
      <c r="B517" s="2" t="str">
        <f>IF(N515="","",N515)</f>
        <v>W4270</v>
      </c>
      <c r="C517" s="2" t="str">
        <f>IF(N516="","",N516)</f>
        <v/>
      </c>
      <c r="D517" s="2" t="str">
        <f>IF(N521="","",N521)</f>
        <v>X10</v>
      </c>
      <c r="E517" s="2" t="str">
        <f>IF(N522="","",N522)</f>
        <v/>
      </c>
      <c r="I517" s="2" t="str">
        <f>"2"&amp;O513&amp;N514</f>
        <v>23pojedyncza chłopców JM</v>
      </c>
      <c r="J517" s="10" t="str">
        <f>IF(AD517="","",IF(AD514=2,N515,IF(AD517=2,N518,IF(AD520=2,N521,""))))</f>
        <v>W4270</v>
      </c>
      <c r="K517" s="10">
        <f>IF(AD517="","",IF(AD514=2,N516,IF(AD517=2,N519,IF(AD520=2,N522,""))))</f>
        <v>0</v>
      </c>
      <c r="M517" s="42" t="str">
        <f>N514</f>
        <v>pojedyncza chłopców JM</v>
      </c>
      <c r="O517" s="28"/>
      <c r="P517" s="28"/>
      <c r="Q517" s="43" t="str">
        <f>IF(AU517&gt;0,"",IF(A517=0,"",IF(VLOOKUP(A517,'[2]plan gier'!A$1:S$65536,19,FALSE)="","",VLOOKUP(A517,'[2]plan gier'!A$1:S$65536,19,FALSE))))</f>
        <v/>
      </c>
      <c r="R517" s="44" t="s">
        <v>15</v>
      </c>
      <c r="S517" s="45">
        <v>29</v>
      </c>
      <c r="T517" s="241">
        <v>2</v>
      </c>
      <c r="U517" s="244" t="str">
        <f>IF(AND(N518&lt;&gt;"",N519&lt;&gt;""),CONCATENATE(VLOOKUP(N518,[2]zawodnicy!$A$1:$E$65536,1,FALSE)," ",VLOOKUP(N518,[2]zawodnicy!$A$1:$E$65536,2,FALSE)," ",VLOOKUP(N518,[2]zawodnicy!$A$1:$E$65536,3,FALSE)," - ",VLOOKUP(N518,[2]zawodnicy!$A$1:$E$65536,4,FALSE)),"")</f>
        <v/>
      </c>
      <c r="V517" s="245"/>
      <c r="W517" s="246"/>
      <c r="X517" s="46" t="str">
        <f>IF(SUM(AO519:AP519)=0,"",AP519&amp;":"&amp;AO519)</f>
        <v>21:7</v>
      </c>
      <c r="Y517" s="47"/>
      <c r="Z517" s="48" t="str">
        <f>IF(SUM(AO518:AP518)=0,"",AO518&amp;":"&amp;AP518)</f>
        <v>15:21</v>
      </c>
      <c r="AA517" s="247" t="str">
        <f>IF(SUM(AW518:AX518,BA518:BB518)=0,"",BE518&amp;":"&amp;BF518)</f>
        <v>77:91</v>
      </c>
      <c r="AB517" s="250" t="str">
        <f>IF(SUM(AW518:AX518,BA518:BB518)=0,"",BG518&amp;":"&amp;BH518)</f>
        <v>1:4</v>
      </c>
      <c r="AC517" s="250" t="str">
        <f>IF(SUM(AW518:AX518,BA518:BB518)=0,"",BI518&amp;":"&amp;BJ518)</f>
        <v>0:2</v>
      </c>
      <c r="AD517" s="253">
        <f>IF(SUM(BI517:BI519)&gt;0,BK518,"")</f>
        <v>3</v>
      </c>
      <c r="AE517" s="2"/>
      <c r="AF517" s="12"/>
      <c r="AG517" s="12"/>
      <c r="AH517" s="44" t="s">
        <v>15</v>
      </c>
      <c r="AI517" s="49">
        <f>IF(ISBLANK(S517),"",VLOOKUP(S517,'[2]plan gier'!$X$1:$AN$65536,12,FALSE))</f>
        <v>6</v>
      </c>
      <c r="AJ517" s="50">
        <f>IF(ISBLANK(S517),"",VLOOKUP(S517,'[2]plan gier'!$X$1:$AN$65536,13,FALSE))</f>
        <v>21</v>
      </c>
      <c r="AK517" s="50">
        <f>IF(ISBLANK(S517),"",VLOOKUP(S517,'[2]plan gier'!$X$1:$AN$65536,14,FALSE))</f>
        <v>18</v>
      </c>
      <c r="AL517" s="50">
        <f>IF(ISBLANK(S517),"",VLOOKUP(S517,'[2]plan gier'!$X$1:$AN$65536,15,FALSE))</f>
        <v>21</v>
      </c>
      <c r="AM517" s="50">
        <f>IF(ISBLANK(S517),"",VLOOKUP(S517,'[2]plan gier'!$X$1:$AN$65536,16,FALSE))</f>
        <v>0</v>
      </c>
      <c r="AN517" s="50">
        <f>IF(ISBLANK(S517),"",VLOOKUP(S517,'[2]plan gier'!$X$1:$AN$65536,17,FALSE))</f>
        <v>0</v>
      </c>
      <c r="AO517" s="51">
        <f t="shared" ref="AO517:AT519" si="46">IF(AI517="",0,AI517)</f>
        <v>6</v>
      </c>
      <c r="AP517" s="52">
        <f t="shared" si="46"/>
        <v>21</v>
      </c>
      <c r="AQ517" s="53">
        <f t="shared" si="46"/>
        <v>18</v>
      </c>
      <c r="AR517" s="52">
        <f t="shared" si="46"/>
        <v>21</v>
      </c>
      <c r="AS517" s="53">
        <f t="shared" si="46"/>
        <v>0</v>
      </c>
      <c r="AT517" s="52">
        <f t="shared" si="46"/>
        <v>0</v>
      </c>
      <c r="AU517" s="54">
        <f>SUM(AO517:AT517)</f>
        <v>66</v>
      </c>
      <c r="AV517" s="13">
        <v>1</v>
      </c>
      <c r="AW517" s="55"/>
      <c r="AX517" s="56"/>
      <c r="AY517" s="50">
        <f>IF(AI519&gt;AJ519,1,0)+IF(AK519&gt;AL519,1,0)+IF(AM519&gt;AN519,1,0)</f>
        <v>2</v>
      </c>
      <c r="AZ517" s="50">
        <f>AW518</f>
        <v>1</v>
      </c>
      <c r="BA517" s="50">
        <f>IF(AI517&gt;AJ517,1,0)+IF(AK517&gt;AL517,1,0)+IF(AM517&gt;AN517,1,0)</f>
        <v>0</v>
      </c>
      <c r="BB517" s="57">
        <f>AW519</f>
        <v>2</v>
      </c>
      <c r="BE517" s="49">
        <f>AO517+AQ517+AS517+AO519+AQ519+AS519</f>
        <v>73</v>
      </c>
      <c r="BF517" s="57">
        <f>AP517+AR517+AT517+AP519+AR519+AT519</f>
        <v>89</v>
      </c>
      <c r="BG517" s="49">
        <f>AY517+BA517</f>
        <v>2</v>
      </c>
      <c r="BH517" s="57">
        <f>AZ517+BB517</f>
        <v>3</v>
      </c>
      <c r="BI517" s="49">
        <f>IF(AY517&gt;AZ517,1,0)+IF(BA517&gt;BB517,1,0)</f>
        <v>1</v>
      </c>
      <c r="BJ517" s="58">
        <f>IF(AZ517&gt;AY517,1,0)+IF(BB517&gt;BA517,1,0)</f>
        <v>1</v>
      </c>
      <c r="BK517" s="59">
        <f>IF(BI517+BJ517=0,"",IF(BL517=MAX(BL517:BL519),1,IF(BL517=MIN(BL517:BL519),3,2)))</f>
        <v>2</v>
      </c>
      <c r="BL517" s="60">
        <f>IF(BI517+BJ517&lt;&gt;0,BI517+1+(BG517-BH517)/100+(BE517-BF517)/100000+(BE517/BF517)/1000000,0)</f>
        <v>1.9898408202247191</v>
      </c>
    </row>
    <row r="518" spans="1:64" ht="11.45" customHeight="1" x14ac:dyDescent="0.2">
      <c r="A518" s="19">
        <f>S518</f>
        <v>94</v>
      </c>
      <c r="B518" s="2" t="str">
        <f>IF(N518="","",N518)</f>
        <v>H3554</v>
      </c>
      <c r="C518" s="2" t="str">
        <f>IF(N519="","",N519)</f>
        <v/>
      </c>
      <c r="D518" s="2" t="str">
        <f>IF(N521="","",N521)</f>
        <v>X10</v>
      </c>
      <c r="E518" s="2" t="str">
        <f>IF(N522="","",N522)</f>
        <v/>
      </c>
      <c r="J518" s="10"/>
      <c r="K518" s="19"/>
      <c r="M518" s="42" t="str">
        <f>N514</f>
        <v>pojedyncza chłopców JM</v>
      </c>
      <c r="N518" s="33" t="s">
        <v>113</v>
      </c>
      <c r="O518" s="34">
        <f>IF(O513&gt;0,(O513&amp;2)*1,"")</f>
        <v>32</v>
      </c>
      <c r="Q518" s="43" t="str">
        <f>IF(AU518&gt;0,"",IF(A518=0,"",IF(VLOOKUP(A518,'[2]plan gier'!A$1:S$65536,19,FALSE)="","",VLOOKUP(A518,'[2]plan gier'!A$1:S$65536,19,FALSE))))</f>
        <v/>
      </c>
      <c r="R518" s="44" t="s">
        <v>17</v>
      </c>
      <c r="S518" s="45">
        <v>94</v>
      </c>
      <c r="T518" s="242"/>
      <c r="U518" s="244" t="str">
        <f>IF(AND(N518&lt;&gt;"",N519=""),CONCATENATE(VLOOKUP(N518,[2]zawodnicy!$A$1:$E$65536,1,FALSE)," ",VLOOKUP(N518,[2]zawodnicy!$A$1:$E$65536,2,FALSE)," ",VLOOKUP(N518,[2]zawodnicy!$A$1:$E$65536,3,FALSE)," - ",VLOOKUP(N518,[2]zawodnicy!$A$1:$E$65536,4,FALSE)),"")</f>
        <v>H3554 Szymon HAŁASA - UKS Kiko Zamość</v>
      </c>
      <c r="V518" s="245"/>
      <c r="W518" s="246"/>
      <c r="X518" s="61" t="str">
        <f>IF(SUM(AQ519:AR519)=0,"",AR519&amp;":"&amp;AQ519)</f>
        <v>9:21</v>
      </c>
      <c r="Y518" s="62"/>
      <c r="Z518" s="37" t="str">
        <f>IF(SUM(AQ518:AR518)=0,"",AQ518&amp;":"&amp;AR518)</f>
        <v>15:21</v>
      </c>
      <c r="AA518" s="248"/>
      <c r="AB518" s="251"/>
      <c r="AC518" s="251"/>
      <c r="AD518" s="254"/>
      <c r="AE518" s="2"/>
      <c r="AF518" s="12"/>
      <c r="AG518" s="12"/>
      <c r="AH518" s="44" t="s">
        <v>17</v>
      </c>
      <c r="AI518" s="63">
        <f>IF(ISBLANK(S518),"",VLOOKUP(S518,'[2]plan gier'!$X$1:$AN$65536,12,FALSE))</f>
        <v>15</v>
      </c>
      <c r="AJ518" s="64">
        <f>IF(ISBLANK(S518),"",VLOOKUP(S518,'[2]plan gier'!$X$1:$AN$65536,13,FALSE))</f>
        <v>21</v>
      </c>
      <c r="AK518" s="64">
        <f>IF(ISBLANK(S518),"",VLOOKUP(S518,'[2]plan gier'!$X$1:$AN$65536,14,FALSE))</f>
        <v>15</v>
      </c>
      <c r="AL518" s="64">
        <f>IF(ISBLANK(S518),"",VLOOKUP(S518,'[2]plan gier'!$X$1:$AN$65536,15,FALSE))</f>
        <v>21</v>
      </c>
      <c r="AM518" s="64">
        <f>IF(ISBLANK(S518),"",VLOOKUP(S518,'[2]plan gier'!$X$1:$AN$65536,16,FALSE))</f>
        <v>0</v>
      </c>
      <c r="AN518" s="64">
        <f>IF(ISBLANK(S518),"",VLOOKUP(S518,'[2]plan gier'!$X$1:$AN$65536,17,FALSE))</f>
        <v>0</v>
      </c>
      <c r="AO518" s="65">
        <f t="shared" si="46"/>
        <v>15</v>
      </c>
      <c r="AP518" s="64">
        <f t="shared" si="46"/>
        <v>21</v>
      </c>
      <c r="AQ518" s="66">
        <f t="shared" si="46"/>
        <v>15</v>
      </c>
      <c r="AR518" s="64">
        <f t="shared" si="46"/>
        <v>21</v>
      </c>
      <c r="AS518" s="66">
        <f t="shared" si="46"/>
        <v>0</v>
      </c>
      <c r="AT518" s="64">
        <f t="shared" si="46"/>
        <v>0</v>
      </c>
      <c r="AU518" s="54">
        <f>SUM(AO518:AT518)</f>
        <v>72</v>
      </c>
      <c r="AV518" s="13">
        <v>2</v>
      </c>
      <c r="AW518" s="63">
        <f>IF(AI519&lt;AJ519,1,0)+IF(AK519&lt;AL519,1,0)+IF(AM519&lt;AN519,1,0)</f>
        <v>1</v>
      </c>
      <c r="AX518" s="64">
        <f>AY517</f>
        <v>2</v>
      </c>
      <c r="AY518" s="67"/>
      <c r="AZ518" s="68"/>
      <c r="BA518" s="64">
        <f>IF(AI518&gt;AJ518,1,0)+IF(AK518&gt;AL518,1,0)+IF(AM518&gt;AN518,1,0)</f>
        <v>0</v>
      </c>
      <c r="BB518" s="69">
        <f>AY519</f>
        <v>2</v>
      </c>
      <c r="BE518" s="63">
        <f>AO518+AQ518+AS518+AP519+AR519+AT519</f>
        <v>77</v>
      </c>
      <c r="BF518" s="69">
        <f>AP518+AR518+AT518+AO519+AQ519+AS519</f>
        <v>91</v>
      </c>
      <c r="BG518" s="63">
        <f>AW518+BA518</f>
        <v>1</v>
      </c>
      <c r="BH518" s="69">
        <f>AX518+BB518</f>
        <v>4</v>
      </c>
      <c r="BI518" s="63">
        <f>IF(AW518&gt;AX518,1,0)+IF(BA518&gt;BB518,1,0)</f>
        <v>0</v>
      </c>
      <c r="BJ518" s="70">
        <f>IF(AX518&gt;AW518,1,0)+IF(BB518&gt;BA518,1,0)</f>
        <v>2</v>
      </c>
      <c r="BK518" s="71">
        <f>IF(BI518+BJ518=0,"",IF(BL518=MAX(BL517:BL519),1,IF(BL518=MIN(BL517:BL519),3,2)))</f>
        <v>3</v>
      </c>
      <c r="BL518" s="60">
        <f>IF(BI518+BJ518&lt;&gt;0,BI518+1+(BG518-BH518)/100+(BE518-BF518)/100000+(BE518/BF518)/1000000,0)</f>
        <v>0.96986084615384605</v>
      </c>
    </row>
    <row r="519" spans="1:64" ht="11.45" customHeight="1" thickBot="1" x14ac:dyDescent="0.25">
      <c r="A519" s="19">
        <f>S519</f>
        <v>159</v>
      </c>
      <c r="B519" s="2" t="str">
        <f>IF(N515="","",N515)</f>
        <v>W4270</v>
      </c>
      <c r="C519" s="2" t="str">
        <f>IF(N516="","",N516)</f>
        <v/>
      </c>
      <c r="D519" s="2" t="str">
        <f>IF(N518="","",N518)</f>
        <v>H3554</v>
      </c>
      <c r="E519" s="2" t="str">
        <f>IF(N519="","",N519)</f>
        <v/>
      </c>
      <c r="I519" s="2" t="str">
        <f>"3"&amp;O513&amp;N514</f>
        <v>33pojedyncza chłopców JM</v>
      </c>
      <c r="J519" s="10" t="str">
        <f>IF(AD520="","",IF(AD514=3,N515,IF(AD517=3,N518,IF(AD520=3,N521,""))))</f>
        <v>H3554</v>
      </c>
      <c r="K519" s="10">
        <f>IF(AD520="","",IF(AD514=3,N516,IF(AD517=3,N519,IF(AD520=3,N522,""))))</f>
        <v>0</v>
      </c>
      <c r="M519" s="42" t="str">
        <f>N514</f>
        <v>pojedyncza chłopców JM</v>
      </c>
      <c r="N519" s="38"/>
      <c r="O519" s="28"/>
      <c r="P519" s="28"/>
      <c r="Q519" s="43" t="str">
        <f>IF(AU519&gt;0,"",IF(A519=0,"",IF(VLOOKUP(A519,'[2]plan gier'!A$1:S$65536,19,FALSE)="","",VLOOKUP(A519,'[2]plan gier'!A$1:S$65536,19,FALSE))))</f>
        <v/>
      </c>
      <c r="R519" s="72" t="s">
        <v>18</v>
      </c>
      <c r="S519" s="45">
        <v>159</v>
      </c>
      <c r="T519" s="261"/>
      <c r="U519" s="265" t="str">
        <f>IF(N519&lt;&gt;"",CONCATENATE(VLOOKUP(N519,[2]zawodnicy!$A$1:$E$65536,1,FALSE)," ",VLOOKUP(N519,[2]zawodnicy!$A$1:$E$65536,2,FALSE)," ",VLOOKUP(N519,[2]zawodnicy!$A$1:$E$65536,3,FALSE)," - ",VLOOKUP(N519,[2]zawodnicy!$A$1:$E$65536,4,FALSE)),"")</f>
        <v/>
      </c>
      <c r="V519" s="266"/>
      <c r="W519" s="267"/>
      <c r="X519" s="73" t="str">
        <f>IF(SUM(AS519:AT519)=0,"",AT519&amp;":"&amp;AS519)</f>
        <v>17:21</v>
      </c>
      <c r="Y519" s="62"/>
      <c r="Z519" s="40" t="str">
        <f>IF(SUM(AS518:AT518)=0,"",AS518&amp;":"&amp;AT518)</f>
        <v/>
      </c>
      <c r="AA519" s="262"/>
      <c r="AB519" s="263"/>
      <c r="AC519" s="263"/>
      <c r="AD519" s="264"/>
      <c r="AE519" s="2"/>
      <c r="AF519" s="12"/>
      <c r="AG519" s="12"/>
      <c r="AH519" s="72" t="s">
        <v>18</v>
      </c>
      <c r="AI519" s="74">
        <f>IF(ISBLANK(S519),"",VLOOKUP(S519,'[2]plan gier'!$X$1:$AN$65536,12,FALSE))</f>
        <v>7</v>
      </c>
      <c r="AJ519" s="75">
        <f>IF(ISBLANK(S519),"",VLOOKUP(S519,'[2]plan gier'!$X$1:$AN$65536,13,FALSE))</f>
        <v>21</v>
      </c>
      <c r="AK519" s="75">
        <f>IF(ISBLANK(S519),"",VLOOKUP(S519,'[2]plan gier'!$X$1:$AN$65536,14,FALSE))</f>
        <v>21</v>
      </c>
      <c r="AL519" s="75">
        <f>IF(ISBLANK(S519),"",VLOOKUP(S519,'[2]plan gier'!$X$1:$AN$65536,15,FALSE))</f>
        <v>9</v>
      </c>
      <c r="AM519" s="75">
        <f>IF(ISBLANK(S519),"",VLOOKUP(S519,'[2]plan gier'!$X$1:$AN$65536,16,FALSE))</f>
        <v>21</v>
      </c>
      <c r="AN519" s="75">
        <f>IF(ISBLANK(S519),"",VLOOKUP(S519,'[2]plan gier'!$X$1:$AN$65536,17,FALSE))</f>
        <v>17</v>
      </c>
      <c r="AO519" s="76">
        <f t="shared" si="46"/>
        <v>7</v>
      </c>
      <c r="AP519" s="75">
        <f t="shared" si="46"/>
        <v>21</v>
      </c>
      <c r="AQ519" s="77">
        <f t="shared" si="46"/>
        <v>21</v>
      </c>
      <c r="AR519" s="75">
        <f t="shared" si="46"/>
        <v>9</v>
      </c>
      <c r="AS519" s="77">
        <f t="shared" si="46"/>
        <v>21</v>
      </c>
      <c r="AT519" s="75">
        <f t="shared" si="46"/>
        <v>17</v>
      </c>
      <c r="AU519" s="54">
        <f>SUM(AO519:AT519)</f>
        <v>96</v>
      </c>
      <c r="AV519" s="13">
        <v>3</v>
      </c>
      <c r="AW519" s="74">
        <f>IF(AI517&lt;AJ517,1,0)+IF(AK517&lt;AL517,1,0)+IF(AM517&lt;AN517,1,0)</f>
        <v>2</v>
      </c>
      <c r="AX519" s="75">
        <f>BA517</f>
        <v>0</v>
      </c>
      <c r="AY519" s="75">
        <f>IF(AI518&lt;AJ518,1,0)+IF(AK518&lt;AL518,1,0)+IF(AM518&lt;AN518,1,0)</f>
        <v>2</v>
      </c>
      <c r="AZ519" s="75">
        <f>BA518</f>
        <v>0</v>
      </c>
      <c r="BA519" s="78"/>
      <c r="BB519" s="79"/>
      <c r="BE519" s="74">
        <f>AP517+AR517+AT517+AP518+AR518+AT518</f>
        <v>84</v>
      </c>
      <c r="BF519" s="80">
        <f>AO517+AQ517+AS517+AO518+AQ518+AS518</f>
        <v>54</v>
      </c>
      <c r="BG519" s="74">
        <f>AW519+AY519</f>
        <v>4</v>
      </c>
      <c r="BH519" s="80">
        <f>AX519+AZ519</f>
        <v>0</v>
      </c>
      <c r="BI519" s="74">
        <f>IF(AW519&gt;AX519,1,0)+IF(AY519&gt;AZ519,1,0)</f>
        <v>2</v>
      </c>
      <c r="BJ519" s="81">
        <f>IF(AX519&gt;AW519,1,0)+IF(AZ519&gt;AY519,1,0)</f>
        <v>0</v>
      </c>
      <c r="BK519" s="82">
        <f>IF(BI519+BJ519=0,"",IF(BL519=MAX(BL517:BL519),1,IF(BL519=MIN(BL517:BL519),3,2)))</f>
        <v>1</v>
      </c>
      <c r="BL519" s="60">
        <f>IF(BI519+BJ519&lt;&gt;0,BI519+1+(BG519-BH519)/100+(BE519-BF519)/100000+(BE519/BF519)/1000000,0)</f>
        <v>3.0403015555555557</v>
      </c>
    </row>
    <row r="520" spans="1:64" ht="11.45" customHeight="1" x14ac:dyDescent="0.2">
      <c r="A520" s="2"/>
      <c r="J520" s="28"/>
      <c r="K520" s="28"/>
      <c r="L520" s="28"/>
      <c r="O520" s="28"/>
      <c r="P520" s="28"/>
      <c r="Q520" s="2"/>
      <c r="R520" s="2"/>
      <c r="S520" s="2"/>
      <c r="T520" s="241">
        <v>3</v>
      </c>
      <c r="U520" s="244" t="str">
        <f>IF(AND(N521&lt;&gt;"",N522&lt;&gt;""),CONCATENATE(VLOOKUP(N521,[2]zawodnicy!$A$1:$E$65536,1,FALSE)," ",VLOOKUP(N521,[2]zawodnicy!$A$1:$E$65536,2,FALSE)," ",VLOOKUP(N521,[2]zawodnicy!$A$1:$E$65536,3,FALSE)," - ",VLOOKUP(N521,[2]zawodnicy!$A$1:$E$65536,4,FALSE)),"")</f>
        <v/>
      </c>
      <c r="V520" s="245"/>
      <c r="W520" s="246"/>
      <c r="X520" s="46" t="str">
        <f>IF(SUM(AO517:AP517)=0,"",AP517&amp;":"&amp;AO517)</f>
        <v>21:6</v>
      </c>
      <c r="Y520" s="83" t="str">
        <f>IF(SUM(AO518:AP518)=0,"",AP518&amp;":"&amp;AO518)</f>
        <v>21:15</v>
      </c>
      <c r="Z520" s="84"/>
      <c r="AA520" s="247" t="str">
        <f>IF(SUM(AW519:AZ519)=0,"",BE519&amp;":"&amp;BF519)</f>
        <v>84:54</v>
      </c>
      <c r="AB520" s="250" t="str">
        <f>IF(SUM(AW519:AZ519)=0,"",BG519&amp;":"&amp;BH519)</f>
        <v>4:0</v>
      </c>
      <c r="AC520" s="250" t="str">
        <f>IF(SUM(AW519:AZ519)=0,"",BI519&amp;":"&amp;BJ519)</f>
        <v>2:0</v>
      </c>
      <c r="AD520" s="253">
        <f>IF(SUM(BI517:BI519)&gt;0,BK519,"")</f>
        <v>1</v>
      </c>
      <c r="AE520" s="2"/>
      <c r="AF520" s="12"/>
      <c r="AG520" s="12"/>
      <c r="BE520" s="19">
        <f>SUM(BE517:BE519)</f>
        <v>234</v>
      </c>
      <c r="BF520" s="19">
        <f>SUM(BF517:BF519)</f>
        <v>234</v>
      </c>
      <c r="BG520" s="19">
        <f>SUM(BG517:BG519)</f>
        <v>7</v>
      </c>
      <c r="BH520" s="19">
        <f>SUM(BH517:BH519)</f>
        <v>7</v>
      </c>
      <c r="BK520" s="19"/>
      <c r="BL520" s="20"/>
    </row>
    <row r="521" spans="1:64" ht="11.45" customHeight="1" x14ac:dyDescent="0.2">
      <c r="A521" s="19"/>
      <c r="J521" s="19"/>
      <c r="K521" s="19"/>
      <c r="L521" s="19"/>
      <c r="N521" s="33" t="s">
        <v>114</v>
      </c>
      <c r="O521" s="34">
        <f>IF(O513&gt;0,(O513&amp;3)*1,"")</f>
        <v>33</v>
      </c>
      <c r="Q521" s="85"/>
      <c r="R521" s="85"/>
      <c r="S521" s="85"/>
      <c r="T521" s="242"/>
      <c r="U521" s="244" t="str">
        <f>IF(AND(N521&lt;&gt;"",N522=""),CONCATENATE(VLOOKUP(N521,[2]zawodnicy!$A$1:$E$65536,1,FALSE)," ",VLOOKUP(N521,[2]zawodnicy!$A$1:$E$65536,2,FALSE)," ",VLOOKUP(N521,[2]zawodnicy!$A$1:$E$65536,3,FALSE)," - ",VLOOKUP(N521,[2]zawodnicy!$A$1:$E$65536,4,FALSE)),"")</f>
        <v>X10 Dmitry KUSIMITSKI - Brześć Białoruś</v>
      </c>
      <c r="V521" s="245"/>
      <c r="W521" s="246"/>
      <c r="X521" s="61" t="str">
        <f>IF(SUM(AQ517:AR517)=0,"",AR517&amp;":"&amp;AQ517)</f>
        <v>21:18</v>
      </c>
      <c r="Y521" s="36" t="str">
        <f>IF(SUM(AQ518:AR518)=0,"",AR518&amp;":"&amp;AQ518)</f>
        <v>21:15</v>
      </c>
      <c r="Z521" s="86"/>
      <c r="AA521" s="248"/>
      <c r="AB521" s="251"/>
      <c r="AC521" s="251"/>
      <c r="AD521" s="254"/>
      <c r="AE521" s="2"/>
      <c r="AF521" s="12"/>
      <c r="AG521" s="1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row>
    <row r="522" spans="1:64" ht="11.45" customHeight="1" thickBot="1" x14ac:dyDescent="0.25">
      <c r="A522" s="2"/>
      <c r="J522" s="28"/>
      <c r="K522" s="28"/>
      <c r="L522" s="28"/>
      <c r="N522" s="38"/>
      <c r="O522" s="28"/>
      <c r="P522" s="28"/>
      <c r="Q522" s="2"/>
      <c r="R522" s="2"/>
      <c r="S522" s="2"/>
      <c r="T522" s="243"/>
      <c r="U522" s="256" t="str">
        <f>IF(N522&lt;&gt;"",CONCATENATE(VLOOKUP(N522,[2]zawodnicy!$A$1:$E$65536,1,FALSE)," ",VLOOKUP(N522,[2]zawodnicy!$A$1:$E$65536,2,FALSE)," ",VLOOKUP(N522,[2]zawodnicy!$A$1:$E$65536,3,FALSE)," - ",VLOOKUP(N522,[2]zawodnicy!$A$1:$E$65536,4,FALSE)),"")</f>
        <v/>
      </c>
      <c r="V522" s="257"/>
      <c r="W522" s="258"/>
      <c r="X522" s="87" t="str">
        <f>IF(SUM(AS517:AT517)=0,"",AT517&amp;":"&amp;AS517)</f>
        <v/>
      </c>
      <c r="Y522" s="88" t="str">
        <f>IF(SUM(AS518:AT518)=0,"",AT518&amp;":"&amp;AS518)</f>
        <v/>
      </c>
      <c r="Z522" s="89"/>
      <c r="AA522" s="249"/>
      <c r="AB522" s="252"/>
      <c r="AC522" s="252"/>
      <c r="AD522" s="255"/>
      <c r="AE522" s="10"/>
      <c r="AF522" s="12"/>
      <c r="AG522" s="1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row>
    <row r="523" spans="1:64" s="19" customFormat="1" ht="5.0999999999999996" customHeight="1" thickBot="1" x14ac:dyDescent="0.25">
      <c r="M523" s="90"/>
      <c r="O523" s="90"/>
      <c r="P523" s="90"/>
      <c r="Q523" s="91"/>
      <c r="R523" s="91"/>
      <c r="S523" s="91"/>
      <c r="T523" s="91"/>
      <c r="U523" s="5"/>
      <c r="V523" s="5"/>
      <c r="W523" s="5"/>
      <c r="AA523" s="92"/>
      <c r="AB523" s="91"/>
      <c r="AC523" s="91"/>
      <c r="AD523" s="91"/>
      <c r="AE523" s="91"/>
      <c r="AF523" s="91"/>
      <c r="AI523" s="93"/>
      <c r="AJ523" s="94"/>
      <c r="AK523" s="94"/>
    </row>
    <row r="524" spans="1:64" ht="11.45" customHeight="1" thickBot="1" x14ac:dyDescent="0.25">
      <c r="N524" s="11"/>
      <c r="O524" s="21">
        <v>4</v>
      </c>
      <c r="Q524" s="277" t="str">
        <f>"Grupa "&amp;O524&amp;"."</f>
        <v>Grupa 4.</v>
      </c>
      <c r="R524" s="277"/>
      <c r="S524" s="277"/>
      <c r="T524" s="22" t="s">
        <v>1</v>
      </c>
      <c r="U524" s="278" t="s">
        <v>2</v>
      </c>
      <c r="V524" s="279"/>
      <c r="W524" s="280"/>
      <c r="X524" s="22">
        <v>1</v>
      </c>
      <c r="Y524" s="23">
        <v>2</v>
      </c>
      <c r="Z524" s="24">
        <v>3</v>
      </c>
      <c r="AA524" s="25" t="s">
        <v>3</v>
      </c>
      <c r="AB524" s="26" t="s">
        <v>4</v>
      </c>
      <c r="AC524" s="26" t="s">
        <v>5</v>
      </c>
      <c r="AD524" s="27" t="s">
        <v>6</v>
      </c>
      <c r="AE524" s="2"/>
      <c r="AF524" s="12"/>
      <c r="AG524" s="12"/>
      <c r="BK524" s="19"/>
      <c r="BL524" s="20"/>
    </row>
    <row r="525" spans="1:64" ht="11.45" customHeight="1" x14ac:dyDescent="0.2">
      <c r="J525" s="28"/>
      <c r="K525" s="28"/>
      <c r="L525" s="28"/>
      <c r="N525" s="29" t="s">
        <v>105</v>
      </c>
      <c r="Q525" s="274" t="s">
        <v>7</v>
      </c>
      <c r="R525" s="274"/>
      <c r="S525" s="275" t="s">
        <v>8</v>
      </c>
      <c r="T525" s="276">
        <v>1</v>
      </c>
      <c r="U525" s="244" t="str">
        <f>IF(AND(N526&lt;&gt;"",N527&lt;&gt;""),CONCATENATE(VLOOKUP(N526,[2]zawodnicy!$A$1:$E$65536,1,FALSE)," ",VLOOKUP(N526,[2]zawodnicy!$A$1:$E$65536,2,FALSE)," ",VLOOKUP(N526,[2]zawodnicy!$A$1:$E$65536,3,FALSE)," - ",VLOOKUP(N526,[2]zawodnicy!$A$1:$E$65536,4,FALSE)),"")</f>
        <v/>
      </c>
      <c r="V525" s="245"/>
      <c r="W525" s="246"/>
      <c r="X525" s="30"/>
      <c r="Y525" s="31" t="str">
        <f>IF(SUM(AO530:AP530)=0,"",AO530&amp;":"&amp;AP530)</f>
        <v>21:9</v>
      </c>
      <c r="Z525" s="32" t="str">
        <f>IF(SUM(AO528:AP528)=0,"",AO528&amp;":"&amp;AP528)</f>
        <v>12:21</v>
      </c>
      <c r="AA525" s="270" t="str">
        <f>IF(SUM(AY528:BB528)=0,"",BE528&amp;":"&amp;BF528)</f>
        <v>64:65</v>
      </c>
      <c r="AB525" s="271" t="str">
        <f>IF(SUM(AY528:BB528)=0,"",BG528&amp;":"&amp;BH528)</f>
        <v>2:2</v>
      </c>
      <c r="AC525" s="271" t="str">
        <f>IF(SUM(AY528:BB528)=0,"",BI528&amp;":"&amp;BJ528)</f>
        <v>1:1</v>
      </c>
      <c r="AD525" s="272">
        <f>IF(SUM(BI528:BI530)&gt;0,BK528,"")</f>
        <v>2</v>
      </c>
      <c r="AE525" s="2"/>
      <c r="AF525" s="12"/>
      <c r="AG525" s="12"/>
      <c r="AH525" s="14"/>
      <c r="AI525" s="273" t="s">
        <v>9</v>
      </c>
      <c r="AJ525" s="273"/>
      <c r="AK525" s="273"/>
      <c r="AL525" s="273"/>
      <c r="AM525" s="273"/>
      <c r="AN525" s="273"/>
      <c r="AO525" s="273" t="s">
        <v>10</v>
      </c>
      <c r="AP525" s="273"/>
      <c r="AQ525" s="273"/>
      <c r="AR525" s="273"/>
      <c r="AS525" s="273"/>
      <c r="AT525" s="273"/>
      <c r="BK525" s="19"/>
      <c r="BL525" s="20"/>
    </row>
    <row r="526" spans="1:64" ht="11.45" customHeight="1" thickBot="1" x14ac:dyDescent="0.25">
      <c r="I526" s="2" t="str">
        <f>"1"&amp;O524&amp;N525</f>
        <v>14pojedyncza chłopców JM</v>
      </c>
      <c r="J526" s="10" t="str">
        <f>IF(AD525="","",IF(AD525=1,N526,IF(AD528=1,N529,IF(AD531=1,N532,""))))</f>
        <v>X56</v>
      </c>
      <c r="K526" s="10">
        <f>IF(AD525="","",IF(AD525=1,N527,IF(AD528=1,N530,IF(AD531=1,N533,""))))</f>
        <v>0</v>
      </c>
      <c r="L526" s="10"/>
      <c r="N526" s="33" t="s">
        <v>115</v>
      </c>
      <c r="O526" s="34">
        <f>IF(O524&gt;0,(O524&amp;1)*1,"")</f>
        <v>41</v>
      </c>
      <c r="Q526" s="274"/>
      <c r="R526" s="274"/>
      <c r="S526" s="275"/>
      <c r="T526" s="242"/>
      <c r="U526" s="244" t="str">
        <f>IF(AND(N526&lt;&gt;"",N527=""),CONCATENATE(VLOOKUP(N526,[2]zawodnicy!$A$1:$E$65536,1,FALSE)," ",VLOOKUP(N526,[2]zawodnicy!$A$1:$E$65536,2,FALSE)," ",VLOOKUP(N526,[2]zawodnicy!$A$1:$E$65536,3,FALSE)," - ",VLOOKUP(N526,[2]zawodnicy!$A$1:$E$65536,4,FALSE)),"")</f>
        <v>M4225 Bartosz MARKIEWICZ - MLKS Solec Kuj.</v>
      </c>
      <c r="V526" s="245"/>
      <c r="W526" s="246"/>
      <c r="X526" s="35"/>
      <c r="Y526" s="36" t="str">
        <f>IF(SUM(AQ530:AR530)=0,"",AQ530&amp;":"&amp;AR530)</f>
        <v>21:14</v>
      </c>
      <c r="Z526" s="37" t="str">
        <f>IF(SUM(AQ528:AR528)=0,"",AQ528&amp;":"&amp;AR528)</f>
        <v>10:21</v>
      </c>
      <c r="AA526" s="248"/>
      <c r="AB526" s="251"/>
      <c r="AC526" s="251"/>
      <c r="AD526" s="254"/>
      <c r="AE526" s="2"/>
      <c r="AF526" s="12"/>
      <c r="AG526" s="12"/>
      <c r="AH526" s="14"/>
      <c r="BE526" s="19">
        <f>SUM(BE528:BE530)</f>
        <v>182</v>
      </c>
      <c r="BF526" s="19">
        <f>SUM(BF528:BF530)</f>
        <v>182</v>
      </c>
      <c r="BG526" s="19">
        <f>SUM(BG528:BG530)</f>
        <v>6</v>
      </c>
      <c r="BH526" s="19">
        <f>SUM(BH528:BH530)</f>
        <v>6</v>
      </c>
      <c r="BK526" s="19"/>
      <c r="BL526" s="20"/>
    </row>
    <row r="527" spans="1:64" ht="11.45" customHeight="1" thickBot="1" x14ac:dyDescent="0.25">
      <c r="J527" s="10"/>
      <c r="K527" s="28"/>
      <c r="L527" s="28"/>
      <c r="N527" s="38"/>
      <c r="O527" s="28"/>
      <c r="P527" s="28"/>
      <c r="Q527" s="274"/>
      <c r="R527" s="274"/>
      <c r="S527" s="275"/>
      <c r="T527" s="261"/>
      <c r="U527" s="265" t="str">
        <f>IF(N527&lt;&gt;"",CONCATENATE(VLOOKUP(N527,[2]zawodnicy!$A$1:$E$65536,1,FALSE)," ",VLOOKUP(N527,[2]zawodnicy!$A$1:$E$65536,2,FALSE)," ",VLOOKUP(N527,[2]zawodnicy!$A$1:$E$65536,3,FALSE)," - ",VLOOKUP(N527,[2]zawodnicy!$A$1:$E$65536,4,FALSE)),"")</f>
        <v/>
      </c>
      <c r="V527" s="266"/>
      <c r="W527" s="267"/>
      <c r="X527" s="35"/>
      <c r="Y527" s="39" t="str">
        <f>IF(SUM(AS530:AT530)=0,"",AS530&amp;":"&amp;AT530)</f>
        <v/>
      </c>
      <c r="Z527" s="40" t="str">
        <f>IF(SUM(AS528:AT528)=0,"",AS528&amp;":"&amp;AT528)</f>
        <v/>
      </c>
      <c r="AA527" s="262"/>
      <c r="AB527" s="263"/>
      <c r="AC527" s="263"/>
      <c r="AD527" s="264"/>
      <c r="AE527" s="2"/>
      <c r="AF527" s="12"/>
      <c r="AG527" s="12"/>
      <c r="AH527" s="14"/>
      <c r="AI527" s="259" t="s">
        <v>12</v>
      </c>
      <c r="AJ527" s="269"/>
      <c r="AK527" s="268" t="s">
        <v>13</v>
      </c>
      <c r="AL527" s="269"/>
      <c r="AM527" s="268" t="s">
        <v>14</v>
      </c>
      <c r="AN527" s="260"/>
      <c r="AO527" s="259" t="s">
        <v>12</v>
      </c>
      <c r="AP527" s="269"/>
      <c r="AQ527" s="268" t="s">
        <v>13</v>
      </c>
      <c r="AR527" s="269"/>
      <c r="AS527" s="268" t="s">
        <v>14</v>
      </c>
      <c r="AT527" s="269"/>
      <c r="AU527" s="12"/>
      <c r="AV527" s="12"/>
      <c r="AW527" s="259">
        <v>1</v>
      </c>
      <c r="AX527" s="269"/>
      <c r="AY527" s="268">
        <v>2</v>
      </c>
      <c r="AZ527" s="269"/>
      <c r="BA527" s="268">
        <v>3</v>
      </c>
      <c r="BB527" s="260"/>
      <c r="BE527" s="259" t="s">
        <v>3</v>
      </c>
      <c r="BF527" s="260"/>
      <c r="BG527" s="259" t="s">
        <v>4</v>
      </c>
      <c r="BH527" s="260"/>
      <c r="BI527" s="259" t="s">
        <v>5</v>
      </c>
      <c r="BJ527" s="260"/>
      <c r="BK527" s="41" t="s">
        <v>6</v>
      </c>
      <c r="BL527" s="20"/>
    </row>
    <row r="528" spans="1:64" ht="11.45" customHeight="1" x14ac:dyDescent="0.2">
      <c r="A528" s="19">
        <f>S528</f>
        <v>30</v>
      </c>
      <c r="B528" s="2" t="str">
        <f>IF(N526="","",N526)</f>
        <v>M4225</v>
      </c>
      <c r="C528" s="2" t="str">
        <f>IF(N527="","",N527)</f>
        <v/>
      </c>
      <c r="D528" s="2" t="str">
        <f>IF(N532="","",N532)</f>
        <v>X56</v>
      </c>
      <c r="E528" s="2" t="str">
        <f>IF(N533="","",N533)</f>
        <v/>
      </c>
      <c r="I528" s="2" t="str">
        <f>"2"&amp;O524&amp;N525</f>
        <v>24pojedyncza chłopców JM</v>
      </c>
      <c r="J528" s="10" t="str">
        <f>IF(AD528="","",IF(AD525=2,N526,IF(AD528=2,N529,IF(AD531=2,N532,""))))</f>
        <v>M4225</v>
      </c>
      <c r="K528" s="10">
        <f>IF(AD528="","",IF(AD525=2,N527,IF(AD528=2,N530,IF(AD531=2,N533,""))))</f>
        <v>0</v>
      </c>
      <c r="M528" s="42" t="str">
        <f>N525</f>
        <v>pojedyncza chłopców JM</v>
      </c>
      <c r="O528" s="28"/>
      <c r="P528" s="28"/>
      <c r="Q528" s="43" t="str">
        <f>IF(AU528&gt;0,"",IF(A528=0,"",IF(VLOOKUP(A528,'[2]plan gier'!A$1:S$65536,19,FALSE)="","",VLOOKUP(A528,'[2]plan gier'!A$1:S$65536,19,FALSE))))</f>
        <v/>
      </c>
      <c r="R528" s="44" t="s">
        <v>15</v>
      </c>
      <c r="S528" s="45">
        <v>30</v>
      </c>
      <c r="T528" s="241">
        <v>2</v>
      </c>
      <c r="U528" s="244" t="str">
        <f>IF(AND(N529&lt;&gt;"",N530&lt;&gt;""),CONCATENATE(VLOOKUP(N529,[2]zawodnicy!$A$1:$E$65536,1,FALSE)," ",VLOOKUP(N529,[2]zawodnicy!$A$1:$E$65536,2,FALSE)," ",VLOOKUP(N529,[2]zawodnicy!$A$1:$E$65536,3,FALSE)," - ",VLOOKUP(N529,[2]zawodnicy!$A$1:$E$65536,4,FALSE)),"")</f>
        <v/>
      </c>
      <c r="V528" s="245"/>
      <c r="W528" s="246"/>
      <c r="X528" s="46" t="str">
        <f>IF(SUM(AO530:AP530)=0,"",AP530&amp;":"&amp;AO530)</f>
        <v>9:21</v>
      </c>
      <c r="Y528" s="47"/>
      <c r="Z528" s="48" t="str">
        <f>IF(SUM(AO529:AP529)=0,"",AO529&amp;":"&amp;AP529)</f>
        <v>8:21</v>
      </c>
      <c r="AA528" s="247" t="str">
        <f>IF(SUM(AW529:AX529,BA529:BB529)=0,"",BE529&amp;":"&amp;BF529)</f>
        <v>34:84</v>
      </c>
      <c r="AB528" s="250" t="str">
        <f>IF(SUM(AW529:AX529,BA529:BB529)=0,"",BG529&amp;":"&amp;BH529)</f>
        <v>0:4</v>
      </c>
      <c r="AC528" s="250" t="str">
        <f>IF(SUM(AW529:AX529,BA529:BB529)=0,"",BI529&amp;":"&amp;BJ529)</f>
        <v>0:2</v>
      </c>
      <c r="AD528" s="253">
        <f>IF(SUM(BI528:BI530)&gt;0,BK529,"")</f>
        <v>3</v>
      </c>
      <c r="AE528" s="2"/>
      <c r="AF528" s="12"/>
      <c r="AG528" s="12"/>
      <c r="AH528" s="44" t="s">
        <v>15</v>
      </c>
      <c r="AI528" s="49">
        <f>IF(ISBLANK(S528),"",VLOOKUP(S528,'[2]plan gier'!$X$1:$AN$65536,12,FALSE))</f>
        <v>12</v>
      </c>
      <c r="AJ528" s="50">
        <f>IF(ISBLANK(S528),"",VLOOKUP(S528,'[2]plan gier'!$X$1:$AN$65536,13,FALSE))</f>
        <v>21</v>
      </c>
      <c r="AK528" s="50">
        <f>IF(ISBLANK(S528),"",VLOOKUP(S528,'[2]plan gier'!$X$1:$AN$65536,14,FALSE))</f>
        <v>10</v>
      </c>
      <c r="AL528" s="50">
        <f>IF(ISBLANK(S528),"",VLOOKUP(S528,'[2]plan gier'!$X$1:$AN$65536,15,FALSE))</f>
        <v>21</v>
      </c>
      <c r="AM528" s="50">
        <f>IF(ISBLANK(S528),"",VLOOKUP(S528,'[2]plan gier'!$X$1:$AN$65536,16,FALSE))</f>
        <v>0</v>
      </c>
      <c r="AN528" s="50">
        <f>IF(ISBLANK(S528),"",VLOOKUP(S528,'[2]plan gier'!$X$1:$AN$65536,17,FALSE))</f>
        <v>0</v>
      </c>
      <c r="AO528" s="51">
        <f t="shared" ref="AO528:AT530" si="47">IF(AI528="",0,AI528)</f>
        <v>12</v>
      </c>
      <c r="AP528" s="52">
        <f t="shared" si="47"/>
        <v>21</v>
      </c>
      <c r="AQ528" s="53">
        <f t="shared" si="47"/>
        <v>10</v>
      </c>
      <c r="AR528" s="52">
        <f t="shared" si="47"/>
        <v>21</v>
      </c>
      <c r="AS528" s="53">
        <f t="shared" si="47"/>
        <v>0</v>
      </c>
      <c r="AT528" s="52">
        <f t="shared" si="47"/>
        <v>0</v>
      </c>
      <c r="AU528" s="54">
        <f>SUM(AO528:AT528)</f>
        <v>64</v>
      </c>
      <c r="AV528" s="13">
        <v>1</v>
      </c>
      <c r="AW528" s="55"/>
      <c r="AX528" s="56"/>
      <c r="AY528" s="50">
        <f>IF(AI530&gt;AJ530,1,0)+IF(AK530&gt;AL530,1,0)+IF(AM530&gt;AN530,1,0)</f>
        <v>2</v>
      </c>
      <c r="AZ528" s="50">
        <f>AW529</f>
        <v>0</v>
      </c>
      <c r="BA528" s="50">
        <f>IF(AI528&gt;AJ528,1,0)+IF(AK528&gt;AL528,1,0)+IF(AM528&gt;AN528,1,0)</f>
        <v>0</v>
      </c>
      <c r="BB528" s="57">
        <f>AW530</f>
        <v>2</v>
      </c>
      <c r="BE528" s="49">
        <f>AO528+AQ528+AS528+AO530+AQ530+AS530</f>
        <v>64</v>
      </c>
      <c r="BF528" s="57">
        <f>AP528+AR528+AT528+AP530+AR530+AT530</f>
        <v>65</v>
      </c>
      <c r="BG528" s="49">
        <f>AY528+BA528</f>
        <v>2</v>
      </c>
      <c r="BH528" s="57">
        <f>AZ528+BB528</f>
        <v>2</v>
      </c>
      <c r="BI528" s="49">
        <f>IF(AY528&gt;AZ528,1,0)+IF(BA528&gt;BB528,1,0)</f>
        <v>1</v>
      </c>
      <c r="BJ528" s="58">
        <f>IF(AZ528&gt;AY528,1,0)+IF(BB528&gt;BA528,1,0)</f>
        <v>1</v>
      </c>
      <c r="BK528" s="59">
        <f>IF(BI528+BJ528=0,"",IF(BL528=MAX(BL528:BL530),1,IF(BL528=MIN(BL528:BL530),3,2)))</f>
        <v>2</v>
      </c>
      <c r="BL528" s="60">
        <f>IF(BI528+BJ528&lt;&gt;0,BI528+1+(BG528-BH528)/100+(BE528-BF528)/100000+(BE528/BF528)/1000000,0)</f>
        <v>1.9999909846153845</v>
      </c>
    </row>
    <row r="529" spans="1:64" ht="11.45" customHeight="1" x14ac:dyDescent="0.2">
      <c r="A529" s="19">
        <f>S529</f>
        <v>95</v>
      </c>
      <c r="B529" s="2" t="str">
        <f>IF(N529="","",N529)</f>
        <v>J5591</v>
      </c>
      <c r="C529" s="2" t="str">
        <f>IF(N530="","",N530)</f>
        <v/>
      </c>
      <c r="D529" s="2" t="str">
        <f>IF(N532="","",N532)</f>
        <v>X56</v>
      </c>
      <c r="E529" s="2" t="str">
        <f>IF(N533="","",N533)</f>
        <v/>
      </c>
      <c r="J529" s="10"/>
      <c r="K529" s="19"/>
      <c r="M529" s="42" t="str">
        <f>N525</f>
        <v>pojedyncza chłopców JM</v>
      </c>
      <c r="N529" s="33" t="s">
        <v>116</v>
      </c>
      <c r="O529" s="34">
        <f>IF(O524&gt;0,(O524&amp;2)*1,"")</f>
        <v>42</v>
      </c>
      <c r="Q529" s="43" t="str">
        <f>IF(AU529&gt;0,"",IF(A529=0,"",IF(VLOOKUP(A529,'[2]plan gier'!A$1:S$65536,19,FALSE)="","",VLOOKUP(A529,'[2]plan gier'!A$1:S$65536,19,FALSE))))</f>
        <v/>
      </c>
      <c r="R529" s="44" t="s">
        <v>17</v>
      </c>
      <c r="S529" s="45">
        <v>95</v>
      </c>
      <c r="T529" s="242"/>
      <c r="U529" s="244" t="str">
        <f>IF(AND(N529&lt;&gt;"",N530=""),CONCATENATE(VLOOKUP(N529,[2]zawodnicy!$A$1:$E$65536,1,FALSE)," ",VLOOKUP(N529,[2]zawodnicy!$A$1:$E$65536,2,FALSE)," ",VLOOKUP(N529,[2]zawodnicy!$A$1:$E$65536,3,FALSE)," - ",VLOOKUP(N529,[2]zawodnicy!$A$1:$E$65536,4,FALSE)),"")</f>
        <v>J5591 Łukasz JABŁOŃSKI - KSR Wolant Łódź</v>
      </c>
      <c r="V529" s="245"/>
      <c r="W529" s="246"/>
      <c r="X529" s="61" t="str">
        <f>IF(SUM(AQ530:AR530)=0,"",AR530&amp;":"&amp;AQ530)</f>
        <v>14:21</v>
      </c>
      <c r="Y529" s="62"/>
      <c r="Z529" s="37" t="str">
        <f>IF(SUM(AQ529:AR529)=0,"",AQ529&amp;":"&amp;AR529)</f>
        <v>3:21</v>
      </c>
      <c r="AA529" s="248"/>
      <c r="AB529" s="251"/>
      <c r="AC529" s="251"/>
      <c r="AD529" s="254"/>
      <c r="AE529" s="2"/>
      <c r="AF529" s="12"/>
      <c r="AG529" s="12"/>
      <c r="AH529" s="44" t="s">
        <v>17</v>
      </c>
      <c r="AI529" s="63">
        <f>IF(ISBLANK(S529),"",VLOOKUP(S529,'[2]plan gier'!$X$1:$AN$65536,12,FALSE))</f>
        <v>8</v>
      </c>
      <c r="AJ529" s="64">
        <f>IF(ISBLANK(S529),"",VLOOKUP(S529,'[2]plan gier'!$X$1:$AN$65536,13,FALSE))</f>
        <v>21</v>
      </c>
      <c r="AK529" s="64">
        <f>IF(ISBLANK(S529),"",VLOOKUP(S529,'[2]plan gier'!$X$1:$AN$65536,14,FALSE))</f>
        <v>3</v>
      </c>
      <c r="AL529" s="64">
        <f>IF(ISBLANK(S529),"",VLOOKUP(S529,'[2]plan gier'!$X$1:$AN$65536,15,FALSE))</f>
        <v>21</v>
      </c>
      <c r="AM529" s="64">
        <f>IF(ISBLANK(S529),"",VLOOKUP(S529,'[2]plan gier'!$X$1:$AN$65536,16,FALSE))</f>
        <v>0</v>
      </c>
      <c r="AN529" s="64">
        <f>IF(ISBLANK(S529),"",VLOOKUP(S529,'[2]plan gier'!$X$1:$AN$65536,17,FALSE))</f>
        <v>0</v>
      </c>
      <c r="AO529" s="65">
        <f t="shared" si="47"/>
        <v>8</v>
      </c>
      <c r="AP529" s="64">
        <f t="shared" si="47"/>
        <v>21</v>
      </c>
      <c r="AQ529" s="66">
        <f t="shared" si="47"/>
        <v>3</v>
      </c>
      <c r="AR529" s="64">
        <f t="shared" si="47"/>
        <v>21</v>
      </c>
      <c r="AS529" s="66">
        <f t="shared" si="47"/>
        <v>0</v>
      </c>
      <c r="AT529" s="64">
        <f t="shared" si="47"/>
        <v>0</v>
      </c>
      <c r="AU529" s="54">
        <f>SUM(AO529:AT529)</f>
        <v>53</v>
      </c>
      <c r="AV529" s="13">
        <v>2</v>
      </c>
      <c r="AW529" s="63">
        <f>IF(AI530&lt;AJ530,1,0)+IF(AK530&lt;AL530,1,0)+IF(AM530&lt;AN530,1,0)</f>
        <v>0</v>
      </c>
      <c r="AX529" s="64">
        <f>AY528</f>
        <v>2</v>
      </c>
      <c r="AY529" s="67"/>
      <c r="AZ529" s="68"/>
      <c r="BA529" s="64">
        <f>IF(AI529&gt;AJ529,1,0)+IF(AK529&gt;AL529,1,0)+IF(AM529&gt;AN529,1,0)</f>
        <v>0</v>
      </c>
      <c r="BB529" s="69">
        <f>AY530</f>
        <v>2</v>
      </c>
      <c r="BE529" s="63">
        <f>AO529+AQ529+AS529+AP530+AR530+AT530</f>
        <v>34</v>
      </c>
      <c r="BF529" s="69">
        <f>AP529+AR529+AT529+AO530+AQ530+AS530</f>
        <v>84</v>
      </c>
      <c r="BG529" s="63">
        <f>AW529+BA529</f>
        <v>0</v>
      </c>
      <c r="BH529" s="69">
        <f>AX529+BB529</f>
        <v>4</v>
      </c>
      <c r="BI529" s="63">
        <f>IF(AW529&gt;AX529,1,0)+IF(BA529&gt;BB529,1,0)</f>
        <v>0</v>
      </c>
      <c r="BJ529" s="70">
        <f>IF(AX529&gt;AW529,1,0)+IF(BB529&gt;BA529,1,0)</f>
        <v>2</v>
      </c>
      <c r="BK529" s="71">
        <f>IF(BI529+BJ529=0,"",IF(BL529=MAX(BL528:BL530),1,IF(BL529=MIN(BL528:BL530),3,2)))</f>
        <v>3</v>
      </c>
      <c r="BL529" s="60">
        <f>IF(BI529+BJ529&lt;&gt;0,BI529+1+(BG529-BH529)/100+(BE529-BF529)/100000+(BE529/BF529)/1000000,0)</f>
        <v>0.95950040476190479</v>
      </c>
    </row>
    <row r="530" spans="1:64" ht="11.45" customHeight="1" thickBot="1" x14ac:dyDescent="0.25">
      <c r="A530" s="19">
        <f>S530</f>
        <v>160</v>
      </c>
      <c r="B530" s="2" t="str">
        <f>IF(N526="","",N526)</f>
        <v>M4225</v>
      </c>
      <c r="C530" s="2" t="str">
        <f>IF(N527="","",N527)</f>
        <v/>
      </c>
      <c r="D530" s="2" t="str">
        <f>IF(N529="","",N529)</f>
        <v>J5591</v>
      </c>
      <c r="E530" s="2" t="str">
        <f>IF(N530="","",N530)</f>
        <v/>
      </c>
      <c r="I530" s="2" t="str">
        <f>"3"&amp;O524&amp;N525</f>
        <v>34pojedyncza chłopców JM</v>
      </c>
      <c r="J530" s="10" t="str">
        <f>IF(AD531="","",IF(AD525=3,N526,IF(AD528=3,N529,IF(AD531=3,N532,""))))</f>
        <v>J5591</v>
      </c>
      <c r="K530" s="10">
        <f>IF(AD531="","",IF(AD525=3,N527,IF(AD528=3,N530,IF(AD531=3,N533,""))))</f>
        <v>0</v>
      </c>
      <c r="M530" s="42" t="str">
        <f>N525</f>
        <v>pojedyncza chłopców JM</v>
      </c>
      <c r="N530" s="38"/>
      <c r="O530" s="28"/>
      <c r="P530" s="28"/>
      <c r="Q530" s="43" t="str">
        <f>IF(AU530&gt;0,"",IF(A530=0,"",IF(VLOOKUP(A530,'[2]plan gier'!A$1:S$65536,19,FALSE)="","",VLOOKUP(A530,'[2]plan gier'!A$1:S$65536,19,FALSE))))</f>
        <v/>
      </c>
      <c r="R530" s="72" t="s">
        <v>18</v>
      </c>
      <c r="S530" s="45">
        <v>160</v>
      </c>
      <c r="T530" s="261"/>
      <c r="U530" s="265" t="str">
        <f>IF(N530&lt;&gt;"",CONCATENATE(VLOOKUP(N530,[2]zawodnicy!$A$1:$E$65536,1,FALSE)," ",VLOOKUP(N530,[2]zawodnicy!$A$1:$E$65536,2,FALSE)," ",VLOOKUP(N530,[2]zawodnicy!$A$1:$E$65536,3,FALSE)," - ",VLOOKUP(N530,[2]zawodnicy!$A$1:$E$65536,4,FALSE)),"")</f>
        <v/>
      </c>
      <c r="V530" s="266"/>
      <c r="W530" s="267"/>
      <c r="X530" s="73" t="str">
        <f>IF(SUM(AS530:AT530)=0,"",AT530&amp;":"&amp;AS530)</f>
        <v/>
      </c>
      <c r="Y530" s="62"/>
      <c r="Z530" s="40" t="str">
        <f>IF(SUM(AS529:AT529)=0,"",AS529&amp;":"&amp;AT529)</f>
        <v/>
      </c>
      <c r="AA530" s="262"/>
      <c r="AB530" s="263"/>
      <c r="AC530" s="263"/>
      <c r="AD530" s="264"/>
      <c r="AE530" s="2"/>
      <c r="AF530" s="12"/>
      <c r="AG530" s="12"/>
      <c r="AH530" s="72" t="s">
        <v>18</v>
      </c>
      <c r="AI530" s="74">
        <f>IF(ISBLANK(S530),"",VLOOKUP(S530,'[2]plan gier'!$X$1:$AN$65536,12,FALSE))</f>
        <v>21</v>
      </c>
      <c r="AJ530" s="75">
        <f>IF(ISBLANK(S530),"",VLOOKUP(S530,'[2]plan gier'!$X$1:$AN$65536,13,FALSE))</f>
        <v>9</v>
      </c>
      <c r="AK530" s="75">
        <f>IF(ISBLANK(S530),"",VLOOKUP(S530,'[2]plan gier'!$X$1:$AN$65536,14,FALSE))</f>
        <v>21</v>
      </c>
      <c r="AL530" s="75">
        <f>IF(ISBLANK(S530),"",VLOOKUP(S530,'[2]plan gier'!$X$1:$AN$65536,15,FALSE))</f>
        <v>14</v>
      </c>
      <c r="AM530" s="75">
        <f>IF(ISBLANK(S530),"",VLOOKUP(S530,'[2]plan gier'!$X$1:$AN$65536,16,FALSE))</f>
        <v>0</v>
      </c>
      <c r="AN530" s="75">
        <f>IF(ISBLANK(S530),"",VLOOKUP(S530,'[2]plan gier'!$X$1:$AN$65536,17,FALSE))</f>
        <v>0</v>
      </c>
      <c r="AO530" s="76">
        <f t="shared" si="47"/>
        <v>21</v>
      </c>
      <c r="AP530" s="75">
        <f t="shared" si="47"/>
        <v>9</v>
      </c>
      <c r="AQ530" s="77">
        <f t="shared" si="47"/>
        <v>21</v>
      </c>
      <c r="AR530" s="75">
        <f t="shared" si="47"/>
        <v>14</v>
      </c>
      <c r="AS530" s="77">
        <f t="shared" si="47"/>
        <v>0</v>
      </c>
      <c r="AT530" s="75">
        <f t="shared" si="47"/>
        <v>0</v>
      </c>
      <c r="AU530" s="54">
        <f>SUM(AO530:AT530)</f>
        <v>65</v>
      </c>
      <c r="AV530" s="13">
        <v>3</v>
      </c>
      <c r="AW530" s="74">
        <f>IF(AI528&lt;AJ528,1,0)+IF(AK528&lt;AL528,1,0)+IF(AM528&lt;AN528,1,0)</f>
        <v>2</v>
      </c>
      <c r="AX530" s="75">
        <f>BA528</f>
        <v>0</v>
      </c>
      <c r="AY530" s="75">
        <f>IF(AI529&lt;AJ529,1,0)+IF(AK529&lt;AL529,1,0)+IF(AM529&lt;AN529,1,0)</f>
        <v>2</v>
      </c>
      <c r="AZ530" s="75">
        <f>BA529</f>
        <v>0</v>
      </c>
      <c r="BA530" s="78"/>
      <c r="BB530" s="79"/>
      <c r="BE530" s="74">
        <f>AP528+AR528+AT528+AP529+AR529+AT529</f>
        <v>84</v>
      </c>
      <c r="BF530" s="80">
        <f>AO528+AQ528+AS528+AO529+AQ529+AS529</f>
        <v>33</v>
      </c>
      <c r="BG530" s="74">
        <f>AW530+AY530</f>
        <v>4</v>
      </c>
      <c r="BH530" s="80">
        <f>AX530+AZ530</f>
        <v>0</v>
      </c>
      <c r="BI530" s="74">
        <f>IF(AW530&gt;AX530,1,0)+IF(AY530&gt;AZ530,1,0)</f>
        <v>2</v>
      </c>
      <c r="BJ530" s="81">
        <f>IF(AX530&gt;AW530,1,0)+IF(AZ530&gt;AY530,1,0)</f>
        <v>0</v>
      </c>
      <c r="BK530" s="82">
        <f>IF(BI530+BJ530=0,"",IF(BL530=MAX(BL528:BL530),1,IF(BL530=MIN(BL528:BL530),3,2)))</f>
        <v>1</v>
      </c>
      <c r="BL530" s="60">
        <f>IF(BI530+BJ530&lt;&gt;0,BI530+1+(BG530-BH530)/100+(BE530-BF530)/100000+(BE530/BF530)/1000000,0)</f>
        <v>3.0405125454545452</v>
      </c>
    </row>
    <row r="531" spans="1:64" ht="11.45" customHeight="1" x14ac:dyDescent="0.2">
      <c r="A531" s="2"/>
      <c r="J531" s="28"/>
      <c r="K531" s="28"/>
      <c r="L531" s="28"/>
      <c r="O531" s="28"/>
      <c r="P531" s="28"/>
      <c r="Q531" s="2"/>
      <c r="R531" s="2"/>
      <c r="S531" s="2"/>
      <c r="T531" s="241">
        <v>3</v>
      </c>
      <c r="U531" s="244" t="str">
        <f>IF(AND(N532&lt;&gt;"",N533&lt;&gt;""),CONCATENATE(VLOOKUP(N532,[2]zawodnicy!$A$1:$E$65536,1,FALSE)," ",VLOOKUP(N532,[2]zawodnicy!$A$1:$E$65536,2,FALSE)," ",VLOOKUP(N532,[2]zawodnicy!$A$1:$E$65536,3,FALSE)," - ",VLOOKUP(N532,[2]zawodnicy!$A$1:$E$65536,4,FALSE)),"")</f>
        <v/>
      </c>
      <c r="V531" s="245"/>
      <c r="W531" s="246"/>
      <c r="X531" s="46" t="str">
        <f>IF(SUM(AO528:AP528)=0,"",AP528&amp;":"&amp;AO528)</f>
        <v>21:12</v>
      </c>
      <c r="Y531" s="83" t="str">
        <f>IF(SUM(AO529:AP529)=0,"",AP529&amp;":"&amp;AO529)</f>
        <v>21:8</v>
      </c>
      <c r="Z531" s="84"/>
      <c r="AA531" s="247" t="str">
        <f>IF(SUM(AW530:AZ530)=0,"",BE530&amp;":"&amp;BF530)</f>
        <v>84:33</v>
      </c>
      <c r="AB531" s="250" t="str">
        <f>IF(SUM(AW530:AZ530)=0,"",BG530&amp;":"&amp;BH530)</f>
        <v>4:0</v>
      </c>
      <c r="AC531" s="250" t="str">
        <f>IF(SUM(AW530:AZ530)=0,"",BI530&amp;":"&amp;BJ530)</f>
        <v>2:0</v>
      </c>
      <c r="AD531" s="253">
        <f>IF(SUM(BI528:BI530)&gt;0,BK530,"")</f>
        <v>1</v>
      </c>
      <c r="AE531" s="2"/>
      <c r="AF531" s="12"/>
      <c r="AG531" s="12"/>
      <c r="BE531" s="19">
        <f>SUM(BE528:BE530)</f>
        <v>182</v>
      </c>
      <c r="BF531" s="19">
        <f>SUM(BF528:BF530)</f>
        <v>182</v>
      </c>
      <c r="BG531" s="19">
        <f>SUM(BG528:BG530)</f>
        <v>6</v>
      </c>
      <c r="BH531" s="19">
        <f>SUM(BH528:BH530)</f>
        <v>6</v>
      </c>
      <c r="BK531" s="19"/>
      <c r="BL531" s="20"/>
    </row>
    <row r="532" spans="1:64" ht="11.45" customHeight="1" x14ac:dyDescent="0.2">
      <c r="A532" s="19"/>
      <c r="J532" s="19"/>
      <c r="K532" s="19"/>
      <c r="L532" s="19"/>
      <c r="N532" s="33" t="s">
        <v>117</v>
      </c>
      <c r="O532" s="34">
        <f>IF(O524&gt;0,(O524&amp;3)*1,"")</f>
        <v>43</v>
      </c>
      <c r="Q532" s="85"/>
      <c r="R532" s="85"/>
      <c r="S532" s="85"/>
      <c r="T532" s="242"/>
      <c r="U532" s="244" t="str">
        <f>IF(AND(N532&lt;&gt;"",N533=""),CONCATENATE(VLOOKUP(N532,[2]zawodnicy!$A$1:$E$65536,1,FALSE)," ",VLOOKUP(N532,[2]zawodnicy!$A$1:$E$65536,2,FALSE)," ",VLOOKUP(N532,[2]zawodnicy!$A$1:$E$65536,3,FALSE)," - ",VLOOKUP(N532,[2]zawodnicy!$A$1:$E$65536,4,FALSE)),"")</f>
        <v>X56 Artem TKACHUK - Vinnica Ukraina</v>
      </c>
      <c r="V532" s="245"/>
      <c r="W532" s="246"/>
      <c r="X532" s="61" t="str">
        <f>IF(SUM(AQ528:AR528)=0,"",AR528&amp;":"&amp;AQ528)</f>
        <v>21:10</v>
      </c>
      <c r="Y532" s="36" t="str">
        <f>IF(SUM(AQ529:AR529)=0,"",AR529&amp;":"&amp;AQ529)</f>
        <v>21:3</v>
      </c>
      <c r="Z532" s="86"/>
      <c r="AA532" s="248"/>
      <c r="AB532" s="251"/>
      <c r="AC532" s="251"/>
      <c r="AD532" s="254"/>
      <c r="AE532" s="2"/>
      <c r="AF532" s="12"/>
      <c r="AG532" s="1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row>
    <row r="533" spans="1:64" ht="11.45" customHeight="1" thickBot="1" x14ac:dyDescent="0.25">
      <c r="A533" s="2"/>
      <c r="J533" s="28"/>
      <c r="K533" s="28"/>
      <c r="L533" s="28"/>
      <c r="N533" s="38"/>
      <c r="O533" s="28"/>
      <c r="P533" s="28"/>
      <c r="Q533" s="2"/>
      <c r="R533" s="2"/>
      <c r="S533" s="2"/>
      <c r="T533" s="243"/>
      <c r="U533" s="256" t="str">
        <f>IF(N533&lt;&gt;"",CONCATENATE(VLOOKUP(N533,[2]zawodnicy!$A$1:$E$65536,1,FALSE)," ",VLOOKUP(N533,[2]zawodnicy!$A$1:$E$65536,2,FALSE)," ",VLOOKUP(N533,[2]zawodnicy!$A$1:$E$65536,3,FALSE)," - ",VLOOKUP(N533,[2]zawodnicy!$A$1:$E$65536,4,FALSE)),"")</f>
        <v/>
      </c>
      <c r="V533" s="257"/>
      <c r="W533" s="258"/>
      <c r="X533" s="87" t="str">
        <f>IF(SUM(AS528:AT528)=0,"",AT528&amp;":"&amp;AS528)</f>
        <v/>
      </c>
      <c r="Y533" s="88" t="str">
        <f>IF(SUM(AS529:AT529)=0,"",AT529&amp;":"&amp;AS529)</f>
        <v/>
      </c>
      <c r="Z533" s="89"/>
      <c r="AA533" s="249"/>
      <c r="AB533" s="252"/>
      <c r="AC533" s="252"/>
      <c r="AD533" s="255"/>
      <c r="AE533" s="10"/>
      <c r="AF533" s="12"/>
      <c r="AG533" s="1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row>
    <row r="534" spans="1:64" s="19" customFormat="1" ht="5.0999999999999996" customHeight="1" thickBot="1" x14ac:dyDescent="0.25">
      <c r="M534" s="90"/>
      <c r="O534" s="90"/>
      <c r="P534" s="90"/>
      <c r="Q534" s="91"/>
      <c r="R534" s="91"/>
      <c r="S534" s="91"/>
      <c r="T534" s="91"/>
      <c r="U534" s="5"/>
      <c r="V534" s="5"/>
      <c r="W534" s="5"/>
      <c r="AA534" s="92"/>
      <c r="AB534" s="91"/>
      <c r="AC534" s="91"/>
      <c r="AD534" s="91"/>
      <c r="AE534" s="91"/>
      <c r="AF534" s="91"/>
      <c r="AI534" s="93"/>
      <c r="AJ534" s="94"/>
      <c r="AK534" s="94"/>
    </row>
    <row r="535" spans="1:64" ht="11.45" customHeight="1" thickBot="1" x14ac:dyDescent="0.25">
      <c r="N535" s="11"/>
      <c r="O535" s="21">
        <v>5</v>
      </c>
      <c r="Q535" s="277" t="str">
        <f>"Grupa "&amp;O535&amp;"."</f>
        <v>Grupa 5.</v>
      </c>
      <c r="R535" s="277"/>
      <c r="S535" s="277"/>
      <c r="T535" s="22" t="s">
        <v>1</v>
      </c>
      <c r="U535" s="278" t="s">
        <v>2</v>
      </c>
      <c r="V535" s="279"/>
      <c r="W535" s="280"/>
      <c r="X535" s="22">
        <v>1</v>
      </c>
      <c r="Y535" s="23">
        <v>2</v>
      </c>
      <c r="Z535" s="24">
        <v>3</v>
      </c>
      <c r="AA535" s="25" t="s">
        <v>3</v>
      </c>
      <c r="AB535" s="26" t="s">
        <v>4</v>
      </c>
      <c r="AC535" s="26" t="s">
        <v>5</v>
      </c>
      <c r="AD535" s="27" t="s">
        <v>6</v>
      </c>
      <c r="AE535" s="2"/>
      <c r="AF535" s="12"/>
      <c r="AG535" s="12"/>
      <c r="BK535" s="19"/>
      <c r="BL535" s="20"/>
    </row>
    <row r="536" spans="1:64" ht="11.45" customHeight="1" x14ac:dyDescent="0.2">
      <c r="J536" s="28"/>
      <c r="K536" s="28"/>
      <c r="L536" s="28"/>
      <c r="N536" s="29" t="s">
        <v>105</v>
      </c>
      <c r="Q536" s="274" t="s">
        <v>7</v>
      </c>
      <c r="R536" s="274"/>
      <c r="S536" s="275" t="s">
        <v>8</v>
      </c>
      <c r="T536" s="276">
        <v>1</v>
      </c>
      <c r="U536" s="244" t="str">
        <f>IF(AND(N537&lt;&gt;"",N538&lt;&gt;""),CONCATENATE(VLOOKUP(N537,[2]zawodnicy!$A$1:$E$65536,1,FALSE)," ",VLOOKUP(N537,[2]zawodnicy!$A$1:$E$65536,2,FALSE)," ",VLOOKUP(N537,[2]zawodnicy!$A$1:$E$65536,3,FALSE)," - ",VLOOKUP(N537,[2]zawodnicy!$A$1:$E$65536,4,FALSE)),"")</f>
        <v/>
      </c>
      <c r="V536" s="245"/>
      <c r="W536" s="246"/>
      <c r="X536" s="30"/>
      <c r="Y536" s="31" t="str">
        <f>IF(SUM(AO541:AP541)=0,"",AO541&amp;":"&amp;AP541)</f>
        <v>10:21</v>
      </c>
      <c r="Z536" s="32" t="str">
        <f>IF(SUM(AO539:AP539)=0,"",AO539&amp;":"&amp;AP539)</f>
        <v>18:21</v>
      </c>
      <c r="AA536" s="270" t="str">
        <f>IF(SUM(AY539:BB539)=0,"",BE539&amp;":"&amp;BF539)</f>
        <v>79:90</v>
      </c>
      <c r="AB536" s="271" t="str">
        <f>IF(SUM(AY539:BB539)=0,"",BG539&amp;":"&amp;BH539)</f>
        <v>2:3</v>
      </c>
      <c r="AC536" s="271" t="str">
        <f>IF(SUM(AY539:BB539)=0,"",BI539&amp;":"&amp;BJ539)</f>
        <v>1:1</v>
      </c>
      <c r="AD536" s="272">
        <f>IF(SUM(BI539:BI541)&gt;0,BK539,"")</f>
        <v>2</v>
      </c>
      <c r="AE536" s="2"/>
      <c r="AF536" s="12"/>
      <c r="AG536" s="12"/>
      <c r="AH536" s="14"/>
      <c r="AI536" s="273" t="s">
        <v>9</v>
      </c>
      <c r="AJ536" s="273"/>
      <c r="AK536" s="273"/>
      <c r="AL536" s="273"/>
      <c r="AM536" s="273"/>
      <c r="AN536" s="273"/>
      <c r="AO536" s="273" t="s">
        <v>10</v>
      </c>
      <c r="AP536" s="273"/>
      <c r="AQ536" s="273"/>
      <c r="AR536" s="273"/>
      <c r="AS536" s="273"/>
      <c r="AT536" s="273"/>
      <c r="BK536" s="19"/>
      <c r="BL536" s="20"/>
    </row>
    <row r="537" spans="1:64" ht="11.45" customHeight="1" thickBot="1" x14ac:dyDescent="0.25">
      <c r="I537" s="2" t="str">
        <f>"1"&amp;O535&amp;N536</f>
        <v>15pojedyncza chłopców JM</v>
      </c>
      <c r="J537" s="10" t="str">
        <f>IF(AD536="","",IF(AD536=1,N537,IF(AD539=1,N540,IF(AD542=1,N543,""))))</f>
        <v>X39</v>
      </c>
      <c r="K537" s="10">
        <f>IF(AD536="","",IF(AD536=1,N538,IF(AD539=1,N541,IF(AD542=1,N544,""))))</f>
        <v>0</v>
      </c>
      <c r="L537" s="10"/>
      <c r="N537" s="33" t="s">
        <v>118</v>
      </c>
      <c r="O537" s="34">
        <f>IF(O535&gt;0,(O535&amp;1)*1,"")</f>
        <v>51</v>
      </c>
      <c r="Q537" s="274"/>
      <c r="R537" s="274"/>
      <c r="S537" s="275"/>
      <c r="T537" s="242"/>
      <c r="U537" s="244" t="str">
        <f>IF(AND(N537&lt;&gt;"",N538=""),CONCATENATE(VLOOKUP(N537,[2]zawodnicy!$A$1:$E$65536,1,FALSE)," ",VLOOKUP(N537,[2]zawodnicy!$A$1:$E$65536,2,FALSE)," ",VLOOKUP(N537,[2]zawodnicy!$A$1:$E$65536,3,FALSE)," - ",VLOOKUP(N537,[2]zawodnicy!$A$1:$E$65536,4,FALSE)),"")</f>
        <v>M3731 Jakub MOSORZEWSKI - UKS Kiko Zamość</v>
      </c>
      <c r="V537" s="245"/>
      <c r="W537" s="246"/>
      <c r="X537" s="35"/>
      <c r="Y537" s="36" t="str">
        <f>IF(SUM(AQ541:AR541)=0,"",AQ541&amp;":"&amp;AR541)</f>
        <v>9:21</v>
      </c>
      <c r="Z537" s="37" t="str">
        <f>IF(SUM(AQ539:AR539)=0,"",AQ539&amp;":"&amp;AR539)</f>
        <v>21:11</v>
      </c>
      <c r="AA537" s="248"/>
      <c r="AB537" s="251"/>
      <c r="AC537" s="251"/>
      <c r="AD537" s="254"/>
      <c r="AE537" s="2"/>
      <c r="AF537" s="12"/>
      <c r="AG537" s="12"/>
      <c r="AH537" s="14"/>
      <c r="BE537" s="19">
        <f>SUM(BE539:BE541)</f>
        <v>231</v>
      </c>
      <c r="BF537" s="19">
        <f>SUM(BF539:BF541)</f>
        <v>231</v>
      </c>
      <c r="BG537" s="19">
        <f>SUM(BG539:BG541)</f>
        <v>7</v>
      </c>
      <c r="BH537" s="19">
        <f>SUM(BH539:BH541)</f>
        <v>7</v>
      </c>
      <c r="BK537" s="19"/>
      <c r="BL537" s="20"/>
    </row>
    <row r="538" spans="1:64" ht="11.45" customHeight="1" thickBot="1" x14ac:dyDescent="0.25">
      <c r="J538" s="10"/>
      <c r="K538" s="28"/>
      <c r="L538" s="28"/>
      <c r="N538" s="38"/>
      <c r="O538" s="28"/>
      <c r="P538" s="28"/>
      <c r="Q538" s="274"/>
      <c r="R538" s="274"/>
      <c r="S538" s="275"/>
      <c r="T538" s="261"/>
      <c r="U538" s="265" t="str">
        <f>IF(N538&lt;&gt;"",CONCATENATE(VLOOKUP(N538,[2]zawodnicy!$A$1:$E$65536,1,FALSE)," ",VLOOKUP(N538,[2]zawodnicy!$A$1:$E$65536,2,FALSE)," ",VLOOKUP(N538,[2]zawodnicy!$A$1:$E$65536,3,FALSE)," - ",VLOOKUP(N538,[2]zawodnicy!$A$1:$E$65536,4,FALSE)),"")</f>
        <v/>
      </c>
      <c r="V538" s="266"/>
      <c r="W538" s="267"/>
      <c r="X538" s="35"/>
      <c r="Y538" s="39" t="str">
        <f>IF(SUM(AS541:AT541)=0,"",AS541&amp;":"&amp;AT541)</f>
        <v/>
      </c>
      <c r="Z538" s="40" t="str">
        <f>IF(SUM(AS539:AT539)=0,"",AS539&amp;":"&amp;AT539)</f>
        <v>21:16</v>
      </c>
      <c r="AA538" s="262"/>
      <c r="AB538" s="263"/>
      <c r="AC538" s="263"/>
      <c r="AD538" s="264"/>
      <c r="AE538" s="2"/>
      <c r="AF538" s="12"/>
      <c r="AG538" s="12"/>
      <c r="AH538" s="14"/>
      <c r="AI538" s="259" t="s">
        <v>12</v>
      </c>
      <c r="AJ538" s="269"/>
      <c r="AK538" s="268" t="s">
        <v>13</v>
      </c>
      <c r="AL538" s="269"/>
      <c r="AM538" s="268" t="s">
        <v>14</v>
      </c>
      <c r="AN538" s="260"/>
      <c r="AO538" s="259" t="s">
        <v>12</v>
      </c>
      <c r="AP538" s="269"/>
      <c r="AQ538" s="268" t="s">
        <v>13</v>
      </c>
      <c r="AR538" s="269"/>
      <c r="AS538" s="268" t="s">
        <v>14</v>
      </c>
      <c r="AT538" s="269"/>
      <c r="AU538" s="12"/>
      <c r="AV538" s="12"/>
      <c r="AW538" s="259">
        <v>1</v>
      </c>
      <c r="AX538" s="269"/>
      <c r="AY538" s="268">
        <v>2</v>
      </c>
      <c r="AZ538" s="269"/>
      <c r="BA538" s="268">
        <v>3</v>
      </c>
      <c r="BB538" s="260"/>
      <c r="BE538" s="259" t="s">
        <v>3</v>
      </c>
      <c r="BF538" s="260"/>
      <c r="BG538" s="259" t="s">
        <v>4</v>
      </c>
      <c r="BH538" s="260"/>
      <c r="BI538" s="259" t="s">
        <v>5</v>
      </c>
      <c r="BJ538" s="260"/>
      <c r="BK538" s="41" t="s">
        <v>6</v>
      </c>
      <c r="BL538" s="20"/>
    </row>
    <row r="539" spans="1:64" ht="11.45" customHeight="1" x14ac:dyDescent="0.2">
      <c r="A539" s="19">
        <f>S539</f>
        <v>31</v>
      </c>
      <c r="B539" s="2" t="str">
        <f>IF(N537="","",N537)</f>
        <v>M3731</v>
      </c>
      <c r="C539" s="2" t="str">
        <f>IF(N538="","",N538)</f>
        <v/>
      </c>
      <c r="D539" s="2" t="str">
        <f>IF(N543="","",N543)</f>
        <v>O2779</v>
      </c>
      <c r="E539" s="2" t="str">
        <f>IF(N544="","",N544)</f>
        <v/>
      </c>
      <c r="I539" s="2" t="str">
        <f>"2"&amp;O535&amp;N536</f>
        <v>25pojedyncza chłopców JM</v>
      </c>
      <c r="J539" s="10" t="str">
        <f>IF(AD539="","",IF(AD536=2,N537,IF(AD539=2,N540,IF(AD542=2,N543,""))))</f>
        <v>M3731</v>
      </c>
      <c r="K539" s="10">
        <f>IF(AD539="","",IF(AD536=2,N538,IF(AD539=2,N541,IF(AD542=2,N544,""))))</f>
        <v>0</v>
      </c>
      <c r="M539" s="42" t="str">
        <f>N536</f>
        <v>pojedyncza chłopców JM</v>
      </c>
      <c r="O539" s="28"/>
      <c r="P539" s="28"/>
      <c r="Q539" s="43" t="str">
        <f>IF(AU539&gt;0,"",IF(A539=0,"",IF(VLOOKUP(A539,'[2]plan gier'!A$1:S$65536,19,FALSE)="","",VLOOKUP(A539,'[2]plan gier'!A$1:S$65536,19,FALSE))))</f>
        <v/>
      </c>
      <c r="R539" s="44" t="s">
        <v>15</v>
      </c>
      <c r="S539" s="45">
        <v>31</v>
      </c>
      <c r="T539" s="241">
        <v>2</v>
      </c>
      <c r="U539" s="244" t="str">
        <f>IF(AND(N540&lt;&gt;"",N541&lt;&gt;""),CONCATENATE(VLOOKUP(N540,[2]zawodnicy!$A$1:$E$65536,1,FALSE)," ",VLOOKUP(N540,[2]zawodnicy!$A$1:$E$65536,2,FALSE)," ",VLOOKUP(N540,[2]zawodnicy!$A$1:$E$65536,3,FALSE)," - ",VLOOKUP(N540,[2]zawodnicy!$A$1:$E$65536,4,FALSE)),"")</f>
        <v/>
      </c>
      <c r="V539" s="245"/>
      <c r="W539" s="246"/>
      <c r="X539" s="46" t="str">
        <f>IF(SUM(AO541:AP541)=0,"",AP541&amp;":"&amp;AO541)</f>
        <v>21:10</v>
      </c>
      <c r="Y539" s="47"/>
      <c r="Z539" s="48" t="str">
        <f>IF(SUM(AO540:AP540)=0,"",AO540&amp;":"&amp;AP540)</f>
        <v>21:13</v>
      </c>
      <c r="AA539" s="247" t="str">
        <f>IF(SUM(AW540:AX540,BA540:BB540)=0,"",BE540&amp;":"&amp;BF540)</f>
        <v>84:39</v>
      </c>
      <c r="AB539" s="250" t="str">
        <f>IF(SUM(AW540:AX540,BA540:BB540)=0,"",BG540&amp;":"&amp;BH540)</f>
        <v>4:0</v>
      </c>
      <c r="AC539" s="250" t="str">
        <f>IF(SUM(AW540:AX540,BA540:BB540)=0,"",BI540&amp;":"&amp;BJ540)</f>
        <v>2:0</v>
      </c>
      <c r="AD539" s="253">
        <f>IF(SUM(BI539:BI541)&gt;0,BK540,"")</f>
        <v>1</v>
      </c>
      <c r="AE539" s="2"/>
      <c r="AF539" s="12"/>
      <c r="AG539" s="12"/>
      <c r="AH539" s="44" t="s">
        <v>15</v>
      </c>
      <c r="AI539" s="49">
        <f>IF(ISBLANK(S539),"",VLOOKUP(S539,'[2]plan gier'!$X$1:$AN$65536,12,FALSE))</f>
        <v>18</v>
      </c>
      <c r="AJ539" s="50">
        <f>IF(ISBLANK(S539),"",VLOOKUP(S539,'[2]plan gier'!$X$1:$AN$65536,13,FALSE))</f>
        <v>21</v>
      </c>
      <c r="AK539" s="50">
        <f>IF(ISBLANK(S539),"",VLOOKUP(S539,'[2]plan gier'!$X$1:$AN$65536,14,FALSE))</f>
        <v>21</v>
      </c>
      <c r="AL539" s="50">
        <f>IF(ISBLANK(S539),"",VLOOKUP(S539,'[2]plan gier'!$X$1:$AN$65536,15,FALSE))</f>
        <v>11</v>
      </c>
      <c r="AM539" s="50">
        <f>IF(ISBLANK(S539),"",VLOOKUP(S539,'[2]plan gier'!$X$1:$AN$65536,16,FALSE))</f>
        <v>21</v>
      </c>
      <c r="AN539" s="50">
        <f>IF(ISBLANK(S539),"",VLOOKUP(S539,'[2]plan gier'!$X$1:$AN$65536,17,FALSE))</f>
        <v>16</v>
      </c>
      <c r="AO539" s="51">
        <f t="shared" ref="AO539:AT541" si="48">IF(AI539="",0,AI539)</f>
        <v>18</v>
      </c>
      <c r="AP539" s="52">
        <f t="shared" si="48"/>
        <v>21</v>
      </c>
      <c r="AQ539" s="53">
        <f t="shared" si="48"/>
        <v>21</v>
      </c>
      <c r="AR539" s="52">
        <f t="shared" si="48"/>
        <v>11</v>
      </c>
      <c r="AS539" s="53">
        <f t="shared" si="48"/>
        <v>21</v>
      </c>
      <c r="AT539" s="52">
        <f t="shared" si="48"/>
        <v>16</v>
      </c>
      <c r="AU539" s="54">
        <f>SUM(AO539:AT539)</f>
        <v>108</v>
      </c>
      <c r="AV539" s="13">
        <v>1</v>
      </c>
      <c r="AW539" s="55"/>
      <c r="AX539" s="56"/>
      <c r="AY539" s="50">
        <f>IF(AI541&gt;AJ541,1,0)+IF(AK541&gt;AL541,1,0)+IF(AM541&gt;AN541,1,0)</f>
        <v>0</v>
      </c>
      <c r="AZ539" s="50">
        <f>AW540</f>
        <v>2</v>
      </c>
      <c r="BA539" s="50">
        <f>IF(AI539&gt;AJ539,1,0)+IF(AK539&gt;AL539,1,0)+IF(AM539&gt;AN539,1,0)</f>
        <v>2</v>
      </c>
      <c r="BB539" s="57">
        <f>AW541</f>
        <v>1</v>
      </c>
      <c r="BE539" s="49">
        <f>AO539+AQ539+AS539+AO541+AQ541+AS541</f>
        <v>79</v>
      </c>
      <c r="BF539" s="57">
        <f>AP539+AR539+AT539+AP541+AR541+AT541</f>
        <v>90</v>
      </c>
      <c r="BG539" s="49">
        <f>AY539+BA539</f>
        <v>2</v>
      </c>
      <c r="BH539" s="57">
        <f>AZ539+BB539</f>
        <v>3</v>
      </c>
      <c r="BI539" s="49">
        <f>IF(AY539&gt;AZ539,1,0)+IF(BA539&gt;BB539,1,0)</f>
        <v>1</v>
      </c>
      <c r="BJ539" s="58">
        <f>IF(AZ539&gt;AY539,1,0)+IF(BB539&gt;BA539,1,0)</f>
        <v>1</v>
      </c>
      <c r="BK539" s="59">
        <f>IF(BI539+BJ539=0,"",IF(BL539=MAX(BL539:BL541),1,IF(BL539=MIN(BL539:BL541),3,2)))</f>
        <v>2</v>
      </c>
      <c r="BL539" s="60">
        <f>IF(BI539+BJ539&lt;&gt;0,BI539+1+(BG539-BH539)/100+(BE539-BF539)/100000+(BE539/BF539)/1000000,0)</f>
        <v>1.9898908777777777</v>
      </c>
    </row>
    <row r="540" spans="1:64" ht="11.45" customHeight="1" x14ac:dyDescent="0.2">
      <c r="A540" s="19">
        <f>S540</f>
        <v>96</v>
      </c>
      <c r="B540" s="2" t="str">
        <f>IF(N540="","",N540)</f>
        <v>X39</v>
      </c>
      <c r="C540" s="2" t="str">
        <f>IF(N541="","",N541)</f>
        <v/>
      </c>
      <c r="D540" s="2" t="str">
        <f>IF(N543="","",N543)</f>
        <v>O2779</v>
      </c>
      <c r="E540" s="2" t="str">
        <f>IF(N544="","",N544)</f>
        <v/>
      </c>
      <c r="J540" s="10"/>
      <c r="K540" s="19"/>
      <c r="M540" s="42" t="str">
        <f>N536</f>
        <v>pojedyncza chłopców JM</v>
      </c>
      <c r="N540" s="33" t="s">
        <v>119</v>
      </c>
      <c r="O540" s="34">
        <f>IF(O535&gt;0,(O535&amp;2)*1,"")</f>
        <v>52</v>
      </c>
      <c r="Q540" s="43" t="str">
        <f>IF(AU540&gt;0,"",IF(A540=0,"",IF(VLOOKUP(A540,'[2]plan gier'!A$1:S$65536,19,FALSE)="","",VLOOKUP(A540,'[2]plan gier'!A$1:S$65536,19,FALSE))))</f>
        <v/>
      </c>
      <c r="R540" s="44" t="s">
        <v>17</v>
      </c>
      <c r="S540" s="45">
        <v>96</v>
      </c>
      <c r="T540" s="242"/>
      <c r="U540" s="244" t="str">
        <f>IF(AND(N540&lt;&gt;"",N541=""),CONCATENATE(VLOOKUP(N540,[2]zawodnicy!$A$1:$E$65536,1,FALSE)," ",VLOOKUP(N540,[2]zawodnicy!$A$1:$E$65536,2,FALSE)," ",VLOOKUP(N540,[2]zawodnicy!$A$1:$E$65536,3,FALSE)," - ",VLOOKUP(N540,[2]zawodnicy!$A$1:$E$65536,4,FALSE)),"")</f>
        <v>X39 Adam Šářec  - Slavoj Cesky Tesin</v>
      </c>
      <c r="V540" s="245"/>
      <c r="W540" s="246"/>
      <c r="X540" s="61" t="str">
        <f>IF(SUM(AQ541:AR541)=0,"",AR541&amp;":"&amp;AQ541)</f>
        <v>21:9</v>
      </c>
      <c r="Y540" s="62"/>
      <c r="Z540" s="37" t="str">
        <f>IF(SUM(AQ540:AR540)=0,"",AQ540&amp;":"&amp;AR540)</f>
        <v>21:7</v>
      </c>
      <c r="AA540" s="248"/>
      <c r="AB540" s="251"/>
      <c r="AC540" s="251"/>
      <c r="AD540" s="254"/>
      <c r="AE540" s="2"/>
      <c r="AF540" s="12"/>
      <c r="AG540" s="12"/>
      <c r="AH540" s="44" t="s">
        <v>17</v>
      </c>
      <c r="AI540" s="63">
        <f>IF(ISBLANK(S540),"",VLOOKUP(S540,'[2]plan gier'!$X$1:$AN$65536,12,FALSE))</f>
        <v>21</v>
      </c>
      <c r="AJ540" s="64">
        <f>IF(ISBLANK(S540),"",VLOOKUP(S540,'[2]plan gier'!$X$1:$AN$65536,13,FALSE))</f>
        <v>13</v>
      </c>
      <c r="AK540" s="64">
        <f>IF(ISBLANK(S540),"",VLOOKUP(S540,'[2]plan gier'!$X$1:$AN$65536,14,FALSE))</f>
        <v>21</v>
      </c>
      <c r="AL540" s="64">
        <f>IF(ISBLANK(S540),"",VLOOKUP(S540,'[2]plan gier'!$X$1:$AN$65536,15,FALSE))</f>
        <v>7</v>
      </c>
      <c r="AM540" s="64">
        <f>IF(ISBLANK(S540),"",VLOOKUP(S540,'[2]plan gier'!$X$1:$AN$65536,16,FALSE))</f>
        <v>0</v>
      </c>
      <c r="AN540" s="64">
        <f>IF(ISBLANK(S540),"",VLOOKUP(S540,'[2]plan gier'!$X$1:$AN$65536,17,FALSE))</f>
        <v>0</v>
      </c>
      <c r="AO540" s="65">
        <f t="shared" si="48"/>
        <v>21</v>
      </c>
      <c r="AP540" s="64">
        <f t="shared" si="48"/>
        <v>13</v>
      </c>
      <c r="AQ540" s="66">
        <f t="shared" si="48"/>
        <v>21</v>
      </c>
      <c r="AR540" s="64">
        <f t="shared" si="48"/>
        <v>7</v>
      </c>
      <c r="AS540" s="66">
        <f t="shared" si="48"/>
        <v>0</v>
      </c>
      <c r="AT540" s="64">
        <f t="shared" si="48"/>
        <v>0</v>
      </c>
      <c r="AU540" s="54">
        <f>SUM(AO540:AT540)</f>
        <v>62</v>
      </c>
      <c r="AV540" s="13">
        <v>2</v>
      </c>
      <c r="AW540" s="63">
        <f>IF(AI541&lt;AJ541,1,0)+IF(AK541&lt;AL541,1,0)+IF(AM541&lt;AN541,1,0)</f>
        <v>2</v>
      </c>
      <c r="AX540" s="64">
        <f>AY539</f>
        <v>0</v>
      </c>
      <c r="AY540" s="67"/>
      <c r="AZ540" s="68"/>
      <c r="BA540" s="64">
        <f>IF(AI540&gt;AJ540,1,0)+IF(AK540&gt;AL540,1,0)+IF(AM540&gt;AN540,1,0)</f>
        <v>2</v>
      </c>
      <c r="BB540" s="69">
        <f>AY541</f>
        <v>0</v>
      </c>
      <c r="BE540" s="63">
        <f>AO540+AQ540+AS540+AP541+AR541+AT541</f>
        <v>84</v>
      </c>
      <c r="BF540" s="69">
        <f>AP540+AR540+AT540+AO541+AQ541+AS541</f>
        <v>39</v>
      </c>
      <c r="BG540" s="63">
        <f>AW540+BA540</f>
        <v>4</v>
      </c>
      <c r="BH540" s="69">
        <f>AX540+BB540</f>
        <v>0</v>
      </c>
      <c r="BI540" s="63">
        <f>IF(AW540&gt;AX540,1,0)+IF(BA540&gt;BB540,1,0)</f>
        <v>2</v>
      </c>
      <c r="BJ540" s="70">
        <f>IF(AX540&gt;AW540,1,0)+IF(BB540&gt;BA540,1,0)</f>
        <v>0</v>
      </c>
      <c r="BK540" s="71">
        <f>IF(BI540+BJ540=0,"",IF(BL540=MAX(BL539:BL541),1,IF(BL540=MIN(BL539:BL541),3,2)))</f>
        <v>1</v>
      </c>
      <c r="BL540" s="60">
        <f>IF(BI540+BJ540&lt;&gt;0,BI540+1+(BG540-BH540)/100+(BE540-BF540)/100000+(BE540/BF540)/1000000,0)</f>
        <v>3.0404521538461537</v>
      </c>
    </row>
    <row r="541" spans="1:64" ht="11.45" customHeight="1" thickBot="1" x14ac:dyDescent="0.25">
      <c r="A541" s="19">
        <f>S541</f>
        <v>161</v>
      </c>
      <c r="B541" s="2" t="str">
        <f>IF(N537="","",N537)</f>
        <v>M3731</v>
      </c>
      <c r="C541" s="2" t="str">
        <f>IF(N538="","",N538)</f>
        <v/>
      </c>
      <c r="D541" s="2" t="str">
        <f>IF(N540="","",N540)</f>
        <v>X39</v>
      </c>
      <c r="E541" s="2" t="str">
        <f>IF(N541="","",N541)</f>
        <v/>
      </c>
      <c r="I541" s="2" t="str">
        <f>"3"&amp;O535&amp;N536</f>
        <v>35pojedyncza chłopców JM</v>
      </c>
      <c r="J541" s="10" t="str">
        <f>IF(AD542="","",IF(AD536=3,N537,IF(AD539=3,N540,IF(AD542=3,N543,""))))</f>
        <v>O2779</v>
      </c>
      <c r="K541" s="10">
        <f>IF(AD542="","",IF(AD536=3,N538,IF(AD539=3,N541,IF(AD542=3,N544,""))))</f>
        <v>0</v>
      </c>
      <c r="M541" s="42" t="str">
        <f>N536</f>
        <v>pojedyncza chłopców JM</v>
      </c>
      <c r="N541" s="38"/>
      <c r="O541" s="28"/>
      <c r="P541" s="28"/>
      <c r="Q541" s="43" t="str">
        <f>IF(AU541&gt;0,"",IF(A541=0,"",IF(VLOOKUP(A541,'[2]plan gier'!A$1:S$65536,19,FALSE)="","",VLOOKUP(A541,'[2]plan gier'!A$1:S$65536,19,FALSE))))</f>
        <v/>
      </c>
      <c r="R541" s="72" t="s">
        <v>18</v>
      </c>
      <c r="S541" s="45">
        <v>161</v>
      </c>
      <c r="T541" s="261"/>
      <c r="U541" s="265" t="str">
        <f>IF(N541&lt;&gt;"",CONCATENATE(VLOOKUP(N541,[2]zawodnicy!$A$1:$E$65536,1,FALSE)," ",VLOOKUP(N541,[2]zawodnicy!$A$1:$E$65536,2,FALSE)," ",VLOOKUP(N541,[2]zawodnicy!$A$1:$E$65536,3,FALSE)," - ",VLOOKUP(N541,[2]zawodnicy!$A$1:$E$65536,4,FALSE)),"")</f>
        <v/>
      </c>
      <c r="V541" s="266"/>
      <c r="W541" s="267"/>
      <c r="X541" s="73" t="str">
        <f>IF(SUM(AS541:AT541)=0,"",AT541&amp;":"&amp;AS541)</f>
        <v/>
      </c>
      <c r="Y541" s="62"/>
      <c r="Z541" s="40" t="str">
        <f>IF(SUM(AS540:AT540)=0,"",AS540&amp;":"&amp;AT540)</f>
        <v/>
      </c>
      <c r="AA541" s="262"/>
      <c r="AB541" s="263"/>
      <c r="AC541" s="263"/>
      <c r="AD541" s="264"/>
      <c r="AE541" s="2"/>
      <c r="AF541" s="12"/>
      <c r="AG541" s="12"/>
      <c r="AH541" s="72" t="s">
        <v>18</v>
      </c>
      <c r="AI541" s="74">
        <f>IF(ISBLANK(S541),"",VLOOKUP(S541,'[2]plan gier'!$X$1:$AN$65536,12,FALSE))</f>
        <v>10</v>
      </c>
      <c r="AJ541" s="75">
        <f>IF(ISBLANK(S541),"",VLOOKUP(S541,'[2]plan gier'!$X$1:$AN$65536,13,FALSE))</f>
        <v>21</v>
      </c>
      <c r="AK541" s="75">
        <f>IF(ISBLANK(S541),"",VLOOKUP(S541,'[2]plan gier'!$X$1:$AN$65536,14,FALSE))</f>
        <v>9</v>
      </c>
      <c r="AL541" s="75">
        <f>IF(ISBLANK(S541),"",VLOOKUP(S541,'[2]plan gier'!$X$1:$AN$65536,15,FALSE))</f>
        <v>21</v>
      </c>
      <c r="AM541" s="75">
        <f>IF(ISBLANK(S541),"",VLOOKUP(S541,'[2]plan gier'!$X$1:$AN$65536,16,FALSE))</f>
        <v>0</v>
      </c>
      <c r="AN541" s="75">
        <f>IF(ISBLANK(S541),"",VLOOKUP(S541,'[2]plan gier'!$X$1:$AN$65536,17,FALSE))</f>
        <v>0</v>
      </c>
      <c r="AO541" s="76">
        <f t="shared" si="48"/>
        <v>10</v>
      </c>
      <c r="AP541" s="75">
        <f t="shared" si="48"/>
        <v>21</v>
      </c>
      <c r="AQ541" s="77">
        <f t="shared" si="48"/>
        <v>9</v>
      </c>
      <c r="AR541" s="75">
        <f t="shared" si="48"/>
        <v>21</v>
      </c>
      <c r="AS541" s="77">
        <f t="shared" si="48"/>
        <v>0</v>
      </c>
      <c r="AT541" s="75">
        <f t="shared" si="48"/>
        <v>0</v>
      </c>
      <c r="AU541" s="54">
        <f>SUM(AO541:AT541)</f>
        <v>61</v>
      </c>
      <c r="AV541" s="13">
        <v>3</v>
      </c>
      <c r="AW541" s="74">
        <f>IF(AI539&lt;AJ539,1,0)+IF(AK539&lt;AL539,1,0)+IF(AM539&lt;AN539,1,0)</f>
        <v>1</v>
      </c>
      <c r="AX541" s="75">
        <f>BA539</f>
        <v>2</v>
      </c>
      <c r="AY541" s="75">
        <f>IF(AI540&lt;AJ540,1,0)+IF(AK540&lt;AL540,1,0)+IF(AM540&lt;AN540,1,0)</f>
        <v>0</v>
      </c>
      <c r="AZ541" s="75">
        <f>BA540</f>
        <v>2</v>
      </c>
      <c r="BA541" s="78"/>
      <c r="BB541" s="79"/>
      <c r="BE541" s="74">
        <f>AP539+AR539+AT539+AP540+AR540+AT540</f>
        <v>68</v>
      </c>
      <c r="BF541" s="80">
        <f>AO539+AQ539+AS539+AO540+AQ540+AS540</f>
        <v>102</v>
      </c>
      <c r="BG541" s="74">
        <f>AW541+AY541</f>
        <v>1</v>
      </c>
      <c r="BH541" s="80">
        <f>AX541+AZ541</f>
        <v>4</v>
      </c>
      <c r="BI541" s="74">
        <f>IF(AW541&gt;AX541,1,0)+IF(AY541&gt;AZ541,1,0)</f>
        <v>0</v>
      </c>
      <c r="BJ541" s="81">
        <f>IF(AX541&gt;AW541,1,0)+IF(AZ541&gt;AY541,1,0)</f>
        <v>2</v>
      </c>
      <c r="BK541" s="82">
        <f>IF(BI541+BJ541=0,"",IF(BL541=MAX(BL539:BL541),1,IF(BL541=MIN(BL539:BL541),3,2)))</f>
        <v>3</v>
      </c>
      <c r="BL541" s="60">
        <f>IF(BI541+BJ541&lt;&gt;0,BI541+1+(BG541-BH541)/100+(BE541-BF541)/100000+(BE541/BF541)/1000000,0)</f>
        <v>0.96966066666666662</v>
      </c>
    </row>
    <row r="542" spans="1:64" ht="11.45" customHeight="1" x14ac:dyDescent="0.2">
      <c r="A542" s="2"/>
      <c r="J542" s="28"/>
      <c r="K542" s="28"/>
      <c r="L542" s="28"/>
      <c r="O542" s="28"/>
      <c r="P542" s="28"/>
      <c r="Q542" s="2"/>
      <c r="R542" s="2"/>
      <c r="S542" s="2"/>
      <c r="T542" s="241">
        <v>3</v>
      </c>
      <c r="U542" s="244" t="str">
        <f>IF(AND(N543&lt;&gt;"",N544&lt;&gt;""),CONCATENATE(VLOOKUP(N543,[2]zawodnicy!$A$1:$E$65536,1,FALSE)," ",VLOOKUP(N543,[2]zawodnicy!$A$1:$E$65536,2,FALSE)," ",VLOOKUP(N543,[2]zawodnicy!$A$1:$E$65536,3,FALSE)," - ",VLOOKUP(N543,[2]zawodnicy!$A$1:$E$65536,4,FALSE)),"")</f>
        <v/>
      </c>
      <c r="V542" s="245"/>
      <c r="W542" s="246"/>
      <c r="X542" s="46" t="str">
        <f>IF(SUM(AO539:AP539)=0,"",AP539&amp;":"&amp;AO539)</f>
        <v>21:18</v>
      </c>
      <c r="Y542" s="83" t="str">
        <f>IF(SUM(AO540:AP540)=0,"",AP540&amp;":"&amp;AO540)</f>
        <v>13:21</v>
      </c>
      <c r="Z542" s="84"/>
      <c r="AA542" s="247" t="str">
        <f>IF(SUM(AW541:AZ541)=0,"",BE541&amp;":"&amp;BF541)</f>
        <v>68:102</v>
      </c>
      <c r="AB542" s="250" t="str">
        <f>IF(SUM(AW541:AZ541)=0,"",BG541&amp;":"&amp;BH541)</f>
        <v>1:4</v>
      </c>
      <c r="AC542" s="250" t="str">
        <f>IF(SUM(AW541:AZ541)=0,"",BI541&amp;":"&amp;BJ541)</f>
        <v>0:2</v>
      </c>
      <c r="AD542" s="253">
        <f>IF(SUM(BI539:BI541)&gt;0,BK541,"")</f>
        <v>3</v>
      </c>
      <c r="AE542" s="2"/>
      <c r="AF542" s="12"/>
      <c r="AG542" s="12"/>
      <c r="BE542" s="19">
        <f>SUM(BE539:BE541)</f>
        <v>231</v>
      </c>
      <c r="BF542" s="19">
        <f>SUM(BF539:BF541)</f>
        <v>231</v>
      </c>
      <c r="BG542" s="19">
        <f>SUM(BG539:BG541)</f>
        <v>7</v>
      </c>
      <c r="BH542" s="19">
        <f>SUM(BH539:BH541)</f>
        <v>7</v>
      </c>
      <c r="BK542" s="19"/>
      <c r="BL542" s="20"/>
    </row>
    <row r="543" spans="1:64" ht="11.45" customHeight="1" x14ac:dyDescent="0.2">
      <c r="A543" s="19"/>
      <c r="J543" s="19"/>
      <c r="K543" s="19"/>
      <c r="L543" s="19"/>
      <c r="N543" s="33" t="s">
        <v>120</v>
      </c>
      <c r="O543" s="34">
        <f>IF(O535&gt;0,(O535&amp;3)*1,"")</f>
        <v>53</v>
      </c>
      <c r="Q543" s="85"/>
      <c r="R543" s="85"/>
      <c r="S543" s="85"/>
      <c r="T543" s="242"/>
      <c r="U543" s="244" t="str">
        <f>IF(AND(N543&lt;&gt;"",N544=""),CONCATENATE(VLOOKUP(N543,[2]zawodnicy!$A$1:$E$65536,1,FALSE)," ",VLOOKUP(N543,[2]zawodnicy!$A$1:$E$65536,2,FALSE)," ",VLOOKUP(N543,[2]zawodnicy!$A$1:$E$65536,3,FALSE)," - ",VLOOKUP(N543,[2]zawodnicy!$A$1:$E$65536,4,FALSE)),"")</f>
        <v>O2779 Szymon OLEARCZUK - AZSWAT Warszawa</v>
      </c>
      <c r="V543" s="245"/>
      <c r="W543" s="246"/>
      <c r="X543" s="61" t="str">
        <f>IF(SUM(AQ539:AR539)=0,"",AR539&amp;":"&amp;AQ539)</f>
        <v>11:21</v>
      </c>
      <c r="Y543" s="36" t="str">
        <f>IF(SUM(AQ540:AR540)=0,"",AR540&amp;":"&amp;AQ540)</f>
        <v>7:21</v>
      </c>
      <c r="Z543" s="86"/>
      <c r="AA543" s="248"/>
      <c r="AB543" s="251"/>
      <c r="AC543" s="251"/>
      <c r="AD543" s="254"/>
      <c r="AE543" s="2"/>
      <c r="AF543" s="12"/>
      <c r="AG543" s="1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row>
    <row r="544" spans="1:64" ht="11.45" customHeight="1" thickBot="1" x14ac:dyDescent="0.25">
      <c r="A544" s="2"/>
      <c r="J544" s="28"/>
      <c r="K544" s="28"/>
      <c r="L544" s="28"/>
      <c r="N544" s="38"/>
      <c r="O544" s="28"/>
      <c r="P544" s="28"/>
      <c r="Q544" s="2"/>
      <c r="R544" s="2"/>
      <c r="S544" s="2"/>
      <c r="T544" s="243"/>
      <c r="U544" s="256" t="str">
        <f>IF(N544&lt;&gt;"",CONCATENATE(VLOOKUP(N544,[2]zawodnicy!$A$1:$E$65536,1,FALSE)," ",VLOOKUP(N544,[2]zawodnicy!$A$1:$E$65536,2,FALSE)," ",VLOOKUP(N544,[2]zawodnicy!$A$1:$E$65536,3,FALSE)," - ",VLOOKUP(N544,[2]zawodnicy!$A$1:$E$65536,4,FALSE)),"")</f>
        <v/>
      </c>
      <c r="V544" s="257"/>
      <c r="W544" s="258"/>
      <c r="X544" s="87" t="str">
        <f>IF(SUM(AS539:AT539)=0,"",AT539&amp;":"&amp;AS539)</f>
        <v>16:21</v>
      </c>
      <c r="Y544" s="88" t="str">
        <f>IF(SUM(AS540:AT540)=0,"",AT540&amp;":"&amp;AS540)</f>
        <v/>
      </c>
      <c r="Z544" s="89"/>
      <c r="AA544" s="249"/>
      <c r="AB544" s="252"/>
      <c r="AC544" s="252"/>
      <c r="AD544" s="255"/>
      <c r="AE544" s="10"/>
      <c r="AF544" s="12"/>
      <c r="AG544" s="1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row>
    <row r="545" spans="1:64" s="19" customFormat="1" ht="5.0999999999999996" customHeight="1" thickBot="1" x14ac:dyDescent="0.25">
      <c r="M545" s="90"/>
      <c r="O545" s="90"/>
      <c r="P545" s="90"/>
      <c r="Q545" s="91"/>
      <c r="R545" s="91"/>
      <c r="S545" s="91"/>
      <c r="T545" s="91"/>
      <c r="U545" s="5"/>
      <c r="V545" s="5"/>
      <c r="W545" s="5"/>
      <c r="AA545" s="92"/>
      <c r="AB545" s="91"/>
      <c r="AC545" s="91"/>
      <c r="AD545" s="91"/>
      <c r="AE545" s="91"/>
      <c r="AF545" s="91"/>
      <c r="AI545" s="93"/>
      <c r="AJ545" s="94"/>
      <c r="AK545" s="94"/>
    </row>
    <row r="546" spans="1:64" ht="11.45" customHeight="1" thickBot="1" x14ac:dyDescent="0.25">
      <c r="N546" s="11"/>
      <c r="O546" s="21">
        <v>6</v>
      </c>
      <c r="Q546" s="277" t="str">
        <f>"Grupa "&amp;O546&amp;"."</f>
        <v>Grupa 6.</v>
      </c>
      <c r="R546" s="277"/>
      <c r="S546" s="277"/>
      <c r="T546" s="22" t="s">
        <v>1</v>
      </c>
      <c r="U546" s="278" t="s">
        <v>2</v>
      </c>
      <c r="V546" s="279"/>
      <c r="W546" s="280"/>
      <c r="X546" s="22">
        <v>1</v>
      </c>
      <c r="Y546" s="23">
        <v>2</v>
      </c>
      <c r="Z546" s="24">
        <v>3</v>
      </c>
      <c r="AA546" s="25" t="s">
        <v>3</v>
      </c>
      <c r="AB546" s="26" t="s">
        <v>4</v>
      </c>
      <c r="AC546" s="26" t="s">
        <v>5</v>
      </c>
      <c r="AD546" s="27" t="s">
        <v>6</v>
      </c>
      <c r="AE546" s="2"/>
      <c r="AF546" s="12"/>
      <c r="AG546" s="12"/>
      <c r="BK546" s="19"/>
      <c r="BL546" s="20"/>
    </row>
    <row r="547" spans="1:64" ht="11.45" customHeight="1" x14ac:dyDescent="0.2">
      <c r="J547" s="28"/>
      <c r="K547" s="28"/>
      <c r="L547" s="28"/>
      <c r="N547" s="29" t="s">
        <v>105</v>
      </c>
      <c r="Q547" s="274" t="s">
        <v>7</v>
      </c>
      <c r="R547" s="274"/>
      <c r="S547" s="275" t="s">
        <v>8</v>
      </c>
      <c r="T547" s="276">
        <v>1</v>
      </c>
      <c r="U547" s="244" t="str">
        <f>IF(AND(N548&lt;&gt;"",N549&lt;&gt;""),CONCATENATE(VLOOKUP(N548,[2]zawodnicy!$A$1:$E$65536,1,FALSE)," ",VLOOKUP(N548,[2]zawodnicy!$A$1:$E$65536,2,FALSE)," ",VLOOKUP(N548,[2]zawodnicy!$A$1:$E$65536,3,FALSE)," - ",VLOOKUP(N548,[2]zawodnicy!$A$1:$E$65536,4,FALSE)),"")</f>
        <v/>
      </c>
      <c r="V547" s="245"/>
      <c r="W547" s="246"/>
      <c r="X547" s="30"/>
      <c r="Y547" s="31" t="str">
        <f>IF(SUM(AO552:AP552)=0,"",AO552&amp;":"&amp;AP552)</f>
        <v>21:9</v>
      </c>
      <c r="Z547" s="32" t="str">
        <f>IF(SUM(AO550:AP550)=0,"",AO550&amp;":"&amp;AP550)</f>
        <v>21:13</v>
      </c>
      <c r="AA547" s="270" t="str">
        <f>IF(SUM(AY550:BB550)=0,"",BE550&amp;":"&amp;BF550)</f>
        <v>84:47</v>
      </c>
      <c r="AB547" s="271" t="str">
        <f>IF(SUM(AY550:BB550)=0,"",BG550&amp;":"&amp;BH550)</f>
        <v>4:0</v>
      </c>
      <c r="AC547" s="271" t="str">
        <f>IF(SUM(AY550:BB550)=0,"",BI550&amp;":"&amp;BJ550)</f>
        <v>2:0</v>
      </c>
      <c r="AD547" s="272">
        <f>IF(SUM(BI550:BI552)&gt;0,BK550,"")</f>
        <v>1</v>
      </c>
      <c r="AE547" s="2"/>
      <c r="AF547" s="12"/>
      <c r="AG547" s="12"/>
      <c r="AH547" s="14"/>
      <c r="AI547" s="273" t="s">
        <v>9</v>
      </c>
      <c r="AJ547" s="273"/>
      <c r="AK547" s="273"/>
      <c r="AL547" s="273"/>
      <c r="AM547" s="273"/>
      <c r="AN547" s="273"/>
      <c r="AO547" s="273" t="s">
        <v>10</v>
      </c>
      <c r="AP547" s="273"/>
      <c r="AQ547" s="273"/>
      <c r="AR547" s="273"/>
      <c r="AS547" s="273"/>
      <c r="AT547" s="273"/>
      <c r="BK547" s="19"/>
      <c r="BL547" s="20"/>
    </row>
    <row r="548" spans="1:64" ht="11.45" customHeight="1" thickBot="1" x14ac:dyDescent="0.25">
      <c r="I548" s="2" t="str">
        <f>"1"&amp;O546&amp;N547</f>
        <v>16pojedyncza chłopców JM</v>
      </c>
      <c r="J548" s="10" t="str">
        <f>IF(AD547="","",IF(AD547=1,N548,IF(AD550=1,N551,IF(AD553=1,N554,""))))</f>
        <v>J3436</v>
      </c>
      <c r="K548" s="10">
        <f>IF(AD547="","",IF(AD547=1,N549,IF(AD550=1,N552,IF(AD553=1,N555,""))))</f>
        <v>0</v>
      </c>
      <c r="L548" s="10"/>
      <c r="N548" s="33" t="s">
        <v>121</v>
      </c>
      <c r="O548" s="34">
        <f>IF(O546&gt;0,(O546&amp;1)*1,"")</f>
        <v>61</v>
      </c>
      <c r="Q548" s="274"/>
      <c r="R548" s="274"/>
      <c r="S548" s="275"/>
      <c r="T548" s="242"/>
      <c r="U548" s="244" t="str">
        <f>IF(AND(N548&lt;&gt;"",N549=""),CONCATENATE(VLOOKUP(N548,[2]zawodnicy!$A$1:$E$65536,1,FALSE)," ",VLOOKUP(N548,[2]zawodnicy!$A$1:$E$65536,2,FALSE)," ",VLOOKUP(N548,[2]zawodnicy!$A$1:$E$65536,3,FALSE)," - ",VLOOKUP(N548,[2]zawodnicy!$A$1:$E$65536,4,FALSE)),"")</f>
        <v>J3436 Patryk JAS - UKS Kometa Sianów</v>
      </c>
      <c r="V548" s="245"/>
      <c r="W548" s="246"/>
      <c r="X548" s="35"/>
      <c r="Y548" s="36" t="str">
        <f>IF(SUM(AQ552:AR552)=0,"",AQ552&amp;":"&amp;AR552)</f>
        <v>21:15</v>
      </c>
      <c r="Z548" s="37" t="str">
        <f>IF(SUM(AQ550:AR550)=0,"",AQ550&amp;":"&amp;AR550)</f>
        <v>21:10</v>
      </c>
      <c r="AA548" s="248"/>
      <c r="AB548" s="251"/>
      <c r="AC548" s="251"/>
      <c r="AD548" s="254"/>
      <c r="AE548" s="2"/>
      <c r="AF548" s="12"/>
      <c r="AG548" s="12"/>
      <c r="AH548" s="14"/>
      <c r="BE548" s="19">
        <f>SUM(BE550:BE552)</f>
        <v>239</v>
      </c>
      <c r="BF548" s="19">
        <f>SUM(BF550:BF552)</f>
        <v>239</v>
      </c>
      <c r="BG548" s="19">
        <f>SUM(BG550:BG552)</f>
        <v>7</v>
      </c>
      <c r="BH548" s="19">
        <f>SUM(BH550:BH552)</f>
        <v>7</v>
      </c>
      <c r="BK548" s="19"/>
      <c r="BL548" s="20"/>
    </row>
    <row r="549" spans="1:64" ht="11.45" customHeight="1" thickBot="1" x14ac:dyDescent="0.25">
      <c r="J549" s="10"/>
      <c r="K549" s="28"/>
      <c r="L549" s="28"/>
      <c r="N549" s="38"/>
      <c r="O549" s="28"/>
      <c r="P549" s="28"/>
      <c r="Q549" s="274"/>
      <c r="R549" s="274"/>
      <c r="S549" s="275"/>
      <c r="T549" s="261"/>
      <c r="U549" s="265" t="str">
        <f>IF(N549&lt;&gt;"",CONCATENATE(VLOOKUP(N549,[2]zawodnicy!$A$1:$E$65536,1,FALSE)," ",VLOOKUP(N549,[2]zawodnicy!$A$1:$E$65536,2,FALSE)," ",VLOOKUP(N549,[2]zawodnicy!$A$1:$E$65536,3,FALSE)," - ",VLOOKUP(N549,[2]zawodnicy!$A$1:$E$65536,4,FALSE)),"")</f>
        <v/>
      </c>
      <c r="V549" s="266"/>
      <c r="W549" s="267"/>
      <c r="X549" s="35"/>
      <c r="Y549" s="39" t="str">
        <f>IF(SUM(AS552:AT552)=0,"",AS552&amp;":"&amp;AT552)</f>
        <v/>
      </c>
      <c r="Z549" s="40" t="str">
        <f>IF(SUM(AS550:AT550)=0,"",AS550&amp;":"&amp;AT550)</f>
        <v/>
      </c>
      <c r="AA549" s="262"/>
      <c r="AB549" s="263"/>
      <c r="AC549" s="263"/>
      <c r="AD549" s="264"/>
      <c r="AE549" s="2"/>
      <c r="AF549" s="12"/>
      <c r="AG549" s="12"/>
      <c r="AH549" s="14"/>
      <c r="AI549" s="259" t="s">
        <v>12</v>
      </c>
      <c r="AJ549" s="269"/>
      <c r="AK549" s="268" t="s">
        <v>13</v>
      </c>
      <c r="AL549" s="269"/>
      <c r="AM549" s="268" t="s">
        <v>14</v>
      </c>
      <c r="AN549" s="260"/>
      <c r="AO549" s="259" t="s">
        <v>12</v>
      </c>
      <c r="AP549" s="269"/>
      <c r="AQ549" s="268" t="s">
        <v>13</v>
      </c>
      <c r="AR549" s="269"/>
      <c r="AS549" s="268" t="s">
        <v>14</v>
      </c>
      <c r="AT549" s="269"/>
      <c r="AU549" s="12"/>
      <c r="AV549" s="12"/>
      <c r="AW549" s="259">
        <v>1</v>
      </c>
      <c r="AX549" s="269"/>
      <c r="AY549" s="268">
        <v>2</v>
      </c>
      <c r="AZ549" s="269"/>
      <c r="BA549" s="268">
        <v>3</v>
      </c>
      <c r="BB549" s="260"/>
      <c r="BE549" s="259" t="s">
        <v>3</v>
      </c>
      <c r="BF549" s="260"/>
      <c r="BG549" s="259" t="s">
        <v>4</v>
      </c>
      <c r="BH549" s="260"/>
      <c r="BI549" s="259" t="s">
        <v>5</v>
      </c>
      <c r="BJ549" s="260"/>
      <c r="BK549" s="41" t="s">
        <v>6</v>
      </c>
      <c r="BL549" s="20"/>
    </row>
    <row r="550" spans="1:64" ht="11.45" customHeight="1" x14ac:dyDescent="0.2">
      <c r="A550" s="19">
        <f>S550</f>
        <v>32</v>
      </c>
      <c r="B550" s="2" t="str">
        <f>IF(N548="","",N548)</f>
        <v>J3436</v>
      </c>
      <c r="C550" s="2" t="str">
        <f>IF(N549="","",N549)</f>
        <v/>
      </c>
      <c r="D550" s="2" t="str">
        <f>IF(N554="","",N554)</f>
        <v>K4841</v>
      </c>
      <c r="E550" s="2" t="str">
        <f>IF(N555="","",N555)</f>
        <v/>
      </c>
      <c r="I550" s="2" t="str">
        <f>"2"&amp;O546&amp;N547</f>
        <v>26pojedyncza chłopców JM</v>
      </c>
      <c r="J550" s="10" t="str">
        <f>IF(AD550="","",IF(AD547=2,N548,IF(AD550=2,N551,IF(AD553=2,N554,""))))</f>
        <v>M3524</v>
      </c>
      <c r="K550" s="10">
        <f>IF(AD550="","",IF(AD547=2,N549,IF(AD550=2,N552,IF(AD553=2,N555,""))))</f>
        <v>0</v>
      </c>
      <c r="M550" s="42" t="str">
        <f>N547</f>
        <v>pojedyncza chłopców JM</v>
      </c>
      <c r="O550" s="28"/>
      <c r="P550" s="28"/>
      <c r="Q550" s="43" t="str">
        <f>IF(AU550&gt;0,"",IF(A550=0,"",IF(VLOOKUP(A550,'[2]plan gier'!A$1:S$65536,19,FALSE)="","",VLOOKUP(A550,'[2]plan gier'!A$1:S$65536,19,FALSE))))</f>
        <v/>
      </c>
      <c r="R550" s="44" t="s">
        <v>15</v>
      </c>
      <c r="S550" s="45">
        <v>32</v>
      </c>
      <c r="T550" s="241">
        <v>2</v>
      </c>
      <c r="U550" s="244" t="str">
        <f>IF(AND(N551&lt;&gt;"",N552&lt;&gt;""),CONCATENATE(VLOOKUP(N551,[2]zawodnicy!$A$1:$E$65536,1,FALSE)," ",VLOOKUP(N551,[2]zawodnicy!$A$1:$E$65536,2,FALSE)," ",VLOOKUP(N551,[2]zawodnicy!$A$1:$E$65536,3,FALSE)," - ",VLOOKUP(N551,[2]zawodnicy!$A$1:$E$65536,4,FALSE)),"")</f>
        <v/>
      </c>
      <c r="V550" s="245"/>
      <c r="W550" s="246"/>
      <c r="X550" s="46" t="str">
        <f>IF(SUM(AO552:AP552)=0,"",AP552&amp;":"&amp;AO552)</f>
        <v>9:21</v>
      </c>
      <c r="Y550" s="47"/>
      <c r="Z550" s="48" t="str">
        <f>IF(SUM(AO551:AP551)=0,"",AO551&amp;":"&amp;AP551)</f>
        <v>21:13</v>
      </c>
      <c r="AA550" s="247" t="str">
        <f>IF(SUM(AW551:AX551,BA551:BB551)=0,"",BE551&amp;":"&amp;BF551)</f>
        <v>85:89</v>
      </c>
      <c r="AB550" s="250" t="str">
        <f>IF(SUM(AW551:AX551,BA551:BB551)=0,"",BG551&amp;":"&amp;BH551)</f>
        <v>2:3</v>
      </c>
      <c r="AC550" s="250" t="str">
        <f>IF(SUM(AW551:AX551,BA551:BB551)=0,"",BI551&amp;":"&amp;BJ551)</f>
        <v>1:1</v>
      </c>
      <c r="AD550" s="253">
        <f>IF(SUM(BI550:BI552)&gt;0,BK551,"")</f>
        <v>2</v>
      </c>
      <c r="AE550" s="2"/>
      <c r="AF550" s="12"/>
      <c r="AG550" s="12"/>
      <c r="AH550" s="44" t="s">
        <v>15</v>
      </c>
      <c r="AI550" s="49">
        <f>IF(ISBLANK(S550),"",VLOOKUP(S550,'[2]plan gier'!$X$1:$AN$65536,12,FALSE))</f>
        <v>21</v>
      </c>
      <c r="AJ550" s="50">
        <f>IF(ISBLANK(S550),"",VLOOKUP(S550,'[2]plan gier'!$X$1:$AN$65536,13,FALSE))</f>
        <v>13</v>
      </c>
      <c r="AK550" s="50">
        <f>IF(ISBLANK(S550),"",VLOOKUP(S550,'[2]plan gier'!$X$1:$AN$65536,14,FALSE))</f>
        <v>21</v>
      </c>
      <c r="AL550" s="50">
        <f>IF(ISBLANK(S550),"",VLOOKUP(S550,'[2]plan gier'!$X$1:$AN$65536,15,FALSE))</f>
        <v>10</v>
      </c>
      <c r="AM550" s="50">
        <f>IF(ISBLANK(S550),"",VLOOKUP(S550,'[2]plan gier'!$X$1:$AN$65536,16,FALSE))</f>
        <v>0</v>
      </c>
      <c r="AN550" s="50">
        <f>IF(ISBLANK(S550),"",VLOOKUP(S550,'[2]plan gier'!$X$1:$AN$65536,17,FALSE))</f>
        <v>0</v>
      </c>
      <c r="AO550" s="51">
        <f t="shared" ref="AO550:AT552" si="49">IF(AI550="",0,AI550)</f>
        <v>21</v>
      </c>
      <c r="AP550" s="52">
        <f t="shared" si="49"/>
        <v>13</v>
      </c>
      <c r="AQ550" s="53">
        <f t="shared" si="49"/>
        <v>21</v>
      </c>
      <c r="AR550" s="52">
        <f t="shared" si="49"/>
        <v>10</v>
      </c>
      <c r="AS550" s="53">
        <f t="shared" si="49"/>
        <v>0</v>
      </c>
      <c r="AT550" s="52">
        <f t="shared" si="49"/>
        <v>0</v>
      </c>
      <c r="AU550" s="54">
        <f>SUM(AO550:AT550)</f>
        <v>65</v>
      </c>
      <c r="AV550" s="13">
        <v>1</v>
      </c>
      <c r="AW550" s="55"/>
      <c r="AX550" s="56"/>
      <c r="AY550" s="50">
        <f>IF(AI552&gt;AJ552,1,0)+IF(AK552&gt;AL552,1,0)+IF(AM552&gt;AN552,1,0)</f>
        <v>2</v>
      </c>
      <c r="AZ550" s="50">
        <f>AW551</f>
        <v>0</v>
      </c>
      <c r="BA550" s="50">
        <f>IF(AI550&gt;AJ550,1,0)+IF(AK550&gt;AL550,1,0)+IF(AM550&gt;AN550,1,0)</f>
        <v>2</v>
      </c>
      <c r="BB550" s="57">
        <f>AW552</f>
        <v>0</v>
      </c>
      <c r="BE550" s="49">
        <f>AO550+AQ550+AS550+AO552+AQ552+AS552</f>
        <v>84</v>
      </c>
      <c r="BF550" s="57">
        <f>AP550+AR550+AT550+AP552+AR552+AT552</f>
        <v>47</v>
      </c>
      <c r="BG550" s="49">
        <f>AY550+BA550</f>
        <v>4</v>
      </c>
      <c r="BH550" s="57">
        <f>AZ550+BB550</f>
        <v>0</v>
      </c>
      <c r="BI550" s="49">
        <f>IF(AY550&gt;AZ550,1,0)+IF(BA550&gt;BB550,1,0)</f>
        <v>2</v>
      </c>
      <c r="BJ550" s="58">
        <f>IF(AZ550&gt;AY550,1,0)+IF(BB550&gt;BA550,1,0)</f>
        <v>0</v>
      </c>
      <c r="BK550" s="59">
        <f>IF(BI550+BJ550=0,"",IF(BL550=MAX(BL550:BL552),1,IF(BL550=MIN(BL550:BL552),3,2)))</f>
        <v>1</v>
      </c>
      <c r="BL550" s="60">
        <f>IF(BI550+BJ550&lt;&gt;0,BI550+1+(BG550-BH550)/100+(BE550-BF550)/100000+(BE550/BF550)/1000000,0)</f>
        <v>3.0403717872340428</v>
      </c>
    </row>
    <row r="551" spans="1:64" ht="11.45" customHeight="1" x14ac:dyDescent="0.2">
      <c r="A551" s="19">
        <f>S551</f>
        <v>97</v>
      </c>
      <c r="B551" s="2" t="str">
        <f>IF(N551="","",N551)</f>
        <v>M3524</v>
      </c>
      <c r="C551" s="2" t="str">
        <f>IF(N552="","",N552)</f>
        <v/>
      </c>
      <c r="D551" s="2" t="str">
        <f>IF(N554="","",N554)</f>
        <v>K4841</v>
      </c>
      <c r="E551" s="2" t="str">
        <f>IF(N555="","",N555)</f>
        <v/>
      </c>
      <c r="J551" s="10"/>
      <c r="K551" s="19"/>
      <c r="M551" s="42" t="str">
        <f>N547</f>
        <v>pojedyncza chłopców JM</v>
      </c>
      <c r="N551" s="33" t="s">
        <v>122</v>
      </c>
      <c r="O551" s="34">
        <f>IF(O546&gt;0,(O546&amp;2)*1,"")</f>
        <v>62</v>
      </c>
      <c r="Q551" s="43" t="str">
        <f>IF(AU551&gt;0,"",IF(A551=0,"",IF(VLOOKUP(A551,'[2]plan gier'!A$1:S$65536,19,FALSE)="","",VLOOKUP(A551,'[2]plan gier'!A$1:S$65536,19,FALSE))))</f>
        <v/>
      </c>
      <c r="R551" s="44" t="s">
        <v>17</v>
      </c>
      <c r="S551" s="45">
        <v>97</v>
      </c>
      <c r="T551" s="242"/>
      <c r="U551" s="244" t="str">
        <f>IF(AND(N551&lt;&gt;"",N552=""),CONCATENATE(VLOOKUP(N551,[2]zawodnicy!$A$1:$E$65536,1,FALSE)," ",VLOOKUP(N551,[2]zawodnicy!$A$1:$E$65536,2,FALSE)," ",VLOOKUP(N551,[2]zawodnicy!$A$1:$E$65536,3,FALSE)," - ",VLOOKUP(N551,[2]zawodnicy!$A$1:$E$65536,4,FALSE)),"")</f>
        <v>M3524 Dawid MAZUR - LKS Technik Głubczyce</v>
      </c>
      <c r="V551" s="245"/>
      <c r="W551" s="246"/>
      <c r="X551" s="61" t="str">
        <f>IF(SUM(AQ552:AR552)=0,"",AR552&amp;":"&amp;AQ552)</f>
        <v>15:21</v>
      </c>
      <c r="Y551" s="62"/>
      <c r="Z551" s="37" t="str">
        <f>IF(SUM(AQ551:AR551)=0,"",AQ551&amp;":"&amp;AR551)</f>
        <v>19:21</v>
      </c>
      <c r="AA551" s="248"/>
      <c r="AB551" s="251"/>
      <c r="AC551" s="251"/>
      <c r="AD551" s="254"/>
      <c r="AE551" s="2"/>
      <c r="AF551" s="12"/>
      <c r="AG551" s="12"/>
      <c r="AH551" s="44" t="s">
        <v>17</v>
      </c>
      <c r="AI551" s="63">
        <f>IF(ISBLANK(S551),"",VLOOKUP(S551,'[2]plan gier'!$X$1:$AN$65536,12,FALSE))</f>
        <v>21</v>
      </c>
      <c r="AJ551" s="64">
        <f>IF(ISBLANK(S551),"",VLOOKUP(S551,'[2]plan gier'!$X$1:$AN$65536,13,FALSE))</f>
        <v>13</v>
      </c>
      <c r="AK551" s="64">
        <f>IF(ISBLANK(S551),"",VLOOKUP(S551,'[2]plan gier'!$X$1:$AN$65536,14,FALSE))</f>
        <v>19</v>
      </c>
      <c r="AL551" s="64">
        <f>IF(ISBLANK(S551),"",VLOOKUP(S551,'[2]plan gier'!$X$1:$AN$65536,15,FALSE))</f>
        <v>21</v>
      </c>
      <c r="AM551" s="64">
        <f>IF(ISBLANK(S551),"",VLOOKUP(S551,'[2]plan gier'!$X$1:$AN$65536,16,FALSE))</f>
        <v>21</v>
      </c>
      <c r="AN551" s="64">
        <f>IF(ISBLANK(S551),"",VLOOKUP(S551,'[2]plan gier'!$X$1:$AN$65536,17,FALSE))</f>
        <v>13</v>
      </c>
      <c r="AO551" s="65">
        <f t="shared" si="49"/>
        <v>21</v>
      </c>
      <c r="AP551" s="64">
        <f t="shared" si="49"/>
        <v>13</v>
      </c>
      <c r="AQ551" s="66">
        <f t="shared" si="49"/>
        <v>19</v>
      </c>
      <c r="AR551" s="64">
        <f t="shared" si="49"/>
        <v>21</v>
      </c>
      <c r="AS551" s="66">
        <f t="shared" si="49"/>
        <v>21</v>
      </c>
      <c r="AT551" s="64">
        <f t="shared" si="49"/>
        <v>13</v>
      </c>
      <c r="AU551" s="54">
        <f>SUM(AO551:AT551)</f>
        <v>108</v>
      </c>
      <c r="AV551" s="13">
        <v>2</v>
      </c>
      <c r="AW551" s="63">
        <f>IF(AI552&lt;AJ552,1,0)+IF(AK552&lt;AL552,1,0)+IF(AM552&lt;AN552,1,0)</f>
        <v>0</v>
      </c>
      <c r="AX551" s="64">
        <f>AY550</f>
        <v>2</v>
      </c>
      <c r="AY551" s="67"/>
      <c r="AZ551" s="68"/>
      <c r="BA551" s="64">
        <f>IF(AI551&gt;AJ551,1,0)+IF(AK551&gt;AL551,1,0)+IF(AM551&gt;AN551,1,0)</f>
        <v>2</v>
      </c>
      <c r="BB551" s="69">
        <f>AY552</f>
        <v>1</v>
      </c>
      <c r="BE551" s="63">
        <f>AO551+AQ551+AS551+AP552+AR552+AT552</f>
        <v>85</v>
      </c>
      <c r="BF551" s="69">
        <f>AP551+AR551+AT551+AO552+AQ552+AS552</f>
        <v>89</v>
      </c>
      <c r="BG551" s="63">
        <f>AW551+BA551</f>
        <v>2</v>
      </c>
      <c r="BH551" s="69">
        <f>AX551+BB551</f>
        <v>3</v>
      </c>
      <c r="BI551" s="63">
        <f>IF(AW551&gt;AX551,1,0)+IF(BA551&gt;BB551,1,0)</f>
        <v>1</v>
      </c>
      <c r="BJ551" s="70">
        <f>IF(AX551&gt;AW551,1,0)+IF(BB551&gt;BA551,1,0)</f>
        <v>1</v>
      </c>
      <c r="BK551" s="71">
        <f>IF(BI551+BJ551=0,"",IF(BL551=MAX(BL550:BL552),1,IF(BL551=MIN(BL550:BL552),3,2)))</f>
        <v>2</v>
      </c>
      <c r="BL551" s="60">
        <f>IF(BI551+BJ551&lt;&gt;0,BI551+1+(BG551-BH551)/100+(BE551-BF551)/100000+(BE551/BF551)/1000000,0)</f>
        <v>1.9899609550561796</v>
      </c>
    </row>
    <row r="552" spans="1:64" ht="11.45" customHeight="1" thickBot="1" x14ac:dyDescent="0.25">
      <c r="A552" s="19">
        <f>S552</f>
        <v>162</v>
      </c>
      <c r="B552" s="2" t="str">
        <f>IF(N548="","",N548)</f>
        <v>J3436</v>
      </c>
      <c r="C552" s="2" t="str">
        <f>IF(N549="","",N549)</f>
        <v/>
      </c>
      <c r="D552" s="2" t="str">
        <f>IF(N551="","",N551)</f>
        <v>M3524</v>
      </c>
      <c r="E552" s="2" t="str">
        <f>IF(N552="","",N552)</f>
        <v/>
      </c>
      <c r="I552" s="2" t="str">
        <f>"3"&amp;O546&amp;N547</f>
        <v>36pojedyncza chłopców JM</v>
      </c>
      <c r="J552" s="10" t="str">
        <f>IF(AD553="","",IF(AD547=3,N548,IF(AD550=3,N551,IF(AD553=3,N554,""))))</f>
        <v>K4841</v>
      </c>
      <c r="K552" s="10">
        <f>IF(AD553="","",IF(AD547=3,N549,IF(AD550=3,N552,IF(AD553=3,N555,""))))</f>
        <v>0</v>
      </c>
      <c r="M552" s="42" t="str">
        <f>N547</f>
        <v>pojedyncza chłopców JM</v>
      </c>
      <c r="N552" s="38"/>
      <c r="O552" s="28"/>
      <c r="P552" s="28"/>
      <c r="Q552" s="43" t="str">
        <f>IF(AU552&gt;0,"",IF(A552=0,"",IF(VLOOKUP(A552,'[2]plan gier'!A$1:S$65536,19,FALSE)="","",VLOOKUP(A552,'[2]plan gier'!A$1:S$65536,19,FALSE))))</f>
        <v/>
      </c>
      <c r="R552" s="72" t="s">
        <v>18</v>
      </c>
      <c r="S552" s="45">
        <v>162</v>
      </c>
      <c r="T552" s="261"/>
      <c r="U552" s="265" t="str">
        <f>IF(N552&lt;&gt;"",CONCATENATE(VLOOKUP(N552,[2]zawodnicy!$A$1:$E$65536,1,FALSE)," ",VLOOKUP(N552,[2]zawodnicy!$A$1:$E$65536,2,FALSE)," ",VLOOKUP(N552,[2]zawodnicy!$A$1:$E$65536,3,FALSE)," - ",VLOOKUP(N552,[2]zawodnicy!$A$1:$E$65536,4,FALSE)),"")</f>
        <v/>
      </c>
      <c r="V552" s="266"/>
      <c r="W552" s="267"/>
      <c r="X552" s="73" t="str">
        <f>IF(SUM(AS552:AT552)=0,"",AT552&amp;":"&amp;AS552)</f>
        <v/>
      </c>
      <c r="Y552" s="62"/>
      <c r="Z552" s="40" t="str">
        <f>IF(SUM(AS551:AT551)=0,"",AS551&amp;":"&amp;AT551)</f>
        <v>21:13</v>
      </c>
      <c r="AA552" s="262"/>
      <c r="AB552" s="263"/>
      <c r="AC552" s="263"/>
      <c r="AD552" s="264"/>
      <c r="AE552" s="2"/>
      <c r="AF552" s="12"/>
      <c r="AG552" s="12"/>
      <c r="AH552" s="72" t="s">
        <v>18</v>
      </c>
      <c r="AI552" s="74">
        <f>IF(ISBLANK(S552),"",VLOOKUP(S552,'[2]plan gier'!$X$1:$AN$65536,12,FALSE))</f>
        <v>21</v>
      </c>
      <c r="AJ552" s="75">
        <f>IF(ISBLANK(S552),"",VLOOKUP(S552,'[2]plan gier'!$X$1:$AN$65536,13,FALSE))</f>
        <v>9</v>
      </c>
      <c r="AK552" s="75">
        <f>IF(ISBLANK(S552),"",VLOOKUP(S552,'[2]plan gier'!$X$1:$AN$65536,14,FALSE))</f>
        <v>21</v>
      </c>
      <c r="AL552" s="75">
        <f>IF(ISBLANK(S552),"",VLOOKUP(S552,'[2]plan gier'!$X$1:$AN$65536,15,FALSE))</f>
        <v>15</v>
      </c>
      <c r="AM552" s="75">
        <f>IF(ISBLANK(S552),"",VLOOKUP(S552,'[2]plan gier'!$X$1:$AN$65536,16,FALSE))</f>
        <v>0</v>
      </c>
      <c r="AN552" s="75">
        <f>IF(ISBLANK(S552),"",VLOOKUP(S552,'[2]plan gier'!$X$1:$AN$65536,17,FALSE))</f>
        <v>0</v>
      </c>
      <c r="AO552" s="76">
        <f t="shared" si="49"/>
        <v>21</v>
      </c>
      <c r="AP552" s="75">
        <f t="shared" si="49"/>
        <v>9</v>
      </c>
      <c r="AQ552" s="77">
        <f t="shared" si="49"/>
        <v>21</v>
      </c>
      <c r="AR552" s="75">
        <f t="shared" si="49"/>
        <v>15</v>
      </c>
      <c r="AS552" s="77">
        <f t="shared" si="49"/>
        <v>0</v>
      </c>
      <c r="AT552" s="75">
        <f t="shared" si="49"/>
        <v>0</v>
      </c>
      <c r="AU552" s="54">
        <f>SUM(AO552:AT552)</f>
        <v>66</v>
      </c>
      <c r="AV552" s="13">
        <v>3</v>
      </c>
      <c r="AW552" s="74">
        <f>IF(AI550&lt;AJ550,1,0)+IF(AK550&lt;AL550,1,0)+IF(AM550&lt;AN550,1,0)</f>
        <v>0</v>
      </c>
      <c r="AX552" s="75">
        <f>BA550</f>
        <v>2</v>
      </c>
      <c r="AY552" s="75">
        <f>IF(AI551&lt;AJ551,1,0)+IF(AK551&lt;AL551,1,0)+IF(AM551&lt;AN551,1,0)</f>
        <v>1</v>
      </c>
      <c r="AZ552" s="75">
        <f>BA551</f>
        <v>2</v>
      </c>
      <c r="BA552" s="78"/>
      <c r="BB552" s="79"/>
      <c r="BE552" s="74">
        <f>AP550+AR550+AT550+AP551+AR551+AT551</f>
        <v>70</v>
      </c>
      <c r="BF552" s="80">
        <f>AO550+AQ550+AS550+AO551+AQ551+AS551</f>
        <v>103</v>
      </c>
      <c r="BG552" s="74">
        <f>AW552+AY552</f>
        <v>1</v>
      </c>
      <c r="BH552" s="80">
        <f>AX552+AZ552</f>
        <v>4</v>
      </c>
      <c r="BI552" s="74">
        <f>IF(AW552&gt;AX552,1,0)+IF(AY552&gt;AZ552,1,0)</f>
        <v>0</v>
      </c>
      <c r="BJ552" s="81">
        <f>IF(AX552&gt;AW552,1,0)+IF(AZ552&gt;AY552,1,0)</f>
        <v>2</v>
      </c>
      <c r="BK552" s="82">
        <f>IF(BI552+BJ552=0,"",IF(BL552=MAX(BL550:BL552),1,IF(BL552=MIN(BL550:BL552),3,2)))</f>
        <v>3</v>
      </c>
      <c r="BL552" s="60">
        <f>IF(BI552+BJ552&lt;&gt;0,BI552+1+(BG552-BH552)/100+(BE552-BF552)/100000+(BE552/BF552)/1000000,0)</f>
        <v>0.96967067961165043</v>
      </c>
    </row>
    <row r="553" spans="1:64" ht="11.45" customHeight="1" x14ac:dyDescent="0.2">
      <c r="A553" s="2"/>
      <c r="J553" s="28"/>
      <c r="K553" s="28"/>
      <c r="L553" s="28"/>
      <c r="O553" s="28"/>
      <c r="P553" s="28"/>
      <c r="Q553" s="2"/>
      <c r="R553" s="2"/>
      <c r="S553" s="2"/>
      <c r="T553" s="241">
        <v>3</v>
      </c>
      <c r="U553" s="244" t="str">
        <f>IF(AND(N554&lt;&gt;"",N555&lt;&gt;""),CONCATENATE(VLOOKUP(N554,[2]zawodnicy!$A$1:$E$65536,1,FALSE)," ",VLOOKUP(N554,[2]zawodnicy!$A$1:$E$65536,2,FALSE)," ",VLOOKUP(N554,[2]zawodnicy!$A$1:$E$65536,3,FALSE)," - ",VLOOKUP(N554,[2]zawodnicy!$A$1:$E$65536,4,FALSE)),"")</f>
        <v/>
      </c>
      <c r="V553" s="245"/>
      <c r="W553" s="246"/>
      <c r="X553" s="46" t="str">
        <f>IF(SUM(AO550:AP550)=0,"",AP550&amp;":"&amp;AO550)</f>
        <v>13:21</v>
      </c>
      <c r="Y553" s="83" t="str">
        <f>IF(SUM(AO551:AP551)=0,"",AP551&amp;":"&amp;AO551)</f>
        <v>13:21</v>
      </c>
      <c r="Z553" s="84"/>
      <c r="AA553" s="247" t="str">
        <f>IF(SUM(AW552:AZ552)=0,"",BE552&amp;":"&amp;BF552)</f>
        <v>70:103</v>
      </c>
      <c r="AB553" s="250" t="str">
        <f>IF(SUM(AW552:AZ552)=0,"",BG552&amp;":"&amp;BH552)</f>
        <v>1:4</v>
      </c>
      <c r="AC553" s="250" t="str">
        <f>IF(SUM(AW552:AZ552)=0,"",BI552&amp;":"&amp;BJ552)</f>
        <v>0:2</v>
      </c>
      <c r="AD553" s="253">
        <f>IF(SUM(BI550:BI552)&gt;0,BK552,"")</f>
        <v>3</v>
      </c>
      <c r="AE553" s="2"/>
      <c r="AF553" s="12"/>
      <c r="AG553" s="12"/>
      <c r="BE553" s="19">
        <f>SUM(BE550:BE552)</f>
        <v>239</v>
      </c>
      <c r="BF553" s="19">
        <f>SUM(BF550:BF552)</f>
        <v>239</v>
      </c>
      <c r="BG553" s="19">
        <f>SUM(BG550:BG552)</f>
        <v>7</v>
      </c>
      <c r="BH553" s="19">
        <f>SUM(BH550:BH552)</f>
        <v>7</v>
      </c>
      <c r="BK553" s="19"/>
      <c r="BL553" s="20"/>
    </row>
    <row r="554" spans="1:64" ht="11.45" customHeight="1" x14ac:dyDescent="0.2">
      <c r="A554" s="19"/>
      <c r="J554" s="19"/>
      <c r="K554" s="19"/>
      <c r="L554" s="19"/>
      <c r="N554" s="33" t="s">
        <v>123</v>
      </c>
      <c r="O554" s="34">
        <f>IF(O546&gt;0,(O546&amp;3)*1,"")</f>
        <v>63</v>
      </c>
      <c r="Q554" s="85"/>
      <c r="R554" s="85"/>
      <c r="S554" s="85"/>
      <c r="T554" s="242"/>
      <c r="U554" s="244" t="str">
        <f>IF(AND(N554&lt;&gt;"",N555=""),CONCATENATE(VLOOKUP(N554,[2]zawodnicy!$A$1:$E$65536,1,FALSE)," ",VLOOKUP(N554,[2]zawodnicy!$A$1:$E$65536,2,FALSE)," ",VLOOKUP(N554,[2]zawodnicy!$A$1:$E$65536,3,FALSE)," - ",VLOOKUP(N554,[2]zawodnicy!$A$1:$E$65536,4,FALSE)),"")</f>
        <v>K4841 Mateusz KĘDZIORA - PTS Puszczykowo</v>
      </c>
      <c r="V554" s="245"/>
      <c r="W554" s="246"/>
      <c r="X554" s="61" t="str">
        <f>IF(SUM(AQ550:AR550)=0,"",AR550&amp;":"&amp;AQ550)</f>
        <v>10:21</v>
      </c>
      <c r="Y554" s="36" t="str">
        <f>IF(SUM(AQ551:AR551)=0,"",AR551&amp;":"&amp;AQ551)</f>
        <v>21:19</v>
      </c>
      <c r="Z554" s="86"/>
      <c r="AA554" s="248"/>
      <c r="AB554" s="251"/>
      <c r="AC554" s="251"/>
      <c r="AD554" s="254"/>
      <c r="AE554" s="2"/>
      <c r="AF554" s="12"/>
      <c r="AG554" s="1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row>
    <row r="555" spans="1:64" ht="11.45" customHeight="1" thickBot="1" x14ac:dyDescent="0.25">
      <c r="A555" s="2"/>
      <c r="J555" s="28"/>
      <c r="K555" s="28"/>
      <c r="L555" s="28"/>
      <c r="N555" s="38"/>
      <c r="O555" s="28"/>
      <c r="P555" s="28"/>
      <c r="Q555" s="2"/>
      <c r="R555" s="2"/>
      <c r="S555" s="2"/>
      <c r="T555" s="243"/>
      <c r="U555" s="256" t="str">
        <f>IF(N555&lt;&gt;"",CONCATENATE(VLOOKUP(N555,[2]zawodnicy!$A$1:$E$65536,1,FALSE)," ",VLOOKUP(N555,[2]zawodnicy!$A$1:$E$65536,2,FALSE)," ",VLOOKUP(N555,[2]zawodnicy!$A$1:$E$65536,3,FALSE)," - ",VLOOKUP(N555,[2]zawodnicy!$A$1:$E$65536,4,FALSE)),"")</f>
        <v/>
      </c>
      <c r="V555" s="257"/>
      <c r="W555" s="258"/>
      <c r="X555" s="87" t="str">
        <f>IF(SUM(AS550:AT550)=0,"",AT550&amp;":"&amp;AS550)</f>
        <v/>
      </c>
      <c r="Y555" s="88" t="str">
        <f>IF(SUM(AS551:AT551)=0,"",AT551&amp;":"&amp;AS551)</f>
        <v>13:21</v>
      </c>
      <c r="Z555" s="89"/>
      <c r="AA555" s="249"/>
      <c r="AB555" s="252"/>
      <c r="AC555" s="252"/>
      <c r="AD555" s="255"/>
      <c r="AE555" s="10"/>
      <c r="AF555" s="12"/>
      <c r="AG555" s="1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row>
    <row r="556" spans="1:64" s="19" customFormat="1" ht="5.0999999999999996" customHeight="1" thickBot="1" x14ac:dyDescent="0.25">
      <c r="M556" s="90"/>
      <c r="O556" s="90"/>
      <c r="P556" s="90"/>
      <c r="Q556" s="91"/>
      <c r="R556" s="91"/>
      <c r="S556" s="91"/>
      <c r="T556" s="91"/>
      <c r="U556" s="5"/>
      <c r="V556" s="5"/>
      <c r="W556" s="5"/>
      <c r="AA556" s="92"/>
      <c r="AB556" s="91"/>
      <c r="AC556" s="91"/>
      <c r="AD556" s="91"/>
      <c r="AE556" s="91"/>
      <c r="AF556" s="91"/>
      <c r="AI556" s="93"/>
      <c r="AJ556" s="94"/>
      <c r="AK556" s="94"/>
    </row>
    <row r="557" spans="1:64" ht="11.45" customHeight="1" thickBot="1" x14ac:dyDescent="0.25">
      <c r="N557" s="11"/>
      <c r="O557" s="21">
        <v>7</v>
      </c>
      <c r="Q557" s="277" t="str">
        <f>"Grupa "&amp;O557&amp;"."</f>
        <v>Grupa 7.</v>
      </c>
      <c r="R557" s="277"/>
      <c r="S557" s="277"/>
      <c r="T557" s="22" t="s">
        <v>1</v>
      </c>
      <c r="U557" s="278" t="s">
        <v>2</v>
      </c>
      <c r="V557" s="279"/>
      <c r="W557" s="280"/>
      <c r="X557" s="22">
        <v>1</v>
      </c>
      <c r="Y557" s="23">
        <v>2</v>
      </c>
      <c r="Z557" s="24">
        <v>3</v>
      </c>
      <c r="AA557" s="25" t="s">
        <v>3</v>
      </c>
      <c r="AB557" s="26" t="s">
        <v>4</v>
      </c>
      <c r="AC557" s="26" t="s">
        <v>5</v>
      </c>
      <c r="AD557" s="27" t="s">
        <v>6</v>
      </c>
      <c r="AE557" s="2"/>
      <c r="AF557" s="12"/>
      <c r="AG557" s="12"/>
      <c r="BK557" s="19"/>
      <c r="BL557" s="20"/>
    </row>
    <row r="558" spans="1:64" ht="11.45" customHeight="1" x14ac:dyDescent="0.2">
      <c r="J558" s="28"/>
      <c r="K558" s="28"/>
      <c r="L558" s="28"/>
      <c r="N558" s="29" t="s">
        <v>105</v>
      </c>
      <c r="Q558" s="274" t="s">
        <v>7</v>
      </c>
      <c r="R558" s="274"/>
      <c r="S558" s="275" t="s">
        <v>8</v>
      </c>
      <c r="T558" s="276">
        <v>1</v>
      </c>
      <c r="U558" s="244" t="str">
        <f>IF(AND(N559&lt;&gt;"",N560&lt;&gt;""),CONCATENATE(VLOOKUP(N559,[2]zawodnicy!$A$1:$E$65536,1,FALSE)," ",VLOOKUP(N559,[2]zawodnicy!$A$1:$E$65536,2,FALSE)," ",VLOOKUP(N559,[2]zawodnicy!$A$1:$E$65536,3,FALSE)," - ",VLOOKUP(N559,[2]zawodnicy!$A$1:$E$65536,4,FALSE)),"")</f>
        <v/>
      </c>
      <c r="V558" s="245"/>
      <c r="W558" s="246"/>
      <c r="X558" s="30"/>
      <c r="Y558" s="31" t="str">
        <f>IF(SUM(AO563:AP563)=0,"",AO563&amp;":"&amp;AP563)</f>
        <v>17:21</v>
      </c>
      <c r="Z558" s="32" t="str">
        <f>IF(SUM(AO561:AP561)=0,"",AO561&amp;":"&amp;AP561)</f>
        <v>25:27</v>
      </c>
      <c r="AA558" s="270" t="str">
        <f>IF(SUM(AY561:BB561)=0,"",BE561&amp;":"&amp;BF561)</f>
        <v>104:100</v>
      </c>
      <c r="AB558" s="271" t="str">
        <f>IF(SUM(AY561:BB561)=0,"",BG561&amp;":"&amp;BH561)</f>
        <v>2:3</v>
      </c>
      <c r="AC558" s="271" t="str">
        <f>IF(SUM(AY561:BB561)=0,"",BI561&amp;":"&amp;BJ561)</f>
        <v>1:1</v>
      </c>
      <c r="AD558" s="272">
        <f>IF(SUM(BI561:BI563)&gt;0,BK561,"")</f>
        <v>2</v>
      </c>
      <c r="AE558" s="2"/>
      <c r="AF558" s="12"/>
      <c r="AG558" s="12"/>
      <c r="AH558" s="14"/>
      <c r="AI558" s="273" t="s">
        <v>9</v>
      </c>
      <c r="AJ558" s="273"/>
      <c r="AK558" s="273"/>
      <c r="AL558" s="273"/>
      <c r="AM558" s="273"/>
      <c r="AN558" s="273"/>
      <c r="AO558" s="273" t="s">
        <v>10</v>
      </c>
      <c r="AP558" s="273"/>
      <c r="AQ558" s="273"/>
      <c r="AR558" s="273"/>
      <c r="AS558" s="273"/>
      <c r="AT558" s="273"/>
      <c r="BK558" s="19"/>
      <c r="BL558" s="20"/>
    </row>
    <row r="559" spans="1:64" ht="11.45" customHeight="1" thickBot="1" x14ac:dyDescent="0.25">
      <c r="I559" s="2" t="str">
        <f>"1"&amp;O557&amp;N558</f>
        <v>17pojedyncza chłopców JM</v>
      </c>
      <c r="J559" s="10" t="str">
        <f>IF(AD558="","",IF(AD558=1,N559,IF(AD561=1,N562,IF(AD564=1,N565,""))))</f>
        <v>B4079</v>
      </c>
      <c r="K559" s="10">
        <f>IF(AD558="","",IF(AD558=1,N560,IF(AD561=1,N563,IF(AD564=1,N566,""))))</f>
        <v>0</v>
      </c>
      <c r="L559" s="10"/>
      <c r="N559" s="33" t="s">
        <v>124</v>
      </c>
      <c r="O559" s="34">
        <f>IF(O557&gt;0,(O557&amp;1)*1,"")</f>
        <v>71</v>
      </c>
      <c r="Q559" s="274"/>
      <c r="R559" s="274"/>
      <c r="S559" s="275"/>
      <c r="T559" s="242"/>
      <c r="U559" s="244" t="str">
        <f>IF(AND(N559&lt;&gt;"",N560=""),CONCATENATE(VLOOKUP(N559,[2]zawodnicy!$A$1:$E$65536,1,FALSE)," ",VLOOKUP(N559,[2]zawodnicy!$A$1:$E$65536,2,FALSE)," ",VLOOKUP(N559,[2]zawodnicy!$A$1:$E$65536,3,FALSE)," - ",VLOOKUP(N559,[2]zawodnicy!$A$1:$E$65536,4,FALSE)),"")</f>
        <v>P4202 Bartłomiej PARYSZ - UKS Unia Bieruń</v>
      </c>
      <c r="V559" s="245"/>
      <c r="W559" s="246"/>
      <c r="X559" s="35"/>
      <c r="Y559" s="36" t="str">
        <f>IF(SUM(AQ563:AR563)=0,"",AQ563&amp;":"&amp;AR563)</f>
        <v>21:17</v>
      </c>
      <c r="Z559" s="37" t="str">
        <f>IF(SUM(AQ561:AR561)=0,"",AQ561&amp;":"&amp;AR561)</f>
        <v>20:22</v>
      </c>
      <c r="AA559" s="248"/>
      <c r="AB559" s="251"/>
      <c r="AC559" s="251"/>
      <c r="AD559" s="254"/>
      <c r="AE559" s="2"/>
      <c r="AF559" s="12"/>
      <c r="AG559" s="12"/>
      <c r="AH559" s="14"/>
      <c r="BE559" s="19">
        <f>SUM(BE561:BE563)</f>
        <v>281</v>
      </c>
      <c r="BF559" s="19">
        <f>SUM(BF561:BF563)</f>
        <v>281</v>
      </c>
      <c r="BG559" s="19">
        <f>SUM(BG561:BG563)</f>
        <v>7</v>
      </c>
      <c r="BH559" s="19">
        <f>SUM(BH561:BH563)</f>
        <v>7</v>
      </c>
      <c r="BK559" s="19"/>
      <c r="BL559" s="20"/>
    </row>
    <row r="560" spans="1:64" ht="11.45" customHeight="1" thickBot="1" x14ac:dyDescent="0.25">
      <c r="J560" s="10"/>
      <c r="K560" s="28"/>
      <c r="L560" s="28"/>
      <c r="N560" s="38"/>
      <c r="O560" s="28"/>
      <c r="P560" s="28"/>
      <c r="Q560" s="274"/>
      <c r="R560" s="274"/>
      <c r="S560" s="275"/>
      <c r="T560" s="261"/>
      <c r="U560" s="265" t="str">
        <f>IF(N560&lt;&gt;"",CONCATENATE(VLOOKUP(N560,[2]zawodnicy!$A$1:$E$65536,1,FALSE)," ",VLOOKUP(N560,[2]zawodnicy!$A$1:$E$65536,2,FALSE)," ",VLOOKUP(N560,[2]zawodnicy!$A$1:$E$65536,3,FALSE)," - ",VLOOKUP(N560,[2]zawodnicy!$A$1:$E$65536,4,FALSE)),"")</f>
        <v/>
      </c>
      <c r="V560" s="266"/>
      <c r="W560" s="267"/>
      <c r="X560" s="35"/>
      <c r="Y560" s="39" t="str">
        <f>IF(SUM(AS563:AT563)=0,"",AS563&amp;":"&amp;AT563)</f>
        <v>21:13</v>
      </c>
      <c r="Z560" s="40" t="str">
        <f>IF(SUM(AS561:AT561)=0,"",AS561&amp;":"&amp;AT561)</f>
        <v/>
      </c>
      <c r="AA560" s="262"/>
      <c r="AB560" s="263"/>
      <c r="AC560" s="263"/>
      <c r="AD560" s="264"/>
      <c r="AE560" s="2"/>
      <c r="AF560" s="12"/>
      <c r="AG560" s="12"/>
      <c r="AH560" s="14"/>
      <c r="AI560" s="259" t="s">
        <v>12</v>
      </c>
      <c r="AJ560" s="269"/>
      <c r="AK560" s="268" t="s">
        <v>13</v>
      </c>
      <c r="AL560" s="269"/>
      <c r="AM560" s="268" t="s">
        <v>14</v>
      </c>
      <c r="AN560" s="260"/>
      <c r="AO560" s="259" t="s">
        <v>12</v>
      </c>
      <c r="AP560" s="269"/>
      <c r="AQ560" s="268" t="s">
        <v>13</v>
      </c>
      <c r="AR560" s="269"/>
      <c r="AS560" s="268" t="s">
        <v>14</v>
      </c>
      <c r="AT560" s="269"/>
      <c r="AU560" s="12"/>
      <c r="AV560" s="12"/>
      <c r="AW560" s="259">
        <v>1</v>
      </c>
      <c r="AX560" s="269"/>
      <c r="AY560" s="268">
        <v>2</v>
      </c>
      <c r="AZ560" s="269"/>
      <c r="BA560" s="268">
        <v>3</v>
      </c>
      <c r="BB560" s="260"/>
      <c r="BE560" s="259" t="s">
        <v>3</v>
      </c>
      <c r="BF560" s="260"/>
      <c r="BG560" s="259" t="s">
        <v>4</v>
      </c>
      <c r="BH560" s="260"/>
      <c r="BI560" s="259" t="s">
        <v>5</v>
      </c>
      <c r="BJ560" s="260"/>
      <c r="BK560" s="41" t="s">
        <v>6</v>
      </c>
      <c r="BL560" s="20"/>
    </row>
    <row r="561" spans="1:64" ht="11.45" customHeight="1" x14ac:dyDescent="0.2">
      <c r="A561" s="19">
        <f>S561</f>
        <v>33</v>
      </c>
      <c r="B561" s="2" t="str">
        <f>IF(N559="","",N559)</f>
        <v>P4202</v>
      </c>
      <c r="C561" s="2" t="str">
        <f>IF(N560="","",N560)</f>
        <v/>
      </c>
      <c r="D561" s="2" t="str">
        <f>IF(N565="","",N565)</f>
        <v>B4079</v>
      </c>
      <c r="E561" s="2" t="str">
        <f>IF(N566="","",N566)</f>
        <v/>
      </c>
      <c r="I561" s="2" t="str">
        <f>"2"&amp;O557&amp;N558</f>
        <v>27pojedyncza chłopców JM</v>
      </c>
      <c r="J561" s="10" t="str">
        <f>IF(AD561="","",IF(AD558=2,N559,IF(AD561=2,N562,IF(AD564=2,N565,""))))</f>
        <v>P4202</v>
      </c>
      <c r="K561" s="10">
        <f>IF(AD561="","",IF(AD558=2,N560,IF(AD561=2,N563,IF(AD564=2,N566,""))))</f>
        <v>0</v>
      </c>
      <c r="M561" s="42" t="str">
        <f>N558</f>
        <v>pojedyncza chłopców JM</v>
      </c>
      <c r="O561" s="28"/>
      <c r="P561" s="28"/>
      <c r="Q561" s="43" t="str">
        <f>IF(AU561&gt;0,"",IF(A561=0,"",IF(VLOOKUP(A561,'[2]plan gier'!A$1:S$65536,19,FALSE)="","",VLOOKUP(A561,'[2]plan gier'!A$1:S$65536,19,FALSE))))</f>
        <v/>
      </c>
      <c r="R561" s="44" t="s">
        <v>15</v>
      </c>
      <c r="S561" s="45">
        <v>33</v>
      </c>
      <c r="T561" s="241">
        <v>2</v>
      </c>
      <c r="U561" s="244" t="str">
        <f>IF(AND(N562&lt;&gt;"",N563&lt;&gt;""),CONCATENATE(VLOOKUP(N562,[2]zawodnicy!$A$1:$E$65536,1,FALSE)," ",VLOOKUP(N562,[2]zawodnicy!$A$1:$E$65536,2,FALSE)," ",VLOOKUP(N562,[2]zawodnicy!$A$1:$E$65536,3,FALSE)," - ",VLOOKUP(N562,[2]zawodnicy!$A$1:$E$65536,4,FALSE)),"")</f>
        <v/>
      </c>
      <c r="V561" s="245"/>
      <c r="W561" s="246"/>
      <c r="X561" s="46" t="str">
        <f>IF(SUM(AO563:AP563)=0,"",AP563&amp;":"&amp;AO563)</f>
        <v>21:17</v>
      </c>
      <c r="Y561" s="47"/>
      <c r="Z561" s="48" t="str">
        <f>IF(SUM(AO562:AP562)=0,"",AO562&amp;":"&amp;AP562)</f>
        <v>18:21</v>
      </c>
      <c r="AA561" s="247" t="str">
        <f>IF(SUM(AW562:AX562,BA562:BB562)=0,"",BE562&amp;":"&amp;BF562)</f>
        <v>86:101</v>
      </c>
      <c r="AB561" s="250" t="str">
        <f>IF(SUM(AW562:AX562,BA562:BB562)=0,"",BG562&amp;":"&amp;BH562)</f>
        <v>1:4</v>
      </c>
      <c r="AC561" s="250" t="str">
        <f>IF(SUM(AW562:AX562,BA562:BB562)=0,"",BI562&amp;":"&amp;BJ562)</f>
        <v>0:2</v>
      </c>
      <c r="AD561" s="253">
        <f>IF(SUM(BI561:BI563)&gt;0,BK562,"")</f>
        <v>3</v>
      </c>
      <c r="AE561" s="2"/>
      <c r="AF561" s="12"/>
      <c r="AG561" s="12"/>
      <c r="AH561" s="44" t="s">
        <v>15</v>
      </c>
      <c r="AI561" s="49">
        <f>IF(ISBLANK(S561),"",VLOOKUP(S561,'[2]plan gier'!$X$1:$AN$65536,12,FALSE))</f>
        <v>25</v>
      </c>
      <c r="AJ561" s="50">
        <f>IF(ISBLANK(S561),"",VLOOKUP(S561,'[2]plan gier'!$X$1:$AN$65536,13,FALSE))</f>
        <v>27</v>
      </c>
      <c r="AK561" s="50">
        <f>IF(ISBLANK(S561),"",VLOOKUP(S561,'[2]plan gier'!$X$1:$AN$65536,14,FALSE))</f>
        <v>20</v>
      </c>
      <c r="AL561" s="50">
        <f>IF(ISBLANK(S561),"",VLOOKUP(S561,'[2]plan gier'!$X$1:$AN$65536,15,FALSE))</f>
        <v>22</v>
      </c>
      <c r="AM561" s="50">
        <f>IF(ISBLANK(S561),"",VLOOKUP(S561,'[2]plan gier'!$X$1:$AN$65536,16,FALSE))</f>
        <v>0</v>
      </c>
      <c r="AN561" s="50">
        <f>IF(ISBLANK(S561),"",VLOOKUP(S561,'[2]plan gier'!$X$1:$AN$65536,17,FALSE))</f>
        <v>0</v>
      </c>
      <c r="AO561" s="51">
        <f t="shared" ref="AO561:AT563" si="50">IF(AI561="",0,AI561)</f>
        <v>25</v>
      </c>
      <c r="AP561" s="52">
        <f t="shared" si="50"/>
        <v>27</v>
      </c>
      <c r="AQ561" s="53">
        <f t="shared" si="50"/>
        <v>20</v>
      </c>
      <c r="AR561" s="52">
        <f t="shared" si="50"/>
        <v>22</v>
      </c>
      <c r="AS561" s="53">
        <f t="shared" si="50"/>
        <v>0</v>
      </c>
      <c r="AT561" s="52">
        <f t="shared" si="50"/>
        <v>0</v>
      </c>
      <c r="AU561" s="54">
        <f>SUM(AO561:AT561)</f>
        <v>94</v>
      </c>
      <c r="AV561" s="13">
        <v>1</v>
      </c>
      <c r="AW561" s="55"/>
      <c r="AX561" s="56"/>
      <c r="AY561" s="50">
        <f>IF(AI563&gt;AJ563,1,0)+IF(AK563&gt;AL563,1,0)+IF(AM563&gt;AN563,1,0)</f>
        <v>2</v>
      </c>
      <c r="AZ561" s="50">
        <f>AW562</f>
        <v>1</v>
      </c>
      <c r="BA561" s="50">
        <f>IF(AI561&gt;AJ561,1,0)+IF(AK561&gt;AL561,1,0)+IF(AM561&gt;AN561,1,0)</f>
        <v>0</v>
      </c>
      <c r="BB561" s="57">
        <f>AW563</f>
        <v>2</v>
      </c>
      <c r="BE561" s="49">
        <f>AO561+AQ561+AS561+AO563+AQ563+AS563</f>
        <v>104</v>
      </c>
      <c r="BF561" s="57">
        <f>AP561+AR561+AT561+AP563+AR563+AT563</f>
        <v>100</v>
      </c>
      <c r="BG561" s="49">
        <f>AY561+BA561</f>
        <v>2</v>
      </c>
      <c r="BH561" s="57">
        <f>AZ561+BB561</f>
        <v>3</v>
      </c>
      <c r="BI561" s="49">
        <f>IF(AY561&gt;AZ561,1,0)+IF(BA561&gt;BB561,1,0)</f>
        <v>1</v>
      </c>
      <c r="BJ561" s="58">
        <f>IF(AZ561&gt;AY561,1,0)+IF(BB561&gt;BA561,1,0)</f>
        <v>1</v>
      </c>
      <c r="BK561" s="59">
        <f>IF(BI561+BJ561=0,"",IF(BL561=MAX(BL561:BL563),1,IF(BL561=MIN(BL561:BL563),3,2)))</f>
        <v>2</v>
      </c>
      <c r="BL561" s="60">
        <f>IF(BI561+BJ561&lt;&gt;0,BI561+1+(BG561-BH561)/100+(BE561-BF561)/100000+(BE561/BF561)/1000000,0)</f>
        <v>1.9900410399999999</v>
      </c>
    </row>
    <row r="562" spans="1:64" ht="11.45" customHeight="1" x14ac:dyDescent="0.2">
      <c r="A562" s="19">
        <f>S562</f>
        <v>98</v>
      </c>
      <c r="B562" s="2" t="str">
        <f>IF(N562="","",N562)</f>
        <v>Ś3865</v>
      </c>
      <c r="C562" s="2" t="str">
        <f>IF(N563="","",N563)</f>
        <v/>
      </c>
      <c r="D562" s="2" t="str">
        <f>IF(N565="","",N565)</f>
        <v>B4079</v>
      </c>
      <c r="E562" s="2" t="str">
        <f>IF(N566="","",N566)</f>
        <v/>
      </c>
      <c r="J562" s="10"/>
      <c r="K562" s="19"/>
      <c r="M562" s="42" t="str">
        <f>N558</f>
        <v>pojedyncza chłopców JM</v>
      </c>
      <c r="N562" s="33" t="s">
        <v>125</v>
      </c>
      <c r="O562" s="34">
        <f>IF(O557&gt;0,(O557&amp;2)*1,"")</f>
        <v>72</v>
      </c>
      <c r="Q562" s="43" t="str">
        <f>IF(AU562&gt;0,"",IF(A562=0,"",IF(VLOOKUP(A562,'[2]plan gier'!A$1:S$65536,19,FALSE)="","",VLOOKUP(A562,'[2]plan gier'!A$1:S$65536,19,FALSE))))</f>
        <v/>
      </c>
      <c r="R562" s="44" t="s">
        <v>17</v>
      </c>
      <c r="S562" s="45">
        <v>98</v>
      </c>
      <c r="T562" s="242"/>
      <c r="U562" s="244" t="str">
        <f>IF(AND(N562&lt;&gt;"",N563=""),CONCATENATE(VLOOKUP(N562,[2]zawodnicy!$A$1:$E$65536,1,FALSE)," ",VLOOKUP(N562,[2]zawodnicy!$A$1:$E$65536,2,FALSE)," ",VLOOKUP(N562,[2]zawodnicy!$A$1:$E$65536,3,FALSE)," - ",VLOOKUP(N562,[2]zawodnicy!$A$1:$E$65536,4,FALSE)),"")</f>
        <v>Ś3865 Ernest ŚCIPIEŃ - MKS Stal Nowa Dęba</v>
      </c>
      <c r="V562" s="245"/>
      <c r="W562" s="246"/>
      <c r="X562" s="61" t="str">
        <f>IF(SUM(AQ563:AR563)=0,"",AR563&amp;":"&amp;AQ563)</f>
        <v>17:21</v>
      </c>
      <c r="Y562" s="62"/>
      <c r="Z562" s="37" t="str">
        <f>IF(SUM(AQ562:AR562)=0,"",AQ562&amp;":"&amp;AR562)</f>
        <v>17:21</v>
      </c>
      <c r="AA562" s="248"/>
      <c r="AB562" s="251"/>
      <c r="AC562" s="251"/>
      <c r="AD562" s="254"/>
      <c r="AE562" s="2"/>
      <c r="AF562" s="12"/>
      <c r="AG562" s="12"/>
      <c r="AH562" s="44" t="s">
        <v>17</v>
      </c>
      <c r="AI562" s="63">
        <f>IF(ISBLANK(S562),"",VLOOKUP(S562,'[2]plan gier'!$X$1:$AN$65536,12,FALSE))</f>
        <v>18</v>
      </c>
      <c r="AJ562" s="64">
        <f>IF(ISBLANK(S562),"",VLOOKUP(S562,'[2]plan gier'!$X$1:$AN$65536,13,FALSE))</f>
        <v>21</v>
      </c>
      <c r="AK562" s="64">
        <f>IF(ISBLANK(S562),"",VLOOKUP(S562,'[2]plan gier'!$X$1:$AN$65536,14,FALSE))</f>
        <v>17</v>
      </c>
      <c r="AL562" s="64">
        <f>IF(ISBLANK(S562),"",VLOOKUP(S562,'[2]plan gier'!$X$1:$AN$65536,15,FALSE))</f>
        <v>21</v>
      </c>
      <c r="AM562" s="64">
        <f>IF(ISBLANK(S562),"",VLOOKUP(S562,'[2]plan gier'!$X$1:$AN$65536,16,FALSE))</f>
        <v>0</v>
      </c>
      <c r="AN562" s="64">
        <f>IF(ISBLANK(S562),"",VLOOKUP(S562,'[2]plan gier'!$X$1:$AN$65536,17,FALSE))</f>
        <v>0</v>
      </c>
      <c r="AO562" s="65">
        <f t="shared" si="50"/>
        <v>18</v>
      </c>
      <c r="AP562" s="64">
        <f t="shared" si="50"/>
        <v>21</v>
      </c>
      <c r="AQ562" s="66">
        <f t="shared" si="50"/>
        <v>17</v>
      </c>
      <c r="AR562" s="64">
        <f t="shared" si="50"/>
        <v>21</v>
      </c>
      <c r="AS562" s="66">
        <f t="shared" si="50"/>
        <v>0</v>
      </c>
      <c r="AT562" s="64">
        <f t="shared" si="50"/>
        <v>0</v>
      </c>
      <c r="AU562" s="54">
        <f>SUM(AO562:AT562)</f>
        <v>77</v>
      </c>
      <c r="AV562" s="13">
        <v>2</v>
      </c>
      <c r="AW562" s="63">
        <f>IF(AI563&lt;AJ563,1,0)+IF(AK563&lt;AL563,1,0)+IF(AM563&lt;AN563,1,0)</f>
        <v>1</v>
      </c>
      <c r="AX562" s="64">
        <f>AY561</f>
        <v>2</v>
      </c>
      <c r="AY562" s="67"/>
      <c r="AZ562" s="68"/>
      <c r="BA562" s="64">
        <f>IF(AI562&gt;AJ562,1,0)+IF(AK562&gt;AL562,1,0)+IF(AM562&gt;AN562,1,0)</f>
        <v>0</v>
      </c>
      <c r="BB562" s="69">
        <f>AY563</f>
        <v>2</v>
      </c>
      <c r="BE562" s="63">
        <f>AO562+AQ562+AS562+AP563+AR563+AT563</f>
        <v>86</v>
      </c>
      <c r="BF562" s="69">
        <f>AP562+AR562+AT562+AO563+AQ563+AS563</f>
        <v>101</v>
      </c>
      <c r="BG562" s="63">
        <f>AW562+BA562</f>
        <v>1</v>
      </c>
      <c r="BH562" s="69">
        <f>AX562+BB562</f>
        <v>4</v>
      </c>
      <c r="BI562" s="63">
        <f>IF(AW562&gt;AX562,1,0)+IF(BA562&gt;BB562,1,0)</f>
        <v>0</v>
      </c>
      <c r="BJ562" s="70">
        <f>IF(AX562&gt;AW562,1,0)+IF(BB562&gt;BA562,1,0)</f>
        <v>2</v>
      </c>
      <c r="BK562" s="71">
        <f>IF(BI562+BJ562=0,"",IF(BL562=MAX(BL561:BL563),1,IF(BL562=MIN(BL561:BL563),3,2)))</f>
        <v>3</v>
      </c>
      <c r="BL562" s="60">
        <f>IF(BI562+BJ562&lt;&gt;0,BI562+1+(BG562-BH562)/100+(BE562-BF562)/100000+(BE562/BF562)/1000000,0)</f>
        <v>0.96985085148514849</v>
      </c>
    </row>
    <row r="563" spans="1:64" ht="11.45" customHeight="1" thickBot="1" x14ac:dyDescent="0.25">
      <c r="A563" s="19">
        <f>S563</f>
        <v>163</v>
      </c>
      <c r="B563" s="2" t="str">
        <f>IF(N559="","",N559)</f>
        <v>P4202</v>
      </c>
      <c r="C563" s="2" t="str">
        <f>IF(N560="","",N560)</f>
        <v/>
      </c>
      <c r="D563" s="2" t="str">
        <f>IF(N562="","",N562)</f>
        <v>Ś3865</v>
      </c>
      <c r="E563" s="2" t="str">
        <f>IF(N563="","",N563)</f>
        <v/>
      </c>
      <c r="I563" s="2" t="str">
        <f>"3"&amp;O557&amp;N558</f>
        <v>37pojedyncza chłopców JM</v>
      </c>
      <c r="J563" s="10" t="str">
        <f>IF(AD564="","",IF(AD558=3,N559,IF(AD561=3,N562,IF(AD564=3,N565,""))))</f>
        <v>Ś3865</v>
      </c>
      <c r="K563" s="10">
        <f>IF(AD564="","",IF(AD558=3,N560,IF(AD561=3,N563,IF(AD564=3,N566,""))))</f>
        <v>0</v>
      </c>
      <c r="M563" s="42" t="str">
        <f>N558</f>
        <v>pojedyncza chłopców JM</v>
      </c>
      <c r="N563" s="38"/>
      <c r="O563" s="28"/>
      <c r="P563" s="28"/>
      <c r="Q563" s="43" t="str">
        <f>IF(AU563&gt;0,"",IF(A563=0,"",IF(VLOOKUP(A563,'[2]plan gier'!A$1:S$65536,19,FALSE)="","",VLOOKUP(A563,'[2]plan gier'!A$1:S$65536,19,FALSE))))</f>
        <v/>
      </c>
      <c r="R563" s="72" t="s">
        <v>18</v>
      </c>
      <c r="S563" s="45">
        <v>163</v>
      </c>
      <c r="T563" s="261"/>
      <c r="U563" s="265" t="str">
        <f>IF(N563&lt;&gt;"",CONCATENATE(VLOOKUP(N563,[2]zawodnicy!$A$1:$E$65536,1,FALSE)," ",VLOOKUP(N563,[2]zawodnicy!$A$1:$E$65536,2,FALSE)," ",VLOOKUP(N563,[2]zawodnicy!$A$1:$E$65536,3,FALSE)," - ",VLOOKUP(N563,[2]zawodnicy!$A$1:$E$65536,4,FALSE)),"")</f>
        <v/>
      </c>
      <c r="V563" s="266"/>
      <c r="W563" s="267"/>
      <c r="X563" s="73" t="str">
        <f>IF(SUM(AS563:AT563)=0,"",AT563&amp;":"&amp;AS563)</f>
        <v>13:21</v>
      </c>
      <c r="Y563" s="62"/>
      <c r="Z563" s="40" t="str">
        <f>IF(SUM(AS562:AT562)=0,"",AS562&amp;":"&amp;AT562)</f>
        <v/>
      </c>
      <c r="AA563" s="262"/>
      <c r="AB563" s="263"/>
      <c r="AC563" s="263"/>
      <c r="AD563" s="264"/>
      <c r="AE563" s="2"/>
      <c r="AF563" s="12"/>
      <c r="AG563" s="12"/>
      <c r="AH563" s="72" t="s">
        <v>18</v>
      </c>
      <c r="AI563" s="74">
        <f>IF(ISBLANK(S563),"",VLOOKUP(S563,'[2]plan gier'!$X$1:$AN$65536,12,FALSE))</f>
        <v>17</v>
      </c>
      <c r="AJ563" s="75">
        <f>IF(ISBLANK(S563),"",VLOOKUP(S563,'[2]plan gier'!$X$1:$AN$65536,13,FALSE))</f>
        <v>21</v>
      </c>
      <c r="AK563" s="75">
        <f>IF(ISBLANK(S563),"",VLOOKUP(S563,'[2]plan gier'!$X$1:$AN$65536,14,FALSE))</f>
        <v>21</v>
      </c>
      <c r="AL563" s="75">
        <f>IF(ISBLANK(S563),"",VLOOKUP(S563,'[2]plan gier'!$X$1:$AN$65536,15,FALSE))</f>
        <v>17</v>
      </c>
      <c r="AM563" s="75">
        <f>IF(ISBLANK(S563),"",VLOOKUP(S563,'[2]plan gier'!$X$1:$AN$65536,16,FALSE))</f>
        <v>21</v>
      </c>
      <c r="AN563" s="75">
        <f>IF(ISBLANK(S563),"",VLOOKUP(S563,'[2]plan gier'!$X$1:$AN$65536,17,FALSE))</f>
        <v>13</v>
      </c>
      <c r="AO563" s="76">
        <f t="shared" si="50"/>
        <v>17</v>
      </c>
      <c r="AP563" s="75">
        <f t="shared" si="50"/>
        <v>21</v>
      </c>
      <c r="AQ563" s="77">
        <f t="shared" si="50"/>
        <v>21</v>
      </c>
      <c r="AR563" s="75">
        <f t="shared" si="50"/>
        <v>17</v>
      </c>
      <c r="AS563" s="77">
        <f t="shared" si="50"/>
        <v>21</v>
      </c>
      <c r="AT563" s="75">
        <f t="shared" si="50"/>
        <v>13</v>
      </c>
      <c r="AU563" s="54">
        <f>SUM(AO563:AT563)</f>
        <v>110</v>
      </c>
      <c r="AV563" s="13">
        <v>3</v>
      </c>
      <c r="AW563" s="74">
        <f>IF(AI561&lt;AJ561,1,0)+IF(AK561&lt;AL561,1,0)+IF(AM561&lt;AN561,1,0)</f>
        <v>2</v>
      </c>
      <c r="AX563" s="75">
        <f>BA561</f>
        <v>0</v>
      </c>
      <c r="AY563" s="75">
        <f>IF(AI562&lt;AJ562,1,0)+IF(AK562&lt;AL562,1,0)+IF(AM562&lt;AN562,1,0)</f>
        <v>2</v>
      </c>
      <c r="AZ563" s="75">
        <f>BA562</f>
        <v>0</v>
      </c>
      <c r="BA563" s="78"/>
      <c r="BB563" s="79"/>
      <c r="BE563" s="74">
        <f>AP561+AR561+AT561+AP562+AR562+AT562</f>
        <v>91</v>
      </c>
      <c r="BF563" s="80">
        <f>AO561+AQ561+AS561+AO562+AQ562+AS562</f>
        <v>80</v>
      </c>
      <c r="BG563" s="74">
        <f>AW563+AY563</f>
        <v>4</v>
      </c>
      <c r="BH563" s="80">
        <f>AX563+AZ563</f>
        <v>0</v>
      </c>
      <c r="BI563" s="74">
        <f>IF(AW563&gt;AX563,1,0)+IF(AY563&gt;AZ563,1,0)</f>
        <v>2</v>
      </c>
      <c r="BJ563" s="81">
        <f>IF(AX563&gt;AW563,1,0)+IF(AZ563&gt;AY563,1,0)</f>
        <v>0</v>
      </c>
      <c r="BK563" s="82">
        <f>IF(BI563+BJ563=0,"",IF(BL563=MAX(BL561:BL563),1,IF(BL563=MIN(BL561:BL563),3,2)))</f>
        <v>1</v>
      </c>
      <c r="BL563" s="60">
        <f>IF(BI563+BJ563&lt;&gt;0,BI563+1+(BG563-BH563)/100+(BE563-BF563)/100000+(BE563/BF563)/1000000,0)</f>
        <v>3.0401111374999998</v>
      </c>
    </row>
    <row r="564" spans="1:64" ht="11.45" customHeight="1" x14ac:dyDescent="0.2">
      <c r="A564" s="2"/>
      <c r="J564" s="28"/>
      <c r="K564" s="28"/>
      <c r="L564" s="28"/>
      <c r="O564" s="28"/>
      <c r="P564" s="28"/>
      <c r="Q564" s="2"/>
      <c r="R564" s="2"/>
      <c r="S564" s="2"/>
      <c r="T564" s="241">
        <v>3</v>
      </c>
      <c r="U564" s="244" t="str">
        <f>IF(AND(N565&lt;&gt;"",N566&lt;&gt;""),CONCATENATE(VLOOKUP(N565,[2]zawodnicy!$A$1:$E$65536,1,FALSE)," ",VLOOKUP(N565,[2]zawodnicy!$A$1:$E$65536,2,FALSE)," ",VLOOKUP(N565,[2]zawodnicy!$A$1:$E$65536,3,FALSE)," - ",VLOOKUP(N565,[2]zawodnicy!$A$1:$E$65536,4,FALSE)),"")</f>
        <v/>
      </c>
      <c r="V564" s="245"/>
      <c r="W564" s="246"/>
      <c r="X564" s="46" t="str">
        <f>IF(SUM(AO561:AP561)=0,"",AP561&amp;":"&amp;AO561)</f>
        <v>27:25</v>
      </c>
      <c r="Y564" s="83" t="str">
        <f>IF(SUM(AO562:AP562)=0,"",AP562&amp;":"&amp;AO562)</f>
        <v>21:18</v>
      </c>
      <c r="Z564" s="84"/>
      <c r="AA564" s="247" t="str">
        <f>IF(SUM(AW563:AZ563)=0,"",BE563&amp;":"&amp;BF563)</f>
        <v>91:80</v>
      </c>
      <c r="AB564" s="250" t="str">
        <f>IF(SUM(AW563:AZ563)=0,"",BG563&amp;":"&amp;BH563)</f>
        <v>4:0</v>
      </c>
      <c r="AC564" s="250" t="str">
        <f>IF(SUM(AW563:AZ563)=0,"",BI563&amp;":"&amp;BJ563)</f>
        <v>2:0</v>
      </c>
      <c r="AD564" s="253">
        <f>IF(SUM(BI561:BI563)&gt;0,BK563,"")</f>
        <v>1</v>
      </c>
      <c r="AE564" s="2"/>
      <c r="AF564" s="12"/>
      <c r="AG564" s="12"/>
      <c r="BE564" s="19">
        <f>SUM(BE561:BE563)</f>
        <v>281</v>
      </c>
      <c r="BF564" s="19">
        <f>SUM(BF561:BF563)</f>
        <v>281</v>
      </c>
      <c r="BG564" s="19">
        <f>SUM(BG561:BG563)</f>
        <v>7</v>
      </c>
      <c r="BH564" s="19">
        <f>SUM(BH561:BH563)</f>
        <v>7</v>
      </c>
      <c r="BK564" s="19"/>
      <c r="BL564" s="20"/>
    </row>
    <row r="565" spans="1:64" ht="11.45" customHeight="1" x14ac:dyDescent="0.2">
      <c r="A565" s="19"/>
      <c r="J565" s="19"/>
      <c r="K565" s="19"/>
      <c r="L565" s="19"/>
      <c r="N565" s="33" t="s">
        <v>126</v>
      </c>
      <c r="O565" s="34">
        <f>IF(O557&gt;0,(O557&amp;3)*1,"")</f>
        <v>73</v>
      </c>
      <c r="Q565" s="85"/>
      <c r="R565" s="85"/>
      <c r="S565" s="85"/>
      <c r="T565" s="242"/>
      <c r="U565" s="244" t="str">
        <f>IF(AND(N565&lt;&gt;"",N566=""),CONCATENATE(VLOOKUP(N565,[2]zawodnicy!$A$1:$E$65536,1,FALSE)," ",VLOOKUP(N565,[2]zawodnicy!$A$1:$E$65536,2,FALSE)," ",VLOOKUP(N565,[2]zawodnicy!$A$1:$E$65536,3,FALSE)," - ",VLOOKUP(N565,[2]zawodnicy!$A$1:$E$65536,4,FALSE)),"")</f>
        <v>B4079 Kamil BARTKIEWICZ - UKS Ząbkowice Dąbrowa Górn.</v>
      </c>
      <c r="V565" s="245"/>
      <c r="W565" s="246"/>
      <c r="X565" s="61" t="str">
        <f>IF(SUM(AQ561:AR561)=0,"",AR561&amp;":"&amp;AQ561)</f>
        <v>22:20</v>
      </c>
      <c r="Y565" s="36" t="str">
        <f>IF(SUM(AQ562:AR562)=0,"",AR562&amp;":"&amp;AQ562)</f>
        <v>21:17</v>
      </c>
      <c r="Z565" s="86"/>
      <c r="AA565" s="248"/>
      <c r="AB565" s="251"/>
      <c r="AC565" s="251"/>
      <c r="AD565" s="254"/>
      <c r="AE565" s="2"/>
      <c r="AF565" s="12"/>
      <c r="AG565" s="1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row>
    <row r="566" spans="1:64" ht="11.45" customHeight="1" thickBot="1" x14ac:dyDescent="0.25">
      <c r="A566" s="2"/>
      <c r="J566" s="28"/>
      <c r="K566" s="28"/>
      <c r="L566" s="28"/>
      <c r="N566" s="38"/>
      <c r="O566" s="28"/>
      <c r="P566" s="28"/>
      <c r="Q566" s="2"/>
      <c r="R566" s="2"/>
      <c r="S566" s="2"/>
      <c r="T566" s="243"/>
      <c r="U566" s="256" t="str">
        <f>IF(N566&lt;&gt;"",CONCATENATE(VLOOKUP(N566,[2]zawodnicy!$A$1:$E$65536,1,FALSE)," ",VLOOKUP(N566,[2]zawodnicy!$A$1:$E$65536,2,FALSE)," ",VLOOKUP(N566,[2]zawodnicy!$A$1:$E$65536,3,FALSE)," - ",VLOOKUP(N566,[2]zawodnicy!$A$1:$E$65536,4,FALSE)),"")</f>
        <v/>
      </c>
      <c r="V566" s="257"/>
      <c r="W566" s="258"/>
      <c r="X566" s="87" t="str">
        <f>IF(SUM(AS561:AT561)=0,"",AT561&amp;":"&amp;AS561)</f>
        <v/>
      </c>
      <c r="Y566" s="88" t="str">
        <f>IF(SUM(AS562:AT562)=0,"",AT562&amp;":"&amp;AS562)</f>
        <v/>
      </c>
      <c r="Z566" s="89"/>
      <c r="AA566" s="249"/>
      <c r="AB566" s="252"/>
      <c r="AC566" s="252"/>
      <c r="AD566" s="255"/>
      <c r="AE566" s="10"/>
      <c r="AF566" s="12"/>
      <c r="AG566" s="1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row>
    <row r="567" spans="1:64" s="19" customFormat="1" ht="5.0999999999999996" customHeight="1" thickBot="1" x14ac:dyDescent="0.25">
      <c r="M567" s="90"/>
      <c r="O567" s="90"/>
      <c r="P567" s="90"/>
      <c r="Q567" s="91"/>
      <c r="R567" s="91"/>
      <c r="S567" s="91"/>
      <c r="T567" s="91"/>
      <c r="U567" s="5"/>
      <c r="V567" s="5"/>
      <c r="W567" s="5"/>
      <c r="AA567" s="92"/>
      <c r="AB567" s="91"/>
      <c r="AC567" s="91"/>
      <c r="AD567" s="91"/>
      <c r="AE567" s="91"/>
      <c r="AF567" s="91"/>
      <c r="AI567" s="93"/>
      <c r="AJ567" s="94"/>
      <c r="AK567" s="94"/>
    </row>
    <row r="568" spans="1:64" ht="11.45" customHeight="1" thickBot="1" x14ac:dyDescent="0.25">
      <c r="N568" s="11"/>
      <c r="O568" s="21">
        <v>8</v>
      </c>
      <c r="Q568" s="277" t="str">
        <f>"Grupa "&amp;O568&amp;"."</f>
        <v>Grupa 8.</v>
      </c>
      <c r="R568" s="277"/>
      <c r="S568" s="277"/>
      <c r="T568" s="22" t="s">
        <v>1</v>
      </c>
      <c r="U568" s="278" t="s">
        <v>2</v>
      </c>
      <c r="V568" s="279"/>
      <c r="W568" s="280"/>
      <c r="X568" s="22">
        <v>1</v>
      </c>
      <c r="Y568" s="23">
        <v>2</v>
      </c>
      <c r="Z568" s="24">
        <v>3</v>
      </c>
      <c r="AA568" s="25" t="s">
        <v>3</v>
      </c>
      <c r="AB568" s="26" t="s">
        <v>4</v>
      </c>
      <c r="AC568" s="26" t="s">
        <v>5</v>
      </c>
      <c r="AD568" s="27" t="s">
        <v>6</v>
      </c>
      <c r="AE568" s="2"/>
      <c r="AF568" s="12"/>
      <c r="AG568" s="12"/>
      <c r="BK568" s="19"/>
      <c r="BL568" s="20"/>
    </row>
    <row r="569" spans="1:64" ht="11.45" customHeight="1" x14ac:dyDescent="0.2">
      <c r="J569" s="28"/>
      <c r="K569" s="28"/>
      <c r="L569" s="28"/>
      <c r="N569" s="29" t="s">
        <v>105</v>
      </c>
      <c r="Q569" s="274" t="s">
        <v>7</v>
      </c>
      <c r="R569" s="274"/>
      <c r="S569" s="275" t="s">
        <v>8</v>
      </c>
      <c r="T569" s="276">
        <v>1</v>
      </c>
      <c r="U569" s="244" t="str">
        <f>IF(AND(N570&lt;&gt;"",N571&lt;&gt;""),CONCATENATE(VLOOKUP(N570,[2]zawodnicy!$A$1:$E$65536,1,FALSE)," ",VLOOKUP(N570,[2]zawodnicy!$A$1:$E$65536,2,FALSE)," ",VLOOKUP(N570,[2]zawodnicy!$A$1:$E$65536,3,FALSE)," - ",VLOOKUP(N570,[2]zawodnicy!$A$1:$E$65536,4,FALSE)),"")</f>
        <v/>
      </c>
      <c r="V569" s="245"/>
      <c r="W569" s="246"/>
      <c r="X569" s="30"/>
      <c r="Y569" s="31" t="str">
        <f>IF(SUM(AO574:AP574)=0,"",AO574&amp;":"&amp;AP574)</f>
        <v>21:11</v>
      </c>
      <c r="Z569" s="32" t="str">
        <f>IF(SUM(AO572:AP572)=0,"",AO572&amp;":"&amp;AP572)</f>
        <v>21:11</v>
      </c>
      <c r="AA569" s="270" t="str">
        <f>IF(SUM(AY572:BB572)=0,"",BE572&amp;":"&amp;BF572)</f>
        <v>84:37</v>
      </c>
      <c r="AB569" s="271" t="str">
        <f>IF(SUM(AY572:BB572)=0,"",BG572&amp;":"&amp;BH572)</f>
        <v>4:0</v>
      </c>
      <c r="AC569" s="271" t="str">
        <f>IF(SUM(AY572:BB572)=0,"",BI572&amp;":"&amp;BJ572)</f>
        <v>2:0</v>
      </c>
      <c r="AD569" s="272">
        <f>IF(SUM(BI572:BI574)&gt;0,BK572,"")</f>
        <v>1</v>
      </c>
      <c r="AE569" s="2"/>
      <c r="AF569" s="12"/>
      <c r="AG569" s="12"/>
      <c r="AH569" s="14"/>
      <c r="AI569" s="273" t="s">
        <v>9</v>
      </c>
      <c r="AJ569" s="273"/>
      <c r="AK569" s="273"/>
      <c r="AL569" s="273"/>
      <c r="AM569" s="273"/>
      <c r="AN569" s="273"/>
      <c r="AO569" s="273" t="s">
        <v>10</v>
      </c>
      <c r="AP569" s="273"/>
      <c r="AQ569" s="273"/>
      <c r="AR569" s="273"/>
      <c r="AS569" s="273"/>
      <c r="AT569" s="273"/>
      <c r="BK569" s="19"/>
      <c r="BL569" s="20"/>
    </row>
    <row r="570" spans="1:64" ht="11.45" customHeight="1" thickBot="1" x14ac:dyDescent="0.25">
      <c r="I570" s="2" t="str">
        <f>"1"&amp;O568&amp;N569</f>
        <v>18pojedyncza chłopców JM</v>
      </c>
      <c r="J570" s="10" t="str">
        <f>IF(AD569="","",IF(AD569=1,N570,IF(AD572=1,N573,IF(AD575=1,N576,""))))</f>
        <v>M4193</v>
      </c>
      <c r="K570" s="10">
        <f>IF(AD569="","",IF(AD569=1,N571,IF(AD572=1,N574,IF(AD575=1,N577,""))))</f>
        <v>0</v>
      </c>
      <c r="L570" s="10"/>
      <c r="N570" s="33" t="s">
        <v>127</v>
      </c>
      <c r="O570" s="34">
        <f>IF(O568&gt;0,(O568&amp;1)*1,"")</f>
        <v>81</v>
      </c>
      <c r="Q570" s="274"/>
      <c r="R570" s="274"/>
      <c r="S570" s="275"/>
      <c r="T570" s="242"/>
      <c r="U570" s="244" t="str">
        <f>IF(AND(N570&lt;&gt;"",N571=""),CONCATENATE(VLOOKUP(N570,[2]zawodnicy!$A$1:$E$65536,1,FALSE)," ",VLOOKUP(N570,[2]zawodnicy!$A$1:$E$65536,2,FALSE)," ",VLOOKUP(N570,[2]zawodnicy!$A$1:$E$65536,3,FALSE)," - ",VLOOKUP(N570,[2]zawodnicy!$A$1:$E$65536,4,FALSE)),"")</f>
        <v>M4193 Robert MIRGA - LKS Technik Głubczyce</v>
      </c>
      <c r="V570" s="245"/>
      <c r="W570" s="246"/>
      <c r="X570" s="35"/>
      <c r="Y570" s="36" t="str">
        <f>IF(SUM(AQ574:AR574)=0,"",AQ574&amp;":"&amp;AR574)</f>
        <v>21:7</v>
      </c>
      <c r="Z570" s="37" t="str">
        <f>IF(SUM(AQ572:AR572)=0,"",AQ572&amp;":"&amp;AR572)</f>
        <v>21:8</v>
      </c>
      <c r="AA570" s="248"/>
      <c r="AB570" s="251"/>
      <c r="AC570" s="251"/>
      <c r="AD570" s="254"/>
      <c r="AE570" s="2"/>
      <c r="AF570" s="12"/>
      <c r="AG570" s="12"/>
      <c r="AH570" s="14"/>
      <c r="BE570" s="19">
        <f>SUM(BE572:BE574)</f>
        <v>184</v>
      </c>
      <c r="BF570" s="19">
        <f>SUM(BF572:BF574)</f>
        <v>184</v>
      </c>
      <c r="BG570" s="19">
        <f>SUM(BG572:BG574)</f>
        <v>6</v>
      </c>
      <c r="BH570" s="19">
        <f>SUM(BH572:BH574)</f>
        <v>6</v>
      </c>
      <c r="BK570" s="19"/>
      <c r="BL570" s="20"/>
    </row>
    <row r="571" spans="1:64" ht="11.45" customHeight="1" thickBot="1" x14ac:dyDescent="0.25">
      <c r="J571" s="10"/>
      <c r="K571" s="28"/>
      <c r="L571" s="28"/>
      <c r="N571" s="38"/>
      <c r="O571" s="28"/>
      <c r="P571" s="28"/>
      <c r="Q571" s="274"/>
      <c r="R571" s="274"/>
      <c r="S571" s="275"/>
      <c r="T571" s="261"/>
      <c r="U571" s="265" t="str">
        <f>IF(N571&lt;&gt;"",CONCATENATE(VLOOKUP(N571,[2]zawodnicy!$A$1:$E$65536,1,FALSE)," ",VLOOKUP(N571,[2]zawodnicy!$A$1:$E$65536,2,FALSE)," ",VLOOKUP(N571,[2]zawodnicy!$A$1:$E$65536,3,FALSE)," - ",VLOOKUP(N571,[2]zawodnicy!$A$1:$E$65536,4,FALSE)),"")</f>
        <v/>
      </c>
      <c r="V571" s="266"/>
      <c r="W571" s="267"/>
      <c r="X571" s="35"/>
      <c r="Y571" s="39" t="str">
        <f>IF(SUM(AS574:AT574)=0,"",AS574&amp;":"&amp;AT574)</f>
        <v/>
      </c>
      <c r="Z571" s="40" t="str">
        <f>IF(SUM(AS572:AT572)=0,"",AS572&amp;":"&amp;AT572)</f>
        <v/>
      </c>
      <c r="AA571" s="262"/>
      <c r="AB571" s="263"/>
      <c r="AC571" s="263"/>
      <c r="AD571" s="264"/>
      <c r="AE571" s="2"/>
      <c r="AF571" s="12"/>
      <c r="AG571" s="12"/>
      <c r="AH571" s="14"/>
      <c r="AI571" s="259" t="s">
        <v>12</v>
      </c>
      <c r="AJ571" s="269"/>
      <c r="AK571" s="268" t="s">
        <v>13</v>
      </c>
      <c r="AL571" s="269"/>
      <c r="AM571" s="268" t="s">
        <v>14</v>
      </c>
      <c r="AN571" s="260"/>
      <c r="AO571" s="259" t="s">
        <v>12</v>
      </c>
      <c r="AP571" s="269"/>
      <c r="AQ571" s="268" t="s">
        <v>13</v>
      </c>
      <c r="AR571" s="269"/>
      <c r="AS571" s="268" t="s">
        <v>14</v>
      </c>
      <c r="AT571" s="269"/>
      <c r="AU571" s="12"/>
      <c r="AV571" s="12"/>
      <c r="AW571" s="259">
        <v>1</v>
      </c>
      <c r="AX571" s="269"/>
      <c r="AY571" s="268">
        <v>2</v>
      </c>
      <c r="AZ571" s="269"/>
      <c r="BA571" s="268">
        <v>3</v>
      </c>
      <c r="BB571" s="260"/>
      <c r="BE571" s="259" t="s">
        <v>3</v>
      </c>
      <c r="BF571" s="260"/>
      <c r="BG571" s="259" t="s">
        <v>4</v>
      </c>
      <c r="BH571" s="260"/>
      <c r="BI571" s="259" t="s">
        <v>5</v>
      </c>
      <c r="BJ571" s="260"/>
      <c r="BK571" s="41" t="s">
        <v>6</v>
      </c>
      <c r="BL571" s="20"/>
    </row>
    <row r="572" spans="1:64" ht="11.45" customHeight="1" x14ac:dyDescent="0.2">
      <c r="A572" s="19">
        <f>S572</f>
        <v>34</v>
      </c>
      <c r="B572" s="2" t="str">
        <f>IF(N570="","",N570)</f>
        <v>M4193</v>
      </c>
      <c r="C572" s="2" t="str">
        <f>IF(N571="","",N571)</f>
        <v/>
      </c>
      <c r="D572" s="2" t="str">
        <f>IF(N576="","",N576)</f>
        <v>X41</v>
      </c>
      <c r="E572" s="2" t="str">
        <f>IF(N577="","",N577)</f>
        <v/>
      </c>
      <c r="I572" s="2" t="str">
        <f>"2"&amp;O568&amp;N569</f>
        <v>28pojedyncza chłopców JM</v>
      </c>
      <c r="J572" s="10" t="str">
        <f>IF(AD572="","",IF(AD569=2,N570,IF(AD572=2,N573,IF(AD575=2,N576,""))))</f>
        <v>X41</v>
      </c>
      <c r="K572" s="10">
        <f>IF(AD572="","",IF(AD569=2,N571,IF(AD572=2,N574,IF(AD575=2,N577,""))))</f>
        <v>0</v>
      </c>
      <c r="M572" s="42" t="str">
        <f>N569</f>
        <v>pojedyncza chłopców JM</v>
      </c>
      <c r="O572" s="28"/>
      <c r="P572" s="28"/>
      <c r="Q572" s="43" t="str">
        <f>IF(AU572&gt;0,"",IF(A572=0,"",IF(VLOOKUP(A572,'[2]plan gier'!A$1:S$65536,19,FALSE)="","",VLOOKUP(A572,'[2]plan gier'!A$1:S$65536,19,FALSE))))</f>
        <v/>
      </c>
      <c r="R572" s="44" t="s">
        <v>15</v>
      </c>
      <c r="S572" s="45">
        <v>34</v>
      </c>
      <c r="T572" s="241">
        <v>2</v>
      </c>
      <c r="U572" s="244" t="str">
        <f>IF(AND(N573&lt;&gt;"",N574&lt;&gt;""),CONCATENATE(VLOOKUP(N573,[2]zawodnicy!$A$1:$E$65536,1,FALSE)," ",VLOOKUP(N573,[2]zawodnicy!$A$1:$E$65536,2,FALSE)," ",VLOOKUP(N573,[2]zawodnicy!$A$1:$E$65536,3,FALSE)," - ",VLOOKUP(N573,[2]zawodnicy!$A$1:$E$65536,4,FALSE)),"")</f>
        <v/>
      </c>
      <c r="V572" s="245"/>
      <c r="W572" s="246"/>
      <c r="X572" s="46" t="str">
        <f>IF(SUM(AO574:AP574)=0,"",AP574&amp;":"&amp;AO574)</f>
        <v>11:21</v>
      </c>
      <c r="Y572" s="47"/>
      <c r="Z572" s="48" t="str">
        <f>IF(SUM(AO573:AP573)=0,"",AO573&amp;":"&amp;AP573)</f>
        <v>13:21</v>
      </c>
      <c r="AA572" s="247" t="str">
        <f>IF(SUM(AW573:AX573,BA573:BB573)=0,"",BE573&amp;":"&amp;BF573)</f>
        <v>39:84</v>
      </c>
      <c r="AB572" s="250" t="str">
        <f>IF(SUM(AW573:AX573,BA573:BB573)=0,"",BG573&amp;":"&amp;BH573)</f>
        <v>0:4</v>
      </c>
      <c r="AC572" s="250" t="str">
        <f>IF(SUM(AW573:AX573,BA573:BB573)=0,"",BI573&amp;":"&amp;BJ573)</f>
        <v>0:2</v>
      </c>
      <c r="AD572" s="253">
        <f>IF(SUM(BI572:BI574)&gt;0,BK573,"")</f>
        <v>3</v>
      </c>
      <c r="AE572" s="2"/>
      <c r="AF572" s="12"/>
      <c r="AG572" s="12"/>
      <c r="AH572" s="44" t="s">
        <v>15</v>
      </c>
      <c r="AI572" s="49">
        <f>IF(ISBLANK(S572),"",VLOOKUP(S572,'[2]plan gier'!$X$1:$AN$65536,12,FALSE))</f>
        <v>21</v>
      </c>
      <c r="AJ572" s="50">
        <f>IF(ISBLANK(S572),"",VLOOKUP(S572,'[2]plan gier'!$X$1:$AN$65536,13,FALSE))</f>
        <v>11</v>
      </c>
      <c r="AK572" s="50">
        <f>IF(ISBLANK(S572),"",VLOOKUP(S572,'[2]plan gier'!$X$1:$AN$65536,14,FALSE))</f>
        <v>21</v>
      </c>
      <c r="AL572" s="50">
        <f>IF(ISBLANK(S572),"",VLOOKUP(S572,'[2]plan gier'!$X$1:$AN$65536,15,FALSE))</f>
        <v>8</v>
      </c>
      <c r="AM572" s="50">
        <f>IF(ISBLANK(S572),"",VLOOKUP(S572,'[2]plan gier'!$X$1:$AN$65536,16,FALSE))</f>
        <v>0</v>
      </c>
      <c r="AN572" s="50">
        <f>IF(ISBLANK(S572),"",VLOOKUP(S572,'[2]plan gier'!$X$1:$AN$65536,17,FALSE))</f>
        <v>0</v>
      </c>
      <c r="AO572" s="51">
        <f t="shared" ref="AO572:AT574" si="51">IF(AI572="",0,AI572)</f>
        <v>21</v>
      </c>
      <c r="AP572" s="52">
        <f t="shared" si="51"/>
        <v>11</v>
      </c>
      <c r="AQ572" s="53">
        <f t="shared" si="51"/>
        <v>21</v>
      </c>
      <c r="AR572" s="52">
        <f t="shared" si="51"/>
        <v>8</v>
      </c>
      <c r="AS572" s="53">
        <f t="shared" si="51"/>
        <v>0</v>
      </c>
      <c r="AT572" s="52">
        <f t="shared" si="51"/>
        <v>0</v>
      </c>
      <c r="AU572" s="54">
        <f>SUM(AO572:AT572)</f>
        <v>61</v>
      </c>
      <c r="AV572" s="13">
        <v>1</v>
      </c>
      <c r="AW572" s="55"/>
      <c r="AX572" s="56"/>
      <c r="AY572" s="50">
        <f>IF(AI574&gt;AJ574,1,0)+IF(AK574&gt;AL574,1,0)+IF(AM574&gt;AN574,1,0)</f>
        <v>2</v>
      </c>
      <c r="AZ572" s="50">
        <f>AW573</f>
        <v>0</v>
      </c>
      <c r="BA572" s="50">
        <f>IF(AI572&gt;AJ572,1,0)+IF(AK572&gt;AL572,1,0)+IF(AM572&gt;AN572,1,0)</f>
        <v>2</v>
      </c>
      <c r="BB572" s="57">
        <f>AW574</f>
        <v>0</v>
      </c>
      <c r="BE572" s="49">
        <f>AO572+AQ572+AS572+AO574+AQ574+AS574</f>
        <v>84</v>
      </c>
      <c r="BF572" s="57">
        <f>AP572+AR572+AT572+AP574+AR574+AT574</f>
        <v>37</v>
      </c>
      <c r="BG572" s="49">
        <f>AY572+BA572</f>
        <v>4</v>
      </c>
      <c r="BH572" s="57">
        <f>AZ572+BB572</f>
        <v>0</v>
      </c>
      <c r="BI572" s="49">
        <f>IF(AY572&gt;AZ572,1,0)+IF(BA572&gt;BB572,1,0)</f>
        <v>2</v>
      </c>
      <c r="BJ572" s="58">
        <f>IF(AZ572&gt;AY572,1,0)+IF(BB572&gt;BA572,1,0)</f>
        <v>0</v>
      </c>
      <c r="BK572" s="59">
        <f>IF(BI572+BJ572=0,"",IF(BL572=MAX(BL572:BL574),1,IF(BL572=MIN(BL572:BL574),3,2)))</f>
        <v>1</v>
      </c>
      <c r="BL572" s="60">
        <f>IF(BI572+BJ572&lt;&gt;0,BI572+1+(BG572-BH572)/100+(BE572-BF572)/100000+(BE572/BF572)/1000000,0)</f>
        <v>3.0404722702702704</v>
      </c>
    </row>
    <row r="573" spans="1:64" ht="11.45" customHeight="1" x14ac:dyDescent="0.2">
      <c r="A573" s="19">
        <f>S573</f>
        <v>99</v>
      </c>
      <c r="B573" s="2" t="str">
        <f>IF(N573="","",N573)</f>
        <v>G4333</v>
      </c>
      <c r="C573" s="2" t="str">
        <f>IF(N574="","",N574)</f>
        <v/>
      </c>
      <c r="D573" s="2" t="str">
        <f>IF(N576="","",N576)</f>
        <v>X41</v>
      </c>
      <c r="E573" s="2" t="str">
        <f>IF(N577="","",N577)</f>
        <v/>
      </c>
      <c r="J573" s="10"/>
      <c r="K573" s="19"/>
      <c r="M573" s="42" t="str">
        <f>N569</f>
        <v>pojedyncza chłopców JM</v>
      </c>
      <c r="N573" s="33" t="s">
        <v>128</v>
      </c>
      <c r="O573" s="34">
        <f>IF(O568&gt;0,(O568&amp;2)*1,"")</f>
        <v>82</v>
      </c>
      <c r="Q573" s="43" t="str">
        <f>IF(AU573&gt;0,"",IF(A573=0,"",IF(VLOOKUP(A573,'[2]plan gier'!A$1:S$65536,19,FALSE)="","",VLOOKUP(A573,'[2]plan gier'!A$1:S$65536,19,FALSE))))</f>
        <v/>
      </c>
      <c r="R573" s="44" t="s">
        <v>17</v>
      </c>
      <c r="S573" s="45">
        <v>99</v>
      </c>
      <c r="T573" s="242"/>
      <c r="U573" s="244" t="str">
        <f>IF(AND(N573&lt;&gt;"",N574=""),CONCATENATE(VLOOKUP(N573,[2]zawodnicy!$A$1:$E$65536,1,FALSE)," ",VLOOKUP(N573,[2]zawodnicy!$A$1:$E$65536,2,FALSE)," ",VLOOKUP(N573,[2]zawodnicy!$A$1:$E$65536,3,FALSE)," - ",VLOOKUP(N573,[2]zawodnicy!$A$1:$E$65536,4,FALSE)),"")</f>
        <v>G4333 Michał GIELECKI - UKS Kiko Zamość</v>
      </c>
      <c r="V573" s="245"/>
      <c r="W573" s="246"/>
      <c r="X573" s="61" t="str">
        <f>IF(SUM(AQ574:AR574)=0,"",AR574&amp;":"&amp;AQ574)</f>
        <v>7:21</v>
      </c>
      <c r="Y573" s="62"/>
      <c r="Z573" s="37" t="str">
        <f>IF(SUM(AQ573:AR573)=0,"",AQ573&amp;":"&amp;AR573)</f>
        <v>8:21</v>
      </c>
      <c r="AA573" s="248"/>
      <c r="AB573" s="251"/>
      <c r="AC573" s="251"/>
      <c r="AD573" s="254"/>
      <c r="AE573" s="2"/>
      <c r="AF573" s="12"/>
      <c r="AG573" s="12"/>
      <c r="AH573" s="44" t="s">
        <v>17</v>
      </c>
      <c r="AI573" s="63">
        <f>IF(ISBLANK(S573),"",VLOOKUP(S573,'[2]plan gier'!$X$1:$AN$65536,12,FALSE))</f>
        <v>13</v>
      </c>
      <c r="AJ573" s="64">
        <f>IF(ISBLANK(S573),"",VLOOKUP(S573,'[2]plan gier'!$X$1:$AN$65536,13,FALSE))</f>
        <v>21</v>
      </c>
      <c r="AK573" s="64">
        <f>IF(ISBLANK(S573),"",VLOOKUP(S573,'[2]plan gier'!$X$1:$AN$65536,14,FALSE))</f>
        <v>8</v>
      </c>
      <c r="AL573" s="64">
        <f>IF(ISBLANK(S573),"",VLOOKUP(S573,'[2]plan gier'!$X$1:$AN$65536,15,FALSE))</f>
        <v>21</v>
      </c>
      <c r="AM573" s="64">
        <f>IF(ISBLANK(S573),"",VLOOKUP(S573,'[2]plan gier'!$X$1:$AN$65536,16,FALSE))</f>
        <v>0</v>
      </c>
      <c r="AN573" s="64">
        <f>IF(ISBLANK(S573),"",VLOOKUP(S573,'[2]plan gier'!$X$1:$AN$65536,17,FALSE))</f>
        <v>0</v>
      </c>
      <c r="AO573" s="65">
        <f t="shared" si="51"/>
        <v>13</v>
      </c>
      <c r="AP573" s="64">
        <f t="shared" si="51"/>
        <v>21</v>
      </c>
      <c r="AQ573" s="66">
        <f t="shared" si="51"/>
        <v>8</v>
      </c>
      <c r="AR573" s="64">
        <f t="shared" si="51"/>
        <v>21</v>
      </c>
      <c r="AS573" s="66">
        <f t="shared" si="51"/>
        <v>0</v>
      </c>
      <c r="AT573" s="64">
        <f t="shared" si="51"/>
        <v>0</v>
      </c>
      <c r="AU573" s="54">
        <f>SUM(AO573:AT573)</f>
        <v>63</v>
      </c>
      <c r="AV573" s="13">
        <v>2</v>
      </c>
      <c r="AW573" s="63">
        <f>IF(AI574&lt;AJ574,1,0)+IF(AK574&lt;AL574,1,0)+IF(AM574&lt;AN574,1,0)</f>
        <v>0</v>
      </c>
      <c r="AX573" s="64">
        <f>AY572</f>
        <v>2</v>
      </c>
      <c r="AY573" s="67"/>
      <c r="AZ573" s="68"/>
      <c r="BA573" s="64">
        <f>IF(AI573&gt;AJ573,1,0)+IF(AK573&gt;AL573,1,0)+IF(AM573&gt;AN573,1,0)</f>
        <v>0</v>
      </c>
      <c r="BB573" s="69">
        <f>AY574</f>
        <v>2</v>
      </c>
      <c r="BE573" s="63">
        <f>AO573+AQ573+AS573+AP574+AR574+AT574</f>
        <v>39</v>
      </c>
      <c r="BF573" s="69">
        <f>AP573+AR573+AT573+AO574+AQ574+AS574</f>
        <v>84</v>
      </c>
      <c r="BG573" s="63">
        <f>AW573+BA573</f>
        <v>0</v>
      </c>
      <c r="BH573" s="69">
        <f>AX573+BB573</f>
        <v>4</v>
      </c>
      <c r="BI573" s="63">
        <f>IF(AW573&gt;AX573,1,0)+IF(BA573&gt;BB573,1,0)</f>
        <v>0</v>
      </c>
      <c r="BJ573" s="70">
        <f>IF(AX573&gt;AW573,1,0)+IF(BB573&gt;BA573,1,0)</f>
        <v>2</v>
      </c>
      <c r="BK573" s="71">
        <f>IF(BI573+BJ573=0,"",IF(BL573=MAX(BL572:BL574),1,IF(BL573=MIN(BL572:BL574),3,2)))</f>
        <v>3</v>
      </c>
      <c r="BL573" s="60">
        <f>IF(BI573+BJ573&lt;&gt;0,BI573+1+(BG573-BH573)/100+(BE573-BF573)/100000+(BE573/BF573)/1000000,0)</f>
        <v>0.95955046428571433</v>
      </c>
    </row>
    <row r="574" spans="1:64" ht="11.45" customHeight="1" thickBot="1" x14ac:dyDescent="0.25">
      <c r="A574" s="19">
        <f>S574</f>
        <v>164</v>
      </c>
      <c r="B574" s="2" t="str">
        <f>IF(N570="","",N570)</f>
        <v>M4193</v>
      </c>
      <c r="C574" s="2" t="str">
        <f>IF(N571="","",N571)</f>
        <v/>
      </c>
      <c r="D574" s="2" t="str">
        <f>IF(N573="","",N573)</f>
        <v>G4333</v>
      </c>
      <c r="E574" s="2" t="str">
        <f>IF(N574="","",N574)</f>
        <v/>
      </c>
      <c r="I574" s="2" t="str">
        <f>"3"&amp;O568&amp;N569</f>
        <v>38pojedyncza chłopców JM</v>
      </c>
      <c r="J574" s="10" t="str">
        <f>IF(AD575="","",IF(AD569=3,N570,IF(AD572=3,N573,IF(AD575=3,N576,""))))</f>
        <v>G4333</v>
      </c>
      <c r="K574" s="10">
        <f>IF(AD575="","",IF(AD569=3,N571,IF(AD572=3,N574,IF(AD575=3,N577,""))))</f>
        <v>0</v>
      </c>
      <c r="M574" s="42" t="str">
        <f>N569</f>
        <v>pojedyncza chłopców JM</v>
      </c>
      <c r="N574" s="38"/>
      <c r="O574" s="28"/>
      <c r="P574" s="28"/>
      <c r="Q574" s="43" t="str">
        <f>IF(AU574&gt;0,"",IF(A574=0,"",IF(VLOOKUP(A574,'[2]plan gier'!A$1:S$65536,19,FALSE)="","",VLOOKUP(A574,'[2]plan gier'!A$1:S$65536,19,FALSE))))</f>
        <v/>
      </c>
      <c r="R574" s="72" t="s">
        <v>18</v>
      </c>
      <c r="S574" s="45">
        <v>164</v>
      </c>
      <c r="T574" s="261"/>
      <c r="U574" s="265" t="str">
        <f>IF(N574&lt;&gt;"",CONCATENATE(VLOOKUP(N574,[2]zawodnicy!$A$1:$E$65536,1,FALSE)," ",VLOOKUP(N574,[2]zawodnicy!$A$1:$E$65536,2,FALSE)," ",VLOOKUP(N574,[2]zawodnicy!$A$1:$E$65536,3,FALSE)," - ",VLOOKUP(N574,[2]zawodnicy!$A$1:$E$65536,4,FALSE)),"")</f>
        <v/>
      </c>
      <c r="V574" s="266"/>
      <c r="W574" s="267"/>
      <c r="X574" s="73" t="str">
        <f>IF(SUM(AS574:AT574)=0,"",AT574&amp;":"&amp;AS574)</f>
        <v/>
      </c>
      <c r="Y574" s="62"/>
      <c r="Z574" s="40" t="str">
        <f>IF(SUM(AS573:AT573)=0,"",AS573&amp;":"&amp;AT573)</f>
        <v/>
      </c>
      <c r="AA574" s="262"/>
      <c r="AB574" s="263"/>
      <c r="AC574" s="263"/>
      <c r="AD574" s="264"/>
      <c r="AE574" s="2"/>
      <c r="AF574" s="12"/>
      <c r="AG574" s="12"/>
      <c r="AH574" s="72" t="s">
        <v>18</v>
      </c>
      <c r="AI574" s="74">
        <f>IF(ISBLANK(S574),"",VLOOKUP(S574,'[2]plan gier'!$X$1:$AN$65536,12,FALSE))</f>
        <v>21</v>
      </c>
      <c r="AJ574" s="75">
        <f>IF(ISBLANK(S574),"",VLOOKUP(S574,'[2]plan gier'!$X$1:$AN$65536,13,FALSE))</f>
        <v>11</v>
      </c>
      <c r="AK574" s="75">
        <f>IF(ISBLANK(S574),"",VLOOKUP(S574,'[2]plan gier'!$X$1:$AN$65536,14,FALSE))</f>
        <v>21</v>
      </c>
      <c r="AL574" s="75">
        <f>IF(ISBLANK(S574),"",VLOOKUP(S574,'[2]plan gier'!$X$1:$AN$65536,15,FALSE))</f>
        <v>7</v>
      </c>
      <c r="AM574" s="75">
        <f>IF(ISBLANK(S574),"",VLOOKUP(S574,'[2]plan gier'!$X$1:$AN$65536,16,FALSE))</f>
        <v>0</v>
      </c>
      <c r="AN574" s="75">
        <f>IF(ISBLANK(S574),"",VLOOKUP(S574,'[2]plan gier'!$X$1:$AN$65536,17,FALSE))</f>
        <v>0</v>
      </c>
      <c r="AO574" s="76">
        <f t="shared" si="51"/>
        <v>21</v>
      </c>
      <c r="AP574" s="75">
        <f t="shared" si="51"/>
        <v>11</v>
      </c>
      <c r="AQ574" s="77">
        <f t="shared" si="51"/>
        <v>21</v>
      </c>
      <c r="AR574" s="75">
        <f t="shared" si="51"/>
        <v>7</v>
      </c>
      <c r="AS574" s="77">
        <f t="shared" si="51"/>
        <v>0</v>
      </c>
      <c r="AT574" s="75">
        <f t="shared" si="51"/>
        <v>0</v>
      </c>
      <c r="AU574" s="54">
        <f>SUM(AO574:AT574)</f>
        <v>60</v>
      </c>
      <c r="AV574" s="13">
        <v>3</v>
      </c>
      <c r="AW574" s="74">
        <f>IF(AI572&lt;AJ572,1,0)+IF(AK572&lt;AL572,1,0)+IF(AM572&lt;AN572,1,0)</f>
        <v>0</v>
      </c>
      <c r="AX574" s="75">
        <f>BA572</f>
        <v>2</v>
      </c>
      <c r="AY574" s="75">
        <f>IF(AI573&lt;AJ573,1,0)+IF(AK573&lt;AL573,1,0)+IF(AM573&lt;AN573,1,0)</f>
        <v>2</v>
      </c>
      <c r="AZ574" s="75">
        <f>BA573</f>
        <v>0</v>
      </c>
      <c r="BA574" s="78"/>
      <c r="BB574" s="79"/>
      <c r="BE574" s="74">
        <f>AP572+AR572+AT572+AP573+AR573+AT573</f>
        <v>61</v>
      </c>
      <c r="BF574" s="80">
        <f>AO572+AQ572+AS572+AO573+AQ573+AS573</f>
        <v>63</v>
      </c>
      <c r="BG574" s="74">
        <f>AW574+AY574</f>
        <v>2</v>
      </c>
      <c r="BH574" s="80">
        <f>AX574+AZ574</f>
        <v>2</v>
      </c>
      <c r="BI574" s="74">
        <f>IF(AW574&gt;AX574,1,0)+IF(AY574&gt;AZ574,1,0)</f>
        <v>1</v>
      </c>
      <c r="BJ574" s="81">
        <f>IF(AX574&gt;AW574,1,0)+IF(AZ574&gt;AY574,1,0)</f>
        <v>1</v>
      </c>
      <c r="BK574" s="82">
        <f>IF(BI574+BJ574=0,"",IF(BL574=MAX(BL572:BL574),1,IF(BL574=MIN(BL572:BL574),3,2)))</f>
        <v>2</v>
      </c>
      <c r="BL574" s="60">
        <f>IF(BI574+BJ574&lt;&gt;0,BI574+1+(BG574-BH574)/100+(BE574-BF574)/100000+(BE574/BF574)/1000000,0)</f>
        <v>1.9999809682539684</v>
      </c>
    </row>
    <row r="575" spans="1:64" ht="11.45" customHeight="1" x14ac:dyDescent="0.2">
      <c r="A575" s="2"/>
      <c r="J575" s="28"/>
      <c r="K575" s="28"/>
      <c r="L575" s="28"/>
      <c r="O575" s="28"/>
      <c r="P575" s="28"/>
      <c r="Q575" s="2"/>
      <c r="R575" s="2"/>
      <c r="S575" s="2"/>
      <c r="T575" s="241">
        <v>3</v>
      </c>
      <c r="U575" s="244" t="str">
        <f>IF(AND(N576&lt;&gt;"",N577&lt;&gt;""),CONCATENATE(VLOOKUP(N576,[2]zawodnicy!$A$1:$E$65536,1,FALSE)," ",VLOOKUP(N576,[2]zawodnicy!$A$1:$E$65536,2,FALSE)," ",VLOOKUP(N576,[2]zawodnicy!$A$1:$E$65536,3,FALSE)," - ",VLOOKUP(N576,[2]zawodnicy!$A$1:$E$65536,4,FALSE)),"")</f>
        <v/>
      </c>
      <c r="V575" s="245"/>
      <c r="W575" s="246"/>
      <c r="X575" s="46" t="str">
        <f>IF(SUM(AO572:AP572)=0,"",AP572&amp;":"&amp;AO572)</f>
        <v>11:21</v>
      </c>
      <c r="Y575" s="83" t="str">
        <f>IF(SUM(AO573:AP573)=0,"",AP573&amp;":"&amp;AO573)</f>
        <v>21:13</v>
      </c>
      <c r="Z575" s="84"/>
      <c r="AA575" s="247" t="str">
        <f>IF(SUM(AW574:AZ574)=0,"",BE574&amp;":"&amp;BF574)</f>
        <v>61:63</v>
      </c>
      <c r="AB575" s="250" t="str">
        <f>IF(SUM(AW574:AZ574)=0,"",BG574&amp;":"&amp;BH574)</f>
        <v>2:2</v>
      </c>
      <c r="AC575" s="250" t="str">
        <f>IF(SUM(AW574:AZ574)=0,"",BI574&amp;":"&amp;BJ574)</f>
        <v>1:1</v>
      </c>
      <c r="AD575" s="253">
        <f>IF(SUM(BI572:BI574)&gt;0,BK574,"")</f>
        <v>2</v>
      </c>
      <c r="AE575" s="2"/>
      <c r="AF575" s="12"/>
      <c r="AG575" s="12"/>
      <c r="BE575" s="19">
        <f>SUM(BE572:BE574)</f>
        <v>184</v>
      </c>
      <c r="BF575" s="19">
        <f>SUM(BF572:BF574)</f>
        <v>184</v>
      </c>
      <c r="BG575" s="19">
        <f>SUM(BG572:BG574)</f>
        <v>6</v>
      </c>
      <c r="BH575" s="19">
        <f>SUM(BH572:BH574)</f>
        <v>6</v>
      </c>
      <c r="BK575" s="19"/>
      <c r="BL575" s="20"/>
    </row>
    <row r="576" spans="1:64" ht="11.45" customHeight="1" x14ac:dyDescent="0.2">
      <c r="A576" s="19"/>
      <c r="J576" s="19"/>
      <c r="K576" s="19"/>
      <c r="L576" s="19"/>
      <c r="N576" s="33" t="s">
        <v>129</v>
      </c>
      <c r="O576" s="34">
        <f>IF(O568&gt;0,(O568&amp;3)*1,"")</f>
        <v>83</v>
      </c>
      <c r="Q576" s="85"/>
      <c r="R576" s="85"/>
      <c r="S576" s="85"/>
      <c r="T576" s="242"/>
      <c r="U576" s="244" t="str">
        <f>IF(AND(N576&lt;&gt;"",N577=""),CONCATENATE(VLOOKUP(N576,[2]zawodnicy!$A$1:$E$65536,1,FALSE)," ",VLOOKUP(N576,[2]zawodnicy!$A$1:$E$65536,2,FALSE)," ",VLOOKUP(N576,[2]zawodnicy!$A$1:$E$65536,3,FALSE)," - ",VLOOKUP(N576,[2]zawodnicy!$A$1:$E$65536,4,FALSE)),"")</f>
        <v>X41 Marek Kufa  - Slavoj Cesky Tesin</v>
      </c>
      <c r="V576" s="245"/>
      <c r="W576" s="246"/>
      <c r="X576" s="61" t="str">
        <f>IF(SUM(AQ572:AR572)=0,"",AR572&amp;":"&amp;AQ572)</f>
        <v>8:21</v>
      </c>
      <c r="Y576" s="36" t="str">
        <f>IF(SUM(AQ573:AR573)=0,"",AR573&amp;":"&amp;AQ573)</f>
        <v>21:8</v>
      </c>
      <c r="Z576" s="86"/>
      <c r="AA576" s="248"/>
      <c r="AB576" s="251"/>
      <c r="AC576" s="251"/>
      <c r="AD576" s="254"/>
      <c r="AE576" s="2"/>
      <c r="AF576" s="12"/>
      <c r="AG576" s="1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row>
    <row r="577" spans="1:64" ht="11.45" customHeight="1" thickBot="1" x14ac:dyDescent="0.25">
      <c r="A577" s="2"/>
      <c r="J577" s="28"/>
      <c r="K577" s="28"/>
      <c r="L577" s="28"/>
      <c r="N577" s="38"/>
      <c r="O577" s="28"/>
      <c r="P577" s="28"/>
      <c r="Q577" s="2"/>
      <c r="R577" s="2"/>
      <c r="S577" s="2"/>
      <c r="T577" s="243"/>
      <c r="U577" s="256" t="str">
        <f>IF(N577&lt;&gt;"",CONCATENATE(VLOOKUP(N577,[2]zawodnicy!$A$1:$E$65536,1,FALSE)," ",VLOOKUP(N577,[2]zawodnicy!$A$1:$E$65536,2,FALSE)," ",VLOOKUP(N577,[2]zawodnicy!$A$1:$E$65536,3,FALSE)," - ",VLOOKUP(N577,[2]zawodnicy!$A$1:$E$65536,4,FALSE)),"")</f>
        <v/>
      </c>
      <c r="V577" s="257"/>
      <c r="W577" s="258"/>
      <c r="X577" s="87" t="str">
        <f>IF(SUM(AS572:AT572)=0,"",AT572&amp;":"&amp;AS572)</f>
        <v/>
      </c>
      <c r="Y577" s="88" t="str">
        <f>IF(SUM(AS573:AT573)=0,"",AT573&amp;":"&amp;AS573)</f>
        <v/>
      </c>
      <c r="Z577" s="89"/>
      <c r="AA577" s="249"/>
      <c r="AB577" s="252"/>
      <c r="AC577" s="252"/>
      <c r="AD577" s="255"/>
      <c r="AE577" s="10"/>
      <c r="AF577" s="12"/>
      <c r="AG577" s="1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row>
    <row r="578" spans="1:64" s="19" customFormat="1" ht="5.0999999999999996" customHeight="1" thickBot="1" x14ac:dyDescent="0.25">
      <c r="M578" s="90"/>
      <c r="O578" s="90"/>
      <c r="P578" s="90"/>
      <c r="Q578" s="91"/>
      <c r="R578" s="91"/>
      <c r="S578" s="91"/>
      <c r="T578" s="91"/>
      <c r="U578" s="5"/>
      <c r="V578" s="5"/>
      <c r="W578" s="5"/>
      <c r="AA578" s="92"/>
      <c r="AB578" s="91"/>
      <c r="AC578" s="91"/>
      <c r="AD578" s="91"/>
      <c r="AE578" s="91"/>
      <c r="AF578" s="91"/>
      <c r="AI578" s="93"/>
      <c r="AJ578" s="94"/>
      <c r="AK578" s="94"/>
    </row>
    <row r="579" spans="1:64" ht="11.45" customHeight="1" thickBot="1" x14ac:dyDescent="0.25">
      <c r="N579" s="11"/>
      <c r="O579" s="21">
        <v>9</v>
      </c>
      <c r="Q579" s="277" t="str">
        <f>"Grupa "&amp;O579&amp;"."</f>
        <v>Grupa 9.</v>
      </c>
      <c r="R579" s="277"/>
      <c r="S579" s="277"/>
      <c r="T579" s="22" t="s">
        <v>1</v>
      </c>
      <c r="U579" s="278" t="s">
        <v>2</v>
      </c>
      <c r="V579" s="279"/>
      <c r="W579" s="280"/>
      <c r="X579" s="22">
        <v>1</v>
      </c>
      <c r="Y579" s="23">
        <v>2</v>
      </c>
      <c r="Z579" s="24">
        <v>3</v>
      </c>
      <c r="AA579" s="25" t="s">
        <v>3</v>
      </c>
      <c r="AB579" s="26" t="s">
        <v>4</v>
      </c>
      <c r="AC579" s="26" t="s">
        <v>5</v>
      </c>
      <c r="AD579" s="27" t="s">
        <v>6</v>
      </c>
      <c r="AE579" s="2"/>
      <c r="AF579" s="12"/>
      <c r="AG579" s="12"/>
      <c r="BK579" s="19"/>
      <c r="BL579" s="20"/>
    </row>
    <row r="580" spans="1:64" ht="11.45" customHeight="1" x14ac:dyDescent="0.2">
      <c r="J580" s="28"/>
      <c r="K580" s="28"/>
      <c r="L580" s="28"/>
      <c r="N580" s="29" t="s">
        <v>105</v>
      </c>
      <c r="Q580" s="274" t="s">
        <v>7</v>
      </c>
      <c r="R580" s="274"/>
      <c r="S580" s="275" t="s">
        <v>8</v>
      </c>
      <c r="T580" s="276">
        <v>1</v>
      </c>
      <c r="U580" s="244" t="str">
        <f>IF(AND(N581&lt;&gt;"",N582&lt;&gt;""),CONCATENATE(VLOOKUP(N581,[2]zawodnicy!$A$1:$E$65536,1,FALSE)," ",VLOOKUP(N581,[2]zawodnicy!$A$1:$E$65536,2,FALSE)," ",VLOOKUP(N581,[2]zawodnicy!$A$1:$E$65536,3,FALSE)," - ",VLOOKUP(N581,[2]zawodnicy!$A$1:$E$65536,4,FALSE)),"")</f>
        <v/>
      </c>
      <c r="V580" s="245"/>
      <c r="W580" s="246"/>
      <c r="X580" s="30"/>
      <c r="Y580" s="31" t="str">
        <f>IF(SUM(AO585:AP585)=0,"",AO585&amp;":"&amp;AP585)</f>
        <v>21:15</v>
      </c>
      <c r="Z580" s="32" t="str">
        <f>IF(SUM(AO583:AP583)=0,"",AO583&amp;":"&amp;AP583)</f>
        <v>21:16</v>
      </c>
      <c r="AA580" s="270" t="str">
        <f>IF(SUM(AY583:BB583)=0,"",BE583&amp;":"&amp;BF583)</f>
        <v>84:64</v>
      </c>
      <c r="AB580" s="271" t="str">
        <f>IF(SUM(AY583:BB583)=0,"",BG583&amp;":"&amp;BH583)</f>
        <v>4:0</v>
      </c>
      <c r="AC580" s="271" t="str">
        <f>IF(SUM(AY583:BB583)=0,"",BI583&amp;":"&amp;BJ583)</f>
        <v>2:0</v>
      </c>
      <c r="AD580" s="272">
        <f>IF(SUM(BI583:BI585)&gt;0,BK583,"")</f>
        <v>1</v>
      </c>
      <c r="AE580" s="2"/>
      <c r="AF580" s="12"/>
      <c r="AG580" s="12"/>
      <c r="AH580" s="14"/>
      <c r="AI580" s="273" t="s">
        <v>9</v>
      </c>
      <c r="AJ580" s="273"/>
      <c r="AK580" s="273"/>
      <c r="AL580" s="273"/>
      <c r="AM580" s="273"/>
      <c r="AN580" s="273"/>
      <c r="AO580" s="273" t="s">
        <v>10</v>
      </c>
      <c r="AP580" s="273"/>
      <c r="AQ580" s="273"/>
      <c r="AR580" s="273"/>
      <c r="AS580" s="273"/>
      <c r="AT580" s="273"/>
      <c r="BK580" s="19"/>
      <c r="BL580" s="20"/>
    </row>
    <row r="581" spans="1:64" ht="11.45" customHeight="1" thickBot="1" x14ac:dyDescent="0.25">
      <c r="I581" s="2" t="str">
        <f>"1"&amp;O579&amp;N580</f>
        <v>19pojedyncza chłopców JM</v>
      </c>
      <c r="J581" s="10" t="str">
        <f>IF(AD580="","",IF(AD580=1,N581,IF(AD583=1,N584,IF(AD586=1,N587,""))))</f>
        <v>D3323</v>
      </c>
      <c r="K581" s="10">
        <f>IF(AD580="","",IF(AD580=1,N582,IF(AD583=1,N585,IF(AD586=1,N588,""))))</f>
        <v>0</v>
      </c>
      <c r="L581" s="10"/>
      <c r="N581" s="33" t="s">
        <v>130</v>
      </c>
      <c r="O581" s="34">
        <f>IF(O579&gt;0,(O579&amp;1)*1,"")</f>
        <v>91</v>
      </c>
      <c r="Q581" s="274"/>
      <c r="R581" s="274"/>
      <c r="S581" s="275"/>
      <c r="T581" s="242"/>
      <c r="U581" s="244" t="str">
        <f>IF(AND(N581&lt;&gt;"",N582=""),CONCATENATE(VLOOKUP(N581,[2]zawodnicy!$A$1:$E$65536,1,FALSE)," ",VLOOKUP(N581,[2]zawodnicy!$A$1:$E$65536,2,FALSE)," ",VLOOKUP(N581,[2]zawodnicy!$A$1:$E$65536,3,FALSE)," - ",VLOOKUP(N581,[2]zawodnicy!$A$1:$E$65536,4,FALSE)),"")</f>
        <v>D3323 Mateusz DANIELAK - KKS Ruch Piotrków Tryb.</v>
      </c>
      <c r="V581" s="245"/>
      <c r="W581" s="246"/>
      <c r="X581" s="35"/>
      <c r="Y581" s="36" t="str">
        <f>IF(SUM(AQ585:AR585)=0,"",AQ585&amp;":"&amp;AR585)</f>
        <v>21:19</v>
      </c>
      <c r="Z581" s="37" t="str">
        <f>IF(SUM(AQ583:AR583)=0,"",AQ583&amp;":"&amp;AR583)</f>
        <v>21:14</v>
      </c>
      <c r="AA581" s="248"/>
      <c r="AB581" s="251"/>
      <c r="AC581" s="251"/>
      <c r="AD581" s="254"/>
      <c r="AE581" s="2"/>
      <c r="AF581" s="12"/>
      <c r="AG581" s="12"/>
      <c r="AH581" s="14"/>
      <c r="BE581" s="19">
        <f>SUM(BE583:BE585)</f>
        <v>225</v>
      </c>
      <c r="BF581" s="19">
        <f>SUM(BF583:BF585)</f>
        <v>225</v>
      </c>
      <c r="BG581" s="19">
        <f>SUM(BG583:BG585)</f>
        <v>6</v>
      </c>
      <c r="BH581" s="19">
        <f>SUM(BH583:BH585)</f>
        <v>6</v>
      </c>
      <c r="BK581" s="19"/>
      <c r="BL581" s="20"/>
    </row>
    <row r="582" spans="1:64" ht="11.45" customHeight="1" thickBot="1" x14ac:dyDescent="0.25">
      <c r="J582" s="10"/>
      <c r="K582" s="28"/>
      <c r="L582" s="28"/>
      <c r="N582" s="38"/>
      <c r="O582" s="28"/>
      <c r="P582" s="28"/>
      <c r="Q582" s="274"/>
      <c r="R582" s="274"/>
      <c r="S582" s="275"/>
      <c r="T582" s="261"/>
      <c r="U582" s="265" t="str">
        <f>IF(N582&lt;&gt;"",CONCATENATE(VLOOKUP(N582,[2]zawodnicy!$A$1:$E$65536,1,FALSE)," ",VLOOKUP(N582,[2]zawodnicy!$A$1:$E$65536,2,FALSE)," ",VLOOKUP(N582,[2]zawodnicy!$A$1:$E$65536,3,FALSE)," - ",VLOOKUP(N582,[2]zawodnicy!$A$1:$E$65536,4,FALSE)),"")</f>
        <v/>
      </c>
      <c r="V582" s="266"/>
      <c r="W582" s="267"/>
      <c r="X582" s="35"/>
      <c r="Y582" s="39" t="str">
        <f>IF(SUM(AS585:AT585)=0,"",AS585&amp;":"&amp;AT585)</f>
        <v/>
      </c>
      <c r="Z582" s="40" t="str">
        <f>IF(SUM(AS583:AT583)=0,"",AS583&amp;":"&amp;AT583)</f>
        <v/>
      </c>
      <c r="AA582" s="262"/>
      <c r="AB582" s="263"/>
      <c r="AC582" s="263"/>
      <c r="AD582" s="264"/>
      <c r="AE582" s="2"/>
      <c r="AF582" s="12"/>
      <c r="AG582" s="12"/>
      <c r="AH582" s="14"/>
      <c r="AI582" s="259" t="s">
        <v>12</v>
      </c>
      <c r="AJ582" s="269"/>
      <c r="AK582" s="268" t="s">
        <v>13</v>
      </c>
      <c r="AL582" s="269"/>
      <c r="AM582" s="268" t="s">
        <v>14</v>
      </c>
      <c r="AN582" s="260"/>
      <c r="AO582" s="259" t="s">
        <v>12</v>
      </c>
      <c r="AP582" s="269"/>
      <c r="AQ582" s="268" t="s">
        <v>13</v>
      </c>
      <c r="AR582" s="269"/>
      <c r="AS582" s="268" t="s">
        <v>14</v>
      </c>
      <c r="AT582" s="269"/>
      <c r="AU582" s="12"/>
      <c r="AV582" s="12"/>
      <c r="AW582" s="259">
        <v>1</v>
      </c>
      <c r="AX582" s="269"/>
      <c r="AY582" s="268">
        <v>2</v>
      </c>
      <c r="AZ582" s="269"/>
      <c r="BA582" s="268">
        <v>3</v>
      </c>
      <c r="BB582" s="260"/>
      <c r="BE582" s="259" t="s">
        <v>3</v>
      </c>
      <c r="BF582" s="260"/>
      <c r="BG582" s="259" t="s">
        <v>4</v>
      </c>
      <c r="BH582" s="260"/>
      <c r="BI582" s="259" t="s">
        <v>5</v>
      </c>
      <c r="BJ582" s="260"/>
      <c r="BK582" s="41" t="s">
        <v>6</v>
      </c>
      <c r="BL582" s="20"/>
    </row>
    <row r="583" spans="1:64" ht="11.45" customHeight="1" x14ac:dyDescent="0.2">
      <c r="A583" s="19">
        <f>S583</f>
        <v>35</v>
      </c>
      <c r="B583" s="2" t="str">
        <f>IF(N581="","",N581)</f>
        <v>D3323</v>
      </c>
      <c r="C583" s="2" t="str">
        <f>IF(N582="","",N582)</f>
        <v/>
      </c>
      <c r="D583" s="2" t="str">
        <f>IF(N587="","",N587)</f>
        <v>X11</v>
      </c>
      <c r="E583" s="2" t="str">
        <f>IF(N588="","",N588)</f>
        <v/>
      </c>
      <c r="I583" s="2" t="str">
        <f>"2"&amp;O579&amp;N580</f>
        <v>29pojedyncza chłopców JM</v>
      </c>
      <c r="J583" s="10" t="str">
        <f>IF(AD583="","",IF(AD580=2,N581,IF(AD583=2,N584,IF(AD586=2,N587,""))))</f>
        <v>X11</v>
      </c>
      <c r="K583" s="10">
        <f>IF(AD583="","",IF(AD580=2,N582,IF(AD583=2,N585,IF(AD586=2,N588,""))))</f>
        <v>0</v>
      </c>
      <c r="M583" s="42" t="str">
        <f>N580</f>
        <v>pojedyncza chłopców JM</v>
      </c>
      <c r="O583" s="28"/>
      <c r="P583" s="28"/>
      <c r="Q583" s="43" t="str">
        <f>IF(AU583&gt;0,"",IF(A583=0,"",IF(VLOOKUP(A583,'[2]plan gier'!A$1:S$65536,19,FALSE)="","",VLOOKUP(A583,'[2]plan gier'!A$1:S$65536,19,FALSE))))</f>
        <v/>
      </c>
      <c r="R583" s="44" t="s">
        <v>15</v>
      </c>
      <c r="S583" s="45">
        <v>35</v>
      </c>
      <c r="T583" s="241">
        <v>2</v>
      </c>
      <c r="U583" s="244" t="str">
        <f>IF(AND(N584&lt;&gt;"",N585&lt;&gt;""),CONCATENATE(VLOOKUP(N584,[2]zawodnicy!$A$1:$E$65536,1,FALSE)," ",VLOOKUP(N584,[2]zawodnicy!$A$1:$E$65536,2,FALSE)," ",VLOOKUP(N584,[2]zawodnicy!$A$1:$E$65536,3,FALSE)," - ",VLOOKUP(N584,[2]zawodnicy!$A$1:$E$65536,4,FALSE)),"")</f>
        <v/>
      </c>
      <c r="V583" s="245"/>
      <c r="W583" s="246"/>
      <c r="X583" s="46" t="str">
        <f>IF(SUM(AO585:AP585)=0,"",AP585&amp;":"&amp;AO585)</f>
        <v>15:21</v>
      </c>
      <c r="Y583" s="47"/>
      <c r="Z583" s="48" t="str">
        <f>IF(SUM(AO584:AP584)=0,"",AO584&amp;":"&amp;AP584)</f>
        <v>18:21</v>
      </c>
      <c r="AA583" s="247" t="str">
        <f>IF(SUM(AW584:AX584,BA584:BB584)=0,"",BE584&amp;":"&amp;BF584)</f>
        <v>69:84</v>
      </c>
      <c r="AB583" s="250" t="str">
        <f>IF(SUM(AW584:AX584,BA584:BB584)=0,"",BG584&amp;":"&amp;BH584)</f>
        <v>0:4</v>
      </c>
      <c r="AC583" s="250" t="str">
        <f>IF(SUM(AW584:AX584,BA584:BB584)=0,"",BI584&amp;":"&amp;BJ584)</f>
        <v>0:2</v>
      </c>
      <c r="AD583" s="253">
        <f>IF(SUM(BI583:BI585)&gt;0,BK584,"")</f>
        <v>3</v>
      </c>
      <c r="AE583" s="2"/>
      <c r="AF583" s="12"/>
      <c r="AG583" s="12"/>
      <c r="AH583" s="44" t="s">
        <v>15</v>
      </c>
      <c r="AI583" s="49">
        <f>IF(ISBLANK(S583),"",VLOOKUP(S583,'[2]plan gier'!$X$1:$AN$65536,12,FALSE))</f>
        <v>21</v>
      </c>
      <c r="AJ583" s="50">
        <f>IF(ISBLANK(S583),"",VLOOKUP(S583,'[2]plan gier'!$X$1:$AN$65536,13,FALSE))</f>
        <v>16</v>
      </c>
      <c r="AK583" s="50">
        <f>IF(ISBLANK(S583),"",VLOOKUP(S583,'[2]plan gier'!$X$1:$AN$65536,14,FALSE))</f>
        <v>21</v>
      </c>
      <c r="AL583" s="50">
        <f>IF(ISBLANK(S583),"",VLOOKUP(S583,'[2]plan gier'!$X$1:$AN$65536,15,FALSE))</f>
        <v>14</v>
      </c>
      <c r="AM583" s="50">
        <f>IF(ISBLANK(S583),"",VLOOKUP(S583,'[2]plan gier'!$X$1:$AN$65536,16,FALSE))</f>
        <v>0</v>
      </c>
      <c r="AN583" s="50">
        <f>IF(ISBLANK(S583),"",VLOOKUP(S583,'[2]plan gier'!$X$1:$AN$65536,17,FALSE))</f>
        <v>0</v>
      </c>
      <c r="AO583" s="51">
        <f t="shared" ref="AO583:AT585" si="52">IF(AI583="",0,AI583)</f>
        <v>21</v>
      </c>
      <c r="AP583" s="52">
        <f t="shared" si="52"/>
        <v>16</v>
      </c>
      <c r="AQ583" s="53">
        <f t="shared" si="52"/>
        <v>21</v>
      </c>
      <c r="AR583" s="52">
        <f t="shared" si="52"/>
        <v>14</v>
      </c>
      <c r="AS583" s="53">
        <f t="shared" si="52"/>
        <v>0</v>
      </c>
      <c r="AT583" s="52">
        <f t="shared" si="52"/>
        <v>0</v>
      </c>
      <c r="AU583" s="54">
        <f>SUM(AO583:AT583)</f>
        <v>72</v>
      </c>
      <c r="AV583" s="13">
        <v>1</v>
      </c>
      <c r="AW583" s="55"/>
      <c r="AX583" s="56"/>
      <c r="AY583" s="50">
        <f>IF(AI585&gt;AJ585,1,0)+IF(AK585&gt;AL585,1,0)+IF(AM585&gt;AN585,1,0)</f>
        <v>2</v>
      </c>
      <c r="AZ583" s="50">
        <f>AW584</f>
        <v>0</v>
      </c>
      <c r="BA583" s="50">
        <f>IF(AI583&gt;AJ583,1,0)+IF(AK583&gt;AL583,1,0)+IF(AM583&gt;AN583,1,0)</f>
        <v>2</v>
      </c>
      <c r="BB583" s="57">
        <f>AW585</f>
        <v>0</v>
      </c>
      <c r="BE583" s="49">
        <f>AO583+AQ583+AS583+AO585+AQ585+AS585</f>
        <v>84</v>
      </c>
      <c r="BF583" s="57">
        <f>AP583+AR583+AT583+AP585+AR585+AT585</f>
        <v>64</v>
      </c>
      <c r="BG583" s="49">
        <f>AY583+BA583</f>
        <v>4</v>
      </c>
      <c r="BH583" s="57">
        <f>AZ583+BB583</f>
        <v>0</v>
      </c>
      <c r="BI583" s="49">
        <f>IF(AY583&gt;AZ583,1,0)+IF(BA583&gt;BB583,1,0)</f>
        <v>2</v>
      </c>
      <c r="BJ583" s="58">
        <f>IF(AZ583&gt;AY583,1,0)+IF(BB583&gt;BA583,1,0)</f>
        <v>0</v>
      </c>
      <c r="BK583" s="59">
        <f>IF(BI583+BJ583=0,"",IF(BL583=MAX(BL583:BL585),1,IF(BL583=MIN(BL583:BL585),3,2)))</f>
        <v>1</v>
      </c>
      <c r="BL583" s="60">
        <f>IF(BI583+BJ583&lt;&gt;0,BI583+1+(BG583-BH583)/100+(BE583-BF583)/100000+(BE583/BF583)/1000000,0)</f>
        <v>3.0402013124999998</v>
      </c>
    </row>
    <row r="584" spans="1:64" ht="11.45" customHeight="1" x14ac:dyDescent="0.2">
      <c r="A584" s="19">
        <f>S584</f>
        <v>100</v>
      </c>
      <c r="B584" s="2" t="str">
        <f>IF(N584="","",N584)</f>
        <v>R3535</v>
      </c>
      <c r="C584" s="2" t="str">
        <f>IF(N585="","",N585)</f>
        <v/>
      </c>
      <c r="D584" s="2" t="str">
        <f>IF(N587="","",N587)</f>
        <v>X11</v>
      </c>
      <c r="E584" s="2" t="str">
        <f>IF(N588="","",N588)</f>
        <v/>
      </c>
      <c r="J584" s="10"/>
      <c r="K584" s="19"/>
      <c r="M584" s="42" t="str">
        <f>N580</f>
        <v>pojedyncza chłopców JM</v>
      </c>
      <c r="N584" s="33" t="s">
        <v>131</v>
      </c>
      <c r="O584" s="34">
        <f>IF(O579&gt;0,(O579&amp;2)*1,"")</f>
        <v>92</v>
      </c>
      <c r="Q584" s="43" t="str">
        <f>IF(AU584&gt;0,"",IF(A584=0,"",IF(VLOOKUP(A584,'[2]plan gier'!A$1:S$65536,19,FALSE)="","",VLOOKUP(A584,'[2]plan gier'!A$1:S$65536,19,FALSE))))</f>
        <v/>
      </c>
      <c r="R584" s="44" t="s">
        <v>17</v>
      </c>
      <c r="S584" s="45">
        <v>100</v>
      </c>
      <c r="T584" s="242"/>
      <c r="U584" s="244" t="str">
        <f>IF(AND(N584&lt;&gt;"",N585=""),CONCATENATE(VLOOKUP(N584,[2]zawodnicy!$A$1:$E$65536,1,FALSE)," ",VLOOKUP(N584,[2]zawodnicy!$A$1:$E$65536,2,FALSE)," ",VLOOKUP(N584,[2]zawodnicy!$A$1:$E$65536,3,FALSE)," - ",VLOOKUP(N584,[2]zawodnicy!$A$1:$E$65536,4,FALSE)),"")</f>
        <v>R3535 Nikodem RATKOWSKI - ZKB Maced Polanów</v>
      </c>
      <c r="V584" s="245"/>
      <c r="W584" s="246"/>
      <c r="X584" s="61" t="str">
        <f>IF(SUM(AQ585:AR585)=0,"",AR585&amp;":"&amp;AQ585)</f>
        <v>19:21</v>
      </c>
      <c r="Y584" s="62"/>
      <c r="Z584" s="37" t="str">
        <f>IF(SUM(AQ584:AR584)=0,"",AQ584&amp;":"&amp;AR584)</f>
        <v>17:21</v>
      </c>
      <c r="AA584" s="248"/>
      <c r="AB584" s="251"/>
      <c r="AC584" s="251"/>
      <c r="AD584" s="254"/>
      <c r="AE584" s="2"/>
      <c r="AF584" s="12"/>
      <c r="AG584" s="12"/>
      <c r="AH584" s="44" t="s">
        <v>17</v>
      </c>
      <c r="AI584" s="63">
        <f>IF(ISBLANK(S584),"",VLOOKUP(S584,'[2]plan gier'!$X$1:$AN$65536,12,FALSE))</f>
        <v>18</v>
      </c>
      <c r="AJ584" s="64">
        <f>IF(ISBLANK(S584),"",VLOOKUP(S584,'[2]plan gier'!$X$1:$AN$65536,13,FALSE))</f>
        <v>21</v>
      </c>
      <c r="AK584" s="64">
        <f>IF(ISBLANK(S584),"",VLOOKUP(S584,'[2]plan gier'!$X$1:$AN$65536,14,FALSE))</f>
        <v>17</v>
      </c>
      <c r="AL584" s="64">
        <f>IF(ISBLANK(S584),"",VLOOKUP(S584,'[2]plan gier'!$X$1:$AN$65536,15,FALSE))</f>
        <v>21</v>
      </c>
      <c r="AM584" s="64">
        <f>IF(ISBLANK(S584),"",VLOOKUP(S584,'[2]plan gier'!$X$1:$AN$65536,16,FALSE))</f>
        <v>0</v>
      </c>
      <c r="AN584" s="64">
        <f>IF(ISBLANK(S584),"",VLOOKUP(S584,'[2]plan gier'!$X$1:$AN$65536,17,FALSE))</f>
        <v>0</v>
      </c>
      <c r="AO584" s="65">
        <f t="shared" si="52"/>
        <v>18</v>
      </c>
      <c r="AP584" s="64">
        <f t="shared" si="52"/>
        <v>21</v>
      </c>
      <c r="AQ584" s="66">
        <f t="shared" si="52"/>
        <v>17</v>
      </c>
      <c r="AR584" s="64">
        <f t="shared" si="52"/>
        <v>21</v>
      </c>
      <c r="AS584" s="66">
        <f t="shared" si="52"/>
        <v>0</v>
      </c>
      <c r="AT584" s="64">
        <f t="shared" si="52"/>
        <v>0</v>
      </c>
      <c r="AU584" s="54">
        <f>SUM(AO584:AT584)</f>
        <v>77</v>
      </c>
      <c r="AV584" s="13">
        <v>2</v>
      </c>
      <c r="AW584" s="63">
        <f>IF(AI585&lt;AJ585,1,0)+IF(AK585&lt;AL585,1,0)+IF(AM585&lt;AN585,1,0)</f>
        <v>0</v>
      </c>
      <c r="AX584" s="64">
        <f>AY583</f>
        <v>2</v>
      </c>
      <c r="AY584" s="67"/>
      <c r="AZ584" s="68"/>
      <c r="BA584" s="64">
        <f>IF(AI584&gt;AJ584,1,0)+IF(AK584&gt;AL584,1,0)+IF(AM584&gt;AN584,1,0)</f>
        <v>0</v>
      </c>
      <c r="BB584" s="69">
        <f>AY585</f>
        <v>2</v>
      </c>
      <c r="BE584" s="63">
        <f>AO584+AQ584+AS584+AP585+AR585+AT585</f>
        <v>69</v>
      </c>
      <c r="BF584" s="69">
        <f>AP584+AR584+AT584+AO585+AQ585+AS585</f>
        <v>84</v>
      </c>
      <c r="BG584" s="63">
        <f>AW584+BA584</f>
        <v>0</v>
      </c>
      <c r="BH584" s="69">
        <f>AX584+BB584</f>
        <v>4</v>
      </c>
      <c r="BI584" s="63">
        <f>IF(AW584&gt;AX584,1,0)+IF(BA584&gt;BB584,1,0)</f>
        <v>0</v>
      </c>
      <c r="BJ584" s="70">
        <f>IF(AX584&gt;AW584,1,0)+IF(BB584&gt;BA584,1,0)</f>
        <v>2</v>
      </c>
      <c r="BK584" s="71">
        <f>IF(BI584+BJ584=0,"",IF(BL584=MAX(BL583:BL585),1,IF(BL584=MIN(BL583:BL585),3,2)))</f>
        <v>3</v>
      </c>
      <c r="BL584" s="60">
        <f>IF(BI584+BJ584&lt;&gt;0,BI584+1+(BG584-BH584)/100+(BE584-BF584)/100000+(BE584/BF584)/1000000,0)</f>
        <v>0.95985082142857137</v>
      </c>
    </row>
    <row r="585" spans="1:64" ht="11.45" customHeight="1" thickBot="1" x14ac:dyDescent="0.25">
      <c r="A585" s="19">
        <f>S585</f>
        <v>165</v>
      </c>
      <c r="B585" s="2" t="str">
        <f>IF(N581="","",N581)</f>
        <v>D3323</v>
      </c>
      <c r="C585" s="2" t="str">
        <f>IF(N582="","",N582)</f>
        <v/>
      </c>
      <c r="D585" s="2" t="str">
        <f>IF(N584="","",N584)</f>
        <v>R3535</v>
      </c>
      <c r="E585" s="2" t="str">
        <f>IF(N585="","",N585)</f>
        <v/>
      </c>
      <c r="I585" s="2" t="str">
        <f>"3"&amp;O579&amp;N580</f>
        <v>39pojedyncza chłopców JM</v>
      </c>
      <c r="J585" s="10" t="str">
        <f>IF(AD586="","",IF(AD580=3,N581,IF(AD583=3,N584,IF(AD586=3,N587,""))))</f>
        <v>R3535</v>
      </c>
      <c r="K585" s="10">
        <f>IF(AD586="","",IF(AD580=3,N582,IF(AD583=3,N585,IF(AD586=3,N588,""))))</f>
        <v>0</v>
      </c>
      <c r="M585" s="42" t="str">
        <f>N580</f>
        <v>pojedyncza chłopców JM</v>
      </c>
      <c r="N585" s="38"/>
      <c r="O585" s="28"/>
      <c r="P585" s="28"/>
      <c r="Q585" s="43" t="str">
        <f>IF(AU585&gt;0,"",IF(A585=0,"",IF(VLOOKUP(A585,'[2]plan gier'!A$1:S$65536,19,FALSE)="","",VLOOKUP(A585,'[2]plan gier'!A$1:S$65536,19,FALSE))))</f>
        <v/>
      </c>
      <c r="R585" s="72" t="s">
        <v>18</v>
      </c>
      <c r="S585" s="45">
        <v>165</v>
      </c>
      <c r="T585" s="261"/>
      <c r="U585" s="265" t="str">
        <f>IF(N585&lt;&gt;"",CONCATENATE(VLOOKUP(N585,[2]zawodnicy!$A$1:$E$65536,1,FALSE)," ",VLOOKUP(N585,[2]zawodnicy!$A$1:$E$65536,2,FALSE)," ",VLOOKUP(N585,[2]zawodnicy!$A$1:$E$65536,3,FALSE)," - ",VLOOKUP(N585,[2]zawodnicy!$A$1:$E$65536,4,FALSE)),"")</f>
        <v/>
      </c>
      <c r="V585" s="266"/>
      <c r="W585" s="267"/>
      <c r="X585" s="73" t="str">
        <f>IF(SUM(AS585:AT585)=0,"",AT585&amp;":"&amp;AS585)</f>
        <v/>
      </c>
      <c r="Y585" s="62"/>
      <c r="Z585" s="40" t="str">
        <f>IF(SUM(AS584:AT584)=0,"",AS584&amp;":"&amp;AT584)</f>
        <v/>
      </c>
      <c r="AA585" s="262"/>
      <c r="AB585" s="263"/>
      <c r="AC585" s="263"/>
      <c r="AD585" s="264"/>
      <c r="AE585" s="2"/>
      <c r="AF585" s="12"/>
      <c r="AG585" s="12"/>
      <c r="AH585" s="72" t="s">
        <v>18</v>
      </c>
      <c r="AI585" s="74">
        <f>IF(ISBLANK(S585),"",VLOOKUP(S585,'[2]plan gier'!$X$1:$AN$65536,12,FALSE))</f>
        <v>21</v>
      </c>
      <c r="AJ585" s="75">
        <f>IF(ISBLANK(S585),"",VLOOKUP(S585,'[2]plan gier'!$X$1:$AN$65536,13,FALSE))</f>
        <v>15</v>
      </c>
      <c r="AK585" s="75">
        <f>IF(ISBLANK(S585),"",VLOOKUP(S585,'[2]plan gier'!$X$1:$AN$65536,14,FALSE))</f>
        <v>21</v>
      </c>
      <c r="AL585" s="75">
        <f>IF(ISBLANK(S585),"",VLOOKUP(S585,'[2]plan gier'!$X$1:$AN$65536,15,FALSE))</f>
        <v>19</v>
      </c>
      <c r="AM585" s="75">
        <f>IF(ISBLANK(S585),"",VLOOKUP(S585,'[2]plan gier'!$X$1:$AN$65536,16,FALSE))</f>
        <v>0</v>
      </c>
      <c r="AN585" s="75">
        <f>IF(ISBLANK(S585),"",VLOOKUP(S585,'[2]plan gier'!$X$1:$AN$65536,17,FALSE))</f>
        <v>0</v>
      </c>
      <c r="AO585" s="76">
        <f t="shared" si="52"/>
        <v>21</v>
      </c>
      <c r="AP585" s="75">
        <f t="shared" si="52"/>
        <v>15</v>
      </c>
      <c r="AQ585" s="77">
        <f t="shared" si="52"/>
        <v>21</v>
      </c>
      <c r="AR585" s="75">
        <f t="shared" si="52"/>
        <v>19</v>
      </c>
      <c r="AS585" s="77">
        <f t="shared" si="52"/>
        <v>0</v>
      </c>
      <c r="AT585" s="75">
        <f t="shared" si="52"/>
        <v>0</v>
      </c>
      <c r="AU585" s="54">
        <f>SUM(AO585:AT585)</f>
        <v>76</v>
      </c>
      <c r="AV585" s="13">
        <v>3</v>
      </c>
      <c r="AW585" s="74">
        <f>IF(AI583&lt;AJ583,1,0)+IF(AK583&lt;AL583,1,0)+IF(AM583&lt;AN583,1,0)</f>
        <v>0</v>
      </c>
      <c r="AX585" s="75">
        <f>BA583</f>
        <v>2</v>
      </c>
      <c r="AY585" s="75">
        <f>IF(AI584&lt;AJ584,1,0)+IF(AK584&lt;AL584,1,0)+IF(AM584&lt;AN584,1,0)</f>
        <v>2</v>
      </c>
      <c r="AZ585" s="75">
        <f>BA584</f>
        <v>0</v>
      </c>
      <c r="BA585" s="78"/>
      <c r="BB585" s="79"/>
      <c r="BE585" s="74">
        <f>AP583+AR583+AT583+AP584+AR584+AT584</f>
        <v>72</v>
      </c>
      <c r="BF585" s="80">
        <f>AO583+AQ583+AS583+AO584+AQ584+AS584</f>
        <v>77</v>
      </c>
      <c r="BG585" s="74">
        <f>AW585+AY585</f>
        <v>2</v>
      </c>
      <c r="BH585" s="80">
        <f>AX585+AZ585</f>
        <v>2</v>
      </c>
      <c r="BI585" s="74">
        <f>IF(AW585&gt;AX585,1,0)+IF(AY585&gt;AZ585,1,0)</f>
        <v>1</v>
      </c>
      <c r="BJ585" s="81">
        <f>IF(AX585&gt;AW585,1,0)+IF(AZ585&gt;AY585,1,0)</f>
        <v>1</v>
      </c>
      <c r="BK585" s="82">
        <f>IF(BI585+BJ585=0,"",IF(BL585=MAX(BL583:BL585),1,IF(BL585=MIN(BL583:BL585),3,2)))</f>
        <v>2</v>
      </c>
      <c r="BL585" s="60">
        <f>IF(BI585+BJ585&lt;&gt;0,BI585+1+(BG585-BH585)/100+(BE585-BF585)/100000+(BE585/BF585)/1000000,0)</f>
        <v>1.9999509350649349</v>
      </c>
    </row>
    <row r="586" spans="1:64" ht="11.45" customHeight="1" x14ac:dyDescent="0.2">
      <c r="A586" s="2"/>
      <c r="J586" s="28"/>
      <c r="K586" s="28"/>
      <c r="L586" s="28"/>
      <c r="O586" s="28"/>
      <c r="P586" s="28"/>
      <c r="Q586" s="2"/>
      <c r="R586" s="2"/>
      <c r="S586" s="2"/>
      <c r="T586" s="241">
        <v>3</v>
      </c>
      <c r="U586" s="244" t="str">
        <f>IF(AND(N587&lt;&gt;"",N588&lt;&gt;""),CONCATENATE(VLOOKUP(N587,[2]zawodnicy!$A$1:$E$65536,1,FALSE)," ",VLOOKUP(N587,[2]zawodnicy!$A$1:$E$65536,2,FALSE)," ",VLOOKUP(N587,[2]zawodnicy!$A$1:$E$65536,3,FALSE)," - ",VLOOKUP(N587,[2]zawodnicy!$A$1:$E$65536,4,FALSE)),"")</f>
        <v/>
      </c>
      <c r="V586" s="245"/>
      <c r="W586" s="246"/>
      <c r="X586" s="46" t="str">
        <f>IF(SUM(AO583:AP583)=0,"",AP583&amp;":"&amp;AO583)</f>
        <v>16:21</v>
      </c>
      <c r="Y586" s="83" t="str">
        <f>IF(SUM(AO584:AP584)=0,"",AP584&amp;":"&amp;AO584)</f>
        <v>21:18</v>
      </c>
      <c r="Z586" s="84"/>
      <c r="AA586" s="247" t="str">
        <f>IF(SUM(AW585:AZ585)=0,"",BE585&amp;":"&amp;BF585)</f>
        <v>72:77</v>
      </c>
      <c r="AB586" s="250" t="str">
        <f>IF(SUM(AW585:AZ585)=0,"",BG585&amp;":"&amp;BH585)</f>
        <v>2:2</v>
      </c>
      <c r="AC586" s="250" t="str">
        <f>IF(SUM(AW585:AZ585)=0,"",BI585&amp;":"&amp;BJ585)</f>
        <v>1:1</v>
      </c>
      <c r="AD586" s="253">
        <f>IF(SUM(BI583:BI585)&gt;0,BK585,"")</f>
        <v>2</v>
      </c>
      <c r="AE586" s="2"/>
      <c r="AF586" s="12"/>
      <c r="AG586" s="12"/>
      <c r="BE586" s="19">
        <f>SUM(BE583:BE585)</f>
        <v>225</v>
      </c>
      <c r="BF586" s="19">
        <f>SUM(BF583:BF585)</f>
        <v>225</v>
      </c>
      <c r="BG586" s="19">
        <f>SUM(BG583:BG585)</f>
        <v>6</v>
      </c>
      <c r="BH586" s="19">
        <f>SUM(BH583:BH585)</f>
        <v>6</v>
      </c>
      <c r="BK586" s="19"/>
      <c r="BL586" s="20"/>
    </row>
    <row r="587" spans="1:64" ht="11.45" customHeight="1" x14ac:dyDescent="0.2">
      <c r="A587" s="19"/>
      <c r="J587" s="19"/>
      <c r="K587" s="19"/>
      <c r="L587" s="19"/>
      <c r="N587" s="33" t="s">
        <v>132</v>
      </c>
      <c r="O587" s="34">
        <f>IF(O579&gt;0,(O579&amp;3)*1,"")</f>
        <v>93</v>
      </c>
      <c r="Q587" s="85"/>
      <c r="R587" s="85"/>
      <c r="S587" s="85"/>
      <c r="T587" s="242"/>
      <c r="U587" s="244" t="str">
        <f>IF(AND(N587&lt;&gt;"",N588=""),CONCATENATE(VLOOKUP(N587,[2]zawodnicy!$A$1:$E$65536,1,FALSE)," ",VLOOKUP(N587,[2]zawodnicy!$A$1:$E$65536,2,FALSE)," ",VLOOKUP(N587,[2]zawodnicy!$A$1:$E$65536,3,FALSE)," - ",VLOOKUP(N587,[2]zawodnicy!$A$1:$E$65536,4,FALSE)),"")</f>
        <v>X11 Pavel SUGAEV - Brześć Białoruś</v>
      </c>
      <c r="V587" s="245"/>
      <c r="W587" s="246"/>
      <c r="X587" s="61" t="str">
        <f>IF(SUM(AQ583:AR583)=0,"",AR583&amp;":"&amp;AQ583)</f>
        <v>14:21</v>
      </c>
      <c r="Y587" s="36" t="str">
        <f>IF(SUM(AQ584:AR584)=0,"",AR584&amp;":"&amp;AQ584)</f>
        <v>21:17</v>
      </c>
      <c r="Z587" s="86"/>
      <c r="AA587" s="248"/>
      <c r="AB587" s="251"/>
      <c r="AC587" s="251"/>
      <c r="AD587" s="254"/>
      <c r="AE587" s="2"/>
      <c r="AF587" s="12"/>
      <c r="AG587" s="1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row>
    <row r="588" spans="1:64" ht="11.45" customHeight="1" thickBot="1" x14ac:dyDescent="0.25">
      <c r="A588" s="2"/>
      <c r="J588" s="28"/>
      <c r="K588" s="28"/>
      <c r="L588" s="28"/>
      <c r="N588" s="38"/>
      <c r="O588" s="28"/>
      <c r="P588" s="28"/>
      <c r="Q588" s="2"/>
      <c r="R588" s="2"/>
      <c r="S588" s="2"/>
      <c r="T588" s="243"/>
      <c r="U588" s="256" t="str">
        <f>IF(N588&lt;&gt;"",CONCATENATE(VLOOKUP(N588,[2]zawodnicy!$A$1:$E$65536,1,FALSE)," ",VLOOKUP(N588,[2]zawodnicy!$A$1:$E$65536,2,FALSE)," ",VLOOKUP(N588,[2]zawodnicy!$A$1:$E$65536,3,FALSE)," - ",VLOOKUP(N588,[2]zawodnicy!$A$1:$E$65536,4,FALSE)),"")</f>
        <v/>
      </c>
      <c r="V588" s="257"/>
      <c r="W588" s="258"/>
      <c r="X588" s="87" t="str">
        <f>IF(SUM(AS583:AT583)=0,"",AT583&amp;":"&amp;AS583)</f>
        <v/>
      </c>
      <c r="Y588" s="88" t="str">
        <f>IF(SUM(AS584:AT584)=0,"",AT584&amp;":"&amp;AS584)</f>
        <v/>
      </c>
      <c r="Z588" s="89"/>
      <c r="AA588" s="249"/>
      <c r="AB588" s="252"/>
      <c r="AC588" s="252"/>
      <c r="AD588" s="255"/>
      <c r="AE588" s="10"/>
      <c r="AF588" s="12"/>
      <c r="AG588" s="1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row>
    <row r="589" spans="1:64" s="19" customFormat="1" ht="5.0999999999999996" customHeight="1" thickBot="1" x14ac:dyDescent="0.25">
      <c r="M589" s="90"/>
      <c r="O589" s="90"/>
      <c r="P589" s="90"/>
      <c r="Q589" s="91"/>
      <c r="R589" s="91"/>
      <c r="S589" s="91"/>
      <c r="T589" s="91"/>
      <c r="U589" s="5"/>
      <c r="V589" s="5"/>
      <c r="W589" s="5"/>
      <c r="AA589" s="92"/>
      <c r="AB589" s="91"/>
      <c r="AC589" s="91"/>
      <c r="AD589" s="91"/>
      <c r="AE589" s="91"/>
      <c r="AF589" s="91"/>
      <c r="AI589" s="93"/>
      <c r="AJ589" s="94"/>
      <c r="AK589" s="94"/>
    </row>
    <row r="590" spans="1:64" ht="11.45" customHeight="1" thickBot="1" x14ac:dyDescent="0.25">
      <c r="N590" s="11"/>
      <c r="O590" s="21">
        <v>10</v>
      </c>
      <c r="Q590" s="277" t="str">
        <f>"Grupa "&amp;O590&amp;"."</f>
        <v>Grupa 10.</v>
      </c>
      <c r="R590" s="277"/>
      <c r="S590" s="277"/>
      <c r="T590" s="22" t="s">
        <v>1</v>
      </c>
      <c r="U590" s="278" t="s">
        <v>2</v>
      </c>
      <c r="V590" s="279"/>
      <c r="W590" s="280"/>
      <c r="X590" s="22">
        <v>1</v>
      </c>
      <c r="Y590" s="23">
        <v>2</v>
      </c>
      <c r="Z590" s="24">
        <v>3</v>
      </c>
      <c r="AA590" s="25" t="s">
        <v>3</v>
      </c>
      <c r="AB590" s="26" t="s">
        <v>4</v>
      </c>
      <c r="AC590" s="26" t="s">
        <v>5</v>
      </c>
      <c r="AD590" s="27" t="s">
        <v>6</v>
      </c>
      <c r="AE590" s="2"/>
      <c r="AF590" s="12"/>
      <c r="AG590" s="12"/>
      <c r="BK590" s="19"/>
      <c r="BL590" s="20"/>
    </row>
    <row r="591" spans="1:64" ht="11.45" customHeight="1" x14ac:dyDescent="0.2">
      <c r="J591" s="28"/>
      <c r="K591" s="28"/>
      <c r="L591" s="28"/>
      <c r="N591" s="29" t="s">
        <v>105</v>
      </c>
      <c r="Q591" s="274" t="s">
        <v>7</v>
      </c>
      <c r="R591" s="274"/>
      <c r="S591" s="275" t="s">
        <v>8</v>
      </c>
      <c r="T591" s="276">
        <v>1</v>
      </c>
      <c r="U591" s="244" t="str">
        <f>IF(AND(N592&lt;&gt;"",N593&lt;&gt;""),CONCATENATE(VLOOKUP(N592,[2]zawodnicy!$A$1:$E$65536,1,FALSE)," ",VLOOKUP(N592,[2]zawodnicy!$A$1:$E$65536,2,FALSE)," ",VLOOKUP(N592,[2]zawodnicy!$A$1:$E$65536,3,FALSE)," - ",VLOOKUP(N592,[2]zawodnicy!$A$1:$E$65536,4,FALSE)),"")</f>
        <v/>
      </c>
      <c r="V591" s="245"/>
      <c r="W591" s="246"/>
      <c r="X591" s="30"/>
      <c r="Y591" s="31" t="str">
        <f>IF(SUM(AO596:AP596)=0,"",AO596&amp;":"&amp;AP596)</f>
        <v>21:5</v>
      </c>
      <c r="Z591" s="32" t="str">
        <f>IF(SUM(AO594:AP594)=0,"",AO594&amp;":"&amp;AP594)</f>
        <v>21:16</v>
      </c>
      <c r="AA591" s="270" t="str">
        <f>IF(SUM(AY594:BB594)=0,"",BE594&amp;":"&amp;BF594)</f>
        <v>84:44</v>
      </c>
      <c r="AB591" s="271" t="str">
        <f>IF(SUM(AY594:BB594)=0,"",BG594&amp;":"&amp;BH594)</f>
        <v>4:0</v>
      </c>
      <c r="AC591" s="271" t="str">
        <f>IF(SUM(AY594:BB594)=0,"",BI594&amp;":"&amp;BJ594)</f>
        <v>2:0</v>
      </c>
      <c r="AD591" s="272">
        <f>IF(SUM(BI594:BI596)&gt;0,BK594,"")</f>
        <v>1</v>
      </c>
      <c r="AE591" s="2"/>
      <c r="AF591" s="12"/>
      <c r="AG591" s="12"/>
      <c r="AH591" s="14"/>
      <c r="AI591" s="273" t="s">
        <v>9</v>
      </c>
      <c r="AJ591" s="273"/>
      <c r="AK591" s="273"/>
      <c r="AL591" s="273"/>
      <c r="AM591" s="273"/>
      <c r="AN591" s="273"/>
      <c r="AO591" s="273" t="s">
        <v>10</v>
      </c>
      <c r="AP591" s="273"/>
      <c r="AQ591" s="273"/>
      <c r="AR591" s="273"/>
      <c r="AS591" s="273"/>
      <c r="AT591" s="273"/>
      <c r="BK591" s="19"/>
      <c r="BL591" s="20"/>
    </row>
    <row r="592" spans="1:64" ht="11.45" customHeight="1" thickBot="1" x14ac:dyDescent="0.25">
      <c r="I592" s="2" t="str">
        <f>"1"&amp;O590&amp;N591</f>
        <v>110pojedyncza chłopców JM</v>
      </c>
      <c r="J592" s="10" t="str">
        <f>IF(AD591="","",IF(AD591=1,N592,IF(AD594=1,N595,IF(AD597=1,N598,""))))</f>
        <v>N3834</v>
      </c>
      <c r="K592" s="10">
        <f>IF(AD591="","",IF(AD591=1,N593,IF(AD594=1,N596,IF(AD597=1,N599,""))))</f>
        <v>0</v>
      </c>
      <c r="L592" s="10"/>
      <c r="N592" s="33" t="s">
        <v>133</v>
      </c>
      <c r="O592" s="34">
        <f>IF(O590&gt;0,(O590&amp;1)*1,"")</f>
        <v>101</v>
      </c>
      <c r="Q592" s="274"/>
      <c r="R592" s="274"/>
      <c r="S592" s="275"/>
      <c r="T592" s="242"/>
      <c r="U592" s="244" t="str">
        <f>IF(AND(N592&lt;&gt;"",N593=""),CONCATENATE(VLOOKUP(N592,[2]zawodnicy!$A$1:$E$65536,1,FALSE)," ",VLOOKUP(N592,[2]zawodnicy!$A$1:$E$65536,2,FALSE)," ",VLOOKUP(N592,[2]zawodnicy!$A$1:$E$65536,3,FALSE)," - ",VLOOKUP(N592,[2]zawodnicy!$A$1:$E$65536,4,FALSE)),"")</f>
        <v>N3834 Jędrzej NOWAK - KS Chojnik Jelenia Góra</v>
      </c>
      <c r="V592" s="245"/>
      <c r="W592" s="246"/>
      <c r="X592" s="35"/>
      <c r="Y592" s="36" t="str">
        <f>IF(SUM(AQ596:AR596)=0,"",AQ596&amp;":"&amp;AR596)</f>
        <v>21:6</v>
      </c>
      <c r="Z592" s="37" t="str">
        <f>IF(SUM(AQ594:AR594)=0,"",AQ594&amp;":"&amp;AR594)</f>
        <v>21:17</v>
      </c>
      <c r="AA592" s="248"/>
      <c r="AB592" s="251"/>
      <c r="AC592" s="251"/>
      <c r="AD592" s="254"/>
      <c r="AE592" s="2"/>
      <c r="AF592" s="12"/>
      <c r="AG592" s="12"/>
      <c r="AH592" s="14"/>
      <c r="BE592" s="19">
        <f>SUM(BE594:BE596)</f>
        <v>192</v>
      </c>
      <c r="BF592" s="19">
        <f>SUM(BF594:BF596)</f>
        <v>192</v>
      </c>
      <c r="BG592" s="19">
        <f>SUM(BG594:BG596)</f>
        <v>6</v>
      </c>
      <c r="BH592" s="19">
        <f>SUM(BH594:BH596)</f>
        <v>6</v>
      </c>
      <c r="BK592" s="19"/>
      <c r="BL592" s="20"/>
    </row>
    <row r="593" spans="1:64" ht="11.45" customHeight="1" thickBot="1" x14ac:dyDescent="0.25">
      <c r="J593" s="10"/>
      <c r="K593" s="28"/>
      <c r="L593" s="28"/>
      <c r="N593" s="38"/>
      <c r="O593" s="28"/>
      <c r="P593" s="28"/>
      <c r="Q593" s="274"/>
      <c r="R593" s="274"/>
      <c r="S593" s="275"/>
      <c r="T593" s="261"/>
      <c r="U593" s="265" t="str">
        <f>IF(N593&lt;&gt;"",CONCATENATE(VLOOKUP(N593,[2]zawodnicy!$A$1:$E$65536,1,FALSE)," ",VLOOKUP(N593,[2]zawodnicy!$A$1:$E$65536,2,FALSE)," ",VLOOKUP(N593,[2]zawodnicy!$A$1:$E$65536,3,FALSE)," - ",VLOOKUP(N593,[2]zawodnicy!$A$1:$E$65536,4,FALSE)),"")</f>
        <v/>
      </c>
      <c r="V593" s="266"/>
      <c r="W593" s="267"/>
      <c r="X593" s="35"/>
      <c r="Y593" s="39" t="str">
        <f>IF(SUM(AS596:AT596)=0,"",AS596&amp;":"&amp;AT596)</f>
        <v/>
      </c>
      <c r="Z593" s="40" t="str">
        <f>IF(SUM(AS594:AT594)=0,"",AS594&amp;":"&amp;AT594)</f>
        <v/>
      </c>
      <c r="AA593" s="262"/>
      <c r="AB593" s="263"/>
      <c r="AC593" s="263"/>
      <c r="AD593" s="264"/>
      <c r="AE593" s="2"/>
      <c r="AF593" s="12"/>
      <c r="AG593" s="12"/>
      <c r="AH593" s="14"/>
      <c r="AI593" s="259" t="s">
        <v>12</v>
      </c>
      <c r="AJ593" s="269"/>
      <c r="AK593" s="268" t="s">
        <v>13</v>
      </c>
      <c r="AL593" s="269"/>
      <c r="AM593" s="268" t="s">
        <v>14</v>
      </c>
      <c r="AN593" s="260"/>
      <c r="AO593" s="259" t="s">
        <v>12</v>
      </c>
      <c r="AP593" s="269"/>
      <c r="AQ593" s="268" t="s">
        <v>13</v>
      </c>
      <c r="AR593" s="269"/>
      <c r="AS593" s="268" t="s">
        <v>14</v>
      </c>
      <c r="AT593" s="269"/>
      <c r="AU593" s="12"/>
      <c r="AV593" s="12"/>
      <c r="AW593" s="259">
        <v>1</v>
      </c>
      <c r="AX593" s="269"/>
      <c r="AY593" s="268">
        <v>2</v>
      </c>
      <c r="AZ593" s="269"/>
      <c r="BA593" s="268">
        <v>3</v>
      </c>
      <c r="BB593" s="260"/>
      <c r="BE593" s="259" t="s">
        <v>3</v>
      </c>
      <c r="BF593" s="260"/>
      <c r="BG593" s="259" t="s">
        <v>4</v>
      </c>
      <c r="BH593" s="260"/>
      <c r="BI593" s="259" t="s">
        <v>5</v>
      </c>
      <c r="BJ593" s="260"/>
      <c r="BK593" s="41" t="s">
        <v>6</v>
      </c>
      <c r="BL593" s="20"/>
    </row>
    <row r="594" spans="1:64" ht="11.45" customHeight="1" x14ac:dyDescent="0.2">
      <c r="A594" s="19">
        <f>S594</f>
        <v>36</v>
      </c>
      <c r="B594" s="2" t="str">
        <f>IF(N592="","",N592)</f>
        <v>N3834</v>
      </c>
      <c r="C594" s="2" t="str">
        <f>IF(N593="","",N593)</f>
        <v/>
      </c>
      <c r="D594" s="2" t="str">
        <f>IF(N598="","",N598)</f>
        <v>B4388</v>
      </c>
      <c r="E594" s="2" t="str">
        <f>IF(N599="","",N599)</f>
        <v/>
      </c>
      <c r="I594" s="2" t="str">
        <f>"2"&amp;O590&amp;N591</f>
        <v>210pojedyncza chłopców JM</v>
      </c>
      <c r="J594" s="10" t="str">
        <f>IF(AD594="","",IF(AD591=2,N592,IF(AD594=2,N595,IF(AD597=2,N598,""))))</f>
        <v>B4388</v>
      </c>
      <c r="K594" s="10">
        <f>IF(AD594="","",IF(AD591=2,N593,IF(AD594=2,N596,IF(AD597=2,N599,""))))</f>
        <v>0</v>
      </c>
      <c r="M594" s="42" t="str">
        <f>N591</f>
        <v>pojedyncza chłopców JM</v>
      </c>
      <c r="O594" s="28"/>
      <c r="P594" s="28"/>
      <c r="Q594" s="43" t="str">
        <f>IF(AU594&gt;0,"",IF(A594=0,"",IF(VLOOKUP(A594,'[2]plan gier'!A$1:S$65536,19,FALSE)="","",VLOOKUP(A594,'[2]plan gier'!A$1:S$65536,19,FALSE))))</f>
        <v/>
      </c>
      <c r="R594" s="44" t="s">
        <v>15</v>
      </c>
      <c r="S594" s="45">
        <v>36</v>
      </c>
      <c r="T594" s="241">
        <v>2</v>
      </c>
      <c r="U594" s="244" t="str">
        <f>IF(AND(N595&lt;&gt;"",N596&lt;&gt;""),CONCATENATE(VLOOKUP(N595,[2]zawodnicy!$A$1:$E$65536,1,FALSE)," ",VLOOKUP(N595,[2]zawodnicy!$A$1:$E$65536,2,FALSE)," ",VLOOKUP(N595,[2]zawodnicy!$A$1:$E$65536,3,FALSE)," - ",VLOOKUP(N595,[2]zawodnicy!$A$1:$E$65536,4,FALSE)),"")</f>
        <v/>
      </c>
      <c r="V594" s="245"/>
      <c r="W594" s="246"/>
      <c r="X594" s="46" t="str">
        <f>IF(SUM(AO596:AP596)=0,"",AP596&amp;":"&amp;AO596)</f>
        <v>5:21</v>
      </c>
      <c r="Y594" s="47"/>
      <c r="Z594" s="48" t="str">
        <f>IF(SUM(AO595:AP595)=0,"",AO595&amp;":"&amp;AP595)</f>
        <v>16:21</v>
      </c>
      <c r="AA594" s="247" t="str">
        <f>IF(SUM(AW595:AX595,BA595:BB595)=0,"",BE595&amp;":"&amp;BF595)</f>
        <v>33:84</v>
      </c>
      <c r="AB594" s="250" t="str">
        <f>IF(SUM(AW595:AX595,BA595:BB595)=0,"",BG595&amp;":"&amp;BH595)</f>
        <v>0:4</v>
      </c>
      <c r="AC594" s="250" t="str">
        <f>IF(SUM(AW595:AX595,BA595:BB595)=0,"",BI595&amp;":"&amp;BJ595)</f>
        <v>0:2</v>
      </c>
      <c r="AD594" s="253">
        <f>IF(SUM(BI594:BI596)&gt;0,BK595,"")</f>
        <v>3</v>
      </c>
      <c r="AE594" s="2"/>
      <c r="AF594" s="12"/>
      <c r="AG594" s="12"/>
      <c r="AH594" s="44" t="s">
        <v>15</v>
      </c>
      <c r="AI594" s="49">
        <f>IF(ISBLANK(S594),"",VLOOKUP(S594,'[2]plan gier'!$X$1:$AN$65536,12,FALSE))</f>
        <v>21</v>
      </c>
      <c r="AJ594" s="50">
        <f>IF(ISBLANK(S594),"",VLOOKUP(S594,'[2]plan gier'!$X$1:$AN$65536,13,FALSE))</f>
        <v>16</v>
      </c>
      <c r="AK594" s="50">
        <f>IF(ISBLANK(S594),"",VLOOKUP(S594,'[2]plan gier'!$X$1:$AN$65536,14,FALSE))</f>
        <v>21</v>
      </c>
      <c r="AL594" s="50">
        <f>IF(ISBLANK(S594),"",VLOOKUP(S594,'[2]plan gier'!$X$1:$AN$65536,15,FALSE))</f>
        <v>17</v>
      </c>
      <c r="AM594" s="50">
        <f>IF(ISBLANK(S594),"",VLOOKUP(S594,'[2]plan gier'!$X$1:$AN$65536,16,FALSE))</f>
        <v>0</v>
      </c>
      <c r="AN594" s="50">
        <f>IF(ISBLANK(S594),"",VLOOKUP(S594,'[2]plan gier'!$X$1:$AN$65536,17,FALSE))</f>
        <v>0</v>
      </c>
      <c r="AO594" s="51">
        <f t="shared" ref="AO594:AT596" si="53">IF(AI594="",0,AI594)</f>
        <v>21</v>
      </c>
      <c r="AP594" s="52">
        <f t="shared" si="53"/>
        <v>16</v>
      </c>
      <c r="AQ594" s="53">
        <f t="shared" si="53"/>
        <v>21</v>
      </c>
      <c r="AR594" s="52">
        <f t="shared" si="53"/>
        <v>17</v>
      </c>
      <c r="AS594" s="53">
        <f t="shared" si="53"/>
        <v>0</v>
      </c>
      <c r="AT594" s="52">
        <f t="shared" si="53"/>
        <v>0</v>
      </c>
      <c r="AU594" s="54">
        <f>SUM(AO594:AT594)</f>
        <v>75</v>
      </c>
      <c r="AV594" s="13">
        <v>1</v>
      </c>
      <c r="AW594" s="55"/>
      <c r="AX594" s="56"/>
      <c r="AY594" s="50">
        <f>IF(AI596&gt;AJ596,1,0)+IF(AK596&gt;AL596,1,0)+IF(AM596&gt;AN596,1,0)</f>
        <v>2</v>
      </c>
      <c r="AZ594" s="50">
        <f>AW595</f>
        <v>0</v>
      </c>
      <c r="BA594" s="50">
        <f>IF(AI594&gt;AJ594,1,0)+IF(AK594&gt;AL594,1,0)+IF(AM594&gt;AN594,1,0)</f>
        <v>2</v>
      </c>
      <c r="BB594" s="57">
        <f>AW596</f>
        <v>0</v>
      </c>
      <c r="BE594" s="49">
        <f>AO594+AQ594+AS594+AO596+AQ596+AS596</f>
        <v>84</v>
      </c>
      <c r="BF594" s="57">
        <f>AP594+AR594+AT594+AP596+AR596+AT596</f>
        <v>44</v>
      </c>
      <c r="BG594" s="49">
        <f>AY594+BA594</f>
        <v>4</v>
      </c>
      <c r="BH594" s="57">
        <f>AZ594+BB594</f>
        <v>0</v>
      </c>
      <c r="BI594" s="49">
        <f>IF(AY594&gt;AZ594,1,0)+IF(BA594&gt;BB594,1,0)</f>
        <v>2</v>
      </c>
      <c r="BJ594" s="58">
        <f>IF(AZ594&gt;AY594,1,0)+IF(BB594&gt;BA594,1,0)</f>
        <v>0</v>
      </c>
      <c r="BK594" s="59">
        <f>IF(BI594+BJ594=0,"",IF(BL594=MAX(BL594:BL596),1,IF(BL594=MIN(BL594:BL596),3,2)))</f>
        <v>1</v>
      </c>
      <c r="BL594" s="60">
        <f>IF(BI594+BJ594&lt;&gt;0,BI594+1+(BG594-BH594)/100+(BE594-BF594)/100000+(BE594/BF594)/1000000,0)</f>
        <v>3.0404019090909089</v>
      </c>
    </row>
    <row r="595" spans="1:64" ht="11.45" customHeight="1" x14ac:dyDescent="0.2">
      <c r="A595" s="19">
        <f>S595</f>
        <v>101</v>
      </c>
      <c r="B595" s="2" t="str">
        <f>IF(N595="","",N595)</f>
        <v>K4766</v>
      </c>
      <c r="C595" s="2" t="str">
        <f>IF(N596="","",N596)</f>
        <v/>
      </c>
      <c r="D595" s="2" t="str">
        <f>IF(N598="","",N598)</f>
        <v>B4388</v>
      </c>
      <c r="E595" s="2" t="str">
        <f>IF(N599="","",N599)</f>
        <v/>
      </c>
      <c r="J595" s="10"/>
      <c r="K595" s="19"/>
      <c r="M595" s="42" t="str">
        <f>N591</f>
        <v>pojedyncza chłopców JM</v>
      </c>
      <c r="N595" s="33" t="s">
        <v>134</v>
      </c>
      <c r="O595" s="34">
        <f>IF(O590&gt;0,(O590&amp;2)*1,"")</f>
        <v>102</v>
      </c>
      <c r="Q595" s="43" t="str">
        <f>IF(AU595&gt;0,"",IF(A595=0,"",IF(VLOOKUP(A595,'[2]plan gier'!A$1:S$65536,19,FALSE)="","",VLOOKUP(A595,'[2]plan gier'!A$1:S$65536,19,FALSE))))</f>
        <v/>
      </c>
      <c r="R595" s="44" t="s">
        <v>17</v>
      </c>
      <c r="S595" s="45">
        <v>101</v>
      </c>
      <c r="T595" s="242"/>
      <c r="U595" s="244" t="str">
        <f>IF(AND(N595&lt;&gt;"",N596=""),CONCATENATE(VLOOKUP(N595,[2]zawodnicy!$A$1:$E$65536,1,FALSE)," ",VLOOKUP(N595,[2]zawodnicy!$A$1:$E$65536,2,FALSE)," ",VLOOKUP(N595,[2]zawodnicy!$A$1:$E$65536,3,FALSE)," - ",VLOOKUP(N595,[2]zawodnicy!$A$1:$E$65536,4,FALSE)),"")</f>
        <v>K4766 Mateusz KRYSA - MLKS Solec Kuj.</v>
      </c>
      <c r="V595" s="245"/>
      <c r="W595" s="246"/>
      <c r="X595" s="61" t="str">
        <f>IF(SUM(AQ596:AR596)=0,"",AR596&amp;":"&amp;AQ596)</f>
        <v>6:21</v>
      </c>
      <c r="Y595" s="62"/>
      <c r="Z595" s="37" t="str">
        <f>IF(SUM(AQ595:AR595)=0,"",AQ595&amp;":"&amp;AR595)</f>
        <v>6:21</v>
      </c>
      <c r="AA595" s="248"/>
      <c r="AB595" s="251"/>
      <c r="AC595" s="251"/>
      <c r="AD595" s="254"/>
      <c r="AE595" s="2"/>
      <c r="AF595" s="12"/>
      <c r="AG595" s="12"/>
      <c r="AH595" s="44" t="s">
        <v>17</v>
      </c>
      <c r="AI595" s="63">
        <f>IF(ISBLANK(S595),"",VLOOKUP(S595,'[2]plan gier'!$X$1:$AN$65536,12,FALSE))</f>
        <v>16</v>
      </c>
      <c r="AJ595" s="64">
        <f>IF(ISBLANK(S595),"",VLOOKUP(S595,'[2]plan gier'!$X$1:$AN$65536,13,FALSE))</f>
        <v>21</v>
      </c>
      <c r="AK595" s="64">
        <f>IF(ISBLANK(S595),"",VLOOKUP(S595,'[2]plan gier'!$X$1:$AN$65536,14,FALSE))</f>
        <v>6</v>
      </c>
      <c r="AL595" s="64">
        <f>IF(ISBLANK(S595),"",VLOOKUP(S595,'[2]plan gier'!$X$1:$AN$65536,15,FALSE))</f>
        <v>21</v>
      </c>
      <c r="AM595" s="64">
        <f>IF(ISBLANK(S595),"",VLOOKUP(S595,'[2]plan gier'!$X$1:$AN$65536,16,FALSE))</f>
        <v>0</v>
      </c>
      <c r="AN595" s="64">
        <f>IF(ISBLANK(S595),"",VLOOKUP(S595,'[2]plan gier'!$X$1:$AN$65536,17,FALSE))</f>
        <v>0</v>
      </c>
      <c r="AO595" s="65">
        <f t="shared" si="53"/>
        <v>16</v>
      </c>
      <c r="AP595" s="64">
        <f t="shared" si="53"/>
        <v>21</v>
      </c>
      <c r="AQ595" s="66">
        <f t="shared" si="53"/>
        <v>6</v>
      </c>
      <c r="AR595" s="64">
        <f t="shared" si="53"/>
        <v>21</v>
      </c>
      <c r="AS595" s="66">
        <f t="shared" si="53"/>
        <v>0</v>
      </c>
      <c r="AT595" s="64">
        <f t="shared" si="53"/>
        <v>0</v>
      </c>
      <c r="AU595" s="54">
        <f>SUM(AO595:AT595)</f>
        <v>64</v>
      </c>
      <c r="AV595" s="13">
        <v>2</v>
      </c>
      <c r="AW595" s="63">
        <f>IF(AI596&lt;AJ596,1,0)+IF(AK596&lt;AL596,1,0)+IF(AM596&lt;AN596,1,0)</f>
        <v>0</v>
      </c>
      <c r="AX595" s="64">
        <f>AY594</f>
        <v>2</v>
      </c>
      <c r="AY595" s="67"/>
      <c r="AZ595" s="68"/>
      <c r="BA595" s="64">
        <f>IF(AI595&gt;AJ595,1,0)+IF(AK595&gt;AL595,1,0)+IF(AM595&gt;AN595,1,0)</f>
        <v>0</v>
      </c>
      <c r="BB595" s="69">
        <f>AY596</f>
        <v>2</v>
      </c>
      <c r="BE595" s="63">
        <f>AO595+AQ595+AS595+AP596+AR596+AT596</f>
        <v>33</v>
      </c>
      <c r="BF595" s="69">
        <f>AP595+AR595+AT595+AO596+AQ596+AS596</f>
        <v>84</v>
      </c>
      <c r="BG595" s="63">
        <f>AW595+BA595</f>
        <v>0</v>
      </c>
      <c r="BH595" s="69">
        <f>AX595+BB595</f>
        <v>4</v>
      </c>
      <c r="BI595" s="63">
        <f>IF(AW595&gt;AX595,1,0)+IF(BA595&gt;BB595,1,0)</f>
        <v>0</v>
      </c>
      <c r="BJ595" s="70">
        <f>IF(AX595&gt;AW595,1,0)+IF(BB595&gt;BA595,1,0)</f>
        <v>2</v>
      </c>
      <c r="BK595" s="71">
        <f>IF(BI595+BJ595=0,"",IF(BL595=MAX(BL594:BL596),1,IF(BL595=MIN(BL594:BL596),3,2)))</f>
        <v>3</v>
      </c>
      <c r="BL595" s="60">
        <f>IF(BI595+BJ595&lt;&gt;0,BI595+1+(BG595-BH595)/100+(BE595-BF595)/100000+(BE595/BF595)/1000000,0)</f>
        <v>0.95949039285714277</v>
      </c>
    </row>
    <row r="596" spans="1:64" ht="11.45" customHeight="1" thickBot="1" x14ac:dyDescent="0.25">
      <c r="A596" s="19">
        <f>S596</f>
        <v>166</v>
      </c>
      <c r="B596" s="2" t="str">
        <f>IF(N592="","",N592)</f>
        <v>N3834</v>
      </c>
      <c r="C596" s="2" t="str">
        <f>IF(N593="","",N593)</f>
        <v/>
      </c>
      <c r="D596" s="2" t="str">
        <f>IF(N595="","",N595)</f>
        <v>K4766</v>
      </c>
      <c r="E596" s="2" t="str">
        <f>IF(N596="","",N596)</f>
        <v/>
      </c>
      <c r="I596" s="2" t="str">
        <f>"3"&amp;O590&amp;N591</f>
        <v>310pojedyncza chłopców JM</v>
      </c>
      <c r="J596" s="10" t="str">
        <f>IF(AD597="","",IF(AD591=3,N592,IF(AD594=3,N595,IF(AD597=3,N598,""))))</f>
        <v>K4766</v>
      </c>
      <c r="K596" s="10">
        <f>IF(AD597="","",IF(AD591=3,N593,IF(AD594=3,N596,IF(AD597=3,N599,""))))</f>
        <v>0</v>
      </c>
      <c r="M596" s="42" t="str">
        <f>N591</f>
        <v>pojedyncza chłopców JM</v>
      </c>
      <c r="N596" s="38"/>
      <c r="O596" s="28"/>
      <c r="P596" s="28"/>
      <c r="Q596" s="43" t="str">
        <f>IF(AU596&gt;0,"",IF(A596=0,"",IF(VLOOKUP(A596,'[2]plan gier'!A$1:S$65536,19,FALSE)="","",VLOOKUP(A596,'[2]plan gier'!A$1:S$65536,19,FALSE))))</f>
        <v/>
      </c>
      <c r="R596" s="72" t="s">
        <v>18</v>
      </c>
      <c r="S596" s="45">
        <v>166</v>
      </c>
      <c r="T596" s="261"/>
      <c r="U596" s="265" t="str">
        <f>IF(N596&lt;&gt;"",CONCATENATE(VLOOKUP(N596,[2]zawodnicy!$A$1:$E$65536,1,FALSE)," ",VLOOKUP(N596,[2]zawodnicy!$A$1:$E$65536,2,FALSE)," ",VLOOKUP(N596,[2]zawodnicy!$A$1:$E$65536,3,FALSE)," - ",VLOOKUP(N596,[2]zawodnicy!$A$1:$E$65536,4,FALSE)),"")</f>
        <v/>
      </c>
      <c r="V596" s="266"/>
      <c r="W596" s="267"/>
      <c r="X596" s="73" t="str">
        <f>IF(SUM(AS596:AT596)=0,"",AT596&amp;":"&amp;AS596)</f>
        <v/>
      </c>
      <c r="Y596" s="62"/>
      <c r="Z596" s="40" t="str">
        <f>IF(SUM(AS595:AT595)=0,"",AS595&amp;":"&amp;AT595)</f>
        <v/>
      </c>
      <c r="AA596" s="262"/>
      <c r="AB596" s="263"/>
      <c r="AC596" s="263"/>
      <c r="AD596" s="264"/>
      <c r="AE596" s="2"/>
      <c r="AF596" s="12"/>
      <c r="AG596" s="12"/>
      <c r="AH596" s="72" t="s">
        <v>18</v>
      </c>
      <c r="AI596" s="74">
        <f>IF(ISBLANK(S596),"",VLOOKUP(S596,'[2]plan gier'!$X$1:$AN$65536,12,FALSE))</f>
        <v>21</v>
      </c>
      <c r="AJ596" s="75">
        <f>IF(ISBLANK(S596),"",VLOOKUP(S596,'[2]plan gier'!$X$1:$AN$65536,13,FALSE))</f>
        <v>5</v>
      </c>
      <c r="AK596" s="75">
        <f>IF(ISBLANK(S596),"",VLOOKUP(S596,'[2]plan gier'!$X$1:$AN$65536,14,FALSE))</f>
        <v>21</v>
      </c>
      <c r="AL596" s="75">
        <f>IF(ISBLANK(S596),"",VLOOKUP(S596,'[2]plan gier'!$X$1:$AN$65536,15,FALSE))</f>
        <v>6</v>
      </c>
      <c r="AM596" s="75">
        <f>IF(ISBLANK(S596),"",VLOOKUP(S596,'[2]plan gier'!$X$1:$AN$65536,16,FALSE))</f>
        <v>0</v>
      </c>
      <c r="AN596" s="75">
        <f>IF(ISBLANK(S596),"",VLOOKUP(S596,'[2]plan gier'!$X$1:$AN$65536,17,FALSE))</f>
        <v>0</v>
      </c>
      <c r="AO596" s="76">
        <f t="shared" si="53"/>
        <v>21</v>
      </c>
      <c r="AP596" s="75">
        <f t="shared" si="53"/>
        <v>5</v>
      </c>
      <c r="AQ596" s="77">
        <f t="shared" si="53"/>
        <v>21</v>
      </c>
      <c r="AR596" s="75">
        <f t="shared" si="53"/>
        <v>6</v>
      </c>
      <c r="AS596" s="77">
        <f t="shared" si="53"/>
        <v>0</v>
      </c>
      <c r="AT596" s="75">
        <f t="shared" si="53"/>
        <v>0</v>
      </c>
      <c r="AU596" s="54">
        <f>SUM(AO596:AT596)</f>
        <v>53</v>
      </c>
      <c r="AV596" s="13">
        <v>3</v>
      </c>
      <c r="AW596" s="74">
        <f>IF(AI594&lt;AJ594,1,0)+IF(AK594&lt;AL594,1,0)+IF(AM594&lt;AN594,1,0)</f>
        <v>0</v>
      </c>
      <c r="AX596" s="75">
        <f>BA594</f>
        <v>2</v>
      </c>
      <c r="AY596" s="75">
        <f>IF(AI595&lt;AJ595,1,0)+IF(AK595&lt;AL595,1,0)+IF(AM595&lt;AN595,1,0)</f>
        <v>2</v>
      </c>
      <c r="AZ596" s="75">
        <f>BA595</f>
        <v>0</v>
      </c>
      <c r="BA596" s="78"/>
      <c r="BB596" s="79"/>
      <c r="BE596" s="74">
        <f>AP594+AR594+AT594+AP595+AR595+AT595</f>
        <v>75</v>
      </c>
      <c r="BF596" s="80">
        <f>AO594+AQ594+AS594+AO595+AQ595+AS595</f>
        <v>64</v>
      </c>
      <c r="BG596" s="74">
        <f>AW596+AY596</f>
        <v>2</v>
      </c>
      <c r="BH596" s="80">
        <f>AX596+AZ596</f>
        <v>2</v>
      </c>
      <c r="BI596" s="74">
        <f>IF(AW596&gt;AX596,1,0)+IF(AY596&gt;AZ596,1,0)</f>
        <v>1</v>
      </c>
      <c r="BJ596" s="81">
        <f>IF(AX596&gt;AW596,1,0)+IF(AZ596&gt;AY596,1,0)</f>
        <v>1</v>
      </c>
      <c r="BK596" s="82">
        <f>IF(BI596+BJ596=0,"",IF(BL596=MAX(BL594:BL596),1,IF(BL596=MIN(BL594:BL596),3,2)))</f>
        <v>2</v>
      </c>
      <c r="BL596" s="60">
        <f>IF(BI596+BJ596&lt;&gt;0,BI596+1+(BG596-BH596)/100+(BE596-BF596)/100000+(BE596/BF596)/1000000,0)</f>
        <v>2.000111171875</v>
      </c>
    </row>
    <row r="597" spans="1:64" ht="11.45" customHeight="1" x14ac:dyDescent="0.2">
      <c r="A597" s="2"/>
      <c r="J597" s="28"/>
      <c r="K597" s="28"/>
      <c r="L597" s="28"/>
      <c r="O597" s="28"/>
      <c r="P597" s="28"/>
      <c r="Q597" s="2"/>
      <c r="R597" s="2"/>
      <c r="S597" s="2"/>
      <c r="T597" s="241">
        <v>3</v>
      </c>
      <c r="U597" s="244" t="str">
        <f>IF(AND(N598&lt;&gt;"",N599&lt;&gt;""),CONCATENATE(VLOOKUP(N598,[2]zawodnicy!$A$1:$E$65536,1,FALSE)," ",VLOOKUP(N598,[2]zawodnicy!$A$1:$E$65536,2,FALSE)," ",VLOOKUP(N598,[2]zawodnicy!$A$1:$E$65536,3,FALSE)," - ",VLOOKUP(N598,[2]zawodnicy!$A$1:$E$65536,4,FALSE)),"")</f>
        <v/>
      </c>
      <c r="V597" s="245"/>
      <c r="W597" s="246"/>
      <c r="X597" s="46" t="str">
        <f>IF(SUM(AO594:AP594)=0,"",AP594&amp;":"&amp;AO594)</f>
        <v>16:21</v>
      </c>
      <c r="Y597" s="83" t="str">
        <f>IF(SUM(AO595:AP595)=0,"",AP595&amp;":"&amp;AO595)</f>
        <v>21:16</v>
      </c>
      <c r="Z597" s="84"/>
      <c r="AA597" s="247" t="str">
        <f>IF(SUM(AW596:AZ596)=0,"",BE596&amp;":"&amp;BF596)</f>
        <v>75:64</v>
      </c>
      <c r="AB597" s="250" t="str">
        <f>IF(SUM(AW596:AZ596)=0,"",BG596&amp;":"&amp;BH596)</f>
        <v>2:2</v>
      </c>
      <c r="AC597" s="250" t="str">
        <f>IF(SUM(AW596:AZ596)=0,"",BI596&amp;":"&amp;BJ596)</f>
        <v>1:1</v>
      </c>
      <c r="AD597" s="253">
        <f>IF(SUM(BI594:BI596)&gt;0,BK596,"")</f>
        <v>2</v>
      </c>
      <c r="AE597" s="2"/>
      <c r="AF597" s="12"/>
      <c r="AG597" s="12"/>
      <c r="BE597" s="19">
        <f>SUM(BE594:BE596)</f>
        <v>192</v>
      </c>
      <c r="BF597" s="19">
        <f>SUM(BF594:BF596)</f>
        <v>192</v>
      </c>
      <c r="BG597" s="19">
        <f>SUM(BG594:BG596)</f>
        <v>6</v>
      </c>
      <c r="BH597" s="19">
        <f>SUM(BH594:BH596)</f>
        <v>6</v>
      </c>
      <c r="BK597" s="19"/>
      <c r="BL597" s="20"/>
    </row>
    <row r="598" spans="1:64" ht="11.45" customHeight="1" x14ac:dyDescent="0.2">
      <c r="A598" s="19"/>
      <c r="J598" s="19"/>
      <c r="K598" s="19"/>
      <c r="L598" s="19"/>
      <c r="N598" s="33" t="s">
        <v>135</v>
      </c>
      <c r="O598" s="34">
        <f>IF(O590&gt;0,(O590&amp;3)*1,"")</f>
        <v>103</v>
      </c>
      <c r="Q598" s="85"/>
      <c r="R598" s="85"/>
      <c r="S598" s="85"/>
      <c r="T598" s="242"/>
      <c r="U598" s="244" t="str">
        <f>IF(AND(N598&lt;&gt;"",N599=""),CONCATENATE(VLOOKUP(N598,[2]zawodnicy!$A$1:$E$65536,1,FALSE)," ",VLOOKUP(N598,[2]zawodnicy!$A$1:$E$65536,2,FALSE)," ",VLOOKUP(N598,[2]zawodnicy!$A$1:$E$65536,3,FALSE)," - ",VLOOKUP(N598,[2]zawodnicy!$A$1:$E$65536,4,FALSE)),"")</f>
        <v>B4388 Adrian BONDAROW - SKB Suwałki</v>
      </c>
      <c r="V598" s="245"/>
      <c r="W598" s="246"/>
      <c r="X598" s="61" t="str">
        <f>IF(SUM(AQ594:AR594)=0,"",AR594&amp;":"&amp;AQ594)</f>
        <v>17:21</v>
      </c>
      <c r="Y598" s="36" t="str">
        <f>IF(SUM(AQ595:AR595)=0,"",AR595&amp;":"&amp;AQ595)</f>
        <v>21:6</v>
      </c>
      <c r="Z598" s="86"/>
      <c r="AA598" s="248"/>
      <c r="AB598" s="251"/>
      <c r="AC598" s="251"/>
      <c r="AD598" s="254"/>
      <c r="AE598" s="2"/>
      <c r="AF598" s="12"/>
      <c r="AG598" s="1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row>
    <row r="599" spans="1:64" ht="11.45" customHeight="1" thickBot="1" x14ac:dyDescent="0.25">
      <c r="A599" s="2"/>
      <c r="J599" s="28"/>
      <c r="K599" s="28"/>
      <c r="L599" s="28"/>
      <c r="N599" s="38"/>
      <c r="O599" s="28"/>
      <c r="P599" s="28"/>
      <c r="Q599" s="2"/>
      <c r="R599" s="2"/>
      <c r="S599" s="2"/>
      <c r="T599" s="243"/>
      <c r="U599" s="256" t="str">
        <f>IF(N599&lt;&gt;"",CONCATENATE(VLOOKUP(N599,[2]zawodnicy!$A$1:$E$65536,1,FALSE)," ",VLOOKUP(N599,[2]zawodnicy!$A$1:$E$65536,2,FALSE)," ",VLOOKUP(N599,[2]zawodnicy!$A$1:$E$65536,3,FALSE)," - ",VLOOKUP(N599,[2]zawodnicy!$A$1:$E$65536,4,FALSE)),"")</f>
        <v/>
      </c>
      <c r="V599" s="257"/>
      <c r="W599" s="258"/>
      <c r="X599" s="87" t="str">
        <f>IF(SUM(AS594:AT594)=0,"",AT594&amp;":"&amp;AS594)</f>
        <v/>
      </c>
      <c r="Y599" s="88" t="str">
        <f>IF(SUM(AS595:AT595)=0,"",AT595&amp;":"&amp;AS595)</f>
        <v/>
      </c>
      <c r="Z599" s="89"/>
      <c r="AA599" s="249"/>
      <c r="AB599" s="252"/>
      <c r="AC599" s="252"/>
      <c r="AD599" s="255"/>
      <c r="AE599" s="10"/>
      <c r="AF599" s="12"/>
      <c r="AG599" s="1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row>
    <row r="600" spans="1:64" s="19" customFormat="1" ht="5.0999999999999996" customHeight="1" thickBot="1" x14ac:dyDescent="0.25">
      <c r="M600" s="90"/>
      <c r="O600" s="90"/>
      <c r="P600" s="90"/>
      <c r="Q600" s="91"/>
      <c r="R600" s="91"/>
      <c r="S600" s="91"/>
      <c r="T600" s="91"/>
      <c r="U600" s="5"/>
      <c r="V600" s="5"/>
      <c r="W600" s="5"/>
      <c r="AA600" s="92"/>
      <c r="AB600" s="91"/>
      <c r="AC600" s="91"/>
      <c r="AD600" s="91"/>
      <c r="AE600" s="91"/>
      <c r="AF600" s="91"/>
      <c r="AI600" s="93"/>
      <c r="AJ600" s="94"/>
      <c r="AK600" s="94"/>
    </row>
    <row r="601" spans="1:64" ht="11.45" customHeight="1" thickBot="1" x14ac:dyDescent="0.25">
      <c r="N601" s="11"/>
      <c r="O601" s="21">
        <v>11</v>
      </c>
      <c r="Q601" s="277" t="str">
        <f>"Grupa "&amp;O601&amp;"."</f>
        <v>Grupa 11.</v>
      </c>
      <c r="R601" s="277"/>
      <c r="S601" s="277"/>
      <c r="T601" s="22" t="s">
        <v>1</v>
      </c>
      <c r="U601" s="278" t="s">
        <v>2</v>
      </c>
      <c r="V601" s="279"/>
      <c r="W601" s="280"/>
      <c r="X601" s="22">
        <v>1</v>
      </c>
      <c r="Y601" s="23">
        <v>2</v>
      </c>
      <c r="Z601" s="24">
        <v>3</v>
      </c>
      <c r="AA601" s="25" t="s">
        <v>3</v>
      </c>
      <c r="AB601" s="26" t="s">
        <v>4</v>
      </c>
      <c r="AC601" s="26" t="s">
        <v>5</v>
      </c>
      <c r="AD601" s="27" t="s">
        <v>6</v>
      </c>
      <c r="AE601" s="2"/>
      <c r="AF601" s="12"/>
      <c r="AG601" s="12"/>
      <c r="BK601" s="19"/>
      <c r="BL601" s="20"/>
    </row>
    <row r="602" spans="1:64" ht="11.45" customHeight="1" x14ac:dyDescent="0.2">
      <c r="J602" s="28"/>
      <c r="K602" s="28"/>
      <c r="L602" s="28"/>
      <c r="N602" s="29" t="s">
        <v>105</v>
      </c>
      <c r="Q602" s="274" t="s">
        <v>7</v>
      </c>
      <c r="R602" s="274"/>
      <c r="S602" s="275" t="s">
        <v>8</v>
      </c>
      <c r="T602" s="276">
        <v>1</v>
      </c>
      <c r="U602" s="244" t="str">
        <f>IF(AND(N603&lt;&gt;"",N604&lt;&gt;""),CONCATENATE(VLOOKUP(N603,[2]zawodnicy!$A$1:$E$65536,1,FALSE)," ",VLOOKUP(N603,[2]zawodnicy!$A$1:$E$65536,2,FALSE)," ",VLOOKUP(N603,[2]zawodnicy!$A$1:$E$65536,3,FALSE)," - ",VLOOKUP(N603,[2]zawodnicy!$A$1:$E$65536,4,FALSE)),"")</f>
        <v/>
      </c>
      <c r="V602" s="245"/>
      <c r="W602" s="246"/>
      <c r="X602" s="30"/>
      <c r="Y602" s="31" t="str">
        <f>IF(SUM(AO607:AP607)=0,"",AO607&amp;":"&amp;AP607)</f>
        <v>4:21</v>
      </c>
      <c r="Z602" s="32" t="str">
        <f>IF(SUM(AO605:AP605)=0,"",AO605&amp;":"&amp;AP605)</f>
        <v>7:21</v>
      </c>
      <c r="AA602" s="270" t="str">
        <f>IF(SUM(AY605:BB605)=0,"",BE605&amp;":"&amp;BF605)</f>
        <v>31:84</v>
      </c>
      <c r="AB602" s="271" t="str">
        <f>IF(SUM(AY605:BB605)=0,"",BG605&amp;":"&amp;BH605)</f>
        <v>0:4</v>
      </c>
      <c r="AC602" s="271" t="str">
        <f>IF(SUM(AY605:BB605)=0,"",BI605&amp;":"&amp;BJ605)</f>
        <v>0:2</v>
      </c>
      <c r="AD602" s="272">
        <f>IF(SUM(BI605:BI607)&gt;0,BK605,"")</f>
        <v>3</v>
      </c>
      <c r="AE602" s="2"/>
      <c r="AF602" s="12"/>
      <c r="AG602" s="12"/>
      <c r="AH602" s="14"/>
      <c r="AI602" s="273" t="s">
        <v>9</v>
      </c>
      <c r="AJ602" s="273"/>
      <c r="AK602" s="273"/>
      <c r="AL602" s="273"/>
      <c r="AM602" s="273"/>
      <c r="AN602" s="273"/>
      <c r="AO602" s="273" t="s">
        <v>10</v>
      </c>
      <c r="AP602" s="273"/>
      <c r="AQ602" s="273"/>
      <c r="AR602" s="273"/>
      <c r="AS602" s="273"/>
      <c r="AT602" s="273"/>
      <c r="BK602" s="19"/>
      <c r="BL602" s="20"/>
    </row>
    <row r="603" spans="1:64" ht="11.45" customHeight="1" thickBot="1" x14ac:dyDescent="0.25">
      <c r="I603" s="2" t="str">
        <f>"1"&amp;O601&amp;N602</f>
        <v>111pojedyncza chłopców JM</v>
      </c>
      <c r="J603" s="10" t="str">
        <f>IF(AD602="","",IF(AD602=1,N603,IF(AD605=1,N606,IF(AD608=1,N609,""))))</f>
        <v>S3778</v>
      </c>
      <c r="K603" s="10">
        <f>IF(AD602="","",IF(AD602=1,N604,IF(AD605=1,N607,IF(AD608=1,N610,""))))</f>
        <v>0</v>
      </c>
      <c r="L603" s="10"/>
      <c r="N603" s="33" t="s">
        <v>136</v>
      </c>
      <c r="O603" s="34">
        <f>IF(O601&gt;0,(O601&amp;1)*1,"")</f>
        <v>111</v>
      </c>
      <c r="Q603" s="274"/>
      <c r="R603" s="274"/>
      <c r="S603" s="275"/>
      <c r="T603" s="242"/>
      <c r="U603" s="244" t="str">
        <f>IF(AND(N603&lt;&gt;"",N604=""),CONCATENATE(VLOOKUP(N603,[2]zawodnicy!$A$1:$E$65536,1,FALSE)," ",VLOOKUP(N603,[2]zawodnicy!$A$1:$E$65536,2,FALSE)," ",VLOOKUP(N603,[2]zawodnicy!$A$1:$E$65536,3,FALSE)," - ",VLOOKUP(N603,[2]zawodnicy!$A$1:$E$65536,4,FALSE)),"")</f>
        <v>L4037 Patryk LEPIANKA - UKS Kiko Zamość</v>
      </c>
      <c r="V603" s="245"/>
      <c r="W603" s="246"/>
      <c r="X603" s="35"/>
      <c r="Y603" s="36" t="str">
        <f>IF(SUM(AQ607:AR607)=0,"",AQ607&amp;":"&amp;AR607)</f>
        <v>9:21</v>
      </c>
      <c r="Z603" s="37" t="str">
        <f>IF(SUM(AQ605:AR605)=0,"",AQ605&amp;":"&amp;AR605)</f>
        <v>11:21</v>
      </c>
      <c r="AA603" s="248"/>
      <c r="AB603" s="251"/>
      <c r="AC603" s="251"/>
      <c r="AD603" s="254"/>
      <c r="AE603" s="2"/>
      <c r="AF603" s="12"/>
      <c r="AG603" s="12"/>
      <c r="AH603" s="14"/>
      <c r="BE603" s="19">
        <f>SUM(BE605:BE607)</f>
        <v>191</v>
      </c>
      <c r="BF603" s="19">
        <f>SUM(BF605:BF607)</f>
        <v>191</v>
      </c>
      <c r="BG603" s="19">
        <f>SUM(BG605:BG607)</f>
        <v>6</v>
      </c>
      <c r="BH603" s="19">
        <f>SUM(BH605:BH607)</f>
        <v>6</v>
      </c>
      <c r="BK603" s="19"/>
      <c r="BL603" s="20"/>
    </row>
    <row r="604" spans="1:64" ht="11.45" customHeight="1" thickBot="1" x14ac:dyDescent="0.25">
      <c r="J604" s="10"/>
      <c r="K604" s="28"/>
      <c r="L604" s="28"/>
      <c r="N604" s="38"/>
      <c r="O604" s="28"/>
      <c r="P604" s="28"/>
      <c r="Q604" s="274"/>
      <c r="R604" s="274"/>
      <c r="S604" s="275"/>
      <c r="T604" s="261"/>
      <c r="U604" s="265" t="str">
        <f>IF(N604&lt;&gt;"",CONCATENATE(VLOOKUP(N604,[2]zawodnicy!$A$1:$E$65536,1,FALSE)," ",VLOOKUP(N604,[2]zawodnicy!$A$1:$E$65536,2,FALSE)," ",VLOOKUP(N604,[2]zawodnicy!$A$1:$E$65536,3,FALSE)," - ",VLOOKUP(N604,[2]zawodnicy!$A$1:$E$65536,4,FALSE)),"")</f>
        <v/>
      </c>
      <c r="V604" s="266"/>
      <c r="W604" s="267"/>
      <c r="X604" s="35"/>
      <c r="Y604" s="39" t="str">
        <f>IF(SUM(AS607:AT607)=0,"",AS607&amp;":"&amp;AT607)</f>
        <v/>
      </c>
      <c r="Z604" s="40" t="str">
        <f>IF(SUM(AS605:AT605)=0,"",AS605&amp;":"&amp;AT605)</f>
        <v/>
      </c>
      <c r="AA604" s="262"/>
      <c r="AB604" s="263"/>
      <c r="AC604" s="263"/>
      <c r="AD604" s="264"/>
      <c r="AE604" s="2"/>
      <c r="AF604" s="12"/>
      <c r="AG604" s="12"/>
      <c r="AH604" s="14"/>
      <c r="AI604" s="259" t="s">
        <v>12</v>
      </c>
      <c r="AJ604" s="269"/>
      <c r="AK604" s="268" t="s">
        <v>13</v>
      </c>
      <c r="AL604" s="269"/>
      <c r="AM604" s="268" t="s">
        <v>14</v>
      </c>
      <c r="AN604" s="260"/>
      <c r="AO604" s="259" t="s">
        <v>12</v>
      </c>
      <c r="AP604" s="269"/>
      <c r="AQ604" s="268" t="s">
        <v>13</v>
      </c>
      <c r="AR604" s="269"/>
      <c r="AS604" s="268" t="s">
        <v>14</v>
      </c>
      <c r="AT604" s="269"/>
      <c r="AU604" s="12"/>
      <c r="AV604" s="12"/>
      <c r="AW604" s="259">
        <v>1</v>
      </c>
      <c r="AX604" s="269"/>
      <c r="AY604" s="268">
        <v>2</v>
      </c>
      <c r="AZ604" s="269"/>
      <c r="BA604" s="268">
        <v>3</v>
      </c>
      <c r="BB604" s="260"/>
      <c r="BE604" s="259" t="s">
        <v>3</v>
      </c>
      <c r="BF604" s="260"/>
      <c r="BG604" s="259" t="s">
        <v>4</v>
      </c>
      <c r="BH604" s="260"/>
      <c r="BI604" s="259" t="s">
        <v>5</v>
      </c>
      <c r="BJ604" s="260"/>
      <c r="BK604" s="41" t="s">
        <v>6</v>
      </c>
      <c r="BL604" s="20"/>
    </row>
    <row r="605" spans="1:64" ht="11.45" customHeight="1" x14ac:dyDescent="0.2">
      <c r="A605" s="19">
        <f>S605</f>
        <v>37</v>
      </c>
      <c r="B605" s="2" t="str">
        <f>IF(N603="","",N603)</f>
        <v>L4037</v>
      </c>
      <c r="C605" s="2" t="str">
        <f>IF(N604="","",N604)</f>
        <v/>
      </c>
      <c r="D605" s="2" t="str">
        <f>IF(N609="","",N609)</f>
        <v>S3778</v>
      </c>
      <c r="E605" s="2" t="str">
        <f>IF(N610="","",N610)</f>
        <v/>
      </c>
      <c r="I605" s="2" t="str">
        <f>"2"&amp;O601&amp;N602</f>
        <v>211pojedyncza chłopców JM</v>
      </c>
      <c r="J605" s="10" t="str">
        <f>IF(AD605="","",IF(AD602=2,N603,IF(AD605=2,N606,IF(AD608=2,N609,""))))</f>
        <v>M3851</v>
      </c>
      <c r="K605" s="10">
        <f>IF(AD605="","",IF(AD602=2,N604,IF(AD605=2,N607,IF(AD608=2,N610,""))))</f>
        <v>0</v>
      </c>
      <c r="M605" s="42" t="str">
        <f>N602</f>
        <v>pojedyncza chłopców JM</v>
      </c>
      <c r="O605" s="28"/>
      <c r="P605" s="28"/>
      <c r="Q605" s="43" t="str">
        <f>IF(AU605&gt;0,"",IF(A605=0,"",IF(VLOOKUP(A605,'[2]plan gier'!A$1:S$65536,19,FALSE)="","",VLOOKUP(A605,'[2]plan gier'!A$1:S$65536,19,FALSE))))</f>
        <v/>
      </c>
      <c r="R605" s="44" t="s">
        <v>15</v>
      </c>
      <c r="S605" s="45">
        <v>37</v>
      </c>
      <c r="T605" s="241">
        <v>2</v>
      </c>
      <c r="U605" s="244" t="str">
        <f>IF(AND(N606&lt;&gt;"",N607&lt;&gt;""),CONCATENATE(VLOOKUP(N606,[2]zawodnicy!$A$1:$E$65536,1,FALSE)," ",VLOOKUP(N606,[2]zawodnicy!$A$1:$E$65536,2,FALSE)," ",VLOOKUP(N606,[2]zawodnicy!$A$1:$E$65536,3,FALSE)," - ",VLOOKUP(N606,[2]zawodnicy!$A$1:$E$65536,4,FALSE)),"")</f>
        <v/>
      </c>
      <c r="V605" s="245"/>
      <c r="W605" s="246"/>
      <c r="X605" s="46" t="str">
        <f>IF(SUM(AO607:AP607)=0,"",AP607&amp;":"&amp;AO607)</f>
        <v>21:4</v>
      </c>
      <c r="Y605" s="47"/>
      <c r="Z605" s="48" t="str">
        <f>IF(SUM(AO606:AP606)=0,"",AO606&amp;":"&amp;AP606)</f>
        <v>17:21</v>
      </c>
      <c r="AA605" s="247" t="str">
        <f>IF(SUM(AW606:AX606,BA606:BB606)=0,"",BE606&amp;":"&amp;BF606)</f>
        <v>76:55</v>
      </c>
      <c r="AB605" s="250" t="str">
        <f>IF(SUM(AW606:AX606,BA606:BB606)=0,"",BG606&amp;":"&amp;BH606)</f>
        <v>2:2</v>
      </c>
      <c r="AC605" s="250" t="str">
        <f>IF(SUM(AW606:AX606,BA606:BB606)=0,"",BI606&amp;":"&amp;BJ606)</f>
        <v>1:1</v>
      </c>
      <c r="AD605" s="253">
        <f>IF(SUM(BI605:BI607)&gt;0,BK606,"")</f>
        <v>2</v>
      </c>
      <c r="AE605" s="2"/>
      <c r="AF605" s="12"/>
      <c r="AG605" s="12"/>
      <c r="AH605" s="44" t="s">
        <v>15</v>
      </c>
      <c r="AI605" s="49">
        <f>IF(ISBLANK(S605),"",VLOOKUP(S605,'[2]plan gier'!$X$1:$AN$65536,12,FALSE))</f>
        <v>7</v>
      </c>
      <c r="AJ605" s="50">
        <f>IF(ISBLANK(S605),"",VLOOKUP(S605,'[2]plan gier'!$X$1:$AN$65536,13,FALSE))</f>
        <v>21</v>
      </c>
      <c r="AK605" s="50">
        <f>IF(ISBLANK(S605),"",VLOOKUP(S605,'[2]plan gier'!$X$1:$AN$65536,14,FALSE))</f>
        <v>11</v>
      </c>
      <c r="AL605" s="50">
        <f>IF(ISBLANK(S605),"",VLOOKUP(S605,'[2]plan gier'!$X$1:$AN$65536,15,FALSE))</f>
        <v>21</v>
      </c>
      <c r="AM605" s="50">
        <f>IF(ISBLANK(S605),"",VLOOKUP(S605,'[2]plan gier'!$X$1:$AN$65536,16,FALSE))</f>
        <v>0</v>
      </c>
      <c r="AN605" s="50">
        <f>IF(ISBLANK(S605),"",VLOOKUP(S605,'[2]plan gier'!$X$1:$AN$65536,17,FALSE))</f>
        <v>0</v>
      </c>
      <c r="AO605" s="51">
        <f t="shared" ref="AO605:AT607" si="54">IF(AI605="",0,AI605)</f>
        <v>7</v>
      </c>
      <c r="AP605" s="52">
        <f t="shared" si="54"/>
        <v>21</v>
      </c>
      <c r="AQ605" s="53">
        <f t="shared" si="54"/>
        <v>11</v>
      </c>
      <c r="AR605" s="52">
        <f t="shared" si="54"/>
        <v>21</v>
      </c>
      <c r="AS605" s="53">
        <f t="shared" si="54"/>
        <v>0</v>
      </c>
      <c r="AT605" s="52">
        <f t="shared" si="54"/>
        <v>0</v>
      </c>
      <c r="AU605" s="54">
        <f>SUM(AO605:AT605)</f>
        <v>60</v>
      </c>
      <c r="AV605" s="13">
        <v>1</v>
      </c>
      <c r="AW605" s="55"/>
      <c r="AX605" s="56"/>
      <c r="AY605" s="50">
        <f>IF(AI607&gt;AJ607,1,0)+IF(AK607&gt;AL607,1,0)+IF(AM607&gt;AN607,1,0)</f>
        <v>0</v>
      </c>
      <c r="AZ605" s="50">
        <f>AW606</f>
        <v>2</v>
      </c>
      <c r="BA605" s="50">
        <f>IF(AI605&gt;AJ605,1,0)+IF(AK605&gt;AL605,1,0)+IF(AM605&gt;AN605,1,0)</f>
        <v>0</v>
      </c>
      <c r="BB605" s="57">
        <f>AW607</f>
        <v>2</v>
      </c>
      <c r="BE605" s="49">
        <f>AO605+AQ605+AS605+AO607+AQ607+AS607</f>
        <v>31</v>
      </c>
      <c r="BF605" s="57">
        <f>AP605+AR605+AT605+AP607+AR607+AT607</f>
        <v>84</v>
      </c>
      <c r="BG605" s="49">
        <f>AY605+BA605</f>
        <v>0</v>
      </c>
      <c r="BH605" s="57">
        <f>AZ605+BB605</f>
        <v>4</v>
      </c>
      <c r="BI605" s="49">
        <f>IF(AY605&gt;AZ605,1,0)+IF(BA605&gt;BB605,1,0)</f>
        <v>0</v>
      </c>
      <c r="BJ605" s="58">
        <f>IF(AZ605&gt;AY605,1,0)+IF(BB605&gt;BA605,1,0)</f>
        <v>2</v>
      </c>
      <c r="BK605" s="59">
        <f>IF(BI605+BJ605=0,"",IF(BL605=MAX(BL605:BL607),1,IF(BL605=MIN(BL605:BL607),3,2)))</f>
        <v>3</v>
      </c>
      <c r="BL605" s="60">
        <f>IF(BI605+BJ605&lt;&gt;0,BI605+1+(BG605-BH605)/100+(BE605-BF605)/100000+(BE605/BF605)/1000000,0)</f>
        <v>0.95947036904761895</v>
      </c>
    </row>
    <row r="606" spans="1:64" ht="11.45" customHeight="1" x14ac:dyDescent="0.2">
      <c r="A606" s="19">
        <f>S606</f>
        <v>102</v>
      </c>
      <c r="B606" s="2" t="str">
        <f>IF(N606="","",N606)</f>
        <v>M3851</v>
      </c>
      <c r="C606" s="2" t="str">
        <f>IF(N607="","",N607)</f>
        <v/>
      </c>
      <c r="D606" s="2" t="str">
        <f>IF(N609="","",N609)</f>
        <v>S3778</v>
      </c>
      <c r="E606" s="2" t="str">
        <f>IF(N610="","",N610)</f>
        <v/>
      </c>
      <c r="J606" s="10"/>
      <c r="K606" s="19"/>
      <c r="M606" s="42" t="str">
        <f>N602</f>
        <v>pojedyncza chłopców JM</v>
      </c>
      <c r="N606" s="33" t="s">
        <v>137</v>
      </c>
      <c r="O606" s="34">
        <f>IF(O601&gt;0,(O601&amp;2)*1,"")</f>
        <v>112</v>
      </c>
      <c r="Q606" s="43" t="str">
        <f>IF(AU606&gt;0,"",IF(A606=0,"",IF(VLOOKUP(A606,'[2]plan gier'!A$1:S$65536,19,FALSE)="","",VLOOKUP(A606,'[2]plan gier'!A$1:S$65536,19,FALSE))))</f>
        <v/>
      </c>
      <c r="R606" s="44" t="s">
        <v>17</v>
      </c>
      <c r="S606" s="45">
        <v>102</v>
      </c>
      <c r="T606" s="242"/>
      <c r="U606" s="244" t="str">
        <f>IF(AND(N606&lt;&gt;"",N607=""),CONCATENATE(VLOOKUP(N606,[2]zawodnicy!$A$1:$E$65536,1,FALSE)," ",VLOOKUP(N606,[2]zawodnicy!$A$1:$E$65536,2,FALSE)," ",VLOOKUP(N606,[2]zawodnicy!$A$1:$E$65536,3,FALSE)," - ",VLOOKUP(N606,[2]zawodnicy!$A$1:$E$65536,4,FALSE)),"")</f>
        <v>M3851 Adrian MAJEWSKI - UKS Hubal Białystok</v>
      </c>
      <c r="V606" s="245"/>
      <c r="W606" s="246"/>
      <c r="X606" s="61" t="str">
        <f>IF(SUM(AQ607:AR607)=0,"",AR607&amp;":"&amp;AQ607)</f>
        <v>21:9</v>
      </c>
      <c r="Y606" s="62"/>
      <c r="Z606" s="37" t="str">
        <f>IF(SUM(AQ606:AR606)=0,"",AQ606&amp;":"&amp;AR606)</f>
        <v>17:21</v>
      </c>
      <c r="AA606" s="248"/>
      <c r="AB606" s="251"/>
      <c r="AC606" s="251"/>
      <c r="AD606" s="254"/>
      <c r="AE606" s="2"/>
      <c r="AF606" s="12"/>
      <c r="AG606" s="12"/>
      <c r="AH606" s="44" t="s">
        <v>17</v>
      </c>
      <c r="AI606" s="63">
        <f>IF(ISBLANK(S606),"",VLOOKUP(S606,'[2]plan gier'!$X$1:$AN$65536,12,FALSE))</f>
        <v>17</v>
      </c>
      <c r="AJ606" s="64">
        <f>IF(ISBLANK(S606),"",VLOOKUP(S606,'[2]plan gier'!$X$1:$AN$65536,13,FALSE))</f>
        <v>21</v>
      </c>
      <c r="AK606" s="64">
        <f>IF(ISBLANK(S606),"",VLOOKUP(S606,'[2]plan gier'!$X$1:$AN$65536,14,FALSE))</f>
        <v>17</v>
      </c>
      <c r="AL606" s="64">
        <f>IF(ISBLANK(S606),"",VLOOKUP(S606,'[2]plan gier'!$X$1:$AN$65536,15,FALSE))</f>
        <v>21</v>
      </c>
      <c r="AM606" s="64">
        <f>IF(ISBLANK(S606),"",VLOOKUP(S606,'[2]plan gier'!$X$1:$AN$65536,16,FALSE))</f>
        <v>0</v>
      </c>
      <c r="AN606" s="64">
        <f>IF(ISBLANK(S606),"",VLOOKUP(S606,'[2]plan gier'!$X$1:$AN$65536,17,FALSE))</f>
        <v>0</v>
      </c>
      <c r="AO606" s="65">
        <f t="shared" si="54"/>
        <v>17</v>
      </c>
      <c r="AP606" s="64">
        <f t="shared" si="54"/>
        <v>21</v>
      </c>
      <c r="AQ606" s="66">
        <f t="shared" si="54"/>
        <v>17</v>
      </c>
      <c r="AR606" s="64">
        <f t="shared" si="54"/>
        <v>21</v>
      </c>
      <c r="AS606" s="66">
        <f t="shared" si="54"/>
        <v>0</v>
      </c>
      <c r="AT606" s="64">
        <f t="shared" si="54"/>
        <v>0</v>
      </c>
      <c r="AU606" s="54">
        <f>SUM(AO606:AT606)</f>
        <v>76</v>
      </c>
      <c r="AV606" s="13">
        <v>2</v>
      </c>
      <c r="AW606" s="63">
        <f>IF(AI607&lt;AJ607,1,0)+IF(AK607&lt;AL607,1,0)+IF(AM607&lt;AN607,1,0)</f>
        <v>2</v>
      </c>
      <c r="AX606" s="64">
        <f>AY605</f>
        <v>0</v>
      </c>
      <c r="AY606" s="67"/>
      <c r="AZ606" s="68"/>
      <c r="BA606" s="64">
        <f>IF(AI606&gt;AJ606,1,0)+IF(AK606&gt;AL606,1,0)+IF(AM606&gt;AN606,1,0)</f>
        <v>0</v>
      </c>
      <c r="BB606" s="69">
        <f>AY607</f>
        <v>2</v>
      </c>
      <c r="BE606" s="63">
        <f>AO606+AQ606+AS606+AP607+AR607+AT607</f>
        <v>76</v>
      </c>
      <c r="BF606" s="69">
        <f>AP606+AR606+AT606+AO607+AQ607+AS607</f>
        <v>55</v>
      </c>
      <c r="BG606" s="63">
        <f>AW606+BA606</f>
        <v>2</v>
      </c>
      <c r="BH606" s="69">
        <f>AX606+BB606</f>
        <v>2</v>
      </c>
      <c r="BI606" s="63">
        <f>IF(AW606&gt;AX606,1,0)+IF(BA606&gt;BB606,1,0)</f>
        <v>1</v>
      </c>
      <c r="BJ606" s="70">
        <f>IF(AX606&gt;AW606,1,0)+IF(BB606&gt;BA606,1,0)</f>
        <v>1</v>
      </c>
      <c r="BK606" s="71">
        <f>IF(BI606+BJ606=0,"",IF(BL606=MAX(BL605:BL607),1,IF(BL606=MIN(BL605:BL607),3,2)))</f>
        <v>2</v>
      </c>
      <c r="BL606" s="60">
        <f>IF(BI606+BJ606&lt;&gt;0,BI606+1+(BG606-BH606)/100+(BE606-BF606)/100000+(BE606/BF606)/1000000,0)</f>
        <v>2.0002113818181817</v>
      </c>
    </row>
    <row r="607" spans="1:64" ht="11.45" customHeight="1" thickBot="1" x14ac:dyDescent="0.25">
      <c r="A607" s="19">
        <f>S607</f>
        <v>167</v>
      </c>
      <c r="B607" s="2" t="str">
        <f>IF(N603="","",N603)</f>
        <v>L4037</v>
      </c>
      <c r="C607" s="2" t="str">
        <f>IF(N604="","",N604)</f>
        <v/>
      </c>
      <c r="D607" s="2" t="str">
        <f>IF(N606="","",N606)</f>
        <v>M3851</v>
      </c>
      <c r="E607" s="2" t="str">
        <f>IF(N607="","",N607)</f>
        <v/>
      </c>
      <c r="I607" s="2" t="str">
        <f>"3"&amp;O601&amp;N602</f>
        <v>311pojedyncza chłopców JM</v>
      </c>
      <c r="J607" s="10" t="str">
        <f>IF(AD608="","",IF(AD602=3,N603,IF(AD605=3,N606,IF(AD608=3,N609,""))))</f>
        <v>L4037</v>
      </c>
      <c r="K607" s="10">
        <f>IF(AD608="","",IF(AD602=3,N604,IF(AD605=3,N607,IF(AD608=3,N610,""))))</f>
        <v>0</v>
      </c>
      <c r="M607" s="42" t="str">
        <f>N602</f>
        <v>pojedyncza chłopców JM</v>
      </c>
      <c r="N607" s="38"/>
      <c r="O607" s="28"/>
      <c r="P607" s="28"/>
      <c r="Q607" s="43" t="str">
        <f>IF(AU607&gt;0,"",IF(A607=0,"",IF(VLOOKUP(A607,'[2]plan gier'!A$1:S$65536,19,FALSE)="","",VLOOKUP(A607,'[2]plan gier'!A$1:S$65536,19,FALSE))))</f>
        <v/>
      </c>
      <c r="R607" s="72" t="s">
        <v>18</v>
      </c>
      <c r="S607" s="45">
        <v>167</v>
      </c>
      <c r="T607" s="261"/>
      <c r="U607" s="265" t="str">
        <f>IF(N607&lt;&gt;"",CONCATENATE(VLOOKUP(N607,[2]zawodnicy!$A$1:$E$65536,1,FALSE)," ",VLOOKUP(N607,[2]zawodnicy!$A$1:$E$65536,2,FALSE)," ",VLOOKUP(N607,[2]zawodnicy!$A$1:$E$65536,3,FALSE)," - ",VLOOKUP(N607,[2]zawodnicy!$A$1:$E$65536,4,FALSE)),"")</f>
        <v/>
      </c>
      <c r="V607" s="266"/>
      <c r="W607" s="267"/>
      <c r="X607" s="73" t="str">
        <f>IF(SUM(AS607:AT607)=0,"",AT607&amp;":"&amp;AS607)</f>
        <v/>
      </c>
      <c r="Y607" s="62"/>
      <c r="Z607" s="40" t="str">
        <f>IF(SUM(AS606:AT606)=0,"",AS606&amp;":"&amp;AT606)</f>
        <v/>
      </c>
      <c r="AA607" s="262"/>
      <c r="AB607" s="263"/>
      <c r="AC607" s="263"/>
      <c r="AD607" s="264"/>
      <c r="AE607" s="2"/>
      <c r="AF607" s="12"/>
      <c r="AG607" s="12"/>
      <c r="AH607" s="72" t="s">
        <v>18</v>
      </c>
      <c r="AI607" s="74">
        <f>IF(ISBLANK(S607),"",VLOOKUP(S607,'[2]plan gier'!$X$1:$AN$65536,12,FALSE))</f>
        <v>4</v>
      </c>
      <c r="AJ607" s="75">
        <f>IF(ISBLANK(S607),"",VLOOKUP(S607,'[2]plan gier'!$X$1:$AN$65536,13,FALSE))</f>
        <v>21</v>
      </c>
      <c r="AK607" s="75">
        <f>IF(ISBLANK(S607),"",VLOOKUP(S607,'[2]plan gier'!$X$1:$AN$65536,14,FALSE))</f>
        <v>9</v>
      </c>
      <c r="AL607" s="75">
        <f>IF(ISBLANK(S607),"",VLOOKUP(S607,'[2]plan gier'!$X$1:$AN$65536,15,FALSE))</f>
        <v>21</v>
      </c>
      <c r="AM607" s="75">
        <f>IF(ISBLANK(S607),"",VLOOKUP(S607,'[2]plan gier'!$X$1:$AN$65536,16,FALSE))</f>
        <v>0</v>
      </c>
      <c r="AN607" s="75">
        <f>IF(ISBLANK(S607),"",VLOOKUP(S607,'[2]plan gier'!$X$1:$AN$65536,17,FALSE))</f>
        <v>0</v>
      </c>
      <c r="AO607" s="76">
        <f t="shared" si="54"/>
        <v>4</v>
      </c>
      <c r="AP607" s="75">
        <f t="shared" si="54"/>
        <v>21</v>
      </c>
      <c r="AQ607" s="77">
        <f t="shared" si="54"/>
        <v>9</v>
      </c>
      <c r="AR607" s="75">
        <f t="shared" si="54"/>
        <v>21</v>
      </c>
      <c r="AS607" s="77">
        <f t="shared" si="54"/>
        <v>0</v>
      </c>
      <c r="AT607" s="75">
        <f t="shared" si="54"/>
        <v>0</v>
      </c>
      <c r="AU607" s="54">
        <f>SUM(AO607:AT607)</f>
        <v>55</v>
      </c>
      <c r="AV607" s="13">
        <v>3</v>
      </c>
      <c r="AW607" s="74">
        <f>IF(AI605&lt;AJ605,1,0)+IF(AK605&lt;AL605,1,0)+IF(AM605&lt;AN605,1,0)</f>
        <v>2</v>
      </c>
      <c r="AX607" s="75">
        <f>BA605</f>
        <v>0</v>
      </c>
      <c r="AY607" s="75">
        <f>IF(AI606&lt;AJ606,1,0)+IF(AK606&lt;AL606,1,0)+IF(AM606&lt;AN606,1,0)</f>
        <v>2</v>
      </c>
      <c r="AZ607" s="75">
        <f>BA606</f>
        <v>0</v>
      </c>
      <c r="BA607" s="78"/>
      <c r="BB607" s="79"/>
      <c r="BE607" s="74">
        <f>AP605+AR605+AT605+AP606+AR606+AT606</f>
        <v>84</v>
      </c>
      <c r="BF607" s="80">
        <f>AO605+AQ605+AS605+AO606+AQ606+AS606</f>
        <v>52</v>
      </c>
      <c r="BG607" s="74">
        <f>AW607+AY607</f>
        <v>4</v>
      </c>
      <c r="BH607" s="80">
        <f>AX607+AZ607</f>
        <v>0</v>
      </c>
      <c r="BI607" s="74">
        <f>IF(AW607&gt;AX607,1,0)+IF(AY607&gt;AZ607,1,0)</f>
        <v>2</v>
      </c>
      <c r="BJ607" s="81">
        <f>IF(AX607&gt;AW607,1,0)+IF(AZ607&gt;AY607,1,0)</f>
        <v>0</v>
      </c>
      <c r="BK607" s="82">
        <f>IF(BI607+BJ607=0,"",IF(BL607=MAX(BL605:BL607),1,IF(BL607=MIN(BL605:BL607),3,2)))</f>
        <v>1</v>
      </c>
      <c r="BL607" s="60">
        <f>IF(BI607+BJ607&lt;&gt;0,BI607+1+(BG607-BH607)/100+(BE607-BF607)/100000+(BE607/BF607)/1000000,0)</f>
        <v>3.0403216153846153</v>
      </c>
    </row>
    <row r="608" spans="1:64" ht="11.45" customHeight="1" x14ac:dyDescent="0.2">
      <c r="A608" s="2"/>
      <c r="J608" s="28"/>
      <c r="K608" s="28"/>
      <c r="L608" s="28"/>
      <c r="O608" s="28"/>
      <c r="P608" s="28"/>
      <c r="Q608" s="2"/>
      <c r="R608" s="2"/>
      <c r="S608" s="2"/>
      <c r="T608" s="241">
        <v>3</v>
      </c>
      <c r="U608" s="244" t="str">
        <f>IF(AND(N609&lt;&gt;"",N610&lt;&gt;""),CONCATENATE(VLOOKUP(N609,[2]zawodnicy!$A$1:$E$65536,1,FALSE)," ",VLOOKUP(N609,[2]zawodnicy!$A$1:$E$65536,2,FALSE)," ",VLOOKUP(N609,[2]zawodnicy!$A$1:$E$65536,3,FALSE)," - ",VLOOKUP(N609,[2]zawodnicy!$A$1:$E$65536,4,FALSE)),"")</f>
        <v/>
      </c>
      <c r="V608" s="245"/>
      <c r="W608" s="246"/>
      <c r="X608" s="46" t="str">
        <f>IF(SUM(AO605:AP605)=0,"",AP605&amp;":"&amp;AO605)</f>
        <v>21:7</v>
      </c>
      <c r="Y608" s="83" t="str">
        <f>IF(SUM(AO606:AP606)=0,"",AP606&amp;":"&amp;AO606)</f>
        <v>21:17</v>
      </c>
      <c r="Z608" s="84"/>
      <c r="AA608" s="247" t="str">
        <f>IF(SUM(AW607:AZ607)=0,"",BE607&amp;":"&amp;BF607)</f>
        <v>84:52</v>
      </c>
      <c r="AB608" s="250" t="str">
        <f>IF(SUM(AW607:AZ607)=0,"",BG607&amp;":"&amp;BH607)</f>
        <v>4:0</v>
      </c>
      <c r="AC608" s="250" t="str">
        <f>IF(SUM(AW607:AZ607)=0,"",BI607&amp;":"&amp;BJ607)</f>
        <v>2:0</v>
      </c>
      <c r="AD608" s="253">
        <f>IF(SUM(BI605:BI607)&gt;0,BK607,"")</f>
        <v>1</v>
      </c>
      <c r="AE608" s="2"/>
      <c r="AF608" s="12"/>
      <c r="AG608" s="12"/>
      <c r="BE608" s="19">
        <f>SUM(BE605:BE607)</f>
        <v>191</v>
      </c>
      <c r="BF608" s="19">
        <f>SUM(BF605:BF607)</f>
        <v>191</v>
      </c>
      <c r="BG608" s="19">
        <f>SUM(BG605:BG607)</f>
        <v>6</v>
      </c>
      <c r="BH608" s="19">
        <f>SUM(BH605:BH607)</f>
        <v>6</v>
      </c>
      <c r="BK608" s="19"/>
      <c r="BL608" s="20"/>
    </row>
    <row r="609" spans="1:64" ht="11.45" customHeight="1" x14ac:dyDescent="0.2">
      <c r="A609" s="19"/>
      <c r="J609" s="19"/>
      <c r="K609" s="19"/>
      <c r="L609" s="19"/>
      <c r="N609" s="33" t="s">
        <v>138</v>
      </c>
      <c r="O609" s="34">
        <f>IF(O601&gt;0,(O601&amp;3)*1,"")</f>
        <v>113</v>
      </c>
      <c r="Q609" s="85"/>
      <c r="R609" s="85"/>
      <c r="S609" s="85"/>
      <c r="T609" s="242"/>
      <c r="U609" s="244" t="str">
        <f>IF(AND(N609&lt;&gt;"",N610=""),CONCATENATE(VLOOKUP(N609,[2]zawodnicy!$A$1:$E$65536,1,FALSE)," ",VLOOKUP(N609,[2]zawodnicy!$A$1:$E$65536,2,FALSE)," ",VLOOKUP(N609,[2]zawodnicy!$A$1:$E$65536,3,FALSE)," - ",VLOOKUP(N609,[2]zawodnicy!$A$1:$E$65536,4,FALSE)),"")</f>
        <v>S3778 Damian SADALSKI - UKS Orkan Przeźmierowo</v>
      </c>
      <c r="V609" s="245"/>
      <c r="W609" s="246"/>
      <c r="X609" s="61" t="str">
        <f>IF(SUM(AQ605:AR605)=0,"",AR605&amp;":"&amp;AQ605)</f>
        <v>21:11</v>
      </c>
      <c r="Y609" s="36" t="str">
        <f>IF(SUM(AQ606:AR606)=0,"",AR606&amp;":"&amp;AQ606)</f>
        <v>21:17</v>
      </c>
      <c r="Z609" s="86"/>
      <c r="AA609" s="248"/>
      <c r="AB609" s="251"/>
      <c r="AC609" s="251"/>
      <c r="AD609" s="254"/>
      <c r="AE609" s="2"/>
      <c r="AF609" s="12"/>
      <c r="AG609" s="1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row>
    <row r="610" spans="1:64" ht="11.45" customHeight="1" thickBot="1" x14ac:dyDescent="0.25">
      <c r="A610" s="2"/>
      <c r="J610" s="28"/>
      <c r="K610" s="28"/>
      <c r="L610" s="28"/>
      <c r="N610" s="38"/>
      <c r="O610" s="28"/>
      <c r="P610" s="28"/>
      <c r="Q610" s="2"/>
      <c r="R610" s="2"/>
      <c r="S610" s="2"/>
      <c r="T610" s="243"/>
      <c r="U610" s="256" t="str">
        <f>IF(N610&lt;&gt;"",CONCATENATE(VLOOKUP(N610,[2]zawodnicy!$A$1:$E$65536,1,FALSE)," ",VLOOKUP(N610,[2]zawodnicy!$A$1:$E$65536,2,FALSE)," ",VLOOKUP(N610,[2]zawodnicy!$A$1:$E$65536,3,FALSE)," - ",VLOOKUP(N610,[2]zawodnicy!$A$1:$E$65536,4,FALSE)),"")</f>
        <v/>
      </c>
      <c r="V610" s="257"/>
      <c r="W610" s="258"/>
      <c r="X610" s="87" t="str">
        <f>IF(SUM(AS605:AT605)=0,"",AT605&amp;":"&amp;AS605)</f>
        <v/>
      </c>
      <c r="Y610" s="88" t="str">
        <f>IF(SUM(AS606:AT606)=0,"",AT606&amp;":"&amp;AS606)</f>
        <v/>
      </c>
      <c r="Z610" s="89"/>
      <c r="AA610" s="249"/>
      <c r="AB610" s="252"/>
      <c r="AC610" s="252"/>
      <c r="AD610" s="255"/>
      <c r="AE610" s="10"/>
      <c r="AF610" s="12"/>
      <c r="AG610" s="1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row>
    <row r="611" spans="1:64" s="19" customFormat="1" ht="5.0999999999999996" customHeight="1" thickBot="1" x14ac:dyDescent="0.25">
      <c r="M611" s="90"/>
      <c r="O611" s="90"/>
      <c r="P611" s="90"/>
      <c r="Q611" s="91"/>
      <c r="R611" s="91"/>
      <c r="S611" s="91"/>
      <c r="T611" s="91"/>
      <c r="U611" s="5"/>
      <c r="V611" s="5"/>
      <c r="W611" s="5"/>
      <c r="AA611" s="92"/>
      <c r="AB611" s="91"/>
      <c r="AC611" s="91"/>
      <c r="AD611" s="91"/>
      <c r="AE611" s="91"/>
      <c r="AF611" s="91"/>
      <c r="AI611" s="93"/>
      <c r="AJ611" s="94"/>
      <c r="AK611" s="94"/>
    </row>
    <row r="612" spans="1:64" ht="11.45" customHeight="1" thickBot="1" x14ac:dyDescent="0.25">
      <c r="N612" s="11"/>
      <c r="O612" s="21">
        <v>12</v>
      </c>
      <c r="Q612" s="277" t="str">
        <f>"Grupa "&amp;O612&amp;"."</f>
        <v>Grupa 12.</v>
      </c>
      <c r="R612" s="277"/>
      <c r="S612" s="277"/>
      <c r="T612" s="22" t="s">
        <v>1</v>
      </c>
      <c r="U612" s="278" t="s">
        <v>2</v>
      </c>
      <c r="V612" s="279"/>
      <c r="W612" s="280"/>
      <c r="X612" s="22">
        <v>1</v>
      </c>
      <c r="Y612" s="23">
        <v>2</v>
      </c>
      <c r="Z612" s="24">
        <v>3</v>
      </c>
      <c r="AA612" s="25" t="s">
        <v>3</v>
      </c>
      <c r="AB612" s="26" t="s">
        <v>4</v>
      </c>
      <c r="AC612" s="26" t="s">
        <v>5</v>
      </c>
      <c r="AD612" s="27" t="s">
        <v>6</v>
      </c>
      <c r="AE612" s="2"/>
      <c r="AF612" s="12"/>
      <c r="AG612" s="12"/>
      <c r="BK612" s="19"/>
      <c r="BL612" s="20"/>
    </row>
    <row r="613" spans="1:64" ht="11.45" customHeight="1" x14ac:dyDescent="0.2">
      <c r="J613" s="28"/>
      <c r="K613" s="28"/>
      <c r="L613" s="28"/>
      <c r="N613" s="29" t="s">
        <v>105</v>
      </c>
      <c r="Q613" s="274" t="s">
        <v>7</v>
      </c>
      <c r="R613" s="274"/>
      <c r="S613" s="275" t="s">
        <v>8</v>
      </c>
      <c r="T613" s="276">
        <v>1</v>
      </c>
      <c r="U613" s="244" t="str">
        <f>IF(AND(N614&lt;&gt;"",N615&lt;&gt;""),CONCATENATE(VLOOKUP(N614,[2]zawodnicy!$A$1:$E$65536,1,FALSE)," ",VLOOKUP(N614,[2]zawodnicy!$A$1:$E$65536,2,FALSE)," ",VLOOKUP(N614,[2]zawodnicy!$A$1:$E$65536,3,FALSE)," - ",VLOOKUP(N614,[2]zawodnicy!$A$1:$E$65536,4,FALSE)),"")</f>
        <v/>
      </c>
      <c r="V613" s="245"/>
      <c r="W613" s="246"/>
      <c r="X613" s="30"/>
      <c r="Y613" s="31" t="str">
        <f>IF(SUM(AO618:AP618)=0,"",AO618&amp;":"&amp;AP618)</f>
        <v>21:0</v>
      </c>
      <c r="Z613" s="32" t="str">
        <f>IF(SUM(AO616:AP616)=0,"",AO616&amp;":"&amp;AP616)</f>
        <v>21:13</v>
      </c>
      <c r="AA613" s="270" t="str">
        <f>IF(SUM(AY616:BB616)=0,"",BE616&amp;":"&amp;BF616)</f>
        <v>84:22</v>
      </c>
      <c r="AB613" s="271" t="str">
        <f>IF(SUM(AY616:BB616)=0,"",BG616&amp;":"&amp;BH616)</f>
        <v>4:0</v>
      </c>
      <c r="AC613" s="271" t="str">
        <f>IF(SUM(AY616:BB616)=0,"",BI616&amp;":"&amp;BJ616)</f>
        <v>2:0</v>
      </c>
      <c r="AD613" s="272">
        <f>IF(SUM(BI616:BI618)&gt;0,BK616,"")</f>
        <v>1</v>
      </c>
      <c r="AE613" s="2"/>
      <c r="AF613" s="12"/>
      <c r="AG613" s="12"/>
      <c r="AH613" s="14"/>
      <c r="AI613" s="273" t="s">
        <v>9</v>
      </c>
      <c r="AJ613" s="273"/>
      <c r="AK613" s="273"/>
      <c r="AL613" s="273"/>
      <c r="AM613" s="273"/>
      <c r="AN613" s="273"/>
      <c r="AO613" s="273" t="s">
        <v>10</v>
      </c>
      <c r="AP613" s="273"/>
      <c r="AQ613" s="273"/>
      <c r="AR613" s="273"/>
      <c r="AS613" s="273"/>
      <c r="AT613" s="273"/>
      <c r="BK613" s="19"/>
      <c r="BL613" s="20"/>
    </row>
    <row r="614" spans="1:64" ht="11.45" customHeight="1" thickBot="1" x14ac:dyDescent="0.25">
      <c r="I614" s="2" t="str">
        <f>"1"&amp;O612&amp;N613</f>
        <v>112pojedyncza chłopców JM</v>
      </c>
      <c r="J614" s="10" t="str">
        <f>IF(AD613="","",IF(AD613=1,N614,IF(AD616=1,N617,IF(AD619=1,N620,""))))</f>
        <v>K4248</v>
      </c>
      <c r="K614" s="10">
        <f>IF(AD613="","",IF(AD613=1,N615,IF(AD616=1,N618,IF(AD619=1,N621,""))))</f>
        <v>0</v>
      </c>
      <c r="L614" s="10"/>
      <c r="N614" s="33" t="s">
        <v>139</v>
      </c>
      <c r="O614" s="34">
        <f>IF(O612&gt;0,(O612&amp;1)*1,"")</f>
        <v>121</v>
      </c>
      <c r="Q614" s="274"/>
      <c r="R614" s="274"/>
      <c r="S614" s="275"/>
      <c r="T614" s="242"/>
      <c r="U614" s="244" t="str">
        <f>IF(AND(N614&lt;&gt;"",N615=""),CONCATENATE(VLOOKUP(N614,[2]zawodnicy!$A$1:$E$65536,1,FALSE)," ",VLOOKUP(N614,[2]zawodnicy!$A$1:$E$65536,2,FALSE)," ",VLOOKUP(N614,[2]zawodnicy!$A$1:$E$65536,3,FALSE)," - ",VLOOKUP(N614,[2]zawodnicy!$A$1:$E$65536,4,FALSE)),"")</f>
        <v>K4248 Michał KIKOSICKI - KSR Wolant Łódź</v>
      </c>
      <c r="V614" s="245"/>
      <c r="W614" s="246"/>
      <c r="X614" s="35"/>
      <c r="Y614" s="36" t="str">
        <f>IF(SUM(AQ618:AR618)=0,"",AQ618&amp;":"&amp;AR618)</f>
        <v>21:0</v>
      </c>
      <c r="Z614" s="37" t="str">
        <f>IF(SUM(AQ616:AR616)=0,"",AQ616&amp;":"&amp;AR616)</f>
        <v>21:9</v>
      </c>
      <c r="AA614" s="248"/>
      <c r="AB614" s="251"/>
      <c r="AC614" s="251"/>
      <c r="AD614" s="254"/>
      <c r="AE614" s="2"/>
      <c r="AF614" s="12"/>
      <c r="AG614" s="12"/>
      <c r="AH614" s="14"/>
      <c r="BE614" s="19">
        <f>SUM(BE616:BE618)</f>
        <v>148</v>
      </c>
      <c r="BF614" s="19">
        <f>SUM(BF616:BF618)</f>
        <v>148</v>
      </c>
      <c r="BG614" s="19">
        <f>SUM(BG616:BG618)</f>
        <v>6</v>
      </c>
      <c r="BH614" s="19">
        <f>SUM(BH616:BH618)</f>
        <v>6</v>
      </c>
      <c r="BK614" s="19"/>
      <c r="BL614" s="20"/>
    </row>
    <row r="615" spans="1:64" ht="11.45" customHeight="1" thickBot="1" x14ac:dyDescent="0.25">
      <c r="J615" s="10"/>
      <c r="K615" s="28"/>
      <c r="L615" s="28"/>
      <c r="N615" s="38"/>
      <c r="O615" s="28"/>
      <c r="P615" s="28"/>
      <c r="Q615" s="274"/>
      <c r="R615" s="274"/>
      <c r="S615" s="275"/>
      <c r="T615" s="261"/>
      <c r="U615" s="265" t="str">
        <f>IF(N615&lt;&gt;"",CONCATENATE(VLOOKUP(N615,[2]zawodnicy!$A$1:$E$65536,1,FALSE)," ",VLOOKUP(N615,[2]zawodnicy!$A$1:$E$65536,2,FALSE)," ",VLOOKUP(N615,[2]zawodnicy!$A$1:$E$65536,3,FALSE)," - ",VLOOKUP(N615,[2]zawodnicy!$A$1:$E$65536,4,FALSE)),"")</f>
        <v/>
      </c>
      <c r="V615" s="266"/>
      <c r="W615" s="267"/>
      <c r="X615" s="35"/>
      <c r="Y615" s="39" t="str">
        <f>IF(SUM(AS618:AT618)=0,"",AS618&amp;":"&amp;AT618)</f>
        <v/>
      </c>
      <c r="Z615" s="40" t="str">
        <f>IF(SUM(AS616:AT616)=0,"",AS616&amp;":"&amp;AT616)</f>
        <v/>
      </c>
      <c r="AA615" s="262"/>
      <c r="AB615" s="263"/>
      <c r="AC615" s="263"/>
      <c r="AD615" s="264"/>
      <c r="AE615" s="2"/>
      <c r="AF615" s="12"/>
      <c r="AG615" s="12"/>
      <c r="AH615" s="14"/>
      <c r="AI615" s="259" t="s">
        <v>12</v>
      </c>
      <c r="AJ615" s="269"/>
      <c r="AK615" s="268" t="s">
        <v>13</v>
      </c>
      <c r="AL615" s="269"/>
      <c r="AM615" s="268" t="s">
        <v>14</v>
      </c>
      <c r="AN615" s="260"/>
      <c r="AO615" s="259" t="s">
        <v>12</v>
      </c>
      <c r="AP615" s="269"/>
      <c r="AQ615" s="268" t="s">
        <v>13</v>
      </c>
      <c r="AR615" s="269"/>
      <c r="AS615" s="268" t="s">
        <v>14</v>
      </c>
      <c r="AT615" s="269"/>
      <c r="AU615" s="12"/>
      <c r="AV615" s="12"/>
      <c r="AW615" s="259">
        <v>1</v>
      </c>
      <c r="AX615" s="269"/>
      <c r="AY615" s="268">
        <v>2</v>
      </c>
      <c r="AZ615" s="269"/>
      <c r="BA615" s="268">
        <v>3</v>
      </c>
      <c r="BB615" s="260"/>
      <c r="BE615" s="259" t="s">
        <v>3</v>
      </c>
      <c r="BF615" s="260"/>
      <c r="BG615" s="259" t="s">
        <v>4</v>
      </c>
      <c r="BH615" s="260"/>
      <c r="BI615" s="259" t="s">
        <v>5</v>
      </c>
      <c r="BJ615" s="260"/>
      <c r="BK615" s="41" t="s">
        <v>6</v>
      </c>
      <c r="BL615" s="20"/>
    </row>
    <row r="616" spans="1:64" ht="11.45" customHeight="1" x14ac:dyDescent="0.2">
      <c r="A616" s="19">
        <f>S616</f>
        <v>38</v>
      </c>
      <c r="B616" s="2" t="str">
        <f>IF(N614="","",N614)</f>
        <v>K4248</v>
      </c>
      <c r="C616" s="2" t="str">
        <f>IF(N615="","",N615)</f>
        <v/>
      </c>
      <c r="D616" s="2" t="str">
        <f>IF(N620="","",N620)</f>
        <v>Z4433</v>
      </c>
      <c r="E616" s="2" t="str">
        <f>IF(N621="","",N621)</f>
        <v/>
      </c>
      <c r="I616" s="2" t="str">
        <f>"2"&amp;O612&amp;N613</f>
        <v>212pojedyncza chłopców JM</v>
      </c>
      <c r="J616" s="10" t="str">
        <f>IF(AD616="","",IF(AD613=2,N614,IF(AD616=2,N617,IF(AD619=2,N620,""))))</f>
        <v>Z4433</v>
      </c>
      <c r="K616" s="10">
        <f>IF(AD616="","",IF(AD613=2,N615,IF(AD616=2,N618,IF(AD619=2,N621,""))))</f>
        <v>0</v>
      </c>
      <c r="M616" s="42" t="str">
        <f>N613</f>
        <v>pojedyncza chłopców JM</v>
      </c>
      <c r="O616" s="28"/>
      <c r="P616" s="28"/>
      <c r="Q616" s="43" t="str">
        <f>IF(AU616&gt;0,"",IF(A616=0,"",IF(VLOOKUP(A616,'[2]plan gier'!A$1:S$65536,19,FALSE)="","",VLOOKUP(A616,'[2]plan gier'!A$1:S$65536,19,FALSE))))</f>
        <v/>
      </c>
      <c r="R616" s="44" t="s">
        <v>15</v>
      </c>
      <c r="S616" s="45">
        <v>38</v>
      </c>
      <c r="T616" s="241">
        <v>2</v>
      </c>
      <c r="U616" s="244" t="str">
        <f>IF(AND(N617&lt;&gt;"",N618&lt;&gt;""),CONCATENATE(VLOOKUP(N617,[2]zawodnicy!$A$1:$E$65536,1,FALSE)," ",VLOOKUP(N617,[2]zawodnicy!$A$1:$E$65536,2,FALSE)," ",VLOOKUP(N617,[2]zawodnicy!$A$1:$E$65536,3,FALSE)," - ",VLOOKUP(N617,[2]zawodnicy!$A$1:$E$65536,4,FALSE)),"")</f>
        <v/>
      </c>
      <c r="V616" s="245"/>
      <c r="W616" s="246"/>
      <c r="X616" s="46" t="str">
        <f>IF(SUM(AO618:AP618)=0,"",AP618&amp;":"&amp;AO618)</f>
        <v>0:21</v>
      </c>
      <c r="Y616" s="47"/>
      <c r="Z616" s="48" t="str">
        <f>IF(SUM(AO617:AP617)=0,"",AO617&amp;":"&amp;AP617)</f>
        <v>0:21</v>
      </c>
      <c r="AA616" s="247" t="str">
        <f>IF(SUM(AW617:AX617,BA617:BB617)=0,"",BE617&amp;":"&amp;BF617)</f>
        <v>0:84</v>
      </c>
      <c r="AB616" s="250" t="str">
        <f>IF(SUM(AW617:AX617,BA617:BB617)=0,"",BG617&amp;":"&amp;BH617)</f>
        <v>0:4</v>
      </c>
      <c r="AC616" s="250" t="str">
        <f>IF(SUM(AW617:AX617,BA617:BB617)=0,"",BI617&amp;":"&amp;BJ617)</f>
        <v>0:2</v>
      </c>
      <c r="AD616" s="253">
        <f>IF(SUM(BI616:BI618)&gt;0,BK617,"")</f>
        <v>3</v>
      </c>
      <c r="AE616" s="2"/>
      <c r="AF616" s="12"/>
      <c r="AG616" s="12"/>
      <c r="AH616" s="44" t="s">
        <v>15</v>
      </c>
      <c r="AI616" s="49">
        <f>IF(ISBLANK(S616),"",VLOOKUP(S616,'[2]plan gier'!$X$1:$AN$65536,12,FALSE))</f>
        <v>21</v>
      </c>
      <c r="AJ616" s="50">
        <f>IF(ISBLANK(S616),"",VLOOKUP(S616,'[2]plan gier'!$X$1:$AN$65536,13,FALSE))</f>
        <v>13</v>
      </c>
      <c r="AK616" s="50">
        <f>IF(ISBLANK(S616),"",VLOOKUP(S616,'[2]plan gier'!$X$1:$AN$65536,14,FALSE))</f>
        <v>21</v>
      </c>
      <c r="AL616" s="50">
        <f>IF(ISBLANK(S616),"",VLOOKUP(S616,'[2]plan gier'!$X$1:$AN$65536,15,FALSE))</f>
        <v>9</v>
      </c>
      <c r="AM616" s="50">
        <f>IF(ISBLANK(S616),"",VLOOKUP(S616,'[2]plan gier'!$X$1:$AN$65536,16,FALSE))</f>
        <v>0</v>
      </c>
      <c r="AN616" s="50">
        <f>IF(ISBLANK(S616),"",VLOOKUP(S616,'[2]plan gier'!$X$1:$AN$65536,17,FALSE))</f>
        <v>0</v>
      </c>
      <c r="AO616" s="51">
        <f t="shared" ref="AO616:AT618" si="55">IF(AI616="",0,AI616)</f>
        <v>21</v>
      </c>
      <c r="AP616" s="52">
        <f t="shared" si="55"/>
        <v>13</v>
      </c>
      <c r="AQ616" s="53">
        <f t="shared" si="55"/>
        <v>21</v>
      </c>
      <c r="AR616" s="52">
        <f t="shared" si="55"/>
        <v>9</v>
      </c>
      <c r="AS616" s="53">
        <f t="shared" si="55"/>
        <v>0</v>
      </c>
      <c r="AT616" s="52">
        <f t="shared" si="55"/>
        <v>0</v>
      </c>
      <c r="AU616" s="54">
        <f>SUM(AO616:AT616)</f>
        <v>64</v>
      </c>
      <c r="AV616" s="13">
        <v>1</v>
      </c>
      <c r="AW616" s="55"/>
      <c r="AX616" s="56"/>
      <c r="AY616" s="50">
        <f>IF(AI618&gt;AJ618,1,0)+IF(AK618&gt;AL618,1,0)+IF(AM618&gt;AN618,1,0)</f>
        <v>2</v>
      </c>
      <c r="AZ616" s="50">
        <f>AW617</f>
        <v>0</v>
      </c>
      <c r="BA616" s="50">
        <f>IF(AI616&gt;AJ616,1,0)+IF(AK616&gt;AL616,1,0)+IF(AM616&gt;AN616,1,0)</f>
        <v>2</v>
      </c>
      <c r="BB616" s="57">
        <f>AW618</f>
        <v>0</v>
      </c>
      <c r="BE616" s="49">
        <f>AO616+AQ616+AS616+AO618+AQ618+AS618</f>
        <v>84</v>
      </c>
      <c r="BF616" s="57">
        <f>AP616+AR616+AT616+AP618+AR618+AT618</f>
        <v>22</v>
      </c>
      <c r="BG616" s="49">
        <f>AY616+BA616</f>
        <v>4</v>
      </c>
      <c r="BH616" s="57">
        <f>AZ616+BB616</f>
        <v>0</v>
      </c>
      <c r="BI616" s="49">
        <f>IF(AY616&gt;AZ616,1,0)+IF(BA616&gt;BB616,1,0)</f>
        <v>2</v>
      </c>
      <c r="BJ616" s="58">
        <f>IF(AZ616&gt;AY616,1,0)+IF(BB616&gt;BA616,1,0)</f>
        <v>0</v>
      </c>
      <c r="BK616" s="59">
        <f>IF(BI616+BJ616=0,"",IF(BL616=MAX(BL616:BL618),1,IF(BL616=MIN(BL616:BL618),3,2)))</f>
        <v>1</v>
      </c>
      <c r="BL616" s="60">
        <f>IF(BI616+BJ616&lt;&gt;0,BI616+1+(BG616-BH616)/100+(BE616-BF616)/100000+(BE616/BF616)/1000000,0)</f>
        <v>3.0406238181818184</v>
      </c>
    </row>
    <row r="617" spans="1:64" ht="11.45" customHeight="1" x14ac:dyDescent="0.2">
      <c r="A617" s="19">
        <f>S617</f>
        <v>103</v>
      </c>
      <c r="B617" s="2" t="str">
        <f>IF(N617="","",N617)</f>
        <v>S4731</v>
      </c>
      <c r="C617" s="2" t="str">
        <f>IF(N618="","",N618)</f>
        <v/>
      </c>
      <c r="D617" s="2" t="str">
        <f>IF(N620="","",N620)</f>
        <v>Z4433</v>
      </c>
      <c r="E617" s="2" t="str">
        <f>IF(N621="","",N621)</f>
        <v/>
      </c>
      <c r="J617" s="10"/>
      <c r="K617" s="19"/>
      <c r="M617" s="42" t="str">
        <f>N613</f>
        <v>pojedyncza chłopców JM</v>
      </c>
      <c r="N617" s="33" t="s">
        <v>140</v>
      </c>
      <c r="O617" s="34">
        <f>IF(O612&gt;0,(O612&amp;2)*1,"")</f>
        <v>122</v>
      </c>
      <c r="Q617" s="43" t="str">
        <f>IF(AU617&gt;0,"",IF(A617=0,"",IF(VLOOKUP(A617,'[2]plan gier'!A$1:S$65536,19,FALSE)="","",VLOOKUP(A617,'[2]plan gier'!A$1:S$65536,19,FALSE))))</f>
        <v/>
      </c>
      <c r="R617" s="44" t="s">
        <v>17</v>
      </c>
      <c r="S617" s="45">
        <v>103</v>
      </c>
      <c r="T617" s="242"/>
      <c r="U617" s="244" t="str">
        <f>IF(AND(N617&lt;&gt;"",N618=""),CONCATENATE(VLOOKUP(N617,[2]zawodnicy!$A$1:$E$65536,1,FALSE)," ",VLOOKUP(N617,[2]zawodnicy!$A$1:$E$65536,2,FALSE)," ",VLOOKUP(N617,[2]zawodnicy!$A$1:$E$65536,3,FALSE)," - ",VLOOKUP(N617,[2]zawodnicy!$A$1:$E$65536,4,FALSE)),"")</f>
        <v>S4731 Michał SIERAK - UKS Orliki Ropica Polska</v>
      </c>
      <c r="V617" s="245"/>
      <c r="W617" s="246"/>
      <c r="X617" s="61" t="str">
        <f>IF(SUM(AQ618:AR618)=0,"",AR618&amp;":"&amp;AQ618)</f>
        <v>0:21</v>
      </c>
      <c r="Y617" s="62"/>
      <c r="Z617" s="37" t="str">
        <f>IF(SUM(AQ617:AR617)=0,"",AQ617&amp;":"&amp;AR617)</f>
        <v>0:21</v>
      </c>
      <c r="AA617" s="248"/>
      <c r="AB617" s="251"/>
      <c r="AC617" s="251"/>
      <c r="AD617" s="254"/>
      <c r="AE617" s="2"/>
      <c r="AF617" s="12"/>
      <c r="AG617" s="12"/>
      <c r="AH617" s="44" t="s">
        <v>17</v>
      </c>
      <c r="AI617" s="63">
        <f>IF(ISBLANK(S617),"",VLOOKUP(S617,'[2]plan gier'!$X$1:$AN$65536,12,FALSE))</f>
        <v>0</v>
      </c>
      <c r="AJ617" s="64">
        <f>IF(ISBLANK(S617),"",VLOOKUP(S617,'[2]plan gier'!$X$1:$AN$65536,13,FALSE))</f>
        <v>21</v>
      </c>
      <c r="AK617" s="64">
        <f>IF(ISBLANK(S617),"",VLOOKUP(S617,'[2]plan gier'!$X$1:$AN$65536,14,FALSE))</f>
        <v>0</v>
      </c>
      <c r="AL617" s="64">
        <f>IF(ISBLANK(S617),"",VLOOKUP(S617,'[2]plan gier'!$X$1:$AN$65536,15,FALSE))</f>
        <v>21</v>
      </c>
      <c r="AM617" s="64">
        <f>IF(ISBLANK(S617),"",VLOOKUP(S617,'[2]plan gier'!$X$1:$AN$65536,16,FALSE))</f>
        <v>0</v>
      </c>
      <c r="AN617" s="64">
        <f>IF(ISBLANK(S617),"",VLOOKUP(S617,'[2]plan gier'!$X$1:$AN$65536,17,FALSE))</f>
        <v>0</v>
      </c>
      <c r="AO617" s="65">
        <f t="shared" si="55"/>
        <v>0</v>
      </c>
      <c r="AP617" s="64">
        <f t="shared" si="55"/>
        <v>21</v>
      </c>
      <c r="AQ617" s="66">
        <f t="shared" si="55"/>
        <v>0</v>
      </c>
      <c r="AR617" s="64">
        <f t="shared" si="55"/>
        <v>21</v>
      </c>
      <c r="AS617" s="66">
        <f t="shared" si="55"/>
        <v>0</v>
      </c>
      <c r="AT617" s="64">
        <f t="shared" si="55"/>
        <v>0</v>
      </c>
      <c r="AU617" s="54">
        <f>SUM(AO617:AT617)</f>
        <v>42</v>
      </c>
      <c r="AV617" s="13">
        <v>2</v>
      </c>
      <c r="AW617" s="63">
        <f>IF(AI618&lt;AJ618,1,0)+IF(AK618&lt;AL618,1,0)+IF(AM618&lt;AN618,1,0)</f>
        <v>0</v>
      </c>
      <c r="AX617" s="64">
        <f>AY616</f>
        <v>2</v>
      </c>
      <c r="AY617" s="67"/>
      <c r="AZ617" s="68"/>
      <c r="BA617" s="64">
        <f>IF(AI617&gt;AJ617,1,0)+IF(AK617&gt;AL617,1,0)+IF(AM617&gt;AN617,1,0)</f>
        <v>0</v>
      </c>
      <c r="BB617" s="69">
        <f>AY618</f>
        <v>2</v>
      </c>
      <c r="BE617" s="63">
        <f>AO617+AQ617+AS617+AP618+AR618+AT618</f>
        <v>0</v>
      </c>
      <c r="BF617" s="69">
        <f>AP617+AR617+AT617+AO618+AQ618+AS618</f>
        <v>84</v>
      </c>
      <c r="BG617" s="63">
        <f>AW617+BA617</f>
        <v>0</v>
      </c>
      <c r="BH617" s="69">
        <f>AX617+BB617</f>
        <v>4</v>
      </c>
      <c r="BI617" s="63">
        <f>IF(AW617&gt;AX617,1,0)+IF(BA617&gt;BB617,1,0)</f>
        <v>0</v>
      </c>
      <c r="BJ617" s="70">
        <f>IF(AX617&gt;AW617,1,0)+IF(BB617&gt;BA617,1,0)</f>
        <v>2</v>
      </c>
      <c r="BK617" s="71">
        <f>IF(BI617+BJ617=0,"",IF(BL617=MAX(BL616:BL618),1,IF(BL617=MIN(BL616:BL618),3,2)))</f>
        <v>3</v>
      </c>
      <c r="BL617" s="60">
        <f>IF(BI617+BJ617&lt;&gt;0,BI617+1+(BG617-BH617)/100+(BE617-BF617)/100000+(BE617/BF617)/1000000,0)</f>
        <v>0.95916000000000001</v>
      </c>
    </row>
    <row r="618" spans="1:64" ht="11.45" customHeight="1" thickBot="1" x14ac:dyDescent="0.25">
      <c r="A618" s="19">
        <f>S618</f>
        <v>168</v>
      </c>
      <c r="B618" s="2" t="str">
        <f>IF(N614="","",N614)</f>
        <v>K4248</v>
      </c>
      <c r="C618" s="2" t="str">
        <f>IF(N615="","",N615)</f>
        <v/>
      </c>
      <c r="D618" s="2" t="str">
        <f>IF(N617="","",N617)</f>
        <v>S4731</v>
      </c>
      <c r="E618" s="2" t="str">
        <f>IF(N618="","",N618)</f>
        <v/>
      </c>
      <c r="I618" s="2" t="str">
        <f>"3"&amp;O612&amp;N613</f>
        <v>312pojedyncza chłopców JM</v>
      </c>
      <c r="J618" s="10" t="str">
        <f>IF(AD619="","",IF(AD613=3,N614,IF(AD616=3,N617,IF(AD619=3,N620,""))))</f>
        <v>S4731</v>
      </c>
      <c r="K618" s="10">
        <f>IF(AD619="","",IF(AD613=3,N615,IF(AD616=3,N618,IF(AD619=3,N621,""))))</f>
        <v>0</v>
      </c>
      <c r="M618" s="42" t="str">
        <f>N613</f>
        <v>pojedyncza chłopców JM</v>
      </c>
      <c r="N618" s="38"/>
      <c r="O618" s="28"/>
      <c r="P618" s="28"/>
      <c r="Q618" s="43" t="str">
        <f>IF(AU618&gt;0,"",IF(A618=0,"",IF(VLOOKUP(A618,'[2]plan gier'!A$1:S$65536,19,FALSE)="","",VLOOKUP(A618,'[2]plan gier'!A$1:S$65536,19,FALSE))))</f>
        <v/>
      </c>
      <c r="R618" s="72" t="s">
        <v>18</v>
      </c>
      <c r="S618" s="45">
        <v>168</v>
      </c>
      <c r="T618" s="261"/>
      <c r="U618" s="265" t="str">
        <f>IF(N618&lt;&gt;"",CONCATENATE(VLOOKUP(N618,[2]zawodnicy!$A$1:$E$65536,1,FALSE)," ",VLOOKUP(N618,[2]zawodnicy!$A$1:$E$65536,2,FALSE)," ",VLOOKUP(N618,[2]zawodnicy!$A$1:$E$65536,3,FALSE)," - ",VLOOKUP(N618,[2]zawodnicy!$A$1:$E$65536,4,FALSE)),"")</f>
        <v/>
      </c>
      <c r="V618" s="266"/>
      <c r="W618" s="267"/>
      <c r="X618" s="73" t="str">
        <f>IF(SUM(AS618:AT618)=0,"",AT618&amp;":"&amp;AS618)</f>
        <v/>
      </c>
      <c r="Y618" s="62"/>
      <c r="Z618" s="40" t="str">
        <f>IF(SUM(AS617:AT617)=0,"",AS617&amp;":"&amp;AT617)</f>
        <v/>
      </c>
      <c r="AA618" s="262"/>
      <c r="AB618" s="263"/>
      <c r="AC618" s="263"/>
      <c r="AD618" s="264"/>
      <c r="AE618" s="2"/>
      <c r="AF618" s="12"/>
      <c r="AG618" s="12"/>
      <c r="AH618" s="72" t="s">
        <v>18</v>
      </c>
      <c r="AI618" s="74">
        <f>IF(ISBLANK(S618),"",VLOOKUP(S618,'[2]plan gier'!$X$1:$AN$65536,12,FALSE))</f>
        <v>21</v>
      </c>
      <c r="AJ618" s="75">
        <f>IF(ISBLANK(S618),"",VLOOKUP(S618,'[2]plan gier'!$X$1:$AN$65536,13,FALSE))</f>
        <v>0</v>
      </c>
      <c r="AK618" s="75">
        <f>IF(ISBLANK(S618),"",VLOOKUP(S618,'[2]plan gier'!$X$1:$AN$65536,14,FALSE))</f>
        <v>21</v>
      </c>
      <c r="AL618" s="75">
        <f>IF(ISBLANK(S618),"",VLOOKUP(S618,'[2]plan gier'!$X$1:$AN$65536,15,FALSE))</f>
        <v>0</v>
      </c>
      <c r="AM618" s="75">
        <f>IF(ISBLANK(S618),"",VLOOKUP(S618,'[2]plan gier'!$X$1:$AN$65536,16,FALSE))</f>
        <v>0</v>
      </c>
      <c r="AN618" s="75">
        <f>IF(ISBLANK(S618),"",VLOOKUP(S618,'[2]plan gier'!$X$1:$AN$65536,17,FALSE))</f>
        <v>0</v>
      </c>
      <c r="AO618" s="76">
        <f t="shared" si="55"/>
        <v>21</v>
      </c>
      <c r="AP618" s="75">
        <f t="shared" si="55"/>
        <v>0</v>
      </c>
      <c r="AQ618" s="77">
        <f t="shared" si="55"/>
        <v>21</v>
      </c>
      <c r="AR618" s="75">
        <f t="shared" si="55"/>
        <v>0</v>
      </c>
      <c r="AS618" s="77">
        <f t="shared" si="55"/>
        <v>0</v>
      </c>
      <c r="AT618" s="75">
        <f t="shared" si="55"/>
        <v>0</v>
      </c>
      <c r="AU618" s="54">
        <f>SUM(AO618:AT618)</f>
        <v>42</v>
      </c>
      <c r="AV618" s="13">
        <v>3</v>
      </c>
      <c r="AW618" s="74">
        <f>IF(AI616&lt;AJ616,1,0)+IF(AK616&lt;AL616,1,0)+IF(AM616&lt;AN616,1,0)</f>
        <v>0</v>
      </c>
      <c r="AX618" s="75">
        <f>BA616</f>
        <v>2</v>
      </c>
      <c r="AY618" s="75">
        <f>IF(AI617&lt;AJ617,1,0)+IF(AK617&lt;AL617,1,0)+IF(AM617&lt;AN617,1,0)</f>
        <v>2</v>
      </c>
      <c r="AZ618" s="75">
        <f>BA617</f>
        <v>0</v>
      </c>
      <c r="BA618" s="78"/>
      <c r="BB618" s="79"/>
      <c r="BE618" s="74">
        <f>AP616+AR616+AT616+AP617+AR617+AT617</f>
        <v>64</v>
      </c>
      <c r="BF618" s="80">
        <f>AO616+AQ616+AS616+AO617+AQ617+AS617</f>
        <v>42</v>
      </c>
      <c r="BG618" s="74">
        <f>AW618+AY618</f>
        <v>2</v>
      </c>
      <c r="BH618" s="80">
        <f>AX618+AZ618</f>
        <v>2</v>
      </c>
      <c r="BI618" s="74">
        <f>IF(AW618&gt;AX618,1,0)+IF(AY618&gt;AZ618,1,0)</f>
        <v>1</v>
      </c>
      <c r="BJ618" s="81">
        <f>IF(AX618&gt;AW618,1,0)+IF(AZ618&gt;AY618,1,0)</f>
        <v>1</v>
      </c>
      <c r="BK618" s="82">
        <f>IF(BI618+BJ618=0,"",IF(BL618=MAX(BL616:BL618),1,IF(BL618=MIN(BL616:BL618),3,2)))</f>
        <v>2</v>
      </c>
      <c r="BL618" s="60">
        <f>IF(BI618+BJ618&lt;&gt;0,BI618+1+(BG618-BH618)/100+(BE618-BF618)/100000+(BE618/BF618)/1000000,0)</f>
        <v>2.000221523809524</v>
      </c>
    </row>
    <row r="619" spans="1:64" ht="11.45" customHeight="1" x14ac:dyDescent="0.2">
      <c r="A619" s="2"/>
      <c r="J619" s="28"/>
      <c r="K619" s="28"/>
      <c r="L619" s="28"/>
      <c r="O619" s="28"/>
      <c r="P619" s="28"/>
      <c r="Q619" s="2"/>
      <c r="R619" s="2"/>
      <c r="S619" s="2"/>
      <c r="T619" s="241">
        <v>3</v>
      </c>
      <c r="U619" s="244" t="str">
        <f>IF(AND(N620&lt;&gt;"",N621&lt;&gt;""),CONCATENATE(VLOOKUP(N620,[2]zawodnicy!$A$1:$E$65536,1,FALSE)," ",VLOOKUP(N620,[2]zawodnicy!$A$1:$E$65536,2,FALSE)," ",VLOOKUP(N620,[2]zawodnicy!$A$1:$E$65536,3,FALSE)," - ",VLOOKUP(N620,[2]zawodnicy!$A$1:$E$65536,4,FALSE)),"")</f>
        <v/>
      </c>
      <c r="V619" s="245"/>
      <c r="W619" s="246"/>
      <c r="X619" s="46" t="str">
        <f>IF(SUM(AO616:AP616)=0,"",AP616&amp;":"&amp;AO616)</f>
        <v>13:21</v>
      </c>
      <c r="Y619" s="83" t="str">
        <f>IF(SUM(AO617:AP617)=0,"",AP617&amp;":"&amp;AO617)</f>
        <v>21:0</v>
      </c>
      <c r="Z619" s="84"/>
      <c r="AA619" s="247" t="str">
        <f>IF(SUM(AW618:AZ618)=0,"",BE618&amp;":"&amp;BF618)</f>
        <v>64:42</v>
      </c>
      <c r="AB619" s="250" t="str">
        <f>IF(SUM(AW618:AZ618)=0,"",BG618&amp;":"&amp;BH618)</f>
        <v>2:2</v>
      </c>
      <c r="AC619" s="250" t="str">
        <f>IF(SUM(AW618:AZ618)=0,"",BI618&amp;":"&amp;BJ618)</f>
        <v>1:1</v>
      </c>
      <c r="AD619" s="253">
        <f>IF(SUM(BI616:BI618)&gt;0,BK618,"")</f>
        <v>2</v>
      </c>
      <c r="AE619" s="2"/>
      <c r="AF619" s="12"/>
      <c r="AG619" s="12"/>
      <c r="BE619" s="19">
        <f>SUM(BE616:BE618)</f>
        <v>148</v>
      </c>
      <c r="BF619" s="19">
        <f>SUM(BF616:BF618)</f>
        <v>148</v>
      </c>
      <c r="BG619" s="19">
        <f>SUM(BG616:BG618)</f>
        <v>6</v>
      </c>
      <c r="BH619" s="19">
        <f>SUM(BH616:BH618)</f>
        <v>6</v>
      </c>
      <c r="BK619" s="19"/>
      <c r="BL619" s="20"/>
    </row>
    <row r="620" spans="1:64" ht="11.45" customHeight="1" x14ac:dyDescent="0.2">
      <c r="A620" s="19"/>
      <c r="J620" s="19"/>
      <c r="K620" s="19"/>
      <c r="L620" s="19"/>
      <c r="N620" s="33" t="s">
        <v>141</v>
      </c>
      <c r="O620" s="34">
        <f>IF(O612&gt;0,(O612&amp;3)*1,"")</f>
        <v>123</v>
      </c>
      <c r="Q620" s="85"/>
      <c r="R620" s="85"/>
      <c r="S620" s="85"/>
      <c r="T620" s="242"/>
      <c r="U620" s="244" t="str">
        <f>IF(AND(N620&lt;&gt;"",N621=""),CONCATENATE(VLOOKUP(N620,[2]zawodnicy!$A$1:$E$65536,1,FALSE)," ",VLOOKUP(N620,[2]zawodnicy!$A$1:$E$65536,2,FALSE)," ",VLOOKUP(N620,[2]zawodnicy!$A$1:$E$65536,3,FALSE)," - ",VLOOKUP(N620,[2]zawodnicy!$A$1:$E$65536,4,FALSE)),"")</f>
        <v>Z4433 Karol ZAWALSKI - UKS Aktywna Piątka Przemyśl</v>
      </c>
      <c r="V620" s="245"/>
      <c r="W620" s="246"/>
      <c r="X620" s="61" t="str">
        <f>IF(SUM(AQ616:AR616)=0,"",AR616&amp;":"&amp;AQ616)</f>
        <v>9:21</v>
      </c>
      <c r="Y620" s="36" t="str">
        <f>IF(SUM(AQ617:AR617)=0,"",AR617&amp;":"&amp;AQ617)</f>
        <v>21:0</v>
      </c>
      <c r="Z620" s="86"/>
      <c r="AA620" s="248"/>
      <c r="AB620" s="251"/>
      <c r="AC620" s="251"/>
      <c r="AD620" s="254"/>
      <c r="AE620" s="2"/>
      <c r="AF620" s="12"/>
      <c r="AG620" s="1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row>
    <row r="621" spans="1:64" ht="11.45" customHeight="1" thickBot="1" x14ac:dyDescent="0.25">
      <c r="A621" s="2"/>
      <c r="J621" s="28"/>
      <c r="K621" s="28"/>
      <c r="L621" s="28"/>
      <c r="N621" s="38"/>
      <c r="O621" s="28"/>
      <c r="P621" s="28"/>
      <c r="Q621" s="2"/>
      <c r="R621" s="2"/>
      <c r="S621" s="2"/>
      <c r="T621" s="243"/>
      <c r="U621" s="256" t="str">
        <f>IF(N621&lt;&gt;"",CONCATENATE(VLOOKUP(N621,[2]zawodnicy!$A$1:$E$65536,1,FALSE)," ",VLOOKUP(N621,[2]zawodnicy!$A$1:$E$65536,2,FALSE)," ",VLOOKUP(N621,[2]zawodnicy!$A$1:$E$65536,3,FALSE)," - ",VLOOKUP(N621,[2]zawodnicy!$A$1:$E$65536,4,FALSE)),"")</f>
        <v/>
      </c>
      <c r="V621" s="257"/>
      <c r="W621" s="258"/>
      <c r="X621" s="87" t="str">
        <f>IF(SUM(AS616:AT616)=0,"",AT616&amp;":"&amp;AS616)</f>
        <v/>
      </c>
      <c r="Y621" s="88" t="str">
        <f>IF(SUM(AS617:AT617)=0,"",AT617&amp;":"&amp;AS617)</f>
        <v/>
      </c>
      <c r="Z621" s="89"/>
      <c r="AA621" s="249"/>
      <c r="AB621" s="252"/>
      <c r="AC621" s="252"/>
      <c r="AD621" s="255"/>
      <c r="AE621" s="10"/>
      <c r="AF621" s="12"/>
      <c r="AG621" s="1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row>
    <row r="622" spans="1:64" s="19" customFormat="1" ht="5.0999999999999996" customHeight="1" x14ac:dyDescent="0.2">
      <c r="M622" s="90"/>
      <c r="O622" s="90"/>
      <c r="P622" s="90"/>
      <c r="Q622" s="91"/>
      <c r="R622" s="91"/>
      <c r="S622" s="91"/>
      <c r="T622" s="91"/>
      <c r="U622" s="5"/>
      <c r="V622" s="5"/>
      <c r="W622" s="5"/>
      <c r="AA622" s="92"/>
      <c r="AB622" s="91"/>
      <c r="AC622" s="91"/>
      <c r="AD622" s="91"/>
      <c r="AE622" s="91"/>
      <c r="AF622" s="91"/>
      <c r="AI622" s="93"/>
      <c r="AJ622" s="94"/>
      <c r="AK622" s="94"/>
    </row>
    <row r="624" spans="1:64" ht="11.45" customHeight="1" x14ac:dyDescent="0.2">
      <c r="J624" s="2"/>
      <c r="K624" s="2"/>
      <c r="L624" s="2"/>
      <c r="M624" s="95"/>
      <c r="N624" s="96">
        <v>1</v>
      </c>
      <c r="O624" s="97">
        <v>12</v>
      </c>
      <c r="P624" s="98"/>
      <c r="Q624" s="1"/>
      <c r="R624" s="1"/>
      <c r="S624" s="1"/>
      <c r="T624" s="229"/>
      <c r="U624" s="229"/>
      <c r="V624" s="229"/>
      <c r="W624" s="229"/>
      <c r="X624" s="229"/>
      <c r="Y624" s="229"/>
      <c r="Z624" s="229"/>
      <c r="AA624" s="229"/>
      <c r="AB624" s="229"/>
      <c r="AC624" s="229"/>
      <c r="AD624" s="229"/>
      <c r="AE624" s="229"/>
      <c r="AF624" s="229"/>
      <c r="AG624" s="2"/>
      <c r="BK624" s="19"/>
      <c r="BL624" s="20"/>
    </row>
    <row r="625" spans="1:64" ht="11.45" customHeight="1" x14ac:dyDescent="0.2">
      <c r="J625" s="2"/>
      <c r="N625" s="99" t="s">
        <v>105</v>
      </c>
      <c r="P625" s="98"/>
      <c r="Q625" s="1"/>
      <c r="R625" s="1"/>
      <c r="S625" s="1"/>
      <c r="T625" s="1"/>
      <c r="U625" s="100"/>
      <c r="V625" s="101"/>
      <c r="W625" s="101"/>
      <c r="X625" s="101"/>
      <c r="Y625" s="2"/>
      <c r="Z625" s="2"/>
      <c r="AA625" s="2"/>
      <c r="AB625" s="2"/>
      <c r="AC625" s="2"/>
      <c r="AD625" s="2"/>
      <c r="AE625" s="2"/>
      <c r="AF625" s="2"/>
      <c r="AG625" s="2"/>
      <c r="BK625" s="19"/>
      <c r="BL625" s="20"/>
    </row>
    <row r="626" spans="1:64" ht="11.45" customHeight="1" x14ac:dyDescent="0.2">
      <c r="A626" s="102">
        <f>W626</f>
        <v>0</v>
      </c>
      <c r="B626" s="2" t="str">
        <f>IF(TYPE(T626)=16,"",T626)</f>
        <v>J2970</v>
      </c>
      <c r="D626" s="2" t="str">
        <f>IF(TYPE(T627)=16,"",T627)</f>
        <v/>
      </c>
      <c r="F626" s="2" t="str">
        <f>IF(A626=0,IF(AND(LEN(B626)&gt;0,LEN(D626)=0),VLOOKUP(B626,[2]zawodnicy!$A$1:$E$65536,1,FALSE),IF(AND(LEN(D626)&gt;0,LEN(B626)=0),VLOOKUP(D626,[2]zawodnicy!$A$1:$E$65536,1,FALSE),"")),IF((VLOOKUP(A626,'[2]plan gier'!$X$1:$AF$65536,7,FALSE))="","",VLOOKUP(VLOOKUP(A626,'[2]plan gier'!$X$1:$AF$65536,7,FALSE),[2]zawodnicy!$A$1:$E$65536,1,FALSE)))</f>
        <v>J2970</v>
      </c>
      <c r="H626" s="2" t="str">
        <f>IF(A626=0,"",IF((VLOOKUP(A626,'[2]plan gier'!$X$1:$AF$65536,7,FALSE))="","",VLOOKUP(A626,'[2]plan gier'!$X$1:$AF$65536,9,FALSE)))</f>
        <v/>
      </c>
      <c r="J626" s="103"/>
      <c r="L626" s="43" t="str">
        <f>IF(A626=0,"",IF(VLOOKUP(A626,'[2]plan gier'!A$1:S$65536,19,FALSE)="","",VLOOKUP(A626,'[2]plan gier'!A$1:S$65536,19,FALSE)))</f>
        <v/>
      </c>
      <c r="M626" s="2" t="str">
        <f>N625</f>
        <v>pojedyncza chłopców JM</v>
      </c>
      <c r="N626" s="104"/>
      <c r="O626" s="105">
        <f>IF(P626="","",1)</f>
        <v>1</v>
      </c>
      <c r="P626" s="106">
        <f>IF(O624&gt;8,1,"")</f>
        <v>1</v>
      </c>
      <c r="Q626" s="5">
        <f>O626</f>
        <v>1</v>
      </c>
      <c r="T626" s="286" t="str">
        <f>UPPER(IF(O626="","",IF(ISTEXT(N626),N626,IF(AND(N624&gt;0,O626&gt;0),VLOOKUP(N624&amp;O626&amp;N625,I:J,2,FALSE),""))))</f>
        <v>J2970</v>
      </c>
      <c r="U626" s="287"/>
      <c r="V626" s="107" t="str">
        <f>IF(T626&lt;&gt;"",CONCATENATE(VLOOKUP(T626,[2]zawodnicy!$A$1:$E$65536,2,FALSE)," ",VLOOKUP(T626,[2]zawodnicy!$A$1:$E$65536,3,FALSE)," - ",VLOOKUP(T626,[2]zawodnicy!$A$1:$E$65536,4,FALSE)),"")</f>
        <v>Aleksander JABŁOŃSKI - UKS Hubal Białystok</v>
      </c>
      <c r="W626" s="108"/>
      <c r="X626" s="231" t="str">
        <f>IF(ISBLANK(W626),IF(AND(LEN(T626)&gt;0,LEN(T627)=0),VLOOKUP(T626,[2]zawodnicy!$A$1:$E$65536,3,FALSE),IF(AND(LEN(T627)&gt;0,LEN(T626)=0),VLOOKUP(T627,[2]zawodnicy!$A$1:$E$65536,3,FALSE),"")),IF((VLOOKUP(W626,'[2]plan gier'!$X$1:$AF$65536,7,FALSE))="","",VLOOKUP(VLOOKUP(W626,'[2]plan gier'!$X$1:$AF$65536,7,FALSE),[2]zawodnicy!$A$1:$E$65536,3,FALSE)))</f>
        <v>JABŁOŃSKI</v>
      </c>
      <c r="Y626" s="232"/>
      <c r="Z626" s="232"/>
      <c r="AA626" s="2"/>
      <c r="AB626" s="2"/>
      <c r="AC626" s="2"/>
      <c r="AD626" s="2"/>
      <c r="AE626" s="2"/>
      <c r="AF626" s="2"/>
      <c r="AG626" s="2"/>
      <c r="BK626" s="19"/>
      <c r="BL626" s="20"/>
    </row>
    <row r="627" spans="1:64" ht="11.45" customHeight="1" x14ac:dyDescent="0.2">
      <c r="J627" s="103"/>
      <c r="N627" s="104"/>
      <c r="O627" s="109" t="str">
        <f>IF(P627="","",2)</f>
        <v/>
      </c>
      <c r="P627" s="106" t="str">
        <f>IF(O624&gt;15,3,"")</f>
        <v/>
      </c>
      <c r="Q627" s="5" t="str">
        <f>O627</f>
        <v/>
      </c>
      <c r="T627" s="286" t="str">
        <f>UPPER(IF(O627="","",IF(ISTEXT(N627),N627,IF(AND(N624&gt;0,O627&gt;0),VLOOKUP(N624&amp;O627&amp;N625,I:J,2,FALSE),""))))</f>
        <v/>
      </c>
      <c r="U627" s="287"/>
      <c r="V627" s="107" t="str">
        <f>IF(T627&lt;&gt;"",CONCATENATE(VLOOKUP(T627,[2]zawodnicy!$A$1:$E$65536,2,FALSE)," ",VLOOKUP(T627,[2]zawodnicy!$A$1:$E$65536,3,FALSE)," - ",VLOOKUP(T627,[2]zawodnicy!$A$1:$E$65536,4,FALSE)),"")</f>
        <v/>
      </c>
      <c r="W627" s="110"/>
      <c r="X627" s="236" t="str">
        <f>IF(ISBLANK(W626),"",IF((VLOOKUP(W626,'[2]plan gier'!$X$1:$AF$65536,7,FALSE))="",L626,VLOOKUP(W626,'[2]plan gier'!$X$1:$AF$65536,9,FALSE)))</f>
        <v/>
      </c>
      <c r="Y627" s="237"/>
      <c r="Z627" s="240"/>
      <c r="AA627" s="2"/>
      <c r="AB627" s="2"/>
      <c r="AC627" s="2"/>
      <c r="AD627" s="2"/>
      <c r="AE627" s="2"/>
      <c r="AF627" s="2"/>
      <c r="AG627" s="2"/>
      <c r="BK627" s="19"/>
      <c r="BL627" s="20"/>
    </row>
    <row r="628" spans="1:64" ht="11.45" customHeight="1" x14ac:dyDescent="0.2">
      <c r="A628" s="111">
        <f>Z628</f>
        <v>214</v>
      </c>
      <c r="B628" s="2" t="str">
        <f>F626</f>
        <v>J2970</v>
      </c>
      <c r="D628" s="2" t="str">
        <f>F630</f>
        <v>K3867</v>
      </c>
      <c r="F628" s="2" t="str">
        <f>IF(A628=0,IF(AND(LEN(B628)&gt;0,LEN(D628)=0),B628,IF(AND(LEN(D628)&gt;0,LEN(B628)=0),D628,"")),IF((VLOOKUP(A628,'[2]plan gier'!$X$1:$AF$65536,7,FALSE))="","",VLOOKUP(VLOOKUP(A628,'[2]plan gier'!$X$1:$AF$65536,7,FALSE),[2]zawodnicy!$A$1:$E$65536,1,FALSE)))</f>
        <v>J2970</v>
      </c>
      <c r="H628" s="2" t="str">
        <f>IF(A628=0,"",IF((VLOOKUP(A628,'[2]plan gier'!$X$1:$AF$65536,7,FALSE))="","",VLOOKUP(A628,'[2]plan gier'!$X$1:$AF$65536,9,FALSE)))</f>
        <v>21:6,21:14</v>
      </c>
      <c r="J628" s="103"/>
      <c r="L628" s="43" t="str">
        <f>IF(A628=0,"",IF(VLOOKUP(A628,'[2]plan gier'!A$1:S$65536,19,FALSE)="","",VLOOKUP(A628,'[2]plan gier'!A$1:S$65536,19,FALSE)))</f>
        <v>sob 16:30</v>
      </c>
      <c r="M628" s="2" t="str">
        <f>N625</f>
        <v>pojedyncza chłopców JM</v>
      </c>
      <c r="N628" s="95"/>
      <c r="O628" s="112"/>
      <c r="P628" s="106"/>
      <c r="T628" s="9"/>
      <c r="U628" s="113"/>
      <c r="V628" s="2"/>
      <c r="W628" s="2"/>
      <c r="X628" s="114"/>
      <c r="Y628" s="10"/>
      <c r="Z628" s="115">
        <v>214</v>
      </c>
      <c r="AA628" s="232" t="str">
        <f>IF(ISBLANK(Z628),IF(AND(LEN(X626)&gt;0,LEN(X630)=0),X626,IF(AND(LEN(X630)&gt;0,LEN(X626)=0),X630,"")),IF((VLOOKUP(Z628,'[2]plan gier'!$X$1:$AF$65536,7,FALSE))="","",VLOOKUP(VLOOKUP(Z628,'[2]plan gier'!$X$1:$AF$65536,7,FALSE),[2]zawodnicy!$A$1:$E$65536,3,FALSE)))</f>
        <v>JABŁOŃSKI</v>
      </c>
      <c r="AB628" s="232"/>
      <c r="AC628" s="232"/>
      <c r="AD628" s="2"/>
      <c r="AE628" s="2"/>
      <c r="AF628" s="2"/>
      <c r="AG628" s="2"/>
      <c r="BK628" s="19"/>
      <c r="BL628" s="20"/>
    </row>
    <row r="629" spans="1:64" ht="11.45" customHeight="1" x14ac:dyDescent="0.2">
      <c r="J629" s="103"/>
      <c r="N629" s="95"/>
      <c r="O629" s="112"/>
      <c r="P629" s="106"/>
      <c r="T629" s="9"/>
      <c r="U629" s="113"/>
      <c r="V629" s="2"/>
      <c r="W629" s="2"/>
      <c r="X629" s="114"/>
      <c r="Y629" s="10"/>
      <c r="Z629" s="116"/>
      <c r="AA629" s="237" t="str">
        <f>IF(ISBLANK(Z628),"",IF((VLOOKUP(Z628,'[2]plan gier'!$X$1:$AF$65536,7,FALSE))="",L628,VLOOKUP(Z628,'[2]plan gier'!$X$1:$AF$65536,9,FALSE)))</f>
        <v>21:6,21:14</v>
      </c>
      <c r="AB629" s="237"/>
      <c r="AC629" s="240"/>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row>
    <row r="630" spans="1:64" ht="11.45" customHeight="1" x14ac:dyDescent="0.2">
      <c r="A630" s="102">
        <f>W630</f>
        <v>197</v>
      </c>
      <c r="B630" s="2" t="str">
        <f>IF(TYPE(T630)=16,"",T630)</f>
        <v>K3867</v>
      </c>
      <c r="D630" s="2" t="str">
        <f>IF(TYPE(T631)=16,"",T631)</f>
        <v>X10</v>
      </c>
      <c r="F630" s="2" t="str">
        <f>IF(A630=0,IF(AND(LEN(B630)&gt;0,LEN(D630)=0),VLOOKUP(B630,[2]zawodnicy!$A$1:$E$65536,1,FALSE),IF(AND(LEN(D630)&gt;0,LEN(B630)=0),VLOOKUP(D630,[2]zawodnicy!$A$1:$E$65536,1,FALSE),"")),IF((VLOOKUP(A630,'[2]plan gier'!$X$1:$AF$65536,7,FALSE))="","",VLOOKUP(VLOOKUP(A630,'[2]plan gier'!$X$1:$AF$65536,7,FALSE),[2]zawodnicy!$A$1:$E$65536,1,FALSE)))</f>
        <v>K3867</v>
      </c>
      <c r="H630" s="2" t="str">
        <f>IF(A630=0,"",IF((VLOOKUP(A630,'[2]plan gier'!$X$1:$AF$65536,7,FALSE))="","",VLOOKUP(A630,'[2]plan gier'!$X$1:$AF$65536,9,FALSE)))</f>
        <v>18:21,21:19,21:19</v>
      </c>
      <c r="J630" s="103"/>
      <c r="L630" s="43" t="str">
        <f>IF(A630=0,"",IF(VLOOKUP(A630,'[2]plan gier'!A$1:S$65536,19,FALSE)="","",VLOOKUP(A630,'[2]plan gier'!A$1:S$65536,19,FALSE)))</f>
        <v>sob 15:00</v>
      </c>
      <c r="M630" s="2" t="str">
        <f>N625</f>
        <v>pojedyncza chłopców JM</v>
      </c>
      <c r="N630" s="104"/>
      <c r="O630" s="105">
        <f>IF(P630="","",MAX(O626:O629)+1)</f>
        <v>2</v>
      </c>
      <c r="P630" s="106">
        <f>IF(O624&gt;8,5,"")</f>
        <v>5</v>
      </c>
      <c r="Q630" s="5">
        <f>O630</f>
        <v>2</v>
      </c>
      <c r="T630" s="286" t="str">
        <f>UPPER(IF(O630="","",IF(ISTEXT(N630),N630,IF(AND(N624&gt;0,O630&gt;0),VLOOKUP(N624&amp;O630&amp;N625,I:J,2,FALSE),""))))</f>
        <v>K3867</v>
      </c>
      <c r="U630" s="287"/>
      <c r="V630" s="107" t="str">
        <f>IF(T630&lt;&gt;"",CONCATENATE(VLOOKUP(T630,[2]zawodnicy!$A$1:$E$65536,2,FALSE)," ",VLOOKUP(T630,[2]zawodnicy!$A$1:$E$65536,3,FALSE)," - ",VLOOKUP(T630,[2]zawodnicy!$A$1:$E$65536,4,FALSE)),"")</f>
        <v>Patryk KOPEĆ - MKS Stal Nowa Dęba</v>
      </c>
      <c r="W630" s="108">
        <v>197</v>
      </c>
      <c r="X630" s="231" t="str">
        <f>IF(ISBLANK(W630),IF(AND(LEN(T630)&gt;0,LEN(T631)=0),VLOOKUP(T630,[2]zawodnicy!$A$1:$E$65536,3,FALSE),IF(AND(LEN(T631)&gt;0,LEN(T630)=0),VLOOKUP(T631,[2]zawodnicy!$A$1:$E$65536,3,FALSE),"")),IF((VLOOKUP(W630,'[2]plan gier'!$X$1:$AF$65536,7,FALSE))="","",VLOOKUP(VLOOKUP(W630,'[2]plan gier'!$X$1:$AF$65536,7,FALSE),[2]zawodnicy!$A$1:$E$65536,3,FALSE)))</f>
        <v>KOPEĆ</v>
      </c>
      <c r="Y630" s="232"/>
      <c r="Z630" s="233"/>
      <c r="AA630" s="10"/>
      <c r="AB630" s="10"/>
      <c r="AC630" s="117"/>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row>
    <row r="631" spans="1:64" ht="11.45" customHeight="1" x14ac:dyDescent="0.2">
      <c r="J631" s="103"/>
      <c r="N631" s="104"/>
      <c r="O631" s="109">
        <f>IF(P631="","",MAX(O626:O630)+1)</f>
        <v>3</v>
      </c>
      <c r="P631" s="106">
        <f>IF(O624&gt;11,7,"")</f>
        <v>7</v>
      </c>
      <c r="Q631" s="5">
        <f>O631</f>
        <v>3</v>
      </c>
      <c r="T631" s="286" t="str">
        <f>UPPER(IF(O631="","",IF(ISTEXT(N631),N631,IF(AND(N624&gt;0,O631&gt;0),VLOOKUP(N624&amp;O631&amp;N625,I:J,2,FALSE),""))))</f>
        <v>X10</v>
      </c>
      <c r="U631" s="287"/>
      <c r="V631" s="107" t="str">
        <f>IF(T631&lt;&gt;"",CONCATENATE(VLOOKUP(T631,[2]zawodnicy!$A$1:$E$65536,2,FALSE)," ",VLOOKUP(T631,[2]zawodnicy!$A$1:$E$65536,3,FALSE)," - ",VLOOKUP(T631,[2]zawodnicy!$A$1:$E$65536,4,FALSE)),"")</f>
        <v>Dmitry KUSIMITSKI - Brześć Białoruś</v>
      </c>
      <c r="W631" s="110"/>
      <c r="X631" s="228" t="str">
        <f>IF(ISBLANK(W630),"",IF((VLOOKUP(W630,'[2]plan gier'!$X$1:$AF$65536,7,FALSE))="",L630,VLOOKUP(W630,'[2]plan gier'!$X$1:$AF$65536,9,FALSE)))</f>
        <v>18:21,21:19,21:19</v>
      </c>
      <c r="Y631" s="229"/>
      <c r="Z631" s="229"/>
      <c r="AA631" s="10"/>
      <c r="AB631" s="10"/>
      <c r="AC631" s="117"/>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row>
    <row r="632" spans="1:64" ht="11.45" customHeight="1" x14ac:dyDescent="0.2">
      <c r="A632" s="118">
        <f>AC632</f>
        <v>233</v>
      </c>
      <c r="B632" s="2" t="str">
        <f>F628</f>
        <v>J2970</v>
      </c>
      <c r="D632" s="2" t="str">
        <f>F636</f>
        <v>X56</v>
      </c>
      <c r="F632" s="2" t="str">
        <f>IF(A632=0,IF(AND(LEN(B632)&gt;0,LEN(D632)=0),B632,IF(AND(LEN(D632)&gt;0,LEN(B632)=0),D632,"")),IF((VLOOKUP(A632,'[2]plan gier'!$X$1:$AF$65536,7,FALSE))="","",VLOOKUP(VLOOKUP(A632,'[2]plan gier'!$X$1:$AF$65536,7,FALSE),[2]zawodnicy!$A$1:$E$65536,1,FALSE)))</f>
        <v>X56</v>
      </c>
      <c r="H632" s="2" t="str">
        <f>IF(A632=0,"",IF((VLOOKUP(A632,'[2]plan gier'!$X$1:$AF$65536,7,FALSE))="","",VLOOKUP(A632,'[2]plan gier'!$X$1:$AF$65536,9,FALSE)))</f>
        <v>21:19,11:21,21:11</v>
      </c>
      <c r="J632" s="103"/>
      <c r="L632" s="43" t="str">
        <f>IF(A632=0,"",IF(VLOOKUP(A632,'[2]plan gier'!A$1:S$65536,19,FALSE)="","",VLOOKUP(A632,'[2]plan gier'!A$1:S$65536,19,FALSE)))</f>
        <v>sob 18:30</v>
      </c>
      <c r="M632" s="2" t="str">
        <f>N625</f>
        <v>pojedyncza chłopców JM</v>
      </c>
      <c r="N632" s="95"/>
      <c r="O632" s="112"/>
      <c r="P632" s="106"/>
      <c r="T632" s="9"/>
      <c r="U632" s="113"/>
      <c r="V632" s="114"/>
      <c r="W632" s="2"/>
      <c r="X632" s="10"/>
      <c r="Y632" s="2"/>
      <c r="Z632" s="2"/>
      <c r="AA632" s="10"/>
      <c r="AB632" s="10"/>
      <c r="AC632" s="115">
        <v>233</v>
      </c>
      <c r="AD632" s="232" t="str">
        <f>IF(ISBLANK(AC632),IF(AND(LEN(AA628)&gt;0,LEN(AA636)=0),AA628,IF(AND(LEN(AA636)&gt;0,LEN(AA628)=0),AA636,"")),IF((VLOOKUP(AC632,'[2]plan gier'!$X$1:$AF$65536,7,FALSE))="","",VLOOKUP(VLOOKUP(AC632,'[2]plan gier'!$X$1:$AF$65536,7,FALSE),[2]zawodnicy!$A$1:$E$65536,3,FALSE)))</f>
        <v>TKACHUK</v>
      </c>
      <c r="AE632" s="232"/>
      <c r="AF632" s="23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row>
    <row r="633" spans="1:64" ht="11.45" customHeight="1" x14ac:dyDescent="0.2">
      <c r="J633" s="103"/>
      <c r="N633" s="95"/>
      <c r="O633" s="112"/>
      <c r="P633" s="106"/>
      <c r="T633" s="9"/>
      <c r="U633" s="113"/>
      <c r="V633" s="114"/>
      <c r="W633" s="2"/>
      <c r="X633" s="10"/>
      <c r="Y633" s="2"/>
      <c r="Z633" s="2"/>
      <c r="AA633" s="10"/>
      <c r="AB633" s="10"/>
      <c r="AC633" s="116"/>
      <c r="AD633" s="237" t="str">
        <f>IF(ISBLANK(AC632),"",IF((VLOOKUP(AC632,'[2]plan gier'!$X$1:$AF$65536,7,FALSE))="",L632,VLOOKUP(AC632,'[2]plan gier'!$X$1:$AF$65536,9,FALSE)))</f>
        <v>21:19,11:21,21:11</v>
      </c>
      <c r="AE633" s="237"/>
      <c r="AF633" s="240"/>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row>
    <row r="634" spans="1:64" ht="11.45" customHeight="1" x14ac:dyDescent="0.2">
      <c r="A634" s="102">
        <f>W634</f>
        <v>0</v>
      </c>
      <c r="B634" s="2" t="str">
        <f>IF(TYPE(T634)=16,"",T634)</f>
        <v>X56</v>
      </c>
      <c r="D634" s="2" t="str">
        <f>IF(TYPE(T635)=16,"",T635)</f>
        <v/>
      </c>
      <c r="F634" s="2" t="str">
        <f>IF(A634=0,IF(AND(LEN(B634)&gt;0,LEN(D634)=0),VLOOKUP(B634,[2]zawodnicy!$A$1:$E$65536,1,FALSE),IF(AND(LEN(D634)&gt;0,LEN(B634)=0),VLOOKUP(D634,[2]zawodnicy!$A$1:$E$65536,1,FALSE),"")),IF((VLOOKUP(A634,'[2]plan gier'!$X$1:$AF$65536,7,FALSE))="","",VLOOKUP(VLOOKUP(A634,'[2]plan gier'!$X$1:$AF$65536,7,FALSE),[2]zawodnicy!$A$1:$E$65536,1,FALSE)))</f>
        <v>X56</v>
      </c>
      <c r="H634" s="2" t="str">
        <f>IF(A634=0,"",IF((VLOOKUP(A634,'[2]plan gier'!$X$1:$AF$65536,7,FALSE))="","",VLOOKUP(A634,'[2]plan gier'!$X$1:$AF$65536,9,FALSE)))</f>
        <v/>
      </c>
      <c r="J634" s="103"/>
      <c r="L634" s="43" t="str">
        <f>IF(A634=0,"",IF(VLOOKUP(A634,'[2]plan gier'!A$1:S$65536,19,FALSE)="","",VLOOKUP(A634,'[2]plan gier'!A$1:S$65536,19,FALSE)))</f>
        <v/>
      </c>
      <c r="M634" s="2" t="str">
        <f>N625</f>
        <v>pojedyncza chłopców JM</v>
      </c>
      <c r="N634" s="104"/>
      <c r="O634" s="105">
        <f>IF(P634="","",MAX(O626:O633)+1)</f>
        <v>4</v>
      </c>
      <c r="P634" s="106">
        <f>IF(O624&gt;8,9,"")</f>
        <v>9</v>
      </c>
      <c r="Q634" s="5">
        <f>O634</f>
        <v>4</v>
      </c>
      <c r="T634" s="286" t="str">
        <f>UPPER(IF(O634="","",IF(ISTEXT(N634),N634,IF(AND(N624&gt;0,O634&gt;0),VLOOKUP(N624&amp;O634&amp;N625,I:J,2,FALSE),""))))</f>
        <v>X56</v>
      </c>
      <c r="U634" s="287"/>
      <c r="V634" s="107" t="str">
        <f>IF(T634&lt;&gt;"",CONCATENATE(VLOOKUP(T634,[2]zawodnicy!$A$1:$E$65536,2,FALSE)," ",VLOOKUP(T634,[2]zawodnicy!$A$1:$E$65536,3,FALSE)," - ",VLOOKUP(T634,[2]zawodnicy!$A$1:$E$65536,4,FALSE)),"")</f>
        <v>Artem TKACHUK - Vinnica Ukraina</v>
      </c>
      <c r="W634" s="108"/>
      <c r="X634" s="231" t="str">
        <f>IF(ISBLANK(W634),IF(AND(LEN(T634)&gt;0,LEN(T635)=0),VLOOKUP(T634,[2]zawodnicy!$A$1:$E$65536,3,FALSE),IF(AND(LEN(T635)&gt;0,LEN(T634)=0),VLOOKUP(T635,[2]zawodnicy!$A$1:$E$65536,3,FALSE),"")),IF((VLOOKUP(W634,'[2]plan gier'!$X$1:$AF$65536,7,FALSE))="","",VLOOKUP(VLOOKUP(W634,'[2]plan gier'!$X$1:$AF$65536,7,FALSE),[2]zawodnicy!$A$1:$E$65536,3,FALSE)))</f>
        <v>TKACHUK</v>
      </c>
      <c r="Y634" s="232"/>
      <c r="Z634" s="232"/>
      <c r="AA634" s="10"/>
      <c r="AB634" s="10"/>
      <c r="AC634" s="117"/>
      <c r="AD634" s="10"/>
      <c r="AE634" s="10"/>
      <c r="AF634" s="117"/>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row>
    <row r="635" spans="1:64" ht="11.45" customHeight="1" x14ac:dyDescent="0.2">
      <c r="J635" s="103"/>
      <c r="N635" s="104"/>
      <c r="O635" s="109" t="str">
        <f>IF(P635="","",MAX(O626:O634)+1)</f>
        <v/>
      </c>
      <c r="P635" s="106" t="str">
        <f>IF(O624&gt;13,11,"")</f>
        <v/>
      </c>
      <c r="Q635" s="5" t="str">
        <f>O635</f>
        <v/>
      </c>
      <c r="T635" s="286" t="str">
        <f>UPPER(IF(O635="","",IF(ISTEXT(N635),N635,IF(AND(N624&gt;0,O635&gt;0),VLOOKUP(N624&amp;O635&amp;N625,I:J,2,FALSE),""))))</f>
        <v/>
      </c>
      <c r="U635" s="287"/>
      <c r="V635" s="107" t="str">
        <f>IF(T635&lt;&gt;"",CONCATENATE(VLOOKUP(T635,[2]zawodnicy!$A$1:$E$65536,2,FALSE)," ",VLOOKUP(T635,[2]zawodnicy!$A$1:$E$65536,3,FALSE)," - ",VLOOKUP(T635,[2]zawodnicy!$A$1:$E$65536,4,FALSE)),"")</f>
        <v/>
      </c>
      <c r="W635" s="110"/>
      <c r="X635" s="236" t="str">
        <f>IF(ISBLANK(W634),"",IF((VLOOKUP(W634,'[2]plan gier'!$X$1:$AF$65536,7,FALSE))="",L634,VLOOKUP(W634,'[2]plan gier'!$X$1:$AF$65536,9,FALSE)))</f>
        <v/>
      </c>
      <c r="Y635" s="237"/>
      <c r="Z635" s="240"/>
      <c r="AA635" s="10"/>
      <c r="AB635" s="10"/>
      <c r="AC635" s="117"/>
      <c r="AD635" s="10"/>
      <c r="AE635" s="10"/>
      <c r="AF635" s="117"/>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row>
    <row r="636" spans="1:64" ht="11.45" customHeight="1" x14ac:dyDescent="0.2">
      <c r="A636" s="111">
        <f>Z636</f>
        <v>215</v>
      </c>
      <c r="B636" s="2" t="str">
        <f>F634</f>
        <v>X56</v>
      </c>
      <c r="D636" s="2" t="str">
        <f>F638</f>
        <v>X39</v>
      </c>
      <c r="F636" s="2" t="str">
        <f>IF(A636=0,IF(AND(LEN(B636)&gt;0,LEN(D636)=0),B636,IF(AND(LEN(D636)&gt;0,LEN(B636)=0),D636,"")),IF((VLOOKUP(A636,'[2]plan gier'!$X$1:$AF$65536,7,FALSE))="","",VLOOKUP(VLOOKUP(A636,'[2]plan gier'!$X$1:$AF$65536,7,FALSE),[2]zawodnicy!$A$1:$E$65536,1,FALSE)))</f>
        <v>X56</v>
      </c>
      <c r="H636" s="2" t="str">
        <f>IF(A636=0,"",IF((VLOOKUP(A636,'[2]plan gier'!$X$1:$AF$65536,7,FALSE))="","",VLOOKUP(A636,'[2]plan gier'!$X$1:$AF$65536,9,FALSE)))</f>
        <v>16:21,21:19,21:17</v>
      </c>
      <c r="J636" s="103"/>
      <c r="L636" s="43" t="str">
        <f>IF(A636=0,"",IF(VLOOKUP(A636,'[2]plan gier'!A$1:S$65536,19,FALSE)="","",VLOOKUP(A636,'[2]plan gier'!A$1:S$65536,19,FALSE)))</f>
        <v>sob 16:30</v>
      </c>
      <c r="M636" s="2" t="str">
        <f>N625</f>
        <v>pojedyncza chłopców JM</v>
      </c>
      <c r="N636" s="95"/>
      <c r="O636" s="112"/>
      <c r="P636" s="106"/>
      <c r="T636" s="9"/>
      <c r="U636" s="113"/>
      <c r="V636" s="2"/>
      <c r="W636" s="2"/>
      <c r="X636" s="114"/>
      <c r="Y636" s="10"/>
      <c r="Z636" s="115">
        <v>215</v>
      </c>
      <c r="AA636" s="232" t="str">
        <f>IF(ISBLANK(Z636),IF(AND(LEN(X634)&gt;0,LEN(X638)=0),X634,IF(AND(LEN(X638)&gt;0,LEN(X634)=0),X638,"")),IF((VLOOKUP(Z636,'[2]plan gier'!$X$1:$AF$65536,7,FALSE))="","",VLOOKUP(VLOOKUP(Z636,'[2]plan gier'!$X$1:$AF$65536,7,FALSE),[2]zawodnicy!$A$1:$E$65536,3,FALSE)))</f>
        <v>TKACHUK</v>
      </c>
      <c r="AB636" s="232"/>
      <c r="AC636" s="233"/>
      <c r="AD636" s="10"/>
      <c r="AE636" s="10"/>
      <c r="AF636" s="117"/>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row>
    <row r="637" spans="1:64" ht="11.45" customHeight="1" x14ac:dyDescent="0.2">
      <c r="J637" s="103"/>
      <c r="N637" s="95"/>
      <c r="O637" s="112"/>
      <c r="P637" s="106"/>
      <c r="T637" s="9"/>
      <c r="U637" s="113"/>
      <c r="V637" s="2"/>
      <c r="W637" s="2"/>
      <c r="X637" s="114"/>
      <c r="Y637" s="10"/>
      <c r="Z637" s="116"/>
      <c r="AA637" s="229" t="str">
        <f>IF(ISBLANK(Z636),"",IF((VLOOKUP(Z636,'[2]plan gier'!$X$1:$AF$65536,7,FALSE))="",L636,VLOOKUP(Z636,'[2]plan gier'!$X$1:$AF$65536,9,FALSE)))</f>
        <v>16:21,21:19,21:17</v>
      </c>
      <c r="AB637" s="229"/>
      <c r="AC637" s="229"/>
      <c r="AD637" s="10"/>
      <c r="AE637" s="10"/>
      <c r="AF637" s="117"/>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row>
    <row r="638" spans="1:64" ht="11.45" customHeight="1" x14ac:dyDescent="0.2">
      <c r="A638" s="102">
        <f>W638</f>
        <v>198</v>
      </c>
      <c r="B638" s="2" t="str">
        <f>IF(TYPE(T638)=16,"",T638)</f>
        <v>X39</v>
      </c>
      <c r="D638" s="2" t="str">
        <f>IF(TYPE(T639)=16,"",T639)</f>
        <v>J3436</v>
      </c>
      <c r="F638" s="2" t="str">
        <f>IF(A638=0,IF(AND(LEN(B638)&gt;0,LEN(D638)=0),VLOOKUP(B638,[2]zawodnicy!$A$1:$E$65536,1,FALSE),IF(AND(LEN(D638)&gt;0,LEN(B638)=0),VLOOKUP(D638,[2]zawodnicy!$A$1:$E$65536,1,FALSE),"")),IF((VLOOKUP(A638,'[2]plan gier'!$X$1:$AF$65536,7,FALSE))="","",VLOOKUP(VLOOKUP(A638,'[2]plan gier'!$X$1:$AF$65536,7,FALSE),[2]zawodnicy!$A$1:$E$65536,1,FALSE)))</f>
        <v>X39</v>
      </c>
      <c r="H638" s="2" t="str">
        <f>IF(A638=0,"",IF((VLOOKUP(A638,'[2]plan gier'!$X$1:$AF$65536,7,FALSE))="","",VLOOKUP(A638,'[2]plan gier'!$X$1:$AF$65536,9,FALSE)))</f>
        <v>21:19,13:21,21:12</v>
      </c>
      <c r="J638" s="103"/>
      <c r="L638" s="43" t="str">
        <f>IF(A638=0,"",IF(VLOOKUP(A638,'[2]plan gier'!A$1:S$65536,19,FALSE)="","",VLOOKUP(A638,'[2]plan gier'!A$1:S$65536,19,FALSE)))</f>
        <v>sob 15:00</v>
      </c>
      <c r="M638" s="2" t="str">
        <f>N625</f>
        <v>pojedyncza chłopców JM</v>
      </c>
      <c r="N638" s="104"/>
      <c r="O638" s="105">
        <f>IF(P638="","",MAX(O626:O637)+1)</f>
        <v>5</v>
      </c>
      <c r="P638" s="106">
        <f>IF(O624&gt;8,13,"")</f>
        <v>13</v>
      </c>
      <c r="Q638" s="5">
        <f>O638</f>
        <v>5</v>
      </c>
      <c r="T638" s="286" t="str">
        <f>UPPER(IF(O638="","",IF(ISTEXT(N638),N638,IF(AND(N624&gt;0,O638&gt;0),VLOOKUP(N624&amp;O638&amp;N625,I:J,2,FALSE),""))))</f>
        <v>X39</v>
      </c>
      <c r="U638" s="287"/>
      <c r="V638" s="107" t="str">
        <f>IF(T638&lt;&gt;"",CONCATENATE(VLOOKUP(T638,[2]zawodnicy!$A$1:$E$65536,2,FALSE)," ",VLOOKUP(T638,[2]zawodnicy!$A$1:$E$65536,3,FALSE)," - ",VLOOKUP(T638,[2]zawodnicy!$A$1:$E$65536,4,FALSE)),"")</f>
        <v>Adam Šářec  - Slavoj Cesky Tesin</v>
      </c>
      <c r="W638" s="108">
        <v>198</v>
      </c>
      <c r="X638" s="231" t="str">
        <f>IF(ISBLANK(W638),IF(AND(LEN(T638)&gt;0,LEN(T639)=0),VLOOKUP(T638,[2]zawodnicy!$A$1:$E$65536,3,FALSE),IF(AND(LEN(T639)&gt;0,LEN(T638)=0),VLOOKUP(T639,[2]zawodnicy!$A$1:$E$65536,3,FALSE),"")),IF((VLOOKUP(W638,'[2]plan gier'!$X$1:$AF$65536,7,FALSE))="","",VLOOKUP(VLOOKUP(W638,'[2]plan gier'!$X$1:$AF$65536,7,FALSE),[2]zawodnicy!$A$1:$E$65536,3,FALSE)))</f>
        <v xml:space="preserve">Šářec </v>
      </c>
      <c r="Y638" s="232"/>
      <c r="Z638" s="233"/>
      <c r="AA638" s="2"/>
      <c r="AB638" s="2"/>
      <c r="AC638" s="2"/>
      <c r="AD638" s="229"/>
      <c r="AE638" s="229"/>
      <c r="AF638" s="230"/>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row>
    <row r="639" spans="1:64" ht="11.45" customHeight="1" x14ac:dyDescent="0.2">
      <c r="J639" s="103"/>
      <c r="N639" s="104"/>
      <c r="O639" s="109">
        <f>IF(P639="","",MAX(O626:O638)+1)</f>
        <v>6</v>
      </c>
      <c r="P639" s="106">
        <f>IF(O624&gt;9,15,"")</f>
        <v>15</v>
      </c>
      <c r="Q639" s="5">
        <f>O639</f>
        <v>6</v>
      </c>
      <c r="T639" s="286" t="str">
        <f>UPPER(IF(O639="","",IF(ISTEXT(N639),N639,IF(AND(N624&gt;0,O639&gt;0),VLOOKUP(N624&amp;O639&amp;N625,I:J,2,FALSE),""))))</f>
        <v>J3436</v>
      </c>
      <c r="U639" s="287"/>
      <c r="V639" s="107" t="str">
        <f>IF(T639&lt;&gt;"",CONCATENATE(VLOOKUP(T639,[2]zawodnicy!$A$1:$E$65536,2,FALSE)," ",VLOOKUP(T639,[2]zawodnicy!$A$1:$E$65536,3,FALSE)," - ",VLOOKUP(T639,[2]zawodnicy!$A$1:$E$65536,4,FALSE)),"")</f>
        <v>Patryk JAS - UKS Kometa Sianów</v>
      </c>
      <c r="W639" s="110"/>
      <c r="X639" s="228" t="str">
        <f>IF(ISBLANK(W638),"",IF((VLOOKUP(W638,'[2]plan gier'!$X$1:$AF$65536,7,FALSE))="",L638,VLOOKUP(W638,'[2]plan gier'!$X$1:$AF$65536,9,FALSE)))</f>
        <v>21:19,13:21,21:12</v>
      </c>
      <c r="Y639" s="229"/>
      <c r="Z639" s="229"/>
      <c r="AA639" s="2"/>
      <c r="AB639" s="2"/>
      <c r="AC639" s="2"/>
      <c r="AD639" s="10"/>
      <c r="AE639" s="10"/>
      <c r="AF639" s="117"/>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row>
    <row r="640" spans="1:64" ht="11.45" customHeight="1" x14ac:dyDescent="0.2">
      <c r="A640" s="172">
        <f>AC640</f>
        <v>244</v>
      </c>
      <c r="B640" s="2" t="str">
        <f>F632</f>
        <v>X56</v>
      </c>
      <c r="D640" s="2" t="str">
        <f>F648</f>
        <v>D3323</v>
      </c>
      <c r="F640" s="2" t="str">
        <f>IF(A640=0,IF(AND(LEN(B640)&gt;0,LEN(D640)=0),B640,IF(AND(LEN(D640)&gt;0,LEN(B640)=0),D640,"")),IF((VLOOKUP(A640,'[2]plan gier'!$X$1:$AF$65536,7,FALSE))="","",VLOOKUP(VLOOKUP(A640,'[2]plan gier'!$X$1:$AF$65536,7,FALSE),[2]zawodnicy!$A$1:$E$65536,1,FALSE)))</f>
        <v>X56</v>
      </c>
      <c r="H640" s="2" t="str">
        <f>IF(A640=0,"",IF((VLOOKUP(A640,'[2]plan gier'!$X$1:$AF$65536,7,FALSE))="","",VLOOKUP(A640,'[2]plan gier'!$X$1:$AF$65536,9,FALSE)))</f>
        <v>21:11,18:21,21:11</v>
      </c>
      <c r="J640" s="103"/>
      <c r="L640" s="43" t="str">
        <f>IF(A640=0,"",IF(VLOOKUP(A640,'[2]plan gier'!A$1:S$65536,19,FALSE)="","",VLOOKUP(A640,'[2]plan gier'!A$1:S$65536,19,FALSE)))</f>
        <v>nie 12:30</v>
      </c>
      <c r="M640" s="2" t="str">
        <f>N625</f>
        <v>pojedyncza chłopców JM</v>
      </c>
      <c r="N640" s="95"/>
      <c r="O640" s="112"/>
      <c r="P640" s="106"/>
      <c r="T640" s="9"/>
      <c r="U640" s="113"/>
      <c r="V640" s="114"/>
      <c r="W640" s="2"/>
      <c r="X640" s="10"/>
      <c r="Y640" s="2"/>
      <c r="Z640" s="2"/>
      <c r="AA640" s="2"/>
      <c r="AB640" s="2"/>
      <c r="AC640" s="137">
        <v>244</v>
      </c>
      <c r="AD640" s="232" t="str">
        <f>IF(ISBLANK(AC640),IF(AND(LEN(AD632)&gt;0,LEN(AD648)=0),AD632,IF(AND(LEN(AD648)&gt;0,LEN(AD632)=0),AD648,"")),IF((VLOOKUP(AC640,'[2]plan gier'!$X$1:$AF$65536,7,FALSE))="","",VLOOKUP(VLOOKUP(AC640,'[2]plan gier'!$X$1:$AF$65536,7,FALSE),[2]zawodnicy!$A$1:$E$65536,3,FALSE)))</f>
        <v>TKACHUK</v>
      </c>
      <c r="AE640" s="232"/>
      <c r="AF640" s="233"/>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row>
    <row r="641" spans="1:63" ht="11.45" customHeight="1" x14ac:dyDescent="0.2">
      <c r="J641" s="103"/>
      <c r="N641" s="95"/>
      <c r="O641" s="112"/>
      <c r="P641" s="106"/>
      <c r="T641" s="9"/>
      <c r="U641" s="113"/>
      <c r="V641" s="114"/>
      <c r="W641" s="2"/>
      <c r="X641" s="10"/>
      <c r="Y641" s="2"/>
      <c r="Z641" s="2"/>
      <c r="AA641" s="2"/>
      <c r="AB641" s="2"/>
      <c r="AC641" s="2"/>
      <c r="AD641" s="229" t="str">
        <f>IF(ISBLANK(AC640),"",IF((VLOOKUP(AC640,'[2]plan gier'!$X$1:$AF$65536,7,FALSE))="",L640,VLOOKUP(AC640,'[2]plan gier'!$X$1:$AF$65536,9,FALSE)))</f>
        <v>21:11,18:21,21:11</v>
      </c>
      <c r="AE641" s="229"/>
      <c r="AF641" s="230"/>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row>
    <row r="642" spans="1:63" ht="11.45" customHeight="1" x14ac:dyDescent="0.2">
      <c r="A642" s="102">
        <f>W642</f>
        <v>199</v>
      </c>
      <c r="B642" s="2" t="str">
        <f>IF(TYPE(T642)=16,"",T642)</f>
        <v>B4079</v>
      </c>
      <c r="D642" s="2" t="str">
        <f>IF(TYPE(T643)=16,"",T643)</f>
        <v>M4193</v>
      </c>
      <c r="F642" s="2" t="str">
        <f>IF(A642=0,IF(AND(LEN(B642)&gt;0,LEN(D642)=0),VLOOKUP(B642,[2]zawodnicy!$A$1:$E$65536,1,FALSE),IF(AND(LEN(D642)&gt;0,LEN(B642)=0),VLOOKUP(D642,[2]zawodnicy!$A$1:$E$65536,1,FALSE),"")),IF((VLOOKUP(A642,'[2]plan gier'!$X$1:$AF$65536,7,FALSE))="","",VLOOKUP(VLOOKUP(A642,'[2]plan gier'!$X$1:$AF$65536,7,FALSE),[2]zawodnicy!$A$1:$E$65536,1,FALSE)))</f>
        <v>M4193</v>
      </c>
      <c r="H642" s="2" t="str">
        <f>IF(A642=0,"",IF((VLOOKUP(A642,'[2]plan gier'!$X$1:$AF$65536,7,FALSE))="","",VLOOKUP(A642,'[2]plan gier'!$X$1:$AF$65536,9,FALSE)))</f>
        <v>21:12,21:6</v>
      </c>
      <c r="J642" s="103"/>
      <c r="L642" s="43" t="str">
        <f>IF(A642=0,"",IF(VLOOKUP(A642,'[2]plan gier'!A$1:S$65536,19,FALSE)="","",VLOOKUP(A642,'[2]plan gier'!A$1:S$65536,19,FALSE)))</f>
        <v>sob 15:00</v>
      </c>
      <c r="M642" s="2" t="str">
        <f>N625</f>
        <v>pojedyncza chłopców JM</v>
      </c>
      <c r="N642" s="104"/>
      <c r="O642" s="105">
        <f>IF(P642="","",MAX(O626:O641)+1)</f>
        <v>7</v>
      </c>
      <c r="P642" s="106">
        <f>IF(O624&gt;8,18,"")</f>
        <v>18</v>
      </c>
      <c r="Q642" s="5">
        <f>O642</f>
        <v>7</v>
      </c>
      <c r="T642" s="286" t="str">
        <f>UPPER(IF(O642="","",IF(ISTEXT(N642),N642,IF(AND(N624&gt;0,O642&gt;0),VLOOKUP(N624&amp;O642&amp;N625,I:J,2,FALSE),""))))</f>
        <v>B4079</v>
      </c>
      <c r="U642" s="287"/>
      <c r="V642" s="107" t="str">
        <f>IF(T642&lt;&gt;"",CONCATENATE(VLOOKUP(T642,[2]zawodnicy!$A$1:$E$65536,2,FALSE)," ",VLOOKUP(T642,[2]zawodnicy!$A$1:$E$65536,3,FALSE)," - ",VLOOKUP(T642,[2]zawodnicy!$A$1:$E$65536,4,FALSE)),"")</f>
        <v>Kamil BARTKIEWICZ - UKS Ząbkowice Dąbrowa Górn.</v>
      </c>
      <c r="W642" s="108">
        <v>199</v>
      </c>
      <c r="X642" s="231" t="str">
        <f>IF(ISBLANK(W642),IF(AND(LEN(T642)&gt;0,LEN(T643)=0),VLOOKUP(T642,[2]zawodnicy!$A$1:$E$65536,3,FALSE),IF(AND(LEN(T643)&gt;0,LEN(T642)=0),VLOOKUP(T643,[2]zawodnicy!$A$1:$E$65536,3,FALSE),"")),IF((VLOOKUP(W642,'[2]plan gier'!$X$1:$AF$65536,7,FALSE))="","",VLOOKUP(VLOOKUP(W642,'[2]plan gier'!$X$1:$AF$65536,7,FALSE),[2]zawodnicy!$A$1:$E$65536,3,FALSE)))</f>
        <v>MIRGA</v>
      </c>
      <c r="Y642" s="232"/>
      <c r="Z642" s="232"/>
      <c r="AA642" s="2"/>
      <c r="AB642" s="2"/>
      <c r="AC642" s="2"/>
      <c r="AD642" s="10"/>
      <c r="AE642" s="10"/>
      <c r="AF642" s="117"/>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row>
    <row r="643" spans="1:63" ht="11.45" customHeight="1" x14ac:dyDescent="0.2">
      <c r="J643" s="103"/>
      <c r="N643" s="104"/>
      <c r="O643" s="109">
        <f>IF(P643="","",MAX(O626:O642)+1)</f>
        <v>8</v>
      </c>
      <c r="P643" s="106">
        <f>IF(O624&gt;8,20,"")</f>
        <v>20</v>
      </c>
      <c r="Q643" s="5">
        <f>O643</f>
        <v>8</v>
      </c>
      <c r="T643" s="286" t="str">
        <f>UPPER(IF(O643="","",IF(ISTEXT(N643),N643,IF(AND(N624&gt;0,O643&gt;0),VLOOKUP(N624&amp;O643&amp;N625,I:J,2,FALSE),""))))</f>
        <v>M4193</v>
      </c>
      <c r="U643" s="287"/>
      <c r="V643" s="107" t="str">
        <f>IF(T643&lt;&gt;"",CONCATENATE(VLOOKUP(T643,[2]zawodnicy!$A$1:$E$65536,2,FALSE)," ",VLOOKUP(T643,[2]zawodnicy!$A$1:$E$65536,3,FALSE)," - ",VLOOKUP(T643,[2]zawodnicy!$A$1:$E$65536,4,FALSE)),"")</f>
        <v>Robert MIRGA - LKS Technik Głubczyce</v>
      </c>
      <c r="W643" s="110"/>
      <c r="X643" s="236" t="str">
        <f>IF(ISBLANK(W642),"",IF((VLOOKUP(W642,'[2]plan gier'!$X$1:$AF$65536,7,FALSE))="",L642,VLOOKUP(W642,'[2]plan gier'!$X$1:$AF$65536,9,FALSE)))</f>
        <v>21:12,21:6</v>
      </c>
      <c r="Y643" s="237"/>
      <c r="Z643" s="240"/>
      <c r="AA643" s="2"/>
      <c r="AB643" s="2"/>
      <c r="AC643" s="2"/>
      <c r="AD643" s="10"/>
      <c r="AE643" s="10"/>
      <c r="AF643" s="117"/>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row>
    <row r="644" spans="1:63" ht="11.45" customHeight="1" x14ac:dyDescent="0.2">
      <c r="A644" s="111">
        <f>Z644</f>
        <v>216</v>
      </c>
      <c r="B644" s="2" t="str">
        <f>F642</f>
        <v>M4193</v>
      </c>
      <c r="D644" s="2" t="str">
        <f>F646</f>
        <v>D3323</v>
      </c>
      <c r="F644" s="2" t="str">
        <f>IF(A644=0,IF(AND(LEN(B644)&gt;0,LEN(D644)=0),B644,IF(AND(LEN(D644)&gt;0,LEN(B644)=0),D644,"")),IF((VLOOKUP(A644,'[2]plan gier'!$X$1:$AF$65536,7,FALSE))="","",VLOOKUP(VLOOKUP(A644,'[2]plan gier'!$X$1:$AF$65536,7,FALSE),[2]zawodnicy!$A$1:$E$65536,1,FALSE)))</f>
        <v>D3323</v>
      </c>
      <c r="H644" s="2" t="str">
        <f>IF(A644=0,"",IF((VLOOKUP(A644,'[2]plan gier'!$X$1:$AF$65536,7,FALSE))="","",VLOOKUP(A644,'[2]plan gier'!$X$1:$AF$65536,9,FALSE)))</f>
        <v>21:16,21:18</v>
      </c>
      <c r="J644" s="103"/>
      <c r="L644" s="43" t="str">
        <f>IF(A644=0,"",IF(VLOOKUP(A644,'[2]plan gier'!A$1:S$65536,19,FALSE)="","",VLOOKUP(A644,'[2]plan gier'!A$1:S$65536,19,FALSE)))</f>
        <v>sob 16:30</v>
      </c>
      <c r="M644" s="2" t="str">
        <f>N625</f>
        <v>pojedyncza chłopców JM</v>
      </c>
      <c r="N644" s="95"/>
      <c r="O644" s="112"/>
      <c r="P644" s="106"/>
      <c r="T644" s="9"/>
      <c r="U644" s="113"/>
      <c r="V644" s="2"/>
      <c r="W644" s="2"/>
      <c r="X644" s="114"/>
      <c r="Y644" s="10"/>
      <c r="Z644" s="115">
        <v>216</v>
      </c>
      <c r="AA644" s="229" t="str">
        <f>IF(ISBLANK(Z644),IF(AND(LEN(X642)&gt;0,LEN(X646)=0),X642,IF(AND(LEN(X646)&gt;0,LEN(X642)=0),X646,"")),IF((VLOOKUP(Z644,'[2]plan gier'!$X$1:$AF$65536,7,FALSE))="","",VLOOKUP(VLOOKUP(Z644,'[2]plan gier'!$X$1:$AF$65536,7,FALSE),[2]zawodnicy!$A$1:$E$65536,3,FALSE)))</f>
        <v>DANIELAK</v>
      </c>
      <c r="AB644" s="229"/>
      <c r="AC644" s="229"/>
      <c r="AD644" s="10"/>
      <c r="AE644" s="10"/>
      <c r="AF644" s="117"/>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row>
    <row r="645" spans="1:63" ht="11.45" customHeight="1" x14ac:dyDescent="0.2">
      <c r="J645" s="103"/>
      <c r="N645" s="95"/>
      <c r="O645" s="112"/>
      <c r="P645" s="106"/>
      <c r="T645" s="9"/>
      <c r="U645" s="113"/>
      <c r="V645" s="2"/>
      <c r="W645" s="2"/>
      <c r="X645" s="114"/>
      <c r="Y645" s="10"/>
      <c r="Z645" s="116"/>
      <c r="AA645" s="237" t="str">
        <f>IF(ISBLANK(Z644),"",IF((VLOOKUP(Z644,'[2]plan gier'!$X$1:$AF$65536,7,FALSE))="",L644,VLOOKUP(Z644,'[2]plan gier'!$X$1:$AF$65536,9,FALSE)))</f>
        <v>21:16,21:18</v>
      </c>
      <c r="AB645" s="237"/>
      <c r="AC645" s="240"/>
      <c r="AD645" s="10"/>
      <c r="AE645" s="10"/>
      <c r="AF645" s="117"/>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row>
    <row r="646" spans="1:63" ht="11.45" customHeight="1" x14ac:dyDescent="0.2">
      <c r="A646" s="102">
        <f>W646</f>
        <v>0</v>
      </c>
      <c r="B646" s="2" t="str">
        <f>IF(TYPE(T646)=16,"",T646)</f>
        <v/>
      </c>
      <c r="D646" s="2" t="str">
        <f>IF(TYPE(T647)=16,"",T647)</f>
        <v>D3323</v>
      </c>
      <c r="F646" s="2" t="str">
        <f>IF(A646=0,IF(AND(LEN(B646)&gt;0,LEN(D646)=0),VLOOKUP(B646,[2]zawodnicy!$A$1:$E$65536,1,FALSE),IF(AND(LEN(D646)&gt;0,LEN(B646)=0),VLOOKUP(D646,[2]zawodnicy!$A$1:$E$65536,1,FALSE),"")),IF((VLOOKUP(A646,'[2]plan gier'!$X$1:$AF$65536,7,FALSE))="","",VLOOKUP(VLOOKUP(A646,'[2]plan gier'!$X$1:$AF$65536,7,FALSE),[2]zawodnicy!$A$1:$E$65536,1,FALSE)))</f>
        <v>D3323</v>
      </c>
      <c r="H646" s="2" t="str">
        <f>IF(A646=0,"",IF((VLOOKUP(A646,'[2]plan gier'!$X$1:$AF$65536,7,FALSE))="","",VLOOKUP(A646,'[2]plan gier'!$X$1:$AF$65536,9,FALSE)))</f>
        <v/>
      </c>
      <c r="J646" s="103"/>
      <c r="L646" s="43" t="str">
        <f>IF(A646=0,"",IF(VLOOKUP(A646,'[2]plan gier'!A$1:S$65536,19,FALSE)="","",VLOOKUP(A646,'[2]plan gier'!A$1:S$65536,19,FALSE)))</f>
        <v/>
      </c>
      <c r="M646" s="2" t="str">
        <f>N625</f>
        <v>pojedyncza chłopców JM</v>
      </c>
      <c r="N646" s="104"/>
      <c r="O646" s="105" t="str">
        <f>IF(P646="","",MAX(O626:O645)+1)</f>
        <v/>
      </c>
      <c r="P646" s="106" t="str">
        <f>IF(O624&gt;12,22,"")</f>
        <v/>
      </c>
      <c r="Q646" s="5" t="str">
        <f>O646</f>
        <v/>
      </c>
      <c r="T646" s="286" t="str">
        <f>UPPER(IF(O646="","",IF(ISTEXT(N646),N646,IF(AND(N624&gt;0,O646&gt;0),VLOOKUP(N624&amp;O646&amp;N625,I:J,2,FALSE),""))))</f>
        <v/>
      </c>
      <c r="U646" s="287"/>
      <c r="V646" s="107" t="str">
        <f>IF(T646&lt;&gt;"",CONCATENATE(VLOOKUP(T646,[2]zawodnicy!$A$1:$E$65536,2,FALSE)," ",VLOOKUP(T646,[2]zawodnicy!$A$1:$E$65536,3,FALSE)," - ",VLOOKUP(T646,[2]zawodnicy!$A$1:$E$65536,4,FALSE)),"")</f>
        <v/>
      </c>
      <c r="W646" s="108"/>
      <c r="X646" s="231" t="str">
        <f>IF(ISBLANK(W646),IF(AND(LEN(T646)&gt;0,LEN(T647)=0),VLOOKUP(T646,[2]zawodnicy!$A$1:$E$65536,3,FALSE),IF(AND(LEN(T647)&gt;0,LEN(T646)=0),VLOOKUP(T647,[2]zawodnicy!$A$1:$E$65536,3,FALSE),"")),IF((VLOOKUP(W646,'[2]plan gier'!$X$1:$AF$65536,7,FALSE))="","",VLOOKUP(VLOOKUP(W646,'[2]plan gier'!$X$1:$AF$65536,7,FALSE),[2]zawodnicy!$A$1:$E$65536,3,FALSE)))</f>
        <v>DANIELAK</v>
      </c>
      <c r="Y646" s="232"/>
      <c r="Z646" s="233"/>
      <c r="AA646" s="10"/>
      <c r="AB646" s="10"/>
      <c r="AC646" s="117"/>
      <c r="AD646" s="10"/>
      <c r="AE646" s="10"/>
      <c r="AF646" s="117"/>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row>
    <row r="647" spans="1:63" ht="11.45" customHeight="1" x14ac:dyDescent="0.2">
      <c r="J647" s="103"/>
      <c r="N647" s="104"/>
      <c r="O647" s="109">
        <f>IF(P647="","",MAX(O626:O646)+1)</f>
        <v>9</v>
      </c>
      <c r="P647" s="106">
        <f>IF(O624&gt;8,24,"")</f>
        <v>24</v>
      </c>
      <c r="Q647" s="5">
        <f>O647</f>
        <v>9</v>
      </c>
      <c r="T647" s="286" t="str">
        <f>UPPER(IF(O647="","",IF(ISTEXT(N647),N647,IF(AND(N624&gt;0,O647&gt;0),VLOOKUP(N624&amp;O647&amp;N625,I:J,2,FALSE),""))))</f>
        <v>D3323</v>
      </c>
      <c r="U647" s="287"/>
      <c r="V647" s="107" t="str">
        <f>IF(T647&lt;&gt;"",CONCATENATE(VLOOKUP(T647,[2]zawodnicy!$A$1:$E$65536,2,FALSE)," ",VLOOKUP(T647,[2]zawodnicy!$A$1:$E$65536,3,FALSE)," - ",VLOOKUP(T647,[2]zawodnicy!$A$1:$E$65536,4,FALSE)),"")</f>
        <v>Mateusz DANIELAK - KKS Ruch Piotrków Tryb.</v>
      </c>
      <c r="W647" s="110"/>
      <c r="X647" s="228" t="str">
        <f>IF(ISBLANK(W646),"",IF((VLOOKUP(W646,'[2]plan gier'!$X$1:$AF$65536,7,FALSE))="",L646,VLOOKUP(W646,'[2]plan gier'!$X$1:$AF$65536,9,FALSE)))</f>
        <v/>
      </c>
      <c r="Y647" s="229"/>
      <c r="Z647" s="229"/>
      <c r="AA647" s="10"/>
      <c r="AB647" s="10"/>
      <c r="AC647" s="117"/>
      <c r="AD647" s="10"/>
      <c r="AE647" s="10"/>
      <c r="AF647" s="117"/>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row>
    <row r="648" spans="1:63" ht="11.45" customHeight="1" x14ac:dyDescent="0.2">
      <c r="A648" s="118">
        <f>AC648</f>
        <v>234</v>
      </c>
      <c r="B648" s="2" t="str">
        <f>F644</f>
        <v>D3323</v>
      </c>
      <c r="D648" s="2" t="str">
        <f>F652</f>
        <v>K4248</v>
      </c>
      <c r="F648" s="2" t="str">
        <f>IF(A648=0,IF(AND(LEN(B648)&gt;0,LEN(D648)=0),B648,IF(AND(LEN(D648)&gt;0,LEN(B648)=0),D648,"")),IF((VLOOKUP(A648,'[2]plan gier'!$X$1:$AF$65536,7,FALSE))="","",VLOOKUP(VLOOKUP(A648,'[2]plan gier'!$X$1:$AF$65536,7,FALSE),[2]zawodnicy!$A$1:$E$65536,1,FALSE)))</f>
        <v>D3323</v>
      </c>
      <c r="H648" s="2" t="str">
        <f>IF(A648=0,"",IF((VLOOKUP(A648,'[2]plan gier'!$X$1:$AF$65536,7,FALSE))="","",VLOOKUP(A648,'[2]plan gier'!$X$1:$AF$65536,9,FALSE)))</f>
        <v>21:18,21:16</v>
      </c>
      <c r="J648" s="103"/>
      <c r="L648" s="43" t="str">
        <f>IF(A648=0,"",IF(VLOOKUP(A648,'[2]plan gier'!A$1:S$65536,19,FALSE)="","",VLOOKUP(A648,'[2]plan gier'!A$1:S$65536,19,FALSE)))</f>
        <v>sob 18:30</v>
      </c>
      <c r="M648" s="2" t="str">
        <f>N625</f>
        <v>pojedyncza chłopców JM</v>
      </c>
      <c r="N648" s="95"/>
      <c r="O648" s="112"/>
      <c r="P648" s="106"/>
      <c r="T648" s="9"/>
      <c r="U648" s="113"/>
      <c r="V648" s="114"/>
      <c r="W648" s="2"/>
      <c r="X648" s="10"/>
      <c r="Y648" s="2"/>
      <c r="Z648" s="2"/>
      <c r="AA648" s="10"/>
      <c r="AB648" s="10"/>
      <c r="AC648" s="115">
        <v>234</v>
      </c>
      <c r="AD648" s="232" t="str">
        <f>IF(ISBLANK(AC648),IF(AND(LEN(AA644)&gt;0,LEN(AA652)=0),AA644,IF(AND(LEN(AA652)&gt;0,LEN(AA644)=0),AA652,"")),IF((VLOOKUP(AC648,'[2]plan gier'!$X$1:$AF$65536,7,FALSE))="","",VLOOKUP(VLOOKUP(AC648,'[2]plan gier'!$X$1:$AF$65536,7,FALSE),[2]zawodnicy!$A$1:$E$65536,3,FALSE)))</f>
        <v>DANIELAK</v>
      </c>
      <c r="AE648" s="232"/>
      <c r="AF648" s="233"/>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row>
    <row r="649" spans="1:63" ht="11.45" customHeight="1" x14ac:dyDescent="0.2">
      <c r="J649" s="103"/>
      <c r="N649" s="95"/>
      <c r="O649" s="112"/>
      <c r="P649" s="106"/>
      <c r="T649" s="9"/>
      <c r="U649" s="113"/>
      <c r="V649" s="114"/>
      <c r="W649" s="2"/>
      <c r="X649" s="10"/>
      <c r="Y649" s="2"/>
      <c r="Z649" s="2"/>
      <c r="AA649" s="10"/>
      <c r="AB649" s="10"/>
      <c r="AC649" s="116"/>
      <c r="AD649" s="237" t="str">
        <f>IF(ISBLANK(AC648),"",IF((VLOOKUP(AC648,'[2]plan gier'!$X$1:$AF$65536,7,FALSE))="",L648,VLOOKUP(AC648,'[2]plan gier'!$X$1:$AF$65536,9,FALSE)))</f>
        <v>21:18,21:16</v>
      </c>
      <c r="AE649" s="237"/>
      <c r="AF649" s="237"/>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row>
    <row r="650" spans="1:63" ht="11.45" customHeight="1" x14ac:dyDescent="0.2">
      <c r="A650" s="102">
        <f>W650</f>
        <v>200</v>
      </c>
      <c r="B650" s="2" t="str">
        <f>IF(TYPE(T650)=16,"",T650)</f>
        <v>N3834</v>
      </c>
      <c r="D650" s="2" t="str">
        <f>IF(TYPE(T651)=16,"",T651)</f>
        <v>S3778</v>
      </c>
      <c r="F650" s="2" t="str">
        <f>IF(A650=0,IF(AND(LEN(B650)&gt;0,LEN(D650)=0),VLOOKUP(B650,[2]zawodnicy!$A$1:$E$65536,1,FALSE),IF(AND(LEN(D650)&gt;0,LEN(B650)=0),VLOOKUP(D650,[2]zawodnicy!$A$1:$E$65536,1,FALSE),"")),IF((VLOOKUP(A650,'[2]plan gier'!$X$1:$AF$65536,7,FALSE))="","",VLOOKUP(VLOOKUP(A650,'[2]plan gier'!$X$1:$AF$65536,7,FALSE),[2]zawodnicy!$A$1:$E$65536,1,FALSE)))</f>
        <v>S3778</v>
      </c>
      <c r="H650" s="2" t="str">
        <f>IF(A650=0,"",IF((VLOOKUP(A650,'[2]plan gier'!$X$1:$AF$65536,7,FALSE))="","",VLOOKUP(A650,'[2]plan gier'!$X$1:$AF$65536,9,FALSE)))</f>
        <v>23:21,21:17</v>
      </c>
      <c r="J650" s="103"/>
      <c r="L650" s="43" t="str">
        <f>IF(A650=0,"",IF(VLOOKUP(A650,'[2]plan gier'!A$1:S$65536,19,FALSE)="","",VLOOKUP(A650,'[2]plan gier'!A$1:S$65536,19,FALSE)))</f>
        <v>sob 15:00</v>
      </c>
      <c r="M650" s="2" t="str">
        <f>N625</f>
        <v>pojedyncza chłopców JM</v>
      </c>
      <c r="N650" s="104"/>
      <c r="O650" s="105">
        <f>IF(P650="","",MAX(O626:O649)+1)</f>
        <v>10</v>
      </c>
      <c r="P650" s="106">
        <f>IF(O624&gt;10,26,"")</f>
        <v>26</v>
      </c>
      <c r="Q650" s="5">
        <f>O650</f>
        <v>10</v>
      </c>
      <c r="T650" s="286" t="str">
        <f>UPPER(IF(O650="","",IF(ISTEXT(N650),N650,IF(AND(N624&gt;0,O650&gt;0),VLOOKUP(N624&amp;O650&amp;N625,I:J,2,FALSE),""))))</f>
        <v>N3834</v>
      </c>
      <c r="U650" s="287"/>
      <c r="V650" s="107" t="str">
        <f>IF(T650&lt;&gt;"",CONCATENATE(VLOOKUP(T650,[2]zawodnicy!$A$1:$E$65536,2,FALSE)," ",VLOOKUP(T650,[2]zawodnicy!$A$1:$E$65536,3,FALSE)," - ",VLOOKUP(T650,[2]zawodnicy!$A$1:$E$65536,4,FALSE)),"")</f>
        <v>Jędrzej NOWAK - KS Chojnik Jelenia Góra</v>
      </c>
      <c r="W650" s="108">
        <v>200</v>
      </c>
      <c r="X650" s="231" t="str">
        <f>IF(ISBLANK(W650),IF(AND(LEN(T650)&gt;0,LEN(T651)=0),VLOOKUP(T650,[2]zawodnicy!$A$1:$E$65536,3,FALSE),IF(AND(LEN(T651)&gt;0,LEN(T650)=0),VLOOKUP(T651,[2]zawodnicy!$A$1:$E$65536,3,FALSE),"")),IF((VLOOKUP(W650,'[2]plan gier'!$X$1:$AF$65536,7,FALSE))="","",VLOOKUP(VLOOKUP(W650,'[2]plan gier'!$X$1:$AF$65536,7,FALSE),[2]zawodnicy!$A$1:$E$65536,3,FALSE)))</f>
        <v>SADALSKI</v>
      </c>
      <c r="Y650" s="232"/>
      <c r="Z650" s="232"/>
      <c r="AA650" s="10"/>
      <c r="AB650" s="10"/>
      <c r="AC650" s="117"/>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row>
    <row r="651" spans="1:63" ht="11.45" customHeight="1" x14ac:dyDescent="0.2">
      <c r="J651" s="103"/>
      <c r="N651" s="104"/>
      <c r="O651" s="109">
        <f>IF(P651="","",MAX(O626:O650)+1)</f>
        <v>11</v>
      </c>
      <c r="P651" s="106">
        <f>IF(O624&gt;8,28,"")</f>
        <v>28</v>
      </c>
      <c r="Q651" s="5">
        <f>O651</f>
        <v>11</v>
      </c>
      <c r="T651" s="286" t="str">
        <f>UPPER(IF(O651="","",IF(ISTEXT(N651),N651,IF(AND(N624&gt;0,O651&gt;0),VLOOKUP(N624&amp;O651&amp;N625,I:J,2,FALSE),""))))</f>
        <v>S3778</v>
      </c>
      <c r="U651" s="287"/>
      <c r="V651" s="107" t="str">
        <f>IF(T651&lt;&gt;"",CONCATENATE(VLOOKUP(T651,[2]zawodnicy!$A$1:$E$65536,2,FALSE)," ",VLOOKUP(T651,[2]zawodnicy!$A$1:$E$65536,3,FALSE)," - ",VLOOKUP(T651,[2]zawodnicy!$A$1:$E$65536,4,FALSE)),"")</f>
        <v>Damian SADALSKI - UKS Orkan Przeźmierowo</v>
      </c>
      <c r="W651" s="110"/>
      <c r="X651" s="236" t="str">
        <f>IF(ISBLANK(W650),"",IF((VLOOKUP(W650,'[2]plan gier'!$X$1:$AF$65536,7,FALSE))="",L650,VLOOKUP(W650,'[2]plan gier'!$X$1:$AF$65536,9,FALSE)))</f>
        <v>23:21,21:17</v>
      </c>
      <c r="Y651" s="237"/>
      <c r="Z651" s="240"/>
      <c r="AA651" s="10"/>
      <c r="AB651" s="10"/>
      <c r="AC651" s="117"/>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row>
    <row r="652" spans="1:63" ht="11.45" customHeight="1" x14ac:dyDescent="0.2">
      <c r="A652" s="111">
        <f>Z652</f>
        <v>217</v>
      </c>
      <c r="B652" s="2" t="str">
        <f>F650</f>
        <v>S3778</v>
      </c>
      <c r="D652" s="2" t="str">
        <f>F654</f>
        <v>K4248</v>
      </c>
      <c r="F652" s="2" t="str">
        <f>IF(A652=0,IF(AND(LEN(B652)&gt;0,LEN(D652)=0),B652,IF(AND(LEN(D652)&gt;0,LEN(B652)=0),D652,"")),IF((VLOOKUP(A652,'[2]plan gier'!$X$1:$AF$65536,7,FALSE))="","",VLOOKUP(VLOOKUP(A652,'[2]plan gier'!$X$1:$AF$65536,7,FALSE),[2]zawodnicy!$A$1:$E$65536,1,FALSE)))</f>
        <v>K4248</v>
      </c>
      <c r="H652" s="2" t="str">
        <f>IF(A652=0,"",IF((VLOOKUP(A652,'[2]plan gier'!$X$1:$AF$65536,7,FALSE))="","",VLOOKUP(A652,'[2]plan gier'!$X$1:$AF$65536,9,FALSE)))</f>
        <v>21:14,18:21,21:10</v>
      </c>
      <c r="J652" s="103"/>
      <c r="L652" s="43" t="str">
        <f>IF(A652=0,"",IF(VLOOKUP(A652,'[2]plan gier'!A$1:S$65536,19,FALSE)="","",VLOOKUP(A652,'[2]plan gier'!A$1:S$65536,19,FALSE)))</f>
        <v>sob 16:30</v>
      </c>
      <c r="M652" s="2" t="str">
        <f>N625</f>
        <v>pojedyncza chłopców JM</v>
      </c>
      <c r="N652" s="95"/>
      <c r="O652" s="112"/>
      <c r="P652" s="106"/>
      <c r="T652" s="9"/>
      <c r="U652" s="113"/>
      <c r="V652" s="2"/>
      <c r="W652" s="2"/>
      <c r="X652" s="114"/>
      <c r="Y652" s="10"/>
      <c r="Z652" s="115">
        <v>217</v>
      </c>
      <c r="AA652" s="232" t="str">
        <f>IF(ISBLANK(Z652),IF(AND(LEN(X650)&gt;0,LEN(X654)=0),X650,IF(AND(LEN(X654)&gt;0,LEN(X650)=0),X654,"")),IF((VLOOKUP(Z652,'[2]plan gier'!$X$1:$AF$65536,7,FALSE))="","",VLOOKUP(VLOOKUP(Z652,'[2]plan gier'!$X$1:$AF$65536,7,FALSE),[2]zawodnicy!$A$1:$E$65536,3,FALSE)))</f>
        <v>KIKOSICKI</v>
      </c>
      <c r="AB652" s="232"/>
      <c r="AC652" s="233"/>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row>
    <row r="653" spans="1:63" ht="11.45" customHeight="1" x14ac:dyDescent="0.2">
      <c r="J653" s="103"/>
      <c r="N653" s="95"/>
      <c r="O653" s="112"/>
      <c r="P653" s="106"/>
      <c r="T653" s="9"/>
      <c r="U653" s="113"/>
      <c r="V653" s="2"/>
      <c r="W653" s="2"/>
      <c r="X653" s="114"/>
      <c r="Y653" s="10"/>
      <c r="Z653" s="116"/>
      <c r="AA653" s="229" t="str">
        <f>IF(ISBLANK(Z652),"",IF((VLOOKUP(Z652,'[2]plan gier'!$X$1:$AF$65536,7,FALSE))="",L652,VLOOKUP(Z652,'[2]plan gier'!$X$1:$AF$65536,9,FALSE)))</f>
        <v>21:14,18:21,21:10</v>
      </c>
      <c r="AB653" s="229"/>
      <c r="AC653" s="229"/>
      <c r="AD653" s="288"/>
      <c r="AE653" s="288"/>
      <c r="AF653" s="288"/>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row>
    <row r="654" spans="1:63" ht="11.45" customHeight="1" x14ac:dyDescent="0.2">
      <c r="A654" s="102">
        <f>W654</f>
        <v>0</v>
      </c>
      <c r="B654" s="2" t="str">
        <f>IF(TYPE(T654)=16,"",T654)</f>
        <v/>
      </c>
      <c r="D654" s="2" t="str">
        <f>IF(TYPE(T655)=16,"",T655)</f>
        <v>K4248</v>
      </c>
      <c r="F654" s="2" t="str">
        <f>IF(A654=0,IF(AND(LEN(B654)&gt;0,LEN(D654)=0),VLOOKUP(B654,[2]zawodnicy!$A$1:$E$65536,1,FALSE),IF(AND(LEN(D654)&gt;0,LEN(B654)=0),VLOOKUP(D654,[2]zawodnicy!$A$1:$E$65536,1,FALSE),"")),IF((VLOOKUP(A654,'[2]plan gier'!$X$1:$AF$65536,7,FALSE))="","",VLOOKUP(VLOOKUP(A654,'[2]plan gier'!$X$1:$AF$65536,7,FALSE),[2]zawodnicy!$A$1:$E$65536,1,FALSE)))</f>
        <v>K4248</v>
      </c>
      <c r="H654" s="2" t="str">
        <f>IF(A654=0,"",IF((VLOOKUP(A654,'[2]plan gier'!$X$1:$AF$65536,7,FALSE))="","",VLOOKUP(A654,'[2]plan gier'!$X$1:$AF$65536,9,FALSE)))</f>
        <v/>
      </c>
      <c r="J654" s="103"/>
      <c r="L654" s="43" t="str">
        <f>IF(A654=0,"",IF(VLOOKUP(A654,'[2]plan gier'!A$1:S$65536,19,FALSE)="","",VLOOKUP(A654,'[2]plan gier'!A$1:S$65536,19,FALSE)))</f>
        <v/>
      </c>
      <c r="M654" s="2" t="str">
        <f>N625</f>
        <v>pojedyncza chłopców JM</v>
      </c>
      <c r="N654" s="104"/>
      <c r="O654" s="105" t="str">
        <f>IF(P654="","",MAX(O626:O653)+1)</f>
        <v/>
      </c>
      <c r="P654" s="106" t="str">
        <f>IF(O624&gt;14,30,"")</f>
        <v/>
      </c>
      <c r="Q654" s="5" t="str">
        <f>O654</f>
        <v/>
      </c>
      <c r="T654" s="286" t="str">
        <f>UPPER(IF(O654="","",IF(ISTEXT(N654),N654,IF(AND(N624&gt;0,O654&gt;0),VLOOKUP(N624&amp;O654&amp;N625,I:J,2,FALSE),""))))</f>
        <v/>
      </c>
      <c r="U654" s="287"/>
      <c r="V654" s="107" t="str">
        <f>IF(T654&lt;&gt;"",CONCATENATE(VLOOKUP(T654,[2]zawodnicy!$A$1:$E$65536,2,FALSE)," ",VLOOKUP(T654,[2]zawodnicy!$A$1:$E$65536,3,FALSE)," - ",VLOOKUP(T654,[2]zawodnicy!$A$1:$E$65536,4,FALSE)),"")</f>
        <v/>
      </c>
      <c r="W654" s="108"/>
      <c r="X654" s="231" t="str">
        <f>IF(ISBLANK(W654),IF(AND(LEN(T654)&gt;0,LEN(T655)=0),VLOOKUP(T654,[2]zawodnicy!$A$1:$E$65536,3,FALSE),IF(AND(LEN(T655)&gt;0,LEN(T654)=0),VLOOKUP(T655,[2]zawodnicy!$A$1:$E$65536,3,FALSE),"")),IF((VLOOKUP(W654,'[2]plan gier'!$X$1:$AF$65536,7,FALSE))="","",VLOOKUP(VLOOKUP(W654,'[2]plan gier'!$X$1:$AF$65536,7,FALSE),[2]zawodnicy!$A$1:$E$65536,3,FALSE)))</f>
        <v>KIKOSICKI</v>
      </c>
      <c r="Y654" s="232"/>
      <c r="Z654" s="233"/>
      <c r="AA654" s="2"/>
      <c r="AB654" s="18"/>
      <c r="AC654" s="18"/>
      <c r="AD654" s="18"/>
      <c r="AE654" s="18"/>
      <c r="AF654" s="18"/>
      <c r="AO654" s="2"/>
      <c r="AP654" s="2"/>
      <c r="AQ654" s="2"/>
      <c r="AR654" s="2"/>
      <c r="AS654" s="2"/>
      <c r="AT654" s="2"/>
      <c r="AU654" s="2"/>
      <c r="AV654" s="2"/>
      <c r="AW654" s="2"/>
      <c r="AX654" s="2"/>
      <c r="AY654" s="2"/>
      <c r="AZ654" s="2"/>
      <c r="BA654" s="2"/>
      <c r="BB654" s="2"/>
      <c r="BC654" s="2"/>
      <c r="BD654" s="2"/>
      <c r="BE654" s="2"/>
      <c r="BF654" s="2"/>
      <c r="BG654" s="2"/>
      <c r="BH654" s="2"/>
      <c r="BI654" s="2"/>
      <c r="BJ654" s="2"/>
      <c r="BK654" s="2"/>
    </row>
    <row r="655" spans="1:63" ht="11.45" customHeight="1" x14ac:dyDescent="0.2">
      <c r="J655" s="103"/>
      <c r="N655" s="104"/>
      <c r="O655" s="109">
        <f>IF(P655="","",MAX(O626:O654)+1)</f>
        <v>12</v>
      </c>
      <c r="P655" s="106">
        <f>IF(O624&gt;8,32,"")</f>
        <v>32</v>
      </c>
      <c r="Q655" s="5">
        <f>O655</f>
        <v>12</v>
      </c>
      <c r="T655" s="286" t="str">
        <f>UPPER(IF(O655="","",IF(ISTEXT(N655),N655,IF(AND(N624&gt;0,O655&gt;0),VLOOKUP(N624&amp;O655&amp;N625,I:J,2,FALSE),""))))</f>
        <v>K4248</v>
      </c>
      <c r="U655" s="287"/>
      <c r="V655" s="107" t="str">
        <f>IF(T655&lt;&gt;"",CONCATENATE(VLOOKUP(T655,[2]zawodnicy!$A$1:$E$65536,2,FALSE)," ",VLOOKUP(T655,[2]zawodnicy!$A$1:$E$65536,3,FALSE)," - ",VLOOKUP(T655,[2]zawodnicy!$A$1:$E$65536,4,FALSE)),"")</f>
        <v>Michał KIKOSICKI - KSR Wolant Łódź</v>
      </c>
      <c r="W655" s="110"/>
      <c r="X655" s="228" t="str">
        <f>IF(ISBLANK(W654),"",IF((VLOOKUP(W654,'[2]plan gier'!$X$1:$AF$65536,7,FALSE))="",L654,VLOOKUP(W654,'[2]plan gier'!$X$1:$AF$65536,9,FALSE)))</f>
        <v/>
      </c>
      <c r="Y655" s="229"/>
      <c r="Z655" s="229"/>
      <c r="AA655" s="2"/>
      <c r="AB655" s="91"/>
      <c r="AC655" s="91"/>
      <c r="AD655" s="91"/>
      <c r="AE655" s="91"/>
      <c r="AF655" s="91"/>
      <c r="AG655" s="13"/>
      <c r="AH655" s="173"/>
      <c r="AI655" s="173"/>
      <c r="AO655" s="2"/>
      <c r="AP655" s="2"/>
      <c r="AQ655" s="2"/>
      <c r="AR655" s="2"/>
      <c r="AS655" s="2"/>
      <c r="AT655" s="2"/>
      <c r="AU655" s="2"/>
      <c r="AV655" s="2"/>
      <c r="AW655" s="2"/>
      <c r="AX655" s="2"/>
      <c r="AY655" s="2"/>
      <c r="AZ655" s="2"/>
      <c r="BA655" s="2"/>
      <c r="BB655" s="2"/>
      <c r="BC655" s="2"/>
      <c r="BD655" s="2"/>
      <c r="BE655" s="2"/>
      <c r="BF655" s="2"/>
      <c r="BG655" s="2"/>
      <c r="BH655" s="2"/>
      <c r="BI655" s="2"/>
      <c r="BJ655" s="2"/>
      <c r="BK655" s="2"/>
    </row>
    <row r="657" spans="1:64" ht="11.45" customHeight="1" x14ac:dyDescent="0.2">
      <c r="M657" s="16"/>
      <c r="N657" s="17" t="s">
        <v>142</v>
      </c>
      <c r="R657" s="18"/>
      <c r="S657" s="18"/>
      <c r="T657" s="277" t="str">
        <f>"Gra "&amp;N657</f>
        <v>Gra podwójna dziewcząt JM</v>
      </c>
      <c r="U657" s="277"/>
      <c r="V657" s="277"/>
      <c r="W657" s="277"/>
      <c r="X657" s="277"/>
      <c r="Y657" s="277"/>
      <c r="Z657" s="277"/>
      <c r="AA657" s="277"/>
      <c r="AB657" s="277"/>
      <c r="AC657" s="277"/>
      <c r="AD657" s="277"/>
      <c r="AE657" s="18"/>
    </row>
    <row r="658" spans="1:64" ht="11.45" customHeight="1" thickBot="1" x14ac:dyDescent="0.25"/>
    <row r="659" spans="1:64" ht="11.45" customHeight="1" thickBot="1" x14ac:dyDescent="0.25">
      <c r="B659" s="2" t="s">
        <v>63</v>
      </c>
      <c r="N659" s="138"/>
      <c r="O659" s="21">
        <v>1</v>
      </c>
      <c r="Q659" s="277" t="str">
        <f>"Grupa "&amp;O659&amp;"."</f>
        <v>Grupa 1.</v>
      </c>
      <c r="R659" s="277"/>
      <c r="S659" s="277"/>
      <c r="T659" s="22" t="s">
        <v>1</v>
      </c>
      <c r="U659" s="278" t="s">
        <v>2</v>
      </c>
      <c r="V659" s="279"/>
      <c r="W659" s="280"/>
      <c r="X659" s="22">
        <v>1</v>
      </c>
      <c r="Y659" s="139">
        <v>2</v>
      </c>
      <c r="Z659" s="23">
        <v>3</v>
      </c>
      <c r="AA659" s="140">
        <v>4</v>
      </c>
      <c r="AB659" s="141" t="s">
        <v>3</v>
      </c>
      <c r="AC659" s="142" t="s">
        <v>4</v>
      </c>
      <c r="AD659" s="26" t="s">
        <v>5</v>
      </c>
      <c r="AE659" s="143" t="s">
        <v>6</v>
      </c>
      <c r="AF659" s="12"/>
      <c r="AG659" s="12"/>
      <c r="AI659" s="273" t="s">
        <v>9</v>
      </c>
      <c r="AJ659" s="273"/>
      <c r="AK659" s="273"/>
      <c r="AL659" s="273"/>
      <c r="AM659" s="273"/>
      <c r="AN659" s="273"/>
      <c r="AO659" s="273" t="s">
        <v>10</v>
      </c>
      <c r="AP659" s="273"/>
      <c r="AQ659" s="273"/>
      <c r="AR659" s="273"/>
      <c r="AS659" s="273"/>
      <c r="AT659" s="273"/>
      <c r="BK659" s="19"/>
      <c r="BL659" s="20"/>
    </row>
    <row r="660" spans="1:64" ht="11.45" customHeight="1" x14ac:dyDescent="0.2">
      <c r="N660" s="29" t="s">
        <v>142</v>
      </c>
      <c r="Q660" s="274" t="s">
        <v>7</v>
      </c>
      <c r="R660" s="274"/>
      <c r="S660" s="275" t="s">
        <v>8</v>
      </c>
      <c r="T660" s="242">
        <v>1</v>
      </c>
      <c r="U660" s="244" t="str">
        <f>IF(AND(N661&lt;&gt;"",N662&lt;&gt;""),CONCATENATE(VLOOKUP(N661,[2]zawodnicy!$A$1:$E$65536,1,FALSE)," ",VLOOKUP(N661,[2]zawodnicy!$A$1:$E$65536,2,FALSE)," ",VLOOKUP(N661,[2]zawodnicy!$A$1:$E$65536,3,FALSE)," - ",VLOOKUP(N661,[2]zawodnicy!$A$1:$E$65536,4,FALSE)),"")</f>
        <v>C3958 Milena CICHOMSKA - UKS Iskra Sarbice</v>
      </c>
      <c r="V660" s="245"/>
      <c r="W660" s="246"/>
      <c r="X660" s="35"/>
      <c r="Y660" s="36" t="str">
        <f>IF(SUM(AO668:AP668)=0,"",AO668&amp;":"&amp;AP668)</f>
        <v>21:13</v>
      </c>
      <c r="Z660" s="36" t="str">
        <f>IF(SUM(AO663:AP663)=0,"",AO663&amp;":"&amp;AP663)</f>
        <v>21:10</v>
      </c>
      <c r="AA660" s="144" t="str">
        <f>IF(SUM(AO665:AP665)=0,"",AO665&amp;":"&amp;AP665)</f>
        <v>16:21</v>
      </c>
      <c r="AB660" s="242" t="str">
        <f>IF(SUM(AY663:BD663)=0,"",BE663&amp;":"&amp;BF663)</f>
        <v>126:120</v>
      </c>
      <c r="AC660" s="251" t="str">
        <f>IF(SUM(AY663:BD663)=0,"",BG663&amp;":"&amp;BH663)</f>
        <v>3:4</v>
      </c>
      <c r="AD660" s="251" t="str">
        <f>IF(SUM(AY663:BD663)=0,"",BI663&amp;":"&amp;BJ663)</f>
        <v>1:2</v>
      </c>
      <c r="AE660" s="254">
        <f>IF(SUM(BI663:BI666)&gt;0,BK663,"")</f>
        <v>3</v>
      </c>
      <c r="AF660" s="12"/>
      <c r="AG660" s="12"/>
      <c r="BK660" s="19"/>
      <c r="BL660" s="20"/>
    </row>
    <row r="661" spans="1:64" ht="11.45" customHeight="1" thickBot="1" x14ac:dyDescent="0.25">
      <c r="H661" s="10"/>
      <c r="I661" s="2" t="str">
        <f>"1"&amp;O659&amp;N660</f>
        <v>11podwójna dziewcząt JM</v>
      </c>
      <c r="J661" s="10" t="str">
        <f>IF(AE660="","",IF(AE660=1,N661,IF(AE663=1,N664,IF(AE666=1,N667,IF(AE669=1,N670,"")))))</f>
        <v>X28</v>
      </c>
      <c r="K661" s="10" t="str">
        <f>IF(AE660="","",IF(AE660=1,N662,IF(AE663=1,N665,IF(AE666=1,N668,IF(AE669=1,N671,"")))))</f>
        <v>G4721</v>
      </c>
      <c r="L661" s="10"/>
      <c r="N661" s="33" t="s">
        <v>143</v>
      </c>
      <c r="O661" s="34">
        <f>IF(O659&gt;0,(O659&amp;1)*1,"")</f>
        <v>11</v>
      </c>
      <c r="Q661" s="274"/>
      <c r="R661" s="274"/>
      <c r="S661" s="275"/>
      <c r="T661" s="242"/>
      <c r="U661" s="244" t="str">
        <f>IF(AND(N661&lt;&gt;"",N662=""),CONCATENATE(VLOOKUP(N661,[2]zawodnicy!$A$1:$E$65536,1,FALSE)," ",VLOOKUP(N661,[2]zawodnicy!$A$1:$E$65536,2,FALSE)," ",VLOOKUP(N661,[2]zawodnicy!$A$1:$E$65536,3,FALSE)," - ",VLOOKUP(N661,[2]zawodnicy!$A$1:$E$65536,4,FALSE)),"")</f>
        <v/>
      </c>
      <c r="V661" s="245"/>
      <c r="W661" s="246"/>
      <c r="X661" s="35"/>
      <c r="Y661" s="36" t="str">
        <f>IF(SUM(AQ668:AR668)=0,"",AQ668&amp;":"&amp;AR668)</f>
        <v>21:13</v>
      </c>
      <c r="Z661" s="36" t="str">
        <f>IF(SUM(AQ663:AR663)=0,"",AQ663&amp;":"&amp;AR663)</f>
        <v>18:21</v>
      </c>
      <c r="AA661" s="144" t="str">
        <f>IF(SUM(AQ665:AR665)=0,"",AQ665&amp;":"&amp;AR665)</f>
        <v>16:21</v>
      </c>
      <c r="AB661" s="242"/>
      <c r="AC661" s="251"/>
      <c r="AD661" s="251"/>
      <c r="AE661" s="254"/>
      <c r="AF661" s="12"/>
      <c r="AG661" s="12"/>
      <c r="BK661" s="19"/>
      <c r="BL661" s="20"/>
    </row>
    <row r="662" spans="1:64" ht="11.45" customHeight="1" thickBot="1" x14ac:dyDescent="0.25">
      <c r="J662" s="10"/>
      <c r="K662" s="28"/>
      <c r="L662" s="28"/>
      <c r="N662" s="38" t="s">
        <v>144</v>
      </c>
      <c r="O662" s="28"/>
      <c r="P662" s="28"/>
      <c r="Q662" s="274"/>
      <c r="R662" s="274"/>
      <c r="S662" s="275"/>
      <c r="T662" s="261"/>
      <c r="U662" s="265" t="str">
        <f>IF(N662&lt;&gt;"",CONCATENATE(VLOOKUP(N662,[2]zawodnicy!$A$1:$E$65536,1,FALSE)," ",VLOOKUP(N662,[2]zawodnicy!$A$1:$E$65536,2,FALSE)," ",VLOOKUP(N662,[2]zawodnicy!$A$1:$E$65536,3,FALSE)," - ",VLOOKUP(N662,[2]zawodnicy!$A$1:$E$65536,4,FALSE)),"")</f>
        <v>M3959 Łucja MIGAS - UKS Iskra Sarbice</v>
      </c>
      <c r="V662" s="266"/>
      <c r="W662" s="267"/>
      <c r="X662" s="35"/>
      <c r="Y662" s="39" t="str">
        <f>IF(SUM(AS668:AT668)=0,"",AS668&amp;":"&amp;AT668)</f>
        <v/>
      </c>
      <c r="Z662" s="39" t="str">
        <f>IF(SUM(AS663:AT663)=0,"",AS663&amp;":"&amp;AT663)</f>
        <v>13:21</v>
      </c>
      <c r="AA662" s="145" t="str">
        <f>IF(SUM(AS665:AT665)=0,"",AS665&amp;":"&amp;AT665)</f>
        <v/>
      </c>
      <c r="AB662" s="242"/>
      <c r="AC662" s="251"/>
      <c r="AD662" s="251"/>
      <c r="AE662" s="254"/>
      <c r="AF662" s="12"/>
      <c r="AG662" s="12"/>
      <c r="AI662" s="283" t="s">
        <v>12</v>
      </c>
      <c r="AJ662" s="281"/>
      <c r="AK662" s="281" t="s">
        <v>13</v>
      </c>
      <c r="AL662" s="281"/>
      <c r="AM662" s="281" t="s">
        <v>14</v>
      </c>
      <c r="AN662" s="281"/>
      <c r="AO662" s="283" t="s">
        <v>12</v>
      </c>
      <c r="AP662" s="281"/>
      <c r="AQ662" s="281" t="s">
        <v>13</v>
      </c>
      <c r="AR662" s="281"/>
      <c r="AS662" s="281" t="s">
        <v>14</v>
      </c>
      <c r="AT662" s="282"/>
      <c r="AW662" s="283">
        <v>1</v>
      </c>
      <c r="AX662" s="281"/>
      <c r="AY662" s="281">
        <v>2</v>
      </c>
      <c r="AZ662" s="281"/>
      <c r="BA662" s="281">
        <v>3</v>
      </c>
      <c r="BB662" s="281"/>
      <c r="BC662" s="281">
        <v>4</v>
      </c>
      <c r="BD662" s="282"/>
      <c r="BE662" s="283" t="s">
        <v>3</v>
      </c>
      <c r="BF662" s="282"/>
      <c r="BG662" s="283" t="s">
        <v>4</v>
      </c>
      <c r="BH662" s="282"/>
      <c r="BI662" s="283" t="s">
        <v>5</v>
      </c>
      <c r="BJ662" s="268"/>
      <c r="BK662" s="41" t="s">
        <v>6</v>
      </c>
      <c r="BL662" s="20"/>
    </row>
    <row r="663" spans="1:64" ht="11.45" customHeight="1" x14ac:dyDescent="0.2">
      <c r="A663" s="19">
        <f t="shared" ref="A663:A668" si="56">S663</f>
        <v>8</v>
      </c>
      <c r="B663" s="19" t="str">
        <f>IF(N661="","",N661)</f>
        <v>C3958</v>
      </c>
      <c r="C663" s="19" t="str">
        <f>IF(N662="","",N662)</f>
        <v>M3959</v>
      </c>
      <c r="D663" s="19" t="str">
        <f>IF(N667="","",N667)</f>
        <v>K4207</v>
      </c>
      <c r="E663" s="19" t="str">
        <f>IF(N668="","",N668)</f>
        <v>N3738</v>
      </c>
      <c r="H663" s="10"/>
      <c r="I663" s="2" t="str">
        <f>"2"&amp;O659&amp;N660</f>
        <v>21podwójna dziewcząt JM</v>
      </c>
      <c r="J663" s="10" t="str">
        <f>IF(AE663="","",IF(AE660=2,N661,IF(AE663=2,N664,IF(AE666=2,N667,IF(AE669=2,N670,"")))))</f>
        <v>K4207</v>
      </c>
      <c r="K663" s="10" t="str">
        <f>IF(AE663="","",IF(AE660=2,N662,IF(AE663=2,N665,IF(AE666=2,N668,IF(AE669=2,N671,"")))))</f>
        <v>N3738</v>
      </c>
      <c r="L663" s="10"/>
      <c r="M663" s="42" t="str">
        <f>N660</f>
        <v>podwójna dziewcząt JM</v>
      </c>
      <c r="O663" s="28"/>
      <c r="P663" s="28"/>
      <c r="Q663" s="43" t="str">
        <f>IF(AU663&gt;0,"",IF(A663=0,"",IF(VLOOKUP(A663,'[2]plan gier'!A$1:S$65536,19,FALSE)="","",VLOOKUP(A663,'[2]plan gier'!A$1:S$65536,19,FALSE))))</f>
        <v/>
      </c>
      <c r="R663" s="44" t="s">
        <v>15</v>
      </c>
      <c r="S663" s="146">
        <v>8</v>
      </c>
      <c r="T663" s="241">
        <v>2</v>
      </c>
      <c r="U663" s="244" t="str">
        <f>IF(AND(N664&lt;&gt;"",N665&lt;&gt;""),CONCATENATE(VLOOKUP(N664,[2]zawodnicy!$A$1:$E$65536,1,FALSE)," ",VLOOKUP(N664,[2]zawodnicy!$A$1:$E$65536,2,FALSE)," ",VLOOKUP(N664,[2]zawodnicy!$A$1:$E$65536,3,FALSE)," - ",VLOOKUP(N664,[2]zawodnicy!$A$1:$E$65536,4,FALSE)),"")</f>
        <v>K4084 Magdalena KOKOSZKA - AZSWAT Warszawa</v>
      </c>
      <c r="V663" s="245"/>
      <c r="W663" s="246"/>
      <c r="X663" s="46" t="str">
        <f>IF(SUM(AO668:AP668)=0,"",AP668&amp;":"&amp;AO668)</f>
        <v>13:21</v>
      </c>
      <c r="Y663" s="147"/>
      <c r="Z663" s="83" t="str">
        <f>IF(SUM(AO666:AP666)=0,"",AO666&amp;":"&amp;AP666)</f>
        <v>4:21</v>
      </c>
      <c r="AA663" s="48" t="str">
        <f>IF(SUM(AO664:AP664)=0,"",AO664&amp;":"&amp;AP664)</f>
        <v>17:21</v>
      </c>
      <c r="AB663" s="241" t="str">
        <f>IF(SUM(AW664:AX664,BA664:BD664)=0,"",BE664&amp;":"&amp;BF664)</f>
        <v>79:129</v>
      </c>
      <c r="AC663" s="250" t="str">
        <f>IF(SUM(AW664:AX664,BA664:BD664)=0,"",BG664&amp;":"&amp;BH664)</f>
        <v>0:6</v>
      </c>
      <c r="AD663" s="250" t="str">
        <f>IF(SUM(AW664:AX664,BA664:BD664)=0,"",BI664&amp;":"&amp;BJ664)</f>
        <v>0:3</v>
      </c>
      <c r="AE663" s="253">
        <f>IF(SUM(BI663:BI666)&gt;0,BK664,"")</f>
        <v>4</v>
      </c>
      <c r="AF663" s="12"/>
      <c r="AG663" s="12"/>
      <c r="AH663" s="44" t="s">
        <v>15</v>
      </c>
      <c r="AI663" s="148">
        <f>IF(ISBLANK(S663),"",VLOOKUP(S663,'[2]plan gier'!$X$1:$AN$65536,12,FALSE))</f>
        <v>21</v>
      </c>
      <c r="AJ663" s="52">
        <f>IF(ISBLANK(S663),"",VLOOKUP(S663,'[2]plan gier'!$X$1:$AN$65536,13,FALSE))</f>
        <v>10</v>
      </c>
      <c r="AK663" s="52">
        <f>IF(ISBLANK(S663),"",VLOOKUP(S663,'[2]plan gier'!$X$1:$AN$65536,14,FALSE))</f>
        <v>18</v>
      </c>
      <c r="AL663" s="52">
        <f>IF(ISBLANK(S663),"",VLOOKUP(S663,'[2]plan gier'!$X$1:$AN$65536,15,FALSE))</f>
        <v>21</v>
      </c>
      <c r="AM663" s="52">
        <f>IF(ISBLANK(S663),"",VLOOKUP(S663,'[2]plan gier'!$X$1:$AN$65536,16,FALSE))</f>
        <v>13</v>
      </c>
      <c r="AN663" s="52">
        <f>IF(ISBLANK(S663),"",VLOOKUP(S663,'[2]plan gier'!$X$1:$AN$65536,17,FALSE))</f>
        <v>21</v>
      </c>
      <c r="AO663" s="49">
        <f t="shared" ref="AO663:AT668" si="57">IF(AI663="",0,AI663)</f>
        <v>21</v>
      </c>
      <c r="AP663" s="50">
        <f t="shared" si="57"/>
        <v>10</v>
      </c>
      <c r="AQ663" s="50">
        <f t="shared" si="57"/>
        <v>18</v>
      </c>
      <c r="AR663" s="50">
        <f t="shared" si="57"/>
        <v>21</v>
      </c>
      <c r="AS663" s="50">
        <f t="shared" si="57"/>
        <v>13</v>
      </c>
      <c r="AT663" s="57">
        <f t="shared" si="57"/>
        <v>21</v>
      </c>
      <c r="AU663" s="149">
        <f t="shared" ref="AU663:AU668" si="58">SUM(AO663:AT663)</f>
        <v>104</v>
      </c>
      <c r="AV663" s="5">
        <v>1</v>
      </c>
      <c r="AW663" s="284"/>
      <c r="AX663" s="285"/>
      <c r="AY663" s="50">
        <f>IF(AI668&gt;AJ668,1,0)+IF(AK668&gt;AL668,1,0)+IF(AM668&gt;AN668,1,0)</f>
        <v>2</v>
      </c>
      <c r="AZ663" s="50">
        <f>AW664</f>
        <v>0</v>
      </c>
      <c r="BA663" s="50">
        <f>IF(AI663&gt;AJ663,1,0)+IF(AK663&gt;AL663,1,0)+IF(AM663&gt;AN663,1,0)</f>
        <v>1</v>
      </c>
      <c r="BB663" s="52">
        <f>AW665</f>
        <v>2</v>
      </c>
      <c r="BC663" s="150">
        <f>IF(AI665&gt;AJ665,1,0)+IF(AK665&gt;AL665,1,0)+IF(AM665&gt;AN665,1,0)</f>
        <v>0</v>
      </c>
      <c r="BD663" s="58">
        <f>AW666</f>
        <v>2</v>
      </c>
      <c r="BE663" s="148">
        <f>AO663+AQ663+AS663+AO665+AQ665+AS665+AO668+AQ668+AS668</f>
        <v>126</v>
      </c>
      <c r="BF663" s="151">
        <f>AP663+AR663+AT663+AP665+AR665+AT665+AP668+AR668+AT668</f>
        <v>120</v>
      </c>
      <c r="BG663" s="148">
        <f>AY663+BA663+BC663</f>
        <v>3</v>
      </c>
      <c r="BH663" s="152">
        <f>AZ663+BB663+BD663</f>
        <v>4</v>
      </c>
      <c r="BI663" s="148">
        <f>IF(AY663&gt;AZ663,1,0)+IF(BA663&gt;BB663,1,0)+IF(BC663&gt;BD663,1,0)</f>
        <v>1</v>
      </c>
      <c r="BJ663" s="152">
        <f>IF(AZ663&gt;AY663,1,0)+IF(BB663&gt;BA663,1,0)+IF(BD663&gt;BC663,1,0)</f>
        <v>2</v>
      </c>
      <c r="BK663" s="153">
        <f>IF(BI663+BJ663=0,"",IF(BL663=MAX(BL663:BL666),1,IF(BL663=LARGE(BL663:BL666,2),2,IF(BL663=MIN(BL663:BL666),4,3))))</f>
        <v>3</v>
      </c>
      <c r="BL663" s="60">
        <f>IF(BI663+BJ663&lt;&gt;0,BI663+1+(BG663-BH663)/100+(BE663-BF663)/100000+(BE663/BF663)/1000000,0)</f>
        <v>1.99006105</v>
      </c>
    </row>
    <row r="664" spans="1:64" ht="11.45" customHeight="1" x14ac:dyDescent="0.2">
      <c r="A664" s="19">
        <f t="shared" si="56"/>
        <v>9</v>
      </c>
      <c r="B664" s="19" t="str">
        <f>IF(N664="","",N664)</f>
        <v>K4084</v>
      </c>
      <c r="C664" s="19" t="str">
        <f>IF(N665="","",N665)</f>
        <v>R3720</v>
      </c>
      <c r="D664" s="19" t="str">
        <f>IF(N670="","",N670)</f>
        <v>X28</v>
      </c>
      <c r="E664" s="19" t="str">
        <f>IF(N671="","",N671)</f>
        <v>G4721</v>
      </c>
      <c r="J664" s="10"/>
      <c r="K664" s="19"/>
      <c r="L664" s="19"/>
      <c r="M664" s="42" t="str">
        <f>N660</f>
        <v>podwójna dziewcząt JM</v>
      </c>
      <c r="N664" s="33" t="s">
        <v>91</v>
      </c>
      <c r="O664" s="34">
        <f>IF(O659&gt;0,(O659&amp;2)*1,"")</f>
        <v>12</v>
      </c>
      <c r="Q664" s="43" t="str">
        <f>IF(AU664&gt;0,"",IF(A664=0,"",IF(VLOOKUP(A664,'[2]plan gier'!A$1:S$65536,19,FALSE)="","",VLOOKUP(A664,'[2]plan gier'!A$1:S$65536,19,FALSE))))</f>
        <v/>
      </c>
      <c r="R664" s="44" t="s">
        <v>66</v>
      </c>
      <c r="S664" s="146">
        <v>9</v>
      </c>
      <c r="T664" s="242"/>
      <c r="U664" s="244" t="str">
        <f>IF(AND(N664&lt;&gt;"",N665=""),CONCATENATE(VLOOKUP(N664,[2]zawodnicy!$A$1:$E$65536,1,FALSE)," ",VLOOKUP(N664,[2]zawodnicy!$A$1:$E$65536,2,FALSE)," ",VLOOKUP(N664,[2]zawodnicy!$A$1:$E$65536,3,FALSE)," - ",VLOOKUP(N664,[2]zawodnicy!$A$1:$E$65536,4,FALSE)),"")</f>
        <v/>
      </c>
      <c r="V664" s="245"/>
      <c r="W664" s="246"/>
      <c r="X664" s="61" t="str">
        <f>IF(SUM(AQ668:AR668)=0,"",AR668&amp;":"&amp;AQ668)</f>
        <v>13:21</v>
      </c>
      <c r="Y664" s="154"/>
      <c r="Z664" s="36" t="str">
        <f>IF(SUM(AQ666:AR666)=0,"",AQ666&amp;":"&amp;AR666)</f>
        <v>10:21</v>
      </c>
      <c r="AA664" s="37" t="str">
        <f>IF(SUM(AQ664:AR664)=0,"",AQ664&amp;":"&amp;AR664)</f>
        <v>22:24</v>
      </c>
      <c r="AB664" s="242"/>
      <c r="AC664" s="251"/>
      <c r="AD664" s="251"/>
      <c r="AE664" s="254"/>
      <c r="AF664" s="12"/>
      <c r="AG664" s="12"/>
      <c r="AH664" s="44" t="s">
        <v>66</v>
      </c>
      <c r="AI664" s="49">
        <f>IF(ISBLANK(S664),"",VLOOKUP(S664,'[2]plan gier'!$X$1:$AN$65536,12,FALSE))</f>
        <v>17</v>
      </c>
      <c r="AJ664" s="50">
        <f>IF(ISBLANK(S664),"",VLOOKUP(S664,'[2]plan gier'!$X$1:$AN$65536,13,FALSE))</f>
        <v>21</v>
      </c>
      <c r="AK664" s="50">
        <f>IF(ISBLANK(S664),"",VLOOKUP(S664,'[2]plan gier'!$X$1:$AN$65536,14,FALSE))</f>
        <v>22</v>
      </c>
      <c r="AL664" s="50">
        <f>IF(ISBLANK(S664),"",VLOOKUP(S664,'[2]plan gier'!$X$1:$AN$65536,15,FALSE))</f>
        <v>24</v>
      </c>
      <c r="AM664" s="50">
        <f>IF(ISBLANK(S664),"",VLOOKUP(S664,'[2]plan gier'!$X$1:$AN$65536,16,FALSE))</f>
        <v>0</v>
      </c>
      <c r="AN664" s="50">
        <f>IF(ISBLANK(S664),"",VLOOKUP(S664,'[2]plan gier'!$X$1:$AN$65536,17,FALSE))</f>
        <v>0</v>
      </c>
      <c r="AO664" s="63">
        <f t="shared" si="57"/>
        <v>17</v>
      </c>
      <c r="AP664" s="64">
        <f t="shared" si="57"/>
        <v>21</v>
      </c>
      <c r="AQ664" s="64">
        <f t="shared" si="57"/>
        <v>22</v>
      </c>
      <c r="AR664" s="64">
        <f t="shared" si="57"/>
        <v>24</v>
      </c>
      <c r="AS664" s="64">
        <f t="shared" si="57"/>
        <v>0</v>
      </c>
      <c r="AT664" s="69">
        <f t="shared" si="57"/>
        <v>0</v>
      </c>
      <c r="AU664" s="149">
        <f t="shared" si="58"/>
        <v>84</v>
      </c>
      <c r="AV664" s="5">
        <v>2</v>
      </c>
      <c r="AW664" s="63">
        <f>IF(AI668&lt;AJ668,1,0)+IF(AK668&lt;AL668,1,0)+IF(AM668&lt;AN668,1,0)</f>
        <v>0</v>
      </c>
      <c r="AX664" s="64">
        <f>AY663</f>
        <v>2</v>
      </c>
      <c r="AY664" s="155"/>
      <c r="AZ664" s="156"/>
      <c r="BA664" s="64">
        <f>IF(AI666&gt;AJ666,1,0)+IF(AK666&gt;AL666,1,0)+IF(AM666&gt;AN666,1,0)</f>
        <v>0</v>
      </c>
      <c r="BB664" s="64">
        <f>AY665</f>
        <v>2</v>
      </c>
      <c r="BC664" s="157">
        <f>IF(AI664&gt;AJ664,1,0)+IF(AK664&gt;AL664,1,0)+IF(AM664&gt;AN664,1,0)</f>
        <v>0</v>
      </c>
      <c r="BD664" s="70">
        <f>AY666</f>
        <v>2</v>
      </c>
      <c r="BE664" s="63">
        <f>AO664+AQ664+AS664+AO666+AQ666+AS666+AP668+AR668+AT668</f>
        <v>79</v>
      </c>
      <c r="BF664" s="70">
        <f>AP664+AR664+AT664+AP666+AR666+AT666+AO668+AQ668+AS668</f>
        <v>129</v>
      </c>
      <c r="BG664" s="63">
        <f>AW664+BA664+BC664</f>
        <v>0</v>
      </c>
      <c r="BH664" s="69">
        <f>AX664+BB664+BD664</f>
        <v>6</v>
      </c>
      <c r="BI664" s="63">
        <f>IF(AW664&gt;AX664,1,0)+IF(BA664&gt;BB664,1,0)+IF(BC664&gt;BD664,1,0)</f>
        <v>0</v>
      </c>
      <c r="BJ664" s="69">
        <f>IF(AX664&gt;AW664,1,0)+IF(BB664&gt;BA664,1,0)+IF(BD664&gt;BC664,1,0)</f>
        <v>3</v>
      </c>
      <c r="BK664" s="71">
        <f>IF(BI664+BJ664=0,"",IF(BL664=MAX(BL663:BL666),1,IF(BL664=LARGE(BL663:BL666,2),2,IF(BL664=MIN(BL663:BL666),4,3))))</f>
        <v>4</v>
      </c>
      <c r="BL664" s="60">
        <f>IF(BI664+BJ664&lt;&gt;0,BI664+1+(BG664-BH664)/100+(BE664-BF664)/100000+(BE664/BF664)/1000000,0)</f>
        <v>0.93950061240310079</v>
      </c>
    </row>
    <row r="665" spans="1:64" ht="11.45" customHeight="1" x14ac:dyDescent="0.2">
      <c r="A665" s="19">
        <f t="shared" si="56"/>
        <v>73</v>
      </c>
      <c r="B665" s="19" t="str">
        <f>IF(N661="","",N661)</f>
        <v>C3958</v>
      </c>
      <c r="C665" s="19" t="str">
        <f>IF(N662="","",N662)</f>
        <v>M3959</v>
      </c>
      <c r="D665" s="19" t="str">
        <f>IF(N670="","",N670)</f>
        <v>X28</v>
      </c>
      <c r="E665" s="19" t="str">
        <f>IF(N671="","",N671)</f>
        <v>G4721</v>
      </c>
      <c r="H665" s="10"/>
      <c r="I665" s="2" t="str">
        <f>"3"&amp;O659&amp;N660</f>
        <v>31podwójna dziewcząt JM</v>
      </c>
      <c r="J665" s="10" t="str">
        <f>IF(AE666="","",IF(AE660=3,N661,IF(AE663=3,N664,IF(AE666=3,N667,IF(AE669=3,N670,"")))))</f>
        <v>C3958</v>
      </c>
      <c r="K665" s="10" t="str">
        <f>IF(AE666="","",IF(AE660=3,N662,IF(AE663=3,N665,IF(AE666=3,N668,IF(AE669=3,N671,"")))))</f>
        <v>M3959</v>
      </c>
      <c r="L665" s="10"/>
      <c r="M665" s="42" t="str">
        <f>N660</f>
        <v>podwójna dziewcząt JM</v>
      </c>
      <c r="N665" s="38" t="s">
        <v>95</v>
      </c>
      <c r="O665" s="28"/>
      <c r="P665" s="28"/>
      <c r="Q665" s="43" t="str">
        <f>IF(AU665&gt;0,"",IF(A665=0,"",IF(VLOOKUP(A665,'[2]plan gier'!A$1:S$65536,19,FALSE)="","",VLOOKUP(A665,'[2]plan gier'!A$1:S$65536,19,FALSE))))</f>
        <v/>
      </c>
      <c r="R665" s="44" t="s">
        <v>68</v>
      </c>
      <c r="S665" s="146">
        <v>73</v>
      </c>
      <c r="T665" s="261"/>
      <c r="U665" s="265" t="str">
        <f>IF(N665&lt;&gt;"",CONCATENATE(VLOOKUP(N665,[2]zawodnicy!$A$1:$E$65536,1,FALSE)," ",VLOOKUP(N665,[2]zawodnicy!$A$1:$E$65536,2,FALSE)," ",VLOOKUP(N665,[2]zawodnicy!$A$1:$E$65536,3,FALSE)," - ",VLOOKUP(N665,[2]zawodnicy!$A$1:$E$65536,4,FALSE)),"")</f>
        <v>R3720 Barbara RUTKOWSKA - ŚKBad Harcownik Warszawa</v>
      </c>
      <c r="V665" s="266"/>
      <c r="W665" s="267"/>
      <c r="X665" s="73" t="str">
        <f>IF(SUM(AS668:AT668)=0,"",AT668&amp;":"&amp;AS668)</f>
        <v/>
      </c>
      <c r="Y665" s="154"/>
      <c r="Z665" s="39" t="str">
        <f>IF(SUM(AS666:AT666)=0,"",AS666&amp;":"&amp;AT666)</f>
        <v/>
      </c>
      <c r="AA665" s="40" t="str">
        <f>IF(SUM(AS664:AT664)=0,"",AS664&amp;":"&amp;AT664)</f>
        <v/>
      </c>
      <c r="AB665" s="242"/>
      <c r="AC665" s="251"/>
      <c r="AD665" s="251"/>
      <c r="AE665" s="254"/>
      <c r="AF665" s="12"/>
      <c r="AG665" s="12"/>
      <c r="AH665" s="44" t="s">
        <v>68</v>
      </c>
      <c r="AI665" s="49">
        <f>IF(ISBLANK(S665),"",VLOOKUP(S665,'[2]plan gier'!$X$1:$AN$65536,12,FALSE))</f>
        <v>16</v>
      </c>
      <c r="AJ665" s="50">
        <f>IF(ISBLANK(S665),"",VLOOKUP(S665,'[2]plan gier'!$X$1:$AN$65536,13,FALSE))</f>
        <v>21</v>
      </c>
      <c r="AK665" s="50">
        <f>IF(ISBLANK(S665),"",VLOOKUP(S665,'[2]plan gier'!$X$1:$AN$65536,14,FALSE))</f>
        <v>16</v>
      </c>
      <c r="AL665" s="50">
        <f>IF(ISBLANK(S665),"",VLOOKUP(S665,'[2]plan gier'!$X$1:$AN$65536,15,FALSE))</f>
        <v>21</v>
      </c>
      <c r="AM665" s="50">
        <f>IF(ISBLANK(S665),"",VLOOKUP(S665,'[2]plan gier'!$X$1:$AN$65536,16,FALSE))</f>
        <v>0</v>
      </c>
      <c r="AN665" s="50">
        <f>IF(ISBLANK(S665),"",VLOOKUP(S665,'[2]plan gier'!$X$1:$AN$65536,17,FALSE))</f>
        <v>0</v>
      </c>
      <c r="AO665" s="63">
        <f t="shared" si="57"/>
        <v>16</v>
      </c>
      <c r="AP665" s="64">
        <f t="shared" si="57"/>
        <v>21</v>
      </c>
      <c r="AQ665" s="64">
        <f t="shared" si="57"/>
        <v>16</v>
      </c>
      <c r="AR665" s="64">
        <f t="shared" si="57"/>
        <v>21</v>
      </c>
      <c r="AS665" s="64">
        <f t="shared" si="57"/>
        <v>0</v>
      </c>
      <c r="AT665" s="69">
        <f t="shared" si="57"/>
        <v>0</v>
      </c>
      <c r="AU665" s="149">
        <f t="shared" si="58"/>
        <v>74</v>
      </c>
      <c r="AV665" s="5">
        <v>3</v>
      </c>
      <c r="AW665" s="63">
        <f>IF(AI663&lt;AJ663,1,0)+IF(AK663&lt;AL663,1,0)+IF(AM663&lt;AN663,1,0)</f>
        <v>2</v>
      </c>
      <c r="AX665" s="64">
        <f>BA663</f>
        <v>1</v>
      </c>
      <c r="AY665" s="64">
        <f>IF(AI666&lt;AJ666,1,0)+IF(AK666&lt;AL666,1,0)+IF(AM666&lt;AN666,1,0)</f>
        <v>2</v>
      </c>
      <c r="AZ665" s="64">
        <f>BA664</f>
        <v>0</v>
      </c>
      <c r="BA665" s="155"/>
      <c r="BB665" s="156"/>
      <c r="BC665" s="64">
        <f>IF(AI667&gt;AJ667,1,0)+IF(AK667&gt;AL667,1,0)+IF(AM667&gt;AN667,1,0)</f>
        <v>1</v>
      </c>
      <c r="BD665" s="70">
        <f>BA666</f>
        <v>2</v>
      </c>
      <c r="BE665" s="158">
        <f>AP663+AR663+AT663+AP666+AR666+AT666+AO667+AQ667+AS667</f>
        <v>147</v>
      </c>
      <c r="BF665" s="159">
        <f>AO663+AQ663+AS663+AO666+AQ666+AS666+AP667+AR667+AT667</f>
        <v>122</v>
      </c>
      <c r="BG665" s="158">
        <f>AW665+AY665+BC665</f>
        <v>5</v>
      </c>
      <c r="BH665" s="160">
        <f>AX665+AZ665+BD665</f>
        <v>3</v>
      </c>
      <c r="BI665" s="63">
        <f>IF(AW665&gt;AX665,1,0)+IF(AY665&gt;AZ665,1,0)+IF(BC665&gt;BD665,1,0)</f>
        <v>2</v>
      </c>
      <c r="BJ665" s="69">
        <f>IF(AX665&gt;AW665,1,0)+IF(AZ665&gt;AY665,1,0)+IF(BD665&gt;BC665,1,0)</f>
        <v>1</v>
      </c>
      <c r="BK665" s="71">
        <f>IF(BI665+BJ665=0,"",IF(BL665=MAX(BL663:BL666),1,IF(BL665=LARGE(BL663:BL666,2),2,IF(BL665=MIN(BL663:BL666),4,3))))</f>
        <v>2</v>
      </c>
      <c r="BL665" s="60">
        <f>IF(BI665+BJ665&lt;&gt;0,BI665+1+(BG665-BH665)/100+(BE665-BF665)/100000+(BE665/BF665)/1000000,0)</f>
        <v>3.0202512049180328</v>
      </c>
    </row>
    <row r="666" spans="1:64" ht="11.45" customHeight="1" thickBot="1" x14ac:dyDescent="0.25">
      <c r="A666" s="19">
        <f t="shared" si="56"/>
        <v>74</v>
      </c>
      <c r="B666" s="19" t="str">
        <f>IF(N664="","",N664)</f>
        <v>K4084</v>
      </c>
      <c r="C666" s="19" t="str">
        <f>IF(N665="","",N665)</f>
        <v>R3720</v>
      </c>
      <c r="D666" s="19" t="str">
        <f>IF(N667="","",N667)</f>
        <v>K4207</v>
      </c>
      <c r="E666" s="19" t="str">
        <f>IF(N668="","",N668)</f>
        <v>N3738</v>
      </c>
      <c r="J666" s="10"/>
      <c r="K666" s="28"/>
      <c r="L666" s="28"/>
      <c r="M666" s="42" t="str">
        <f>N660</f>
        <v>podwójna dziewcząt JM</v>
      </c>
      <c r="O666" s="28"/>
      <c r="P666" s="28"/>
      <c r="Q666" s="43" t="str">
        <f>IF(AU666&gt;0,"",IF(A666=0,"",IF(VLOOKUP(A666,'[2]plan gier'!A$1:S$65536,19,FALSE)="","",VLOOKUP(A666,'[2]plan gier'!A$1:S$65536,19,FALSE))))</f>
        <v/>
      </c>
      <c r="R666" s="44" t="s">
        <v>17</v>
      </c>
      <c r="S666" s="146">
        <v>74</v>
      </c>
      <c r="T666" s="241">
        <v>3</v>
      </c>
      <c r="U666" s="244" t="str">
        <f>IF(AND(N667&lt;&gt;"",N668&lt;&gt;""),CONCATENATE(VLOOKUP(N667,[2]zawodnicy!$A$1:$E$65536,1,FALSE)," ",VLOOKUP(N667,[2]zawodnicy!$A$1:$E$65536,2,FALSE)," ",VLOOKUP(N667,[2]zawodnicy!$A$1:$E$65536,3,FALSE)," - ",VLOOKUP(N667,[2]zawodnicy!$A$1:$E$65536,4,FALSE)),"")</f>
        <v>K4207 Urszula KARWOWSKA - UKSB Milenium Warszawa</v>
      </c>
      <c r="V666" s="245"/>
      <c r="W666" s="246"/>
      <c r="X666" s="46" t="str">
        <f>IF(SUM(AO663:AP663)=0,"",AP663&amp;":"&amp;AO663)</f>
        <v>10:21</v>
      </c>
      <c r="Y666" s="83" t="str">
        <f>IF(SUM(AO666:AP666)=0,"",AP666&amp;":"&amp;AO666)</f>
        <v>21:4</v>
      </c>
      <c r="Z666" s="47"/>
      <c r="AA666" s="48" t="str">
        <f>IF(SUM(AO667:AP667)=0,"",AO667&amp;":"&amp;AP667)</f>
        <v>21:14</v>
      </c>
      <c r="AB666" s="241" t="str">
        <f>IF(SUM(AW665:AZ665,BC665:BD665)=0,"",BE665&amp;":"&amp;BF665)</f>
        <v>147:122</v>
      </c>
      <c r="AC666" s="250" t="str">
        <f>IF(SUM(AW665:AZ665,BC665:BD665)=0,"",BG665&amp;":"&amp;BH665)</f>
        <v>5:3</v>
      </c>
      <c r="AD666" s="250" t="str">
        <f>IF(SUM(AW665:AZ665,BC665:BD665)=0,"",BI665&amp;":"&amp;BJ665)</f>
        <v>2:1</v>
      </c>
      <c r="AE666" s="253">
        <f>IF(SUM(BI663:BI666)&gt;0,BK665,"")</f>
        <v>2</v>
      </c>
      <c r="AF666" s="12"/>
      <c r="AG666" s="12"/>
      <c r="AH666" s="44" t="s">
        <v>17</v>
      </c>
      <c r="AI666" s="49">
        <f>IF(ISBLANK(S666),"",VLOOKUP(S666,'[2]plan gier'!$X$1:$AN$65536,12,FALSE))</f>
        <v>4</v>
      </c>
      <c r="AJ666" s="50">
        <f>IF(ISBLANK(S666),"",VLOOKUP(S666,'[2]plan gier'!$X$1:$AN$65536,13,FALSE))</f>
        <v>21</v>
      </c>
      <c r="AK666" s="50">
        <f>IF(ISBLANK(S666),"",VLOOKUP(S666,'[2]plan gier'!$X$1:$AN$65536,14,FALSE))</f>
        <v>10</v>
      </c>
      <c r="AL666" s="50">
        <f>IF(ISBLANK(S666),"",VLOOKUP(S666,'[2]plan gier'!$X$1:$AN$65536,15,FALSE))</f>
        <v>21</v>
      </c>
      <c r="AM666" s="50">
        <f>IF(ISBLANK(S666),"",VLOOKUP(S666,'[2]plan gier'!$X$1:$AN$65536,16,FALSE))</f>
        <v>0</v>
      </c>
      <c r="AN666" s="50">
        <f>IF(ISBLANK(S666),"",VLOOKUP(S666,'[2]plan gier'!$X$1:$AN$65536,17,FALSE))</f>
        <v>0</v>
      </c>
      <c r="AO666" s="63">
        <f t="shared" si="57"/>
        <v>4</v>
      </c>
      <c r="AP666" s="64">
        <f t="shared" si="57"/>
        <v>21</v>
      </c>
      <c r="AQ666" s="64">
        <f t="shared" si="57"/>
        <v>10</v>
      </c>
      <c r="AR666" s="64">
        <f t="shared" si="57"/>
        <v>21</v>
      </c>
      <c r="AS666" s="64">
        <f t="shared" si="57"/>
        <v>0</v>
      </c>
      <c r="AT666" s="69">
        <f t="shared" si="57"/>
        <v>0</v>
      </c>
      <c r="AU666" s="149">
        <f t="shared" si="58"/>
        <v>56</v>
      </c>
      <c r="AV666" s="5">
        <v>4</v>
      </c>
      <c r="AW666" s="161">
        <f>IF(AI665&lt;AJ665,1,0)+IF(AK665&lt;AL665,1,0)+IF(AM665&lt;AN665,1,0)</f>
        <v>2</v>
      </c>
      <c r="AX666" s="162">
        <f>BC663</f>
        <v>0</v>
      </c>
      <c r="AY666" s="162">
        <f>IF(AI664&lt;AJ664,1,0)+IF(AK664&lt;AL664,1,0)+IF(AM664&lt;AN664,1,0)</f>
        <v>2</v>
      </c>
      <c r="AZ666" s="162">
        <f>BC664</f>
        <v>0</v>
      </c>
      <c r="BA666" s="75">
        <f>IF(AI667&lt;AJ667,1,0)+IF(AK667&lt;AL667,1,0)+IF(AM667&lt;AN667,1,0)</f>
        <v>2</v>
      </c>
      <c r="BB666" s="75">
        <f>BC665</f>
        <v>1</v>
      </c>
      <c r="BC666" s="163"/>
      <c r="BD666" s="164"/>
      <c r="BE666" s="74">
        <f>AP664+AR664+AT664+AP665+AR665+AT665+AP667+AR667+AT667</f>
        <v>143</v>
      </c>
      <c r="BF666" s="81">
        <f>AO664+AQ664+AS664+AO665+AQ665+AS665+AO667+AQ667+AS667</f>
        <v>124</v>
      </c>
      <c r="BG666" s="74">
        <f>AW666+AY666+BA666</f>
        <v>6</v>
      </c>
      <c r="BH666" s="80">
        <f>AX666+AZ666+BB666</f>
        <v>1</v>
      </c>
      <c r="BI666" s="74">
        <f>IF(AW666&gt;AX666,1,0)+IF(AY666&gt;AZ666,1,0)+IF(BA666&gt;BB666,1,0)</f>
        <v>3</v>
      </c>
      <c r="BJ666" s="80">
        <f>IF(AX666&gt;AW666,1,0)+IF(AZ666&gt;AY666,1,0)+IF(BB666&gt;BA666,1,0)</f>
        <v>0</v>
      </c>
      <c r="BK666" s="82">
        <f>IF(BI666+BJ666=0,"",IF(BL666=MAX(BL663:BL666),1,IF(BL666=LARGE(BL663:BL666,2),2,IF(BL666=MIN(BL663:BL666),4,3))))</f>
        <v>1</v>
      </c>
      <c r="BL666" s="60">
        <f>IF(BI666+BJ666&lt;&gt;0,BI666+1+(BG666-BH666)/100+(BE666-BF666)/100000+(BE666/BF666)/1000000,0)</f>
        <v>4.0501911532258061</v>
      </c>
    </row>
    <row r="667" spans="1:64" ht="11.45" customHeight="1" x14ac:dyDescent="0.2">
      <c r="A667" s="19">
        <f t="shared" si="56"/>
        <v>138</v>
      </c>
      <c r="B667" s="19" t="str">
        <f>IF(N667="","",N667)</f>
        <v>K4207</v>
      </c>
      <c r="C667" s="19" t="str">
        <f>IF(N668="","",N668)</f>
        <v>N3738</v>
      </c>
      <c r="D667" s="19" t="str">
        <f>IF(N670="","",N670)</f>
        <v>X28</v>
      </c>
      <c r="E667" s="19" t="str">
        <f>IF(N671="","",N671)</f>
        <v>G4721</v>
      </c>
      <c r="H667" s="10"/>
      <c r="I667" s="2" t="str">
        <f>"4"&amp;O659&amp;N660</f>
        <v>41podwójna dziewcząt JM</v>
      </c>
      <c r="J667" s="10" t="str">
        <f>IF(AE669="","",IF(AE660=4,N661,IF(AE663=4,N664,IF(AE666=4,N667,IF(AE669=4,N670,"")))))</f>
        <v>K4084</v>
      </c>
      <c r="K667" s="10" t="str">
        <f>IF(AE669="","",IF(AE660=4,N662,IF(AE663=4,N665,IF(AE666=4,N668,IF(AE669=4,N671,"")))))</f>
        <v>R3720</v>
      </c>
      <c r="L667" s="10"/>
      <c r="M667" s="42" t="str">
        <f>N660</f>
        <v>podwójna dziewcząt JM</v>
      </c>
      <c r="N667" s="33" t="s">
        <v>96</v>
      </c>
      <c r="O667" s="34">
        <f>IF(O659&gt;0,(O659&amp;3)*1,"")</f>
        <v>13</v>
      </c>
      <c r="Q667" s="43" t="str">
        <f>IF(AU667&gt;0,"",IF(A667=0,"",IF(VLOOKUP(A667,'[2]plan gier'!A$1:S$65536,19,FALSE)="","",VLOOKUP(A667,'[2]plan gier'!A$1:S$65536,19,FALSE))))</f>
        <v/>
      </c>
      <c r="R667" s="44" t="s">
        <v>69</v>
      </c>
      <c r="S667" s="146">
        <v>138</v>
      </c>
      <c r="T667" s="242"/>
      <c r="U667" s="244" t="str">
        <f>IF(AND(N667&lt;&gt;"",N668=""),CONCATENATE(VLOOKUP(N667,[2]zawodnicy!$A$1:$E$65536,1,FALSE)," ",VLOOKUP(N667,[2]zawodnicy!$A$1:$E$65536,2,FALSE)," ",VLOOKUP(N667,[2]zawodnicy!$A$1:$E$65536,3,FALSE)," - ",VLOOKUP(N667,[2]zawodnicy!$A$1:$E$65536,4,FALSE)),"")</f>
        <v/>
      </c>
      <c r="V667" s="245"/>
      <c r="W667" s="246"/>
      <c r="X667" s="61" t="str">
        <f>IF(SUM(AQ663:AR663)=0,"",AR663&amp;":"&amp;AQ663)</f>
        <v>21:18</v>
      </c>
      <c r="Y667" s="36" t="str">
        <f>IF(SUM(AQ666:AR666)=0,"",AR666&amp;":"&amp;AQ666)</f>
        <v>21:10</v>
      </c>
      <c r="Z667" s="62"/>
      <c r="AA667" s="37" t="str">
        <f>IF(SUM(AQ667:AR667)=0,"",AQ667&amp;":"&amp;AR667)</f>
        <v>16:21</v>
      </c>
      <c r="AB667" s="242"/>
      <c r="AC667" s="251"/>
      <c r="AD667" s="251"/>
      <c r="AE667" s="254"/>
      <c r="AF667" s="12"/>
      <c r="AG667" s="12"/>
      <c r="AH667" s="44" t="s">
        <v>69</v>
      </c>
      <c r="AI667" s="49">
        <f>IF(ISBLANK(S667),"",VLOOKUP(S667,'[2]plan gier'!$X$1:$AN$65536,12,FALSE))</f>
        <v>21</v>
      </c>
      <c r="AJ667" s="50">
        <f>IF(ISBLANK(S667),"",VLOOKUP(S667,'[2]plan gier'!$X$1:$AN$65536,13,FALSE))</f>
        <v>14</v>
      </c>
      <c r="AK667" s="50">
        <f>IF(ISBLANK(S667),"",VLOOKUP(S667,'[2]plan gier'!$X$1:$AN$65536,14,FALSE))</f>
        <v>16</v>
      </c>
      <c r="AL667" s="50">
        <f>IF(ISBLANK(S667),"",VLOOKUP(S667,'[2]plan gier'!$X$1:$AN$65536,15,FALSE))</f>
        <v>21</v>
      </c>
      <c r="AM667" s="50">
        <f>IF(ISBLANK(S667),"",VLOOKUP(S667,'[2]plan gier'!$X$1:$AN$65536,16,FALSE))</f>
        <v>16</v>
      </c>
      <c r="AN667" s="50">
        <f>IF(ISBLANK(S667),"",VLOOKUP(S667,'[2]plan gier'!$X$1:$AN$65536,17,FALSE))</f>
        <v>21</v>
      </c>
      <c r="AO667" s="63">
        <f t="shared" si="57"/>
        <v>21</v>
      </c>
      <c r="AP667" s="64">
        <f t="shared" si="57"/>
        <v>14</v>
      </c>
      <c r="AQ667" s="64">
        <f t="shared" si="57"/>
        <v>16</v>
      </c>
      <c r="AR667" s="64">
        <f t="shared" si="57"/>
        <v>21</v>
      </c>
      <c r="AS667" s="64">
        <f t="shared" si="57"/>
        <v>16</v>
      </c>
      <c r="AT667" s="69">
        <f t="shared" si="57"/>
        <v>21</v>
      </c>
      <c r="AU667" s="149">
        <f t="shared" si="58"/>
        <v>109</v>
      </c>
      <c r="BE667" s="19">
        <f t="shared" ref="BE667:BJ667" si="59">SUM(BE663:BE666)</f>
        <v>495</v>
      </c>
      <c r="BF667" s="19">
        <f t="shared" si="59"/>
        <v>495</v>
      </c>
      <c r="BG667" s="19">
        <f t="shared" si="59"/>
        <v>14</v>
      </c>
      <c r="BH667" s="19">
        <f t="shared" si="59"/>
        <v>14</v>
      </c>
      <c r="BI667" s="19">
        <f t="shared" si="59"/>
        <v>6</v>
      </c>
      <c r="BJ667" s="19">
        <f t="shared" si="59"/>
        <v>6</v>
      </c>
      <c r="BK667" s="19"/>
      <c r="BL667" s="20"/>
    </row>
    <row r="668" spans="1:64" ht="11.45" customHeight="1" thickBot="1" x14ac:dyDescent="0.25">
      <c r="A668" s="19">
        <f t="shared" si="56"/>
        <v>139</v>
      </c>
      <c r="B668" s="19" t="str">
        <f>IF(N661="","",N661)</f>
        <v>C3958</v>
      </c>
      <c r="C668" s="19" t="str">
        <f>IF(N662="","",N662)</f>
        <v>M3959</v>
      </c>
      <c r="D668" s="19" t="str">
        <f>IF(N664="","",N664)</f>
        <v>K4084</v>
      </c>
      <c r="E668" s="19" t="str">
        <f>IF(N665="","",N665)</f>
        <v>R3720</v>
      </c>
      <c r="J668" s="28"/>
      <c r="K668" s="28"/>
      <c r="L668" s="28"/>
      <c r="M668" s="42" t="str">
        <f>N660</f>
        <v>podwójna dziewcząt JM</v>
      </c>
      <c r="N668" s="38" t="s">
        <v>145</v>
      </c>
      <c r="O668" s="28"/>
      <c r="P668" s="28"/>
      <c r="Q668" s="43" t="str">
        <f>IF(AU668&gt;0,"",IF(A668=0,"",IF(VLOOKUP(A668,'[2]plan gier'!A$1:S$65536,19,FALSE)="","",VLOOKUP(A668,'[2]plan gier'!A$1:S$65536,19,FALSE))))</f>
        <v/>
      </c>
      <c r="R668" s="44" t="s">
        <v>18</v>
      </c>
      <c r="S668" s="146">
        <v>139</v>
      </c>
      <c r="T668" s="261"/>
      <c r="U668" s="265" t="str">
        <f>IF(N668&lt;&gt;"",CONCATENATE(VLOOKUP(N668,[2]zawodnicy!$A$1:$E$65536,1,FALSE)," ",VLOOKUP(N668,[2]zawodnicy!$A$1:$E$65536,2,FALSE)," ",VLOOKUP(N668,[2]zawodnicy!$A$1:$E$65536,3,FALSE)," - ",VLOOKUP(N668,[2]zawodnicy!$A$1:$E$65536,4,FALSE)),"")</f>
        <v>N3738 Aneta NIKLAS - ULKS U-2 Lotka Bytów</v>
      </c>
      <c r="V668" s="266"/>
      <c r="W668" s="267"/>
      <c r="X668" s="73" t="str">
        <f>IF(SUM(AS663:AT663)=0,"",AT663&amp;":"&amp;AS663)</f>
        <v>21:13</v>
      </c>
      <c r="Y668" s="39" t="str">
        <f>IF(SUM(AS666:AT666)=0,"",AT666&amp;":"&amp;AS666)</f>
        <v/>
      </c>
      <c r="Z668" s="62"/>
      <c r="AA668" s="40" t="str">
        <f>IF(SUM(AS667:AT667)=0,"",AS667&amp;":"&amp;AT667)</f>
        <v>16:21</v>
      </c>
      <c r="AB668" s="242"/>
      <c r="AC668" s="251"/>
      <c r="AD668" s="251"/>
      <c r="AE668" s="254"/>
      <c r="AF668" s="12"/>
      <c r="AG668" s="12"/>
      <c r="AH668" s="44" t="s">
        <v>18</v>
      </c>
      <c r="AI668" s="161">
        <f>IF(ISBLANK(S668),"",VLOOKUP(S668,'[2]plan gier'!$X$1:$AN$65536,12,FALSE))</f>
        <v>21</v>
      </c>
      <c r="AJ668" s="162">
        <f>IF(ISBLANK(S668),"",VLOOKUP(S668,'[2]plan gier'!$X$1:$AN$65536,13,FALSE))</f>
        <v>13</v>
      </c>
      <c r="AK668" s="162">
        <f>IF(ISBLANK(S668),"",VLOOKUP(S668,'[2]plan gier'!$X$1:$AN$65536,14,FALSE))</f>
        <v>21</v>
      </c>
      <c r="AL668" s="162">
        <f>IF(ISBLANK(S668),"",VLOOKUP(S668,'[2]plan gier'!$X$1:$AN$65536,15,FALSE))</f>
        <v>13</v>
      </c>
      <c r="AM668" s="162">
        <f>IF(ISBLANK(S668),"",VLOOKUP(S668,'[2]plan gier'!$X$1:$AN$65536,16,FALSE))</f>
        <v>0</v>
      </c>
      <c r="AN668" s="162">
        <f>IF(ISBLANK(S668),"",VLOOKUP(S668,'[2]plan gier'!$X$1:$AN$65536,17,FALSE))</f>
        <v>0</v>
      </c>
      <c r="AO668" s="74">
        <f t="shared" si="57"/>
        <v>21</v>
      </c>
      <c r="AP668" s="75">
        <f t="shared" si="57"/>
        <v>13</v>
      </c>
      <c r="AQ668" s="75">
        <f t="shared" si="57"/>
        <v>21</v>
      </c>
      <c r="AR668" s="75">
        <f t="shared" si="57"/>
        <v>13</v>
      </c>
      <c r="AS668" s="75">
        <f t="shared" si="57"/>
        <v>0</v>
      </c>
      <c r="AT668" s="80">
        <f t="shared" si="57"/>
        <v>0</v>
      </c>
      <c r="AU668" s="149">
        <f t="shared" si="58"/>
        <v>68</v>
      </c>
      <c r="BK668" s="19"/>
      <c r="BL668" s="20"/>
    </row>
    <row r="669" spans="1:64" ht="11.45" customHeight="1" x14ac:dyDescent="0.2">
      <c r="A669" s="2"/>
      <c r="J669" s="28"/>
      <c r="K669" s="28"/>
      <c r="L669" s="28"/>
      <c r="O669" s="28"/>
      <c r="P669" s="28"/>
      <c r="Q669" s="2"/>
      <c r="R669" s="2"/>
      <c r="S669" s="2"/>
      <c r="T669" s="241">
        <v>4</v>
      </c>
      <c r="U669" s="244" t="str">
        <f>IF(AND(N670&lt;&gt;"",N671&lt;&gt;""),CONCATENATE(VLOOKUP(N670,[2]zawodnicy!$A$1:$E$65536,1,FALSE)," ",VLOOKUP(N670,[2]zawodnicy!$A$1:$E$65536,2,FALSE)," ",VLOOKUP(N670,[2]zawodnicy!$A$1:$E$65536,3,FALSE)," - ",VLOOKUP(N670,[2]zawodnicy!$A$1:$E$65536,4,FALSE)),"")</f>
        <v>X28 Yulia BAYAROUSKAYA - Białoruś</v>
      </c>
      <c r="V669" s="245"/>
      <c r="W669" s="246"/>
      <c r="X669" s="46" t="str">
        <f>IF(SUM(AO665:AP665)=0,"",AP665&amp;":"&amp;AO665)</f>
        <v>21:16</v>
      </c>
      <c r="Y669" s="83" t="str">
        <f>IF(SUM(AO664:AP664)=0,"",AP664&amp;":"&amp;AO664)</f>
        <v>21:17</v>
      </c>
      <c r="Z669" s="83" t="str">
        <f>IF(SUM(AO667:AP667)=0,"",AP667&amp;":"&amp;AO667)</f>
        <v>14:21</v>
      </c>
      <c r="AA669" s="165"/>
      <c r="AB669" s="241" t="str">
        <f>IF(SUM(AW666:BB666)=0,"",BE666&amp;":"&amp;BF666)</f>
        <v>143:124</v>
      </c>
      <c r="AC669" s="250" t="str">
        <f>IF(SUM(AW666:BB666)=0,"",BG666&amp;":"&amp;BH666)</f>
        <v>6:1</v>
      </c>
      <c r="AD669" s="250" t="str">
        <f>IF(SUM(AW666:BB666)=0,"",BI666&amp;":"&amp;BJ666)</f>
        <v>3:0</v>
      </c>
      <c r="AE669" s="253">
        <f>IF(SUM(BI663:BI666)&gt;0,BK666,"")</f>
        <v>1</v>
      </c>
      <c r="AF669" s="12"/>
      <c r="AG669" s="12"/>
      <c r="AH669" s="2"/>
      <c r="AI669" s="2"/>
      <c r="AJ669" s="2"/>
      <c r="AK669" s="2"/>
      <c r="AL669" s="2"/>
      <c r="AM669" s="2"/>
      <c r="AN669" s="2"/>
      <c r="AO669" s="2"/>
      <c r="AP669" s="2"/>
      <c r="AQ669" s="2"/>
      <c r="AR669" s="2"/>
      <c r="AS669" s="2"/>
      <c r="AT669" s="2"/>
      <c r="AU669" s="2"/>
      <c r="BK669" s="19"/>
      <c r="BL669" s="20"/>
    </row>
    <row r="670" spans="1:64" ht="11.45" customHeight="1" x14ac:dyDescent="0.2">
      <c r="A670" s="19"/>
      <c r="B670" s="19"/>
      <c r="C670" s="19"/>
      <c r="D670" s="19"/>
      <c r="E670" s="19"/>
      <c r="H670" s="10"/>
      <c r="J670" s="19"/>
      <c r="K670" s="19"/>
      <c r="L670" s="19"/>
      <c r="N670" s="33" t="s">
        <v>103</v>
      </c>
      <c r="O670" s="34">
        <f>IF(O659&gt;0,(O659&amp;4)*1,"")</f>
        <v>14</v>
      </c>
      <c r="Q670" s="85"/>
      <c r="R670" s="85"/>
      <c r="S670" s="85"/>
      <c r="T670" s="242"/>
      <c r="U670" s="244" t="str">
        <f>IF(AND(N670&lt;&gt;"",N671=""),CONCATENATE(VLOOKUP(N670,[2]zawodnicy!$A$1:$E$65536,1,FALSE)," ",VLOOKUP(N670,[2]zawodnicy!$A$1:$E$65536,2,FALSE)," ",VLOOKUP(N670,[2]zawodnicy!$A$1:$E$65536,3,FALSE)," - ",VLOOKUP(N670,[2]zawodnicy!$A$1:$E$65536,4,FALSE)),"")</f>
        <v/>
      </c>
      <c r="V670" s="245"/>
      <c r="W670" s="246"/>
      <c r="X670" s="61" t="str">
        <f>IF(SUM(AQ665:AR665)=0,"",AR665&amp;":"&amp;AQ665)</f>
        <v>21:16</v>
      </c>
      <c r="Y670" s="36" t="str">
        <f>IF(SUM(AQ664:AR664)=0,"",AR664&amp;":"&amp;AQ664)</f>
        <v>24:22</v>
      </c>
      <c r="Z670" s="36" t="str">
        <f>IF(SUM(AQ667:AR667)=0,"",AR667&amp;":"&amp;AQ667)</f>
        <v>21:16</v>
      </c>
      <c r="AA670" s="166"/>
      <c r="AB670" s="242"/>
      <c r="AC670" s="251"/>
      <c r="AD670" s="251"/>
      <c r="AE670" s="254"/>
      <c r="AF670" s="12"/>
      <c r="AG670" s="1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row>
    <row r="671" spans="1:64" ht="11.45" customHeight="1" thickBot="1" x14ac:dyDescent="0.25">
      <c r="A671" s="2"/>
      <c r="J671" s="28"/>
      <c r="K671" s="28"/>
      <c r="L671" s="28"/>
      <c r="N671" s="38" t="s">
        <v>101</v>
      </c>
      <c r="O671" s="28"/>
      <c r="P671" s="28"/>
      <c r="Q671" s="2"/>
      <c r="R671" s="2"/>
      <c r="S671" s="2"/>
      <c r="T671" s="243"/>
      <c r="U671" s="256" t="str">
        <f>IF(N671&lt;&gt;"",CONCATENATE(VLOOKUP(N671,[2]zawodnicy!$A$1:$E$65536,1,FALSE)," ",VLOOKUP(N671,[2]zawodnicy!$A$1:$E$65536,2,FALSE)," ",VLOOKUP(N671,[2]zawodnicy!$A$1:$E$65536,3,FALSE)," - ",VLOOKUP(N671,[2]zawodnicy!$A$1:$E$65536,4,FALSE)),"")</f>
        <v>G4721 Kinga GURZ - UKS Sokół Ropczyce</v>
      </c>
      <c r="V671" s="257"/>
      <c r="W671" s="258"/>
      <c r="X671" s="87" t="str">
        <f>IF(SUM(AS665:AT665)=0,"",AT665&amp;":"&amp;AS665)</f>
        <v/>
      </c>
      <c r="Y671" s="88" t="str">
        <f>IF(SUM(AS664:AT664)=0,"",AT664&amp;":"&amp;AS664)</f>
        <v/>
      </c>
      <c r="Z671" s="88" t="str">
        <f>IF(SUM(AS667:AT667)=0,"",AT667&amp;":"&amp;AS667)</f>
        <v>21:16</v>
      </c>
      <c r="AA671" s="89"/>
      <c r="AB671" s="243"/>
      <c r="AC671" s="252"/>
      <c r="AD671" s="252"/>
      <c r="AE671" s="255"/>
      <c r="AF671" s="12"/>
      <c r="AG671" s="1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row>
    <row r="672" spans="1:64" ht="5.0999999999999996" customHeight="1" thickBot="1" x14ac:dyDescent="0.25">
      <c r="BK672" s="19"/>
      <c r="BL672" s="20"/>
    </row>
    <row r="673" spans="1:64" ht="11.45" customHeight="1" thickBot="1" x14ac:dyDescent="0.25">
      <c r="N673" s="11"/>
      <c r="O673" s="21">
        <v>2</v>
      </c>
      <c r="Q673" s="277" t="str">
        <f>"Grupa "&amp;O673&amp;"."</f>
        <v>Grupa 2.</v>
      </c>
      <c r="R673" s="277"/>
      <c r="S673" s="277"/>
      <c r="T673" s="22" t="s">
        <v>1</v>
      </c>
      <c r="U673" s="278" t="s">
        <v>2</v>
      </c>
      <c r="V673" s="279"/>
      <c r="W673" s="280"/>
      <c r="X673" s="22">
        <v>1</v>
      </c>
      <c r="Y673" s="23">
        <v>2</v>
      </c>
      <c r="Z673" s="24">
        <v>3</v>
      </c>
      <c r="AA673" s="25" t="s">
        <v>3</v>
      </c>
      <c r="AB673" s="26" t="s">
        <v>4</v>
      </c>
      <c r="AC673" s="26" t="s">
        <v>5</v>
      </c>
      <c r="AD673" s="27" t="s">
        <v>6</v>
      </c>
      <c r="AE673" s="2"/>
      <c r="AF673" s="12"/>
      <c r="AG673" s="12"/>
      <c r="BK673" s="19"/>
      <c r="BL673" s="20"/>
    </row>
    <row r="674" spans="1:64" ht="11.45" customHeight="1" x14ac:dyDescent="0.2">
      <c r="J674" s="28"/>
      <c r="K674" s="28"/>
      <c r="L674" s="28"/>
      <c r="N674" s="29" t="s">
        <v>142</v>
      </c>
      <c r="Q674" s="274" t="s">
        <v>7</v>
      </c>
      <c r="R674" s="274"/>
      <c r="S674" s="275" t="s">
        <v>8</v>
      </c>
      <c r="T674" s="276">
        <v>1</v>
      </c>
      <c r="U674" s="244" t="str">
        <f>IF(AND(N675&lt;&gt;"",N676&lt;&gt;""),CONCATENATE(VLOOKUP(N675,[2]zawodnicy!$A$1:$E$65536,1,FALSE)," ",VLOOKUP(N675,[2]zawodnicy!$A$1:$E$65536,2,FALSE)," ",VLOOKUP(N675,[2]zawodnicy!$A$1:$E$65536,3,FALSE)," - ",VLOOKUP(N675,[2]zawodnicy!$A$1:$E$65536,4,FALSE)),"")</f>
        <v>B4205 Daniela BIELIŃSKA - UKS Unia Bieruń</v>
      </c>
      <c r="V674" s="245"/>
      <c r="W674" s="246"/>
      <c r="X674" s="30"/>
      <c r="Y674" s="31" t="str">
        <f>IF(SUM(AO679:AP679)=0,"",AO679&amp;":"&amp;AP679)</f>
        <v>11:21</v>
      </c>
      <c r="Z674" s="32" t="str">
        <f>IF(SUM(AO677:AP677)=0,"",AO677&amp;":"&amp;AP677)</f>
        <v>21:11</v>
      </c>
      <c r="AA674" s="270" t="str">
        <f>IF(SUM(AY677:BB677)=0,"",BE677&amp;":"&amp;BF677)</f>
        <v>64:66</v>
      </c>
      <c r="AB674" s="271" t="str">
        <f>IF(SUM(AY677:BB677)=0,"",BG677&amp;":"&amp;BH677)</f>
        <v>2:2</v>
      </c>
      <c r="AC674" s="271" t="str">
        <f>IF(SUM(AY677:BB677)=0,"",BI677&amp;":"&amp;BJ677)</f>
        <v>1:1</v>
      </c>
      <c r="AD674" s="272">
        <f>IF(SUM(BI677:BI679)&gt;0,BK677,"")</f>
        <v>2</v>
      </c>
      <c r="AE674" s="2"/>
      <c r="AF674" s="12"/>
      <c r="AG674" s="12"/>
      <c r="AH674" s="14"/>
      <c r="AI674" s="273" t="s">
        <v>9</v>
      </c>
      <c r="AJ674" s="273"/>
      <c r="AK674" s="273"/>
      <c r="AL674" s="273"/>
      <c r="AM674" s="273"/>
      <c r="AN674" s="273"/>
      <c r="AO674" s="273" t="s">
        <v>10</v>
      </c>
      <c r="AP674" s="273"/>
      <c r="AQ674" s="273"/>
      <c r="AR674" s="273"/>
      <c r="AS674" s="273"/>
      <c r="AT674" s="273"/>
      <c r="BK674" s="19"/>
      <c r="BL674" s="20"/>
    </row>
    <row r="675" spans="1:64" ht="11.45" customHeight="1" thickBot="1" x14ac:dyDescent="0.25">
      <c r="I675" s="2" t="str">
        <f>"1"&amp;O673&amp;N674</f>
        <v>12podwójna dziewcząt JM</v>
      </c>
      <c r="J675" s="10" t="str">
        <f>IF(AD674="","",IF(AD674=1,N675,IF(AD677=1,N678,IF(AD680=1,N681,""))))</f>
        <v>X19</v>
      </c>
      <c r="K675" s="10" t="str">
        <f>IF(AD674="","",IF(AD674=1,N676,IF(AD677=1,N679,IF(AD680=1,N682,""))))</f>
        <v>X20</v>
      </c>
      <c r="L675" s="10"/>
      <c r="N675" s="33" t="s">
        <v>94</v>
      </c>
      <c r="O675" s="34">
        <f>IF(O673&gt;0,(O673&amp;1)*1,"")</f>
        <v>21</v>
      </c>
      <c r="Q675" s="274"/>
      <c r="R675" s="274"/>
      <c r="S675" s="275"/>
      <c r="T675" s="242"/>
      <c r="U675" s="244" t="str">
        <f>IF(AND(N675&lt;&gt;"",N676=""),CONCATENATE(VLOOKUP(N675,[2]zawodnicy!$A$1:$E$65536,1,FALSE)," ",VLOOKUP(N675,[2]zawodnicy!$A$1:$E$65536,2,FALSE)," ",VLOOKUP(N675,[2]zawodnicy!$A$1:$E$65536,3,FALSE)," - ",VLOOKUP(N675,[2]zawodnicy!$A$1:$E$65536,4,FALSE)),"")</f>
        <v/>
      </c>
      <c r="V675" s="245"/>
      <c r="W675" s="246"/>
      <c r="X675" s="35"/>
      <c r="Y675" s="36" t="str">
        <f>IF(SUM(AQ679:AR679)=0,"",AQ679&amp;":"&amp;AR679)</f>
        <v>11:21</v>
      </c>
      <c r="Z675" s="37" t="str">
        <f>IF(SUM(AQ677:AR677)=0,"",AQ677&amp;":"&amp;AR677)</f>
        <v>21:13</v>
      </c>
      <c r="AA675" s="248"/>
      <c r="AB675" s="251"/>
      <c r="AC675" s="251"/>
      <c r="AD675" s="254"/>
      <c r="AE675" s="2"/>
      <c r="AF675" s="12"/>
      <c r="AG675" s="12"/>
      <c r="AH675" s="14"/>
      <c r="BE675" s="19">
        <f>SUM(BE677:BE679)</f>
        <v>185</v>
      </c>
      <c r="BF675" s="19">
        <f>SUM(BF677:BF679)</f>
        <v>185</v>
      </c>
      <c r="BG675" s="19">
        <f>SUM(BG677:BG679)</f>
        <v>6</v>
      </c>
      <c r="BH675" s="19">
        <f>SUM(BH677:BH679)</f>
        <v>6</v>
      </c>
      <c r="BK675" s="19"/>
      <c r="BL675" s="20"/>
    </row>
    <row r="676" spans="1:64" ht="11.45" customHeight="1" thickBot="1" x14ac:dyDescent="0.25">
      <c r="J676" s="10"/>
      <c r="K676" s="28"/>
      <c r="L676" s="28"/>
      <c r="N676" s="38" t="s">
        <v>87</v>
      </c>
      <c r="O676" s="28"/>
      <c r="P676" s="28"/>
      <c r="Q676" s="274"/>
      <c r="R676" s="274"/>
      <c r="S676" s="275"/>
      <c r="T676" s="261"/>
      <c r="U676" s="265" t="str">
        <f>IF(N676&lt;&gt;"",CONCATENATE(VLOOKUP(N676,[2]zawodnicy!$A$1:$E$65536,1,FALSE)," ",VLOOKUP(N676,[2]zawodnicy!$A$1:$E$65536,2,FALSE)," ",VLOOKUP(N676,[2]zawodnicy!$A$1:$E$65536,3,FALSE)," - ",VLOOKUP(N676,[2]zawodnicy!$A$1:$E$65536,4,FALSE)),"")</f>
        <v>I4204 Agata ISKRA - UKS Unia Bieruń</v>
      </c>
      <c r="V676" s="266"/>
      <c r="W676" s="267"/>
      <c r="X676" s="35"/>
      <c r="Y676" s="39" t="str">
        <f>IF(SUM(AS679:AT679)=0,"",AS679&amp;":"&amp;AT679)</f>
        <v/>
      </c>
      <c r="Z676" s="40" t="str">
        <f>IF(SUM(AS677:AT677)=0,"",AS677&amp;":"&amp;AT677)</f>
        <v/>
      </c>
      <c r="AA676" s="262"/>
      <c r="AB676" s="263"/>
      <c r="AC676" s="263"/>
      <c r="AD676" s="264"/>
      <c r="AE676" s="2"/>
      <c r="AF676" s="12"/>
      <c r="AG676" s="12"/>
      <c r="AH676" s="14"/>
      <c r="AI676" s="259" t="s">
        <v>12</v>
      </c>
      <c r="AJ676" s="269"/>
      <c r="AK676" s="268" t="s">
        <v>13</v>
      </c>
      <c r="AL676" s="269"/>
      <c r="AM676" s="268" t="s">
        <v>14</v>
      </c>
      <c r="AN676" s="260"/>
      <c r="AO676" s="259" t="s">
        <v>12</v>
      </c>
      <c r="AP676" s="269"/>
      <c r="AQ676" s="268" t="s">
        <v>13</v>
      </c>
      <c r="AR676" s="269"/>
      <c r="AS676" s="268" t="s">
        <v>14</v>
      </c>
      <c r="AT676" s="269"/>
      <c r="AU676" s="12"/>
      <c r="AV676" s="12"/>
      <c r="AW676" s="259">
        <v>1</v>
      </c>
      <c r="AX676" s="269"/>
      <c r="AY676" s="268">
        <v>2</v>
      </c>
      <c r="AZ676" s="269"/>
      <c r="BA676" s="268">
        <v>3</v>
      </c>
      <c r="BB676" s="260"/>
      <c r="BE676" s="259" t="s">
        <v>3</v>
      </c>
      <c r="BF676" s="260"/>
      <c r="BG676" s="259" t="s">
        <v>4</v>
      </c>
      <c r="BH676" s="260"/>
      <c r="BI676" s="259" t="s">
        <v>5</v>
      </c>
      <c r="BJ676" s="260"/>
      <c r="BK676" s="41" t="s">
        <v>6</v>
      </c>
      <c r="BL676" s="20"/>
    </row>
    <row r="677" spans="1:64" ht="11.45" customHeight="1" x14ac:dyDescent="0.2">
      <c r="A677" s="19">
        <f>S677</f>
        <v>10</v>
      </c>
      <c r="B677" s="2" t="str">
        <f>IF(N675="","",N675)</f>
        <v>B4205</v>
      </c>
      <c r="C677" s="2" t="str">
        <f>IF(N676="","",N676)</f>
        <v>I4204</v>
      </c>
      <c r="D677" s="2" t="str">
        <f>IF(N681="","",N681)</f>
        <v>K3764</v>
      </c>
      <c r="E677" s="2" t="str">
        <f>IF(N682="","",N682)</f>
        <v>P4482</v>
      </c>
      <c r="I677" s="2" t="str">
        <f>"2"&amp;O673&amp;N674</f>
        <v>22podwójna dziewcząt JM</v>
      </c>
      <c r="J677" s="10" t="str">
        <f>IF(AD677="","",IF(AD674=2,N675,IF(AD677=2,N678,IF(AD680=2,N681,""))))</f>
        <v>B4205</v>
      </c>
      <c r="K677" s="10" t="str">
        <f>IF(AD677="","",IF(AD674=2,N676,IF(AD677=2,N679,IF(AD680=2,N682,""))))</f>
        <v>I4204</v>
      </c>
      <c r="M677" s="42" t="str">
        <f>N674</f>
        <v>podwójna dziewcząt JM</v>
      </c>
      <c r="O677" s="28"/>
      <c r="P677" s="28"/>
      <c r="Q677" s="43" t="str">
        <f>IF(AU677&gt;0,"",IF(A677=0,"",IF(VLOOKUP(A677,'[2]plan gier'!A$1:S$65536,19,FALSE)="","",VLOOKUP(A677,'[2]plan gier'!A$1:S$65536,19,FALSE))))</f>
        <v/>
      </c>
      <c r="R677" s="44" t="s">
        <v>15</v>
      </c>
      <c r="S677" s="45">
        <v>10</v>
      </c>
      <c r="T677" s="241">
        <v>2</v>
      </c>
      <c r="U677" s="244" t="str">
        <f>IF(AND(N678&lt;&gt;"",N679&lt;&gt;""),CONCATENATE(VLOOKUP(N678,[2]zawodnicy!$A$1:$E$65536,1,FALSE)," ",VLOOKUP(N678,[2]zawodnicy!$A$1:$E$65536,2,FALSE)," ",VLOOKUP(N678,[2]zawodnicy!$A$1:$E$65536,3,FALSE)," - ",VLOOKUP(N678,[2]zawodnicy!$A$1:$E$65536,4,FALSE)),"")</f>
        <v>X19 Oleksandra LUGOVYKH - Vinnica Ukraina</v>
      </c>
      <c r="V677" s="245"/>
      <c r="W677" s="246"/>
      <c r="X677" s="46" t="str">
        <f>IF(SUM(AO679:AP679)=0,"",AP679&amp;":"&amp;AO679)</f>
        <v>21:11</v>
      </c>
      <c r="Y677" s="47"/>
      <c r="Z677" s="48" t="str">
        <f>IF(SUM(AO678:AP678)=0,"",AO678&amp;":"&amp;AP678)</f>
        <v>21:8</v>
      </c>
      <c r="AA677" s="247" t="str">
        <f>IF(SUM(AW678:AX678,BA678:BB678)=0,"",BE678&amp;":"&amp;BF678)</f>
        <v>84:35</v>
      </c>
      <c r="AB677" s="250" t="str">
        <f>IF(SUM(AW678:AX678,BA678:BB678)=0,"",BG678&amp;":"&amp;BH678)</f>
        <v>4:0</v>
      </c>
      <c r="AC677" s="250" t="str">
        <f>IF(SUM(AW678:AX678,BA678:BB678)=0,"",BI678&amp;":"&amp;BJ678)</f>
        <v>2:0</v>
      </c>
      <c r="AD677" s="253">
        <f>IF(SUM(BI677:BI679)&gt;0,BK678,"")</f>
        <v>1</v>
      </c>
      <c r="AE677" s="2"/>
      <c r="AF677" s="12"/>
      <c r="AG677" s="12"/>
      <c r="AH677" s="44" t="s">
        <v>15</v>
      </c>
      <c r="AI677" s="49">
        <f>IF(ISBLANK(S677),"",VLOOKUP(S677,'[2]plan gier'!$X$1:$AN$65536,12,FALSE))</f>
        <v>21</v>
      </c>
      <c r="AJ677" s="50">
        <f>IF(ISBLANK(S677),"",VLOOKUP(S677,'[2]plan gier'!$X$1:$AN$65536,13,FALSE))</f>
        <v>11</v>
      </c>
      <c r="AK677" s="50">
        <f>IF(ISBLANK(S677),"",VLOOKUP(S677,'[2]plan gier'!$X$1:$AN$65536,14,FALSE))</f>
        <v>21</v>
      </c>
      <c r="AL677" s="50">
        <f>IF(ISBLANK(S677),"",VLOOKUP(S677,'[2]plan gier'!$X$1:$AN$65536,15,FALSE))</f>
        <v>13</v>
      </c>
      <c r="AM677" s="50">
        <f>IF(ISBLANK(S677),"",VLOOKUP(S677,'[2]plan gier'!$X$1:$AN$65536,16,FALSE))</f>
        <v>0</v>
      </c>
      <c r="AN677" s="50">
        <f>IF(ISBLANK(S677),"",VLOOKUP(S677,'[2]plan gier'!$X$1:$AN$65536,17,FALSE))</f>
        <v>0</v>
      </c>
      <c r="AO677" s="51">
        <f t="shared" ref="AO677:AT679" si="60">IF(AI677="",0,AI677)</f>
        <v>21</v>
      </c>
      <c r="AP677" s="52">
        <f t="shared" si="60"/>
        <v>11</v>
      </c>
      <c r="AQ677" s="53">
        <f t="shared" si="60"/>
        <v>21</v>
      </c>
      <c r="AR677" s="52">
        <f t="shared" si="60"/>
        <v>13</v>
      </c>
      <c r="AS677" s="53">
        <f t="shared" si="60"/>
        <v>0</v>
      </c>
      <c r="AT677" s="52">
        <f t="shared" si="60"/>
        <v>0</v>
      </c>
      <c r="AU677" s="54">
        <f>SUM(AO677:AT677)</f>
        <v>66</v>
      </c>
      <c r="AV677" s="13">
        <v>1</v>
      </c>
      <c r="AW677" s="55"/>
      <c r="AX677" s="56"/>
      <c r="AY677" s="50">
        <f>IF(AI679&gt;AJ679,1,0)+IF(AK679&gt;AL679,1,0)+IF(AM679&gt;AN679,1,0)</f>
        <v>0</v>
      </c>
      <c r="AZ677" s="50">
        <f>AW678</f>
        <v>2</v>
      </c>
      <c r="BA677" s="50">
        <f>IF(AI677&gt;AJ677,1,0)+IF(AK677&gt;AL677,1,0)+IF(AM677&gt;AN677,1,0)</f>
        <v>2</v>
      </c>
      <c r="BB677" s="57">
        <f>AW679</f>
        <v>0</v>
      </c>
      <c r="BE677" s="49">
        <f>AO677+AQ677+AS677+AO679+AQ679+AS679</f>
        <v>64</v>
      </c>
      <c r="BF677" s="57">
        <f>AP677+AR677+AT677+AP679+AR679+AT679</f>
        <v>66</v>
      </c>
      <c r="BG677" s="49">
        <f>AY677+BA677</f>
        <v>2</v>
      </c>
      <c r="BH677" s="57">
        <f>AZ677+BB677</f>
        <v>2</v>
      </c>
      <c r="BI677" s="49">
        <f>IF(AY677&gt;AZ677,1,0)+IF(BA677&gt;BB677,1,0)</f>
        <v>1</v>
      </c>
      <c r="BJ677" s="58">
        <f>IF(AZ677&gt;AY677,1,0)+IF(BB677&gt;BA677,1,0)</f>
        <v>1</v>
      </c>
      <c r="BK677" s="59">
        <f>IF(BI677+BJ677=0,"",IF(BL677=MAX(BL677:BL679),1,IF(BL677=MIN(BL677:BL679),3,2)))</f>
        <v>2</v>
      </c>
      <c r="BL677" s="60">
        <f>IF(BI677+BJ677&lt;&gt;0,BI677+1+(BG677-BH677)/100+(BE677-BF677)/100000+(BE677/BF677)/1000000,0)</f>
        <v>1.9999809696969697</v>
      </c>
    </row>
    <row r="678" spans="1:64" ht="11.45" customHeight="1" x14ac:dyDescent="0.2">
      <c r="A678" s="19">
        <f>S678</f>
        <v>75</v>
      </c>
      <c r="B678" s="2" t="str">
        <f>IF(N678="","",N678)</f>
        <v>X19</v>
      </c>
      <c r="C678" s="2" t="str">
        <f>IF(N679="","",N679)</f>
        <v>X20</v>
      </c>
      <c r="D678" s="2" t="str">
        <f>IF(N681="","",N681)</f>
        <v>K3764</v>
      </c>
      <c r="E678" s="2" t="str">
        <f>IF(N682="","",N682)</f>
        <v>P4482</v>
      </c>
      <c r="J678" s="10"/>
      <c r="K678" s="19"/>
      <c r="M678" s="42" t="str">
        <f>N674</f>
        <v>podwójna dziewcząt JM</v>
      </c>
      <c r="N678" s="33" t="s">
        <v>82</v>
      </c>
      <c r="O678" s="34">
        <f>IF(O673&gt;0,(O673&amp;2)*1,"")</f>
        <v>22</v>
      </c>
      <c r="Q678" s="43" t="str">
        <f>IF(AU678&gt;0,"",IF(A678=0,"",IF(VLOOKUP(A678,'[2]plan gier'!A$1:S$65536,19,FALSE)="","",VLOOKUP(A678,'[2]plan gier'!A$1:S$65536,19,FALSE))))</f>
        <v/>
      </c>
      <c r="R678" s="44" t="s">
        <v>17</v>
      </c>
      <c r="S678" s="45">
        <v>75</v>
      </c>
      <c r="T678" s="242"/>
      <c r="U678" s="244" t="str">
        <f>IF(AND(N678&lt;&gt;"",N679=""),CONCATENATE(VLOOKUP(N678,[2]zawodnicy!$A$1:$E$65536,1,FALSE)," ",VLOOKUP(N678,[2]zawodnicy!$A$1:$E$65536,2,FALSE)," ",VLOOKUP(N678,[2]zawodnicy!$A$1:$E$65536,3,FALSE)," - ",VLOOKUP(N678,[2]zawodnicy!$A$1:$E$65536,4,FALSE)),"")</f>
        <v/>
      </c>
      <c r="V678" s="245"/>
      <c r="W678" s="246"/>
      <c r="X678" s="61" t="str">
        <f>IF(SUM(AQ679:AR679)=0,"",AR679&amp;":"&amp;AQ679)</f>
        <v>21:11</v>
      </c>
      <c r="Y678" s="62"/>
      <c r="Z678" s="37" t="str">
        <f>IF(SUM(AQ678:AR678)=0,"",AQ678&amp;":"&amp;AR678)</f>
        <v>21:5</v>
      </c>
      <c r="AA678" s="248"/>
      <c r="AB678" s="251"/>
      <c r="AC678" s="251"/>
      <c r="AD678" s="254"/>
      <c r="AE678" s="2"/>
      <c r="AF678" s="12"/>
      <c r="AG678" s="12"/>
      <c r="AH678" s="44" t="s">
        <v>17</v>
      </c>
      <c r="AI678" s="63">
        <f>IF(ISBLANK(S678),"",VLOOKUP(S678,'[2]plan gier'!$X$1:$AN$65536,12,FALSE))</f>
        <v>21</v>
      </c>
      <c r="AJ678" s="64">
        <f>IF(ISBLANK(S678),"",VLOOKUP(S678,'[2]plan gier'!$X$1:$AN$65536,13,FALSE))</f>
        <v>8</v>
      </c>
      <c r="AK678" s="64">
        <f>IF(ISBLANK(S678),"",VLOOKUP(S678,'[2]plan gier'!$X$1:$AN$65536,14,FALSE))</f>
        <v>21</v>
      </c>
      <c r="AL678" s="64">
        <f>IF(ISBLANK(S678),"",VLOOKUP(S678,'[2]plan gier'!$X$1:$AN$65536,15,FALSE))</f>
        <v>5</v>
      </c>
      <c r="AM678" s="64">
        <f>IF(ISBLANK(S678),"",VLOOKUP(S678,'[2]plan gier'!$X$1:$AN$65536,16,FALSE))</f>
        <v>0</v>
      </c>
      <c r="AN678" s="64">
        <f>IF(ISBLANK(S678),"",VLOOKUP(S678,'[2]plan gier'!$X$1:$AN$65536,17,FALSE))</f>
        <v>0</v>
      </c>
      <c r="AO678" s="65">
        <f t="shared" si="60"/>
        <v>21</v>
      </c>
      <c r="AP678" s="64">
        <f t="shared" si="60"/>
        <v>8</v>
      </c>
      <c r="AQ678" s="66">
        <f t="shared" si="60"/>
        <v>21</v>
      </c>
      <c r="AR678" s="64">
        <f t="shared" si="60"/>
        <v>5</v>
      </c>
      <c r="AS678" s="66">
        <f t="shared" si="60"/>
        <v>0</v>
      </c>
      <c r="AT678" s="64">
        <f t="shared" si="60"/>
        <v>0</v>
      </c>
      <c r="AU678" s="54">
        <f>SUM(AO678:AT678)</f>
        <v>55</v>
      </c>
      <c r="AV678" s="13">
        <v>2</v>
      </c>
      <c r="AW678" s="63">
        <f>IF(AI679&lt;AJ679,1,0)+IF(AK679&lt;AL679,1,0)+IF(AM679&lt;AN679,1,0)</f>
        <v>2</v>
      </c>
      <c r="AX678" s="64">
        <f>AY677</f>
        <v>0</v>
      </c>
      <c r="AY678" s="67"/>
      <c r="AZ678" s="68"/>
      <c r="BA678" s="64">
        <f>IF(AI678&gt;AJ678,1,0)+IF(AK678&gt;AL678,1,0)+IF(AM678&gt;AN678,1,0)</f>
        <v>2</v>
      </c>
      <c r="BB678" s="69">
        <f>AY679</f>
        <v>0</v>
      </c>
      <c r="BE678" s="63">
        <f>AO678+AQ678+AS678+AP679+AR679+AT679</f>
        <v>84</v>
      </c>
      <c r="BF678" s="69">
        <f>AP678+AR678+AT678+AO679+AQ679+AS679</f>
        <v>35</v>
      </c>
      <c r="BG678" s="63">
        <f>AW678+BA678</f>
        <v>4</v>
      </c>
      <c r="BH678" s="69">
        <f>AX678+BB678</f>
        <v>0</v>
      </c>
      <c r="BI678" s="63">
        <f>IF(AW678&gt;AX678,1,0)+IF(BA678&gt;BB678,1,0)</f>
        <v>2</v>
      </c>
      <c r="BJ678" s="70">
        <f>IF(AX678&gt;AW678,1,0)+IF(BB678&gt;BA678,1,0)</f>
        <v>0</v>
      </c>
      <c r="BK678" s="71">
        <f>IF(BI678+BJ678=0,"",IF(BL678=MAX(BL677:BL679),1,IF(BL678=MIN(BL677:BL679),3,2)))</f>
        <v>1</v>
      </c>
      <c r="BL678" s="60">
        <f>IF(BI678+BJ678&lt;&gt;0,BI678+1+(BG678-BH678)/100+(BE678-BF678)/100000+(BE678/BF678)/1000000,0)</f>
        <v>3.0404924000000002</v>
      </c>
    </row>
    <row r="679" spans="1:64" ht="11.45" customHeight="1" thickBot="1" x14ac:dyDescent="0.25">
      <c r="A679" s="19">
        <f>S679</f>
        <v>140</v>
      </c>
      <c r="B679" s="2" t="str">
        <f>IF(N675="","",N675)</f>
        <v>B4205</v>
      </c>
      <c r="C679" s="2" t="str">
        <f>IF(N676="","",N676)</f>
        <v>I4204</v>
      </c>
      <c r="D679" s="2" t="str">
        <f>IF(N678="","",N678)</f>
        <v>X19</v>
      </c>
      <c r="E679" s="2" t="str">
        <f>IF(N679="","",N679)</f>
        <v>X20</v>
      </c>
      <c r="I679" s="2" t="str">
        <f>"3"&amp;O673&amp;N674</f>
        <v>32podwójna dziewcząt JM</v>
      </c>
      <c r="J679" s="10" t="str">
        <f>IF(AD680="","",IF(AD674=3,N675,IF(AD677=3,N678,IF(AD680=3,N681,""))))</f>
        <v>K3764</v>
      </c>
      <c r="K679" s="10" t="str">
        <f>IF(AD680="","",IF(AD674=3,N676,IF(AD677=3,N679,IF(AD680=3,N682,""))))</f>
        <v>P4482</v>
      </c>
      <c r="M679" s="42" t="str">
        <f>N674</f>
        <v>podwójna dziewcząt JM</v>
      </c>
      <c r="N679" s="38" t="s">
        <v>100</v>
      </c>
      <c r="O679" s="28"/>
      <c r="P679" s="28"/>
      <c r="Q679" s="43" t="str">
        <f>IF(AU679&gt;0,"",IF(A679=0,"",IF(VLOOKUP(A679,'[2]plan gier'!A$1:S$65536,19,FALSE)="","",VLOOKUP(A679,'[2]plan gier'!A$1:S$65536,19,FALSE))))</f>
        <v/>
      </c>
      <c r="R679" s="72" t="s">
        <v>18</v>
      </c>
      <c r="S679" s="45">
        <v>140</v>
      </c>
      <c r="T679" s="261"/>
      <c r="U679" s="265" t="str">
        <f>IF(N679&lt;&gt;"",CONCATENATE(VLOOKUP(N679,[2]zawodnicy!$A$1:$E$65536,1,FALSE)," ",VLOOKUP(N679,[2]zawodnicy!$A$1:$E$65536,2,FALSE)," ",VLOOKUP(N679,[2]zawodnicy!$A$1:$E$65536,3,FALSE)," - ",VLOOKUP(N679,[2]zawodnicy!$A$1:$E$65536,4,FALSE)),"")</f>
        <v>X20 Inna SEBOVA - Vinnica Ukraina</v>
      </c>
      <c r="V679" s="266"/>
      <c r="W679" s="267"/>
      <c r="X679" s="73" t="str">
        <f>IF(SUM(AS679:AT679)=0,"",AT679&amp;":"&amp;AS679)</f>
        <v/>
      </c>
      <c r="Y679" s="62"/>
      <c r="Z679" s="40" t="str">
        <f>IF(SUM(AS678:AT678)=0,"",AS678&amp;":"&amp;AT678)</f>
        <v/>
      </c>
      <c r="AA679" s="262"/>
      <c r="AB679" s="263"/>
      <c r="AC679" s="263"/>
      <c r="AD679" s="264"/>
      <c r="AE679" s="2"/>
      <c r="AF679" s="12"/>
      <c r="AG679" s="12"/>
      <c r="AH679" s="72" t="s">
        <v>18</v>
      </c>
      <c r="AI679" s="74">
        <f>IF(ISBLANK(S679),"",VLOOKUP(S679,'[2]plan gier'!$X$1:$AN$65536,12,FALSE))</f>
        <v>11</v>
      </c>
      <c r="AJ679" s="75">
        <f>IF(ISBLANK(S679),"",VLOOKUP(S679,'[2]plan gier'!$X$1:$AN$65536,13,FALSE))</f>
        <v>21</v>
      </c>
      <c r="AK679" s="75">
        <f>IF(ISBLANK(S679),"",VLOOKUP(S679,'[2]plan gier'!$X$1:$AN$65536,14,FALSE))</f>
        <v>11</v>
      </c>
      <c r="AL679" s="75">
        <f>IF(ISBLANK(S679),"",VLOOKUP(S679,'[2]plan gier'!$X$1:$AN$65536,15,FALSE))</f>
        <v>21</v>
      </c>
      <c r="AM679" s="75">
        <f>IF(ISBLANK(S679),"",VLOOKUP(S679,'[2]plan gier'!$X$1:$AN$65536,16,FALSE))</f>
        <v>0</v>
      </c>
      <c r="AN679" s="75">
        <f>IF(ISBLANK(S679),"",VLOOKUP(S679,'[2]plan gier'!$X$1:$AN$65536,17,FALSE))</f>
        <v>0</v>
      </c>
      <c r="AO679" s="76">
        <f t="shared" si="60"/>
        <v>11</v>
      </c>
      <c r="AP679" s="75">
        <f t="shared" si="60"/>
        <v>21</v>
      </c>
      <c r="AQ679" s="77">
        <f t="shared" si="60"/>
        <v>11</v>
      </c>
      <c r="AR679" s="75">
        <f t="shared" si="60"/>
        <v>21</v>
      </c>
      <c r="AS679" s="77">
        <f t="shared" si="60"/>
        <v>0</v>
      </c>
      <c r="AT679" s="75">
        <f t="shared" si="60"/>
        <v>0</v>
      </c>
      <c r="AU679" s="54">
        <f>SUM(AO679:AT679)</f>
        <v>64</v>
      </c>
      <c r="AV679" s="13">
        <v>3</v>
      </c>
      <c r="AW679" s="74">
        <f>IF(AI677&lt;AJ677,1,0)+IF(AK677&lt;AL677,1,0)+IF(AM677&lt;AN677,1,0)</f>
        <v>0</v>
      </c>
      <c r="AX679" s="75">
        <f>BA677</f>
        <v>2</v>
      </c>
      <c r="AY679" s="75">
        <f>IF(AI678&lt;AJ678,1,0)+IF(AK678&lt;AL678,1,0)+IF(AM678&lt;AN678,1,0)</f>
        <v>0</v>
      </c>
      <c r="AZ679" s="75">
        <f>BA678</f>
        <v>2</v>
      </c>
      <c r="BA679" s="78"/>
      <c r="BB679" s="79"/>
      <c r="BE679" s="74">
        <f>AP677+AR677+AT677+AP678+AR678+AT678</f>
        <v>37</v>
      </c>
      <c r="BF679" s="80">
        <f>AO677+AQ677+AS677+AO678+AQ678+AS678</f>
        <v>84</v>
      </c>
      <c r="BG679" s="74">
        <f>AW679+AY679</f>
        <v>0</v>
      </c>
      <c r="BH679" s="80">
        <f>AX679+AZ679</f>
        <v>4</v>
      </c>
      <c r="BI679" s="74">
        <f>IF(AW679&gt;AX679,1,0)+IF(AY679&gt;AZ679,1,0)</f>
        <v>0</v>
      </c>
      <c r="BJ679" s="81">
        <f>IF(AX679&gt;AW679,1,0)+IF(AZ679&gt;AY679,1,0)</f>
        <v>2</v>
      </c>
      <c r="BK679" s="82">
        <f>IF(BI679+BJ679=0,"",IF(BL679=MAX(BL677:BL679),1,IF(BL679=MIN(BL677:BL679),3,2)))</f>
        <v>3</v>
      </c>
      <c r="BL679" s="60">
        <f>IF(BI679+BJ679&lt;&gt;0,BI679+1+(BG679-BH679)/100+(BE679-BF679)/100000+(BE679/BF679)/1000000,0)</f>
        <v>0.95953044047619052</v>
      </c>
    </row>
    <row r="680" spans="1:64" ht="11.45" customHeight="1" x14ac:dyDescent="0.2">
      <c r="A680" s="2"/>
      <c r="J680" s="28"/>
      <c r="K680" s="28"/>
      <c r="L680" s="28"/>
      <c r="O680" s="28"/>
      <c r="P680" s="28"/>
      <c r="Q680" s="2"/>
      <c r="R680" s="2"/>
      <c r="S680" s="2"/>
      <c r="T680" s="241">
        <v>3</v>
      </c>
      <c r="U680" s="244" t="str">
        <f>IF(AND(N681&lt;&gt;"",N682&lt;&gt;""),CONCATENATE(VLOOKUP(N681,[2]zawodnicy!$A$1:$E$65536,1,FALSE)," ",VLOOKUP(N681,[2]zawodnicy!$A$1:$E$65536,2,FALSE)," ",VLOOKUP(N681,[2]zawodnicy!$A$1:$E$65536,3,FALSE)," - ",VLOOKUP(N681,[2]zawodnicy!$A$1:$E$65536,4,FALSE)),"")</f>
        <v>K3764 Sandra KUDYK - UKS Kiko Zamość</v>
      </c>
      <c r="V680" s="245"/>
      <c r="W680" s="246"/>
      <c r="X680" s="46" t="str">
        <f>IF(SUM(AO677:AP677)=0,"",AP677&amp;":"&amp;AO677)</f>
        <v>11:21</v>
      </c>
      <c r="Y680" s="83" t="str">
        <f>IF(SUM(AO678:AP678)=0,"",AP678&amp;":"&amp;AO678)</f>
        <v>8:21</v>
      </c>
      <c r="Z680" s="84"/>
      <c r="AA680" s="247" t="str">
        <f>IF(SUM(AW679:AZ679)=0,"",BE679&amp;":"&amp;BF679)</f>
        <v>37:84</v>
      </c>
      <c r="AB680" s="250" t="str">
        <f>IF(SUM(AW679:AZ679)=0,"",BG679&amp;":"&amp;BH679)</f>
        <v>0:4</v>
      </c>
      <c r="AC680" s="250" t="str">
        <f>IF(SUM(AW679:AZ679)=0,"",BI679&amp;":"&amp;BJ679)</f>
        <v>0:2</v>
      </c>
      <c r="AD680" s="253">
        <f>IF(SUM(BI677:BI679)&gt;0,BK679,"")</f>
        <v>3</v>
      </c>
      <c r="AE680" s="2"/>
      <c r="AF680" s="12"/>
      <c r="AG680" s="12"/>
      <c r="BE680" s="19">
        <f>SUM(BE677:BE679)</f>
        <v>185</v>
      </c>
      <c r="BF680" s="19">
        <f>SUM(BF677:BF679)</f>
        <v>185</v>
      </c>
      <c r="BG680" s="19">
        <f>SUM(BG677:BG679)</f>
        <v>6</v>
      </c>
      <c r="BH680" s="19">
        <f>SUM(BH677:BH679)</f>
        <v>6</v>
      </c>
      <c r="BK680" s="19"/>
      <c r="BL680" s="20"/>
    </row>
    <row r="681" spans="1:64" ht="11.45" customHeight="1" x14ac:dyDescent="0.2">
      <c r="A681" s="19"/>
      <c r="J681" s="19"/>
      <c r="K681" s="19"/>
      <c r="L681" s="19"/>
      <c r="N681" s="33" t="s">
        <v>98</v>
      </c>
      <c r="O681" s="34">
        <f>IF(O673&gt;0,(O673&amp;3)*1,"")</f>
        <v>23</v>
      </c>
      <c r="Q681" s="85"/>
      <c r="R681" s="85"/>
      <c r="S681" s="85"/>
      <c r="T681" s="242"/>
      <c r="U681" s="244" t="str">
        <f>IF(AND(N681&lt;&gt;"",N682=""),CONCATENATE(VLOOKUP(N681,[2]zawodnicy!$A$1:$E$65536,1,FALSE)," ",VLOOKUP(N681,[2]zawodnicy!$A$1:$E$65536,2,FALSE)," ",VLOOKUP(N681,[2]zawodnicy!$A$1:$E$65536,3,FALSE)," - ",VLOOKUP(N681,[2]zawodnicy!$A$1:$E$65536,4,FALSE)),"")</f>
        <v/>
      </c>
      <c r="V681" s="245"/>
      <c r="W681" s="246"/>
      <c r="X681" s="61" t="str">
        <f>IF(SUM(AQ677:AR677)=0,"",AR677&amp;":"&amp;AQ677)</f>
        <v>13:21</v>
      </c>
      <c r="Y681" s="36" t="str">
        <f>IF(SUM(AQ678:AR678)=0,"",AR678&amp;":"&amp;AQ678)</f>
        <v>5:21</v>
      </c>
      <c r="Z681" s="86"/>
      <c r="AA681" s="248"/>
      <c r="AB681" s="251"/>
      <c r="AC681" s="251"/>
      <c r="AD681" s="254"/>
      <c r="AE681" s="2"/>
      <c r="AF681" s="12"/>
      <c r="AG681" s="1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row>
    <row r="682" spans="1:64" ht="11.45" customHeight="1" thickBot="1" x14ac:dyDescent="0.25">
      <c r="A682" s="2"/>
      <c r="J682" s="28"/>
      <c r="K682" s="28"/>
      <c r="L682" s="28"/>
      <c r="N682" s="38" t="s">
        <v>83</v>
      </c>
      <c r="O682" s="28"/>
      <c r="P682" s="28"/>
      <c r="Q682" s="2"/>
      <c r="R682" s="2"/>
      <c r="S682" s="2"/>
      <c r="T682" s="243"/>
      <c r="U682" s="256" t="str">
        <f>IF(N682&lt;&gt;"",CONCATENATE(VLOOKUP(N682,[2]zawodnicy!$A$1:$E$65536,1,FALSE)," ",VLOOKUP(N682,[2]zawodnicy!$A$1:$E$65536,2,FALSE)," ",VLOOKUP(N682,[2]zawodnicy!$A$1:$E$65536,3,FALSE)," - ",VLOOKUP(N682,[2]zawodnicy!$A$1:$E$65536,4,FALSE)),"")</f>
        <v>P4482 Oliwia PIOTROWSKA - UKS Kiko Zamość</v>
      </c>
      <c r="V682" s="257"/>
      <c r="W682" s="258"/>
      <c r="X682" s="87" t="str">
        <f>IF(SUM(AS677:AT677)=0,"",AT677&amp;":"&amp;AS677)</f>
        <v/>
      </c>
      <c r="Y682" s="88" t="str">
        <f>IF(SUM(AS678:AT678)=0,"",AT678&amp;":"&amp;AS678)</f>
        <v/>
      </c>
      <c r="Z682" s="89"/>
      <c r="AA682" s="249"/>
      <c r="AB682" s="252"/>
      <c r="AC682" s="252"/>
      <c r="AD682" s="255"/>
      <c r="AE682" s="10"/>
      <c r="AF682" s="12"/>
      <c r="AG682" s="1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row>
    <row r="683" spans="1:64" s="19" customFormat="1" ht="5.0999999999999996" customHeight="1" thickBot="1" x14ac:dyDescent="0.25">
      <c r="M683" s="90"/>
      <c r="O683" s="90"/>
      <c r="P683" s="90"/>
      <c r="Q683" s="91"/>
      <c r="R683" s="91"/>
      <c r="S683" s="91"/>
      <c r="T683" s="91"/>
      <c r="U683" s="5"/>
      <c r="V683" s="5"/>
      <c r="W683" s="5"/>
      <c r="AA683" s="92"/>
      <c r="AB683" s="91"/>
      <c r="AC683" s="91"/>
      <c r="AD683" s="91"/>
      <c r="AE683" s="91"/>
      <c r="AF683" s="91"/>
      <c r="AI683" s="93"/>
      <c r="AJ683" s="94"/>
      <c r="AK683" s="94"/>
    </row>
    <row r="684" spans="1:64" ht="11.45" customHeight="1" thickBot="1" x14ac:dyDescent="0.25">
      <c r="N684" s="11"/>
      <c r="O684" s="21">
        <v>3</v>
      </c>
      <c r="Q684" s="277" t="str">
        <f>"Grupa "&amp;O684&amp;"."</f>
        <v>Grupa 3.</v>
      </c>
      <c r="R684" s="277"/>
      <c r="S684" s="277"/>
      <c r="T684" s="22" t="s">
        <v>1</v>
      </c>
      <c r="U684" s="278" t="s">
        <v>2</v>
      </c>
      <c r="V684" s="279"/>
      <c r="W684" s="280"/>
      <c r="X684" s="22">
        <v>1</v>
      </c>
      <c r="Y684" s="23">
        <v>2</v>
      </c>
      <c r="Z684" s="24">
        <v>3</v>
      </c>
      <c r="AA684" s="25" t="s">
        <v>3</v>
      </c>
      <c r="AB684" s="26" t="s">
        <v>4</v>
      </c>
      <c r="AC684" s="26" t="s">
        <v>5</v>
      </c>
      <c r="AD684" s="27" t="s">
        <v>6</v>
      </c>
      <c r="AE684" s="2"/>
      <c r="AF684" s="12"/>
      <c r="AG684" s="12"/>
      <c r="BK684" s="19"/>
      <c r="BL684" s="20"/>
    </row>
    <row r="685" spans="1:64" ht="11.45" customHeight="1" x14ac:dyDescent="0.2">
      <c r="J685" s="28"/>
      <c r="K685" s="28"/>
      <c r="L685" s="28"/>
      <c r="N685" s="29" t="s">
        <v>142</v>
      </c>
      <c r="Q685" s="274" t="s">
        <v>7</v>
      </c>
      <c r="R685" s="274"/>
      <c r="S685" s="275" t="s">
        <v>8</v>
      </c>
      <c r="T685" s="276">
        <v>1</v>
      </c>
      <c r="U685" s="244" t="str">
        <f>IF(AND(N686&lt;&gt;"",N687&lt;&gt;""),CONCATENATE(VLOOKUP(N686,[2]zawodnicy!$A$1:$E$65536,1,FALSE)," ",VLOOKUP(N686,[2]zawodnicy!$A$1:$E$65536,2,FALSE)," ",VLOOKUP(N686,[2]zawodnicy!$A$1:$E$65536,3,FALSE)," - ",VLOOKUP(N686,[2]zawodnicy!$A$1:$E$65536,4,FALSE)),"")</f>
        <v>J3786 Emilia JAWORSKA - MKS Spartakus Niepołomice</v>
      </c>
      <c r="V685" s="245"/>
      <c r="W685" s="246"/>
      <c r="X685" s="30"/>
      <c r="Y685" s="31" t="str">
        <f>IF(SUM(AO690:AP690)=0,"",AO690&amp;":"&amp;AP690)</f>
        <v>21:17</v>
      </c>
      <c r="Z685" s="32" t="str">
        <f>IF(SUM(AO688:AP688)=0,"",AO688&amp;":"&amp;AP688)</f>
        <v>21:10</v>
      </c>
      <c r="AA685" s="270" t="str">
        <f>IF(SUM(AY688:BB688)=0,"",BE688&amp;":"&amp;BF688)</f>
        <v>84:42</v>
      </c>
      <c r="AB685" s="271" t="str">
        <f>IF(SUM(AY688:BB688)=0,"",BG688&amp;":"&amp;BH688)</f>
        <v>4:0</v>
      </c>
      <c r="AC685" s="271" t="str">
        <f>IF(SUM(AY688:BB688)=0,"",BI688&amp;":"&amp;BJ688)</f>
        <v>2:0</v>
      </c>
      <c r="AD685" s="272">
        <f>IF(SUM(BI688:BI690)&gt;0,BK688,"")</f>
        <v>1</v>
      </c>
      <c r="AE685" s="2"/>
      <c r="AF685" s="12"/>
      <c r="AG685" s="12"/>
      <c r="AH685" s="14"/>
      <c r="AI685" s="273" t="s">
        <v>9</v>
      </c>
      <c r="AJ685" s="273"/>
      <c r="AK685" s="273"/>
      <c r="AL685" s="273"/>
      <c r="AM685" s="273"/>
      <c r="AN685" s="273"/>
      <c r="AO685" s="273" t="s">
        <v>10</v>
      </c>
      <c r="AP685" s="273"/>
      <c r="AQ685" s="273"/>
      <c r="AR685" s="273"/>
      <c r="AS685" s="273"/>
      <c r="AT685" s="273"/>
      <c r="BK685" s="19"/>
      <c r="BL685" s="20"/>
    </row>
    <row r="686" spans="1:64" ht="11.45" customHeight="1" thickBot="1" x14ac:dyDescent="0.25">
      <c r="I686" s="2" t="str">
        <f>"1"&amp;O684&amp;N685</f>
        <v>13podwójna dziewcząt JM</v>
      </c>
      <c r="J686" s="10" t="str">
        <f>IF(AD685="","",IF(AD685=1,N686,IF(AD688=1,N689,IF(AD691=1,N692,""))))</f>
        <v>J3786</v>
      </c>
      <c r="K686" s="10" t="str">
        <f>IF(AD685="","",IF(AD685=1,N687,IF(AD688=1,N690,IF(AD691=1,N693,""))))</f>
        <v>M3661</v>
      </c>
      <c r="L686" s="10"/>
      <c r="N686" s="33" t="s">
        <v>84</v>
      </c>
      <c r="O686" s="34">
        <f>IF(O684&gt;0,(O684&amp;1)*1,"")</f>
        <v>31</v>
      </c>
      <c r="Q686" s="274"/>
      <c r="R686" s="274"/>
      <c r="S686" s="275"/>
      <c r="T686" s="242"/>
      <c r="U686" s="244" t="str">
        <f>IF(AND(N686&lt;&gt;"",N687=""),CONCATENATE(VLOOKUP(N686,[2]zawodnicy!$A$1:$E$65536,1,FALSE)," ",VLOOKUP(N686,[2]zawodnicy!$A$1:$E$65536,2,FALSE)," ",VLOOKUP(N686,[2]zawodnicy!$A$1:$E$65536,3,FALSE)," - ",VLOOKUP(N686,[2]zawodnicy!$A$1:$E$65536,4,FALSE)),"")</f>
        <v/>
      </c>
      <c r="V686" s="245"/>
      <c r="W686" s="246"/>
      <c r="X686" s="35"/>
      <c r="Y686" s="36" t="str">
        <f>IF(SUM(AQ690:AR690)=0,"",AQ690&amp;":"&amp;AR690)</f>
        <v>21:10</v>
      </c>
      <c r="Z686" s="37" t="str">
        <f>IF(SUM(AQ688:AR688)=0,"",AQ688&amp;":"&amp;AR688)</f>
        <v>21:5</v>
      </c>
      <c r="AA686" s="248"/>
      <c r="AB686" s="251"/>
      <c r="AC686" s="251"/>
      <c r="AD686" s="254"/>
      <c r="AE686" s="2"/>
      <c r="AF686" s="12"/>
      <c r="AG686" s="12"/>
      <c r="AH686" s="14"/>
      <c r="BE686" s="19">
        <f>SUM(BE688:BE690)</f>
        <v>189</v>
      </c>
      <c r="BF686" s="19">
        <f>SUM(BF688:BF690)</f>
        <v>189</v>
      </c>
      <c r="BG686" s="19">
        <f>SUM(BG688:BG690)</f>
        <v>6</v>
      </c>
      <c r="BH686" s="19">
        <f>SUM(BH688:BH690)</f>
        <v>6</v>
      </c>
      <c r="BK686" s="19"/>
      <c r="BL686" s="20"/>
    </row>
    <row r="687" spans="1:64" ht="11.45" customHeight="1" thickBot="1" x14ac:dyDescent="0.25">
      <c r="J687" s="10"/>
      <c r="K687" s="28"/>
      <c r="L687" s="28"/>
      <c r="N687" s="38" t="s">
        <v>146</v>
      </c>
      <c r="O687" s="28"/>
      <c r="P687" s="28"/>
      <c r="Q687" s="274"/>
      <c r="R687" s="274"/>
      <c r="S687" s="275"/>
      <c r="T687" s="261"/>
      <c r="U687" s="265" t="str">
        <f>IF(N687&lt;&gt;"",CONCATENATE(VLOOKUP(N687,[2]zawodnicy!$A$1:$E$65536,1,FALSE)," ",VLOOKUP(N687,[2]zawodnicy!$A$1:$E$65536,2,FALSE)," ",VLOOKUP(N687,[2]zawodnicy!$A$1:$E$65536,3,FALSE)," - ",VLOOKUP(N687,[2]zawodnicy!$A$1:$E$65536,4,FALSE)),"")</f>
        <v>M3661 Magdalena MACHNIK - UKS Orbitek Straszęcin</v>
      </c>
      <c r="V687" s="266"/>
      <c r="W687" s="267"/>
      <c r="X687" s="35"/>
      <c r="Y687" s="39" t="str">
        <f>IF(SUM(AS690:AT690)=0,"",AS690&amp;":"&amp;AT690)</f>
        <v/>
      </c>
      <c r="Z687" s="40" t="str">
        <f>IF(SUM(AS688:AT688)=0,"",AS688&amp;":"&amp;AT688)</f>
        <v/>
      </c>
      <c r="AA687" s="262"/>
      <c r="AB687" s="263"/>
      <c r="AC687" s="263"/>
      <c r="AD687" s="264"/>
      <c r="AE687" s="2"/>
      <c r="AF687" s="12"/>
      <c r="AG687" s="12"/>
      <c r="AH687" s="14"/>
      <c r="AI687" s="259" t="s">
        <v>12</v>
      </c>
      <c r="AJ687" s="269"/>
      <c r="AK687" s="268" t="s">
        <v>13</v>
      </c>
      <c r="AL687" s="269"/>
      <c r="AM687" s="268" t="s">
        <v>14</v>
      </c>
      <c r="AN687" s="260"/>
      <c r="AO687" s="259" t="s">
        <v>12</v>
      </c>
      <c r="AP687" s="269"/>
      <c r="AQ687" s="268" t="s">
        <v>13</v>
      </c>
      <c r="AR687" s="269"/>
      <c r="AS687" s="268" t="s">
        <v>14</v>
      </c>
      <c r="AT687" s="269"/>
      <c r="AU687" s="12"/>
      <c r="AV687" s="12"/>
      <c r="AW687" s="259">
        <v>1</v>
      </c>
      <c r="AX687" s="269"/>
      <c r="AY687" s="268">
        <v>2</v>
      </c>
      <c r="AZ687" s="269"/>
      <c r="BA687" s="268">
        <v>3</v>
      </c>
      <c r="BB687" s="260"/>
      <c r="BE687" s="259" t="s">
        <v>3</v>
      </c>
      <c r="BF687" s="260"/>
      <c r="BG687" s="259" t="s">
        <v>4</v>
      </c>
      <c r="BH687" s="260"/>
      <c r="BI687" s="259" t="s">
        <v>5</v>
      </c>
      <c r="BJ687" s="260"/>
      <c r="BK687" s="41" t="s">
        <v>6</v>
      </c>
      <c r="BL687" s="20"/>
    </row>
    <row r="688" spans="1:64" ht="11.45" customHeight="1" x14ac:dyDescent="0.2">
      <c r="A688" s="19">
        <f>S688</f>
        <v>11</v>
      </c>
      <c r="B688" s="2" t="str">
        <f>IF(N686="","",N686)</f>
        <v>J3786</v>
      </c>
      <c r="C688" s="2" t="str">
        <f>IF(N687="","",N687)</f>
        <v>M3661</v>
      </c>
      <c r="D688" s="2" t="str">
        <f>IF(N692="","",N692)</f>
        <v>B4184</v>
      </c>
      <c r="E688" s="2" t="str">
        <f>IF(N693="","",N693)</f>
        <v>K3474</v>
      </c>
      <c r="I688" s="2" t="str">
        <f>"2"&amp;O684&amp;N685</f>
        <v>23podwójna dziewcząt JM</v>
      </c>
      <c r="J688" s="10" t="str">
        <f>IF(AD688="","",IF(AD685=2,N686,IF(AD688=2,N689,IF(AD691=2,N692,""))))</f>
        <v>R3686</v>
      </c>
      <c r="K688" s="10" t="str">
        <f>IF(AD688="","",IF(AD685=2,N687,IF(AD688=2,N690,IF(AD691=2,N693,""))))</f>
        <v>S3951</v>
      </c>
      <c r="M688" s="42" t="str">
        <f>N685</f>
        <v>podwójna dziewcząt JM</v>
      </c>
      <c r="O688" s="28"/>
      <c r="P688" s="28"/>
      <c r="Q688" s="43" t="str">
        <f>IF(AU688&gt;0,"",IF(A688=0,"",IF(VLOOKUP(A688,'[2]plan gier'!A$1:S$65536,19,FALSE)="","",VLOOKUP(A688,'[2]plan gier'!A$1:S$65536,19,FALSE))))</f>
        <v/>
      </c>
      <c r="R688" s="44" t="s">
        <v>15</v>
      </c>
      <c r="S688" s="45">
        <v>11</v>
      </c>
      <c r="T688" s="241">
        <v>2</v>
      </c>
      <c r="U688" s="244" t="str">
        <f>IF(AND(N689&lt;&gt;"",N690&lt;&gt;""),CONCATENATE(VLOOKUP(N689,[2]zawodnicy!$A$1:$E$65536,1,FALSE)," ",VLOOKUP(N689,[2]zawodnicy!$A$1:$E$65536,2,FALSE)," ",VLOOKUP(N689,[2]zawodnicy!$A$1:$E$65536,3,FALSE)," - ",VLOOKUP(N689,[2]zawodnicy!$A$1:$E$65536,4,FALSE)),"")</f>
        <v>R3686 Julita RYBAŁT - UKS Hubal Białystok</v>
      </c>
      <c r="V688" s="245"/>
      <c r="W688" s="246"/>
      <c r="X688" s="46" t="str">
        <f>IF(SUM(AO690:AP690)=0,"",AP690&amp;":"&amp;AO690)</f>
        <v>17:21</v>
      </c>
      <c r="Y688" s="47"/>
      <c r="Z688" s="48" t="str">
        <f>IF(SUM(AO689:AP689)=0,"",AO689&amp;":"&amp;AP689)</f>
        <v>21:8</v>
      </c>
      <c r="AA688" s="247" t="str">
        <f>IF(SUM(AW689:AX689,BA689:BB689)=0,"",BE689&amp;":"&amp;BF689)</f>
        <v>69:63</v>
      </c>
      <c r="AB688" s="250" t="str">
        <f>IF(SUM(AW689:AX689,BA689:BB689)=0,"",BG689&amp;":"&amp;BH689)</f>
        <v>2:2</v>
      </c>
      <c r="AC688" s="250" t="str">
        <f>IF(SUM(AW689:AX689,BA689:BB689)=0,"",BI689&amp;":"&amp;BJ689)</f>
        <v>1:1</v>
      </c>
      <c r="AD688" s="253">
        <f>IF(SUM(BI688:BI690)&gt;0,BK689,"")</f>
        <v>2</v>
      </c>
      <c r="AE688" s="2"/>
      <c r="AF688" s="12"/>
      <c r="AG688" s="12"/>
      <c r="AH688" s="44" t="s">
        <v>15</v>
      </c>
      <c r="AI688" s="49">
        <f>IF(ISBLANK(S688),"",VLOOKUP(S688,'[2]plan gier'!$X$1:$AN$65536,12,FALSE))</f>
        <v>21</v>
      </c>
      <c r="AJ688" s="50">
        <f>IF(ISBLANK(S688),"",VLOOKUP(S688,'[2]plan gier'!$X$1:$AN$65536,13,FALSE))</f>
        <v>10</v>
      </c>
      <c r="AK688" s="50">
        <f>IF(ISBLANK(S688),"",VLOOKUP(S688,'[2]plan gier'!$X$1:$AN$65536,14,FALSE))</f>
        <v>21</v>
      </c>
      <c r="AL688" s="50">
        <f>IF(ISBLANK(S688),"",VLOOKUP(S688,'[2]plan gier'!$X$1:$AN$65536,15,FALSE))</f>
        <v>5</v>
      </c>
      <c r="AM688" s="50">
        <f>IF(ISBLANK(S688),"",VLOOKUP(S688,'[2]plan gier'!$X$1:$AN$65536,16,FALSE))</f>
        <v>0</v>
      </c>
      <c r="AN688" s="50">
        <f>IF(ISBLANK(S688),"",VLOOKUP(S688,'[2]plan gier'!$X$1:$AN$65536,17,FALSE))</f>
        <v>0</v>
      </c>
      <c r="AO688" s="51">
        <f t="shared" ref="AO688:AT690" si="61">IF(AI688="",0,AI688)</f>
        <v>21</v>
      </c>
      <c r="AP688" s="52">
        <f t="shared" si="61"/>
        <v>10</v>
      </c>
      <c r="AQ688" s="53">
        <f t="shared" si="61"/>
        <v>21</v>
      </c>
      <c r="AR688" s="52">
        <f t="shared" si="61"/>
        <v>5</v>
      </c>
      <c r="AS688" s="53">
        <f t="shared" si="61"/>
        <v>0</v>
      </c>
      <c r="AT688" s="52">
        <f t="shared" si="61"/>
        <v>0</v>
      </c>
      <c r="AU688" s="54">
        <f>SUM(AO688:AT688)</f>
        <v>57</v>
      </c>
      <c r="AV688" s="13">
        <v>1</v>
      </c>
      <c r="AW688" s="55"/>
      <c r="AX688" s="56"/>
      <c r="AY688" s="50">
        <f>IF(AI690&gt;AJ690,1,0)+IF(AK690&gt;AL690,1,0)+IF(AM690&gt;AN690,1,0)</f>
        <v>2</v>
      </c>
      <c r="AZ688" s="50">
        <f>AW689</f>
        <v>0</v>
      </c>
      <c r="BA688" s="50">
        <f>IF(AI688&gt;AJ688,1,0)+IF(AK688&gt;AL688,1,0)+IF(AM688&gt;AN688,1,0)</f>
        <v>2</v>
      </c>
      <c r="BB688" s="57">
        <f>AW690</f>
        <v>0</v>
      </c>
      <c r="BE688" s="49">
        <f>AO688+AQ688+AS688+AO690+AQ690+AS690</f>
        <v>84</v>
      </c>
      <c r="BF688" s="57">
        <f>AP688+AR688+AT688+AP690+AR690+AT690</f>
        <v>42</v>
      </c>
      <c r="BG688" s="49">
        <f>AY688+BA688</f>
        <v>4</v>
      </c>
      <c r="BH688" s="57">
        <f>AZ688+BB688</f>
        <v>0</v>
      </c>
      <c r="BI688" s="49">
        <f>IF(AY688&gt;AZ688,1,0)+IF(BA688&gt;BB688,1,0)</f>
        <v>2</v>
      </c>
      <c r="BJ688" s="58">
        <f>IF(AZ688&gt;AY688,1,0)+IF(BB688&gt;BA688,1,0)</f>
        <v>0</v>
      </c>
      <c r="BK688" s="59">
        <f>IF(BI688+BJ688=0,"",IF(BL688=MAX(BL688:BL690),1,IF(BL688=MIN(BL688:BL690),3,2)))</f>
        <v>1</v>
      </c>
      <c r="BL688" s="60">
        <f>IF(BI688+BJ688&lt;&gt;0,BI688+1+(BG688-BH688)/100+(BE688-BF688)/100000+(BE688/BF688)/1000000,0)</f>
        <v>3.040422</v>
      </c>
    </row>
    <row r="689" spans="1:64" ht="11.45" customHeight="1" x14ac:dyDescent="0.2">
      <c r="A689" s="19">
        <f>S689</f>
        <v>76</v>
      </c>
      <c r="B689" s="2" t="str">
        <f>IF(N689="","",N689)</f>
        <v>R3686</v>
      </c>
      <c r="C689" s="2" t="str">
        <f>IF(N690="","",N690)</f>
        <v>S3951</v>
      </c>
      <c r="D689" s="2" t="str">
        <f>IF(N692="","",N692)</f>
        <v>B4184</v>
      </c>
      <c r="E689" s="2" t="str">
        <f>IF(N693="","",N693)</f>
        <v>K3474</v>
      </c>
      <c r="J689" s="10"/>
      <c r="K689" s="19"/>
      <c r="M689" s="42" t="str">
        <f>N685</f>
        <v>podwójna dziewcząt JM</v>
      </c>
      <c r="N689" s="33" t="s">
        <v>88</v>
      </c>
      <c r="O689" s="34">
        <f>IF(O684&gt;0,(O684&amp;2)*1,"")</f>
        <v>32</v>
      </c>
      <c r="Q689" s="43" t="str">
        <f>IF(AU689&gt;0,"",IF(A689=0,"",IF(VLOOKUP(A689,'[2]plan gier'!A$1:S$65536,19,FALSE)="","",VLOOKUP(A689,'[2]plan gier'!A$1:S$65536,19,FALSE))))</f>
        <v/>
      </c>
      <c r="R689" s="44" t="s">
        <v>17</v>
      </c>
      <c r="S689" s="45">
        <v>76</v>
      </c>
      <c r="T689" s="242"/>
      <c r="U689" s="244" t="str">
        <f>IF(AND(N689&lt;&gt;"",N690=""),CONCATENATE(VLOOKUP(N689,[2]zawodnicy!$A$1:$E$65536,1,FALSE)," ",VLOOKUP(N689,[2]zawodnicy!$A$1:$E$65536,2,FALSE)," ",VLOOKUP(N689,[2]zawodnicy!$A$1:$E$65536,3,FALSE)," - ",VLOOKUP(N689,[2]zawodnicy!$A$1:$E$65536,4,FALSE)),"")</f>
        <v/>
      </c>
      <c r="V689" s="245"/>
      <c r="W689" s="246"/>
      <c r="X689" s="61" t="str">
        <f>IF(SUM(AQ690:AR690)=0,"",AR690&amp;":"&amp;AQ690)</f>
        <v>10:21</v>
      </c>
      <c r="Y689" s="62"/>
      <c r="Z689" s="37" t="str">
        <f>IF(SUM(AQ689:AR689)=0,"",AQ689&amp;":"&amp;AR689)</f>
        <v>21:13</v>
      </c>
      <c r="AA689" s="248"/>
      <c r="AB689" s="251"/>
      <c r="AC689" s="251"/>
      <c r="AD689" s="254"/>
      <c r="AE689" s="2"/>
      <c r="AF689" s="12"/>
      <c r="AG689" s="12"/>
      <c r="AH689" s="44" t="s">
        <v>17</v>
      </c>
      <c r="AI689" s="63">
        <f>IF(ISBLANK(S689),"",VLOOKUP(S689,'[2]plan gier'!$X$1:$AN$65536,12,FALSE))</f>
        <v>21</v>
      </c>
      <c r="AJ689" s="64">
        <f>IF(ISBLANK(S689),"",VLOOKUP(S689,'[2]plan gier'!$X$1:$AN$65536,13,FALSE))</f>
        <v>8</v>
      </c>
      <c r="AK689" s="64">
        <f>IF(ISBLANK(S689),"",VLOOKUP(S689,'[2]plan gier'!$X$1:$AN$65536,14,FALSE))</f>
        <v>21</v>
      </c>
      <c r="AL689" s="64">
        <f>IF(ISBLANK(S689),"",VLOOKUP(S689,'[2]plan gier'!$X$1:$AN$65536,15,FALSE))</f>
        <v>13</v>
      </c>
      <c r="AM689" s="64">
        <f>IF(ISBLANK(S689),"",VLOOKUP(S689,'[2]plan gier'!$X$1:$AN$65536,16,FALSE))</f>
        <v>0</v>
      </c>
      <c r="AN689" s="64">
        <f>IF(ISBLANK(S689),"",VLOOKUP(S689,'[2]plan gier'!$X$1:$AN$65536,17,FALSE))</f>
        <v>0</v>
      </c>
      <c r="AO689" s="65">
        <f t="shared" si="61"/>
        <v>21</v>
      </c>
      <c r="AP689" s="64">
        <f t="shared" si="61"/>
        <v>8</v>
      </c>
      <c r="AQ689" s="66">
        <f t="shared" si="61"/>
        <v>21</v>
      </c>
      <c r="AR689" s="64">
        <f t="shared" si="61"/>
        <v>13</v>
      </c>
      <c r="AS689" s="66">
        <f t="shared" si="61"/>
        <v>0</v>
      </c>
      <c r="AT689" s="64">
        <f t="shared" si="61"/>
        <v>0</v>
      </c>
      <c r="AU689" s="54">
        <f>SUM(AO689:AT689)</f>
        <v>63</v>
      </c>
      <c r="AV689" s="13">
        <v>2</v>
      </c>
      <c r="AW689" s="63">
        <f>IF(AI690&lt;AJ690,1,0)+IF(AK690&lt;AL690,1,0)+IF(AM690&lt;AN690,1,0)</f>
        <v>0</v>
      </c>
      <c r="AX689" s="64">
        <f>AY688</f>
        <v>2</v>
      </c>
      <c r="AY689" s="67"/>
      <c r="AZ689" s="68"/>
      <c r="BA689" s="64">
        <f>IF(AI689&gt;AJ689,1,0)+IF(AK689&gt;AL689,1,0)+IF(AM689&gt;AN689,1,0)</f>
        <v>2</v>
      </c>
      <c r="BB689" s="69">
        <f>AY690</f>
        <v>0</v>
      </c>
      <c r="BE689" s="63">
        <f>AO689+AQ689+AS689+AP690+AR690+AT690</f>
        <v>69</v>
      </c>
      <c r="BF689" s="69">
        <f>AP689+AR689+AT689+AO690+AQ690+AS690</f>
        <v>63</v>
      </c>
      <c r="BG689" s="63">
        <f>AW689+BA689</f>
        <v>2</v>
      </c>
      <c r="BH689" s="69">
        <f>AX689+BB689</f>
        <v>2</v>
      </c>
      <c r="BI689" s="63">
        <f>IF(AW689&gt;AX689,1,0)+IF(BA689&gt;BB689,1,0)</f>
        <v>1</v>
      </c>
      <c r="BJ689" s="70">
        <f>IF(AX689&gt;AW689,1,0)+IF(BB689&gt;BA689,1,0)</f>
        <v>1</v>
      </c>
      <c r="BK689" s="71">
        <f>IF(BI689+BJ689=0,"",IF(BL689=MAX(BL688:BL690),1,IF(BL689=MIN(BL688:BL690),3,2)))</f>
        <v>2</v>
      </c>
      <c r="BL689" s="60">
        <f>IF(BI689+BJ689&lt;&gt;0,BI689+1+(BG689-BH689)/100+(BE689-BF689)/100000+(BE689/BF689)/1000000,0)</f>
        <v>2.0000610952380953</v>
      </c>
    </row>
    <row r="690" spans="1:64" ht="11.45" customHeight="1" thickBot="1" x14ac:dyDescent="0.25">
      <c r="A690" s="19">
        <f>S690</f>
        <v>141</v>
      </c>
      <c r="B690" s="2" t="str">
        <f>IF(N686="","",N686)</f>
        <v>J3786</v>
      </c>
      <c r="C690" s="2" t="str">
        <f>IF(N687="","",N687)</f>
        <v>M3661</v>
      </c>
      <c r="D690" s="2" t="str">
        <f>IF(N689="","",N689)</f>
        <v>R3686</v>
      </c>
      <c r="E690" s="2" t="str">
        <f>IF(N690="","",N690)</f>
        <v>S3951</v>
      </c>
      <c r="I690" s="2" t="str">
        <f>"3"&amp;O684&amp;N685</f>
        <v>33podwójna dziewcząt JM</v>
      </c>
      <c r="J690" s="10" t="str">
        <f>IF(AD691="","",IF(AD685=3,N686,IF(AD688=3,N689,IF(AD691=3,N692,""))))</f>
        <v>B4184</v>
      </c>
      <c r="K690" s="10" t="str">
        <f>IF(AD691="","",IF(AD685=3,N687,IF(AD688=3,N690,IF(AD691=3,N693,""))))</f>
        <v>K3474</v>
      </c>
      <c r="M690" s="42" t="str">
        <f>N685</f>
        <v>podwójna dziewcząt JM</v>
      </c>
      <c r="N690" s="38" t="s">
        <v>85</v>
      </c>
      <c r="O690" s="28"/>
      <c r="P690" s="28"/>
      <c r="Q690" s="43" t="str">
        <f>IF(AU690&gt;0,"",IF(A690=0,"",IF(VLOOKUP(A690,'[2]plan gier'!A$1:S$65536,19,FALSE)="","",VLOOKUP(A690,'[2]plan gier'!A$1:S$65536,19,FALSE))))</f>
        <v/>
      </c>
      <c r="R690" s="72" t="s">
        <v>18</v>
      </c>
      <c r="S690" s="45">
        <v>141</v>
      </c>
      <c r="T690" s="261"/>
      <c r="U690" s="265" t="str">
        <f>IF(N690&lt;&gt;"",CONCATENATE(VLOOKUP(N690,[2]zawodnicy!$A$1:$E$65536,1,FALSE)," ",VLOOKUP(N690,[2]zawodnicy!$A$1:$E$65536,2,FALSE)," ",VLOOKUP(N690,[2]zawodnicy!$A$1:$E$65536,3,FALSE)," - ",VLOOKUP(N690,[2]zawodnicy!$A$1:$E$65536,4,FALSE)),"")</f>
        <v>S3951 Oliwia SOCHA - KS Chojnik Jelenia Góra</v>
      </c>
      <c r="V690" s="266"/>
      <c r="W690" s="267"/>
      <c r="X690" s="73" t="str">
        <f>IF(SUM(AS690:AT690)=0,"",AT690&amp;":"&amp;AS690)</f>
        <v/>
      </c>
      <c r="Y690" s="62"/>
      <c r="Z690" s="40" t="str">
        <f>IF(SUM(AS689:AT689)=0,"",AS689&amp;":"&amp;AT689)</f>
        <v/>
      </c>
      <c r="AA690" s="262"/>
      <c r="AB690" s="263"/>
      <c r="AC690" s="263"/>
      <c r="AD690" s="264"/>
      <c r="AE690" s="2"/>
      <c r="AF690" s="12"/>
      <c r="AG690" s="12"/>
      <c r="AH690" s="72" t="s">
        <v>18</v>
      </c>
      <c r="AI690" s="74">
        <f>IF(ISBLANK(S690),"",VLOOKUP(S690,'[2]plan gier'!$X$1:$AN$65536,12,FALSE))</f>
        <v>21</v>
      </c>
      <c r="AJ690" s="75">
        <f>IF(ISBLANK(S690),"",VLOOKUP(S690,'[2]plan gier'!$X$1:$AN$65536,13,FALSE))</f>
        <v>17</v>
      </c>
      <c r="AK690" s="75">
        <f>IF(ISBLANK(S690),"",VLOOKUP(S690,'[2]plan gier'!$X$1:$AN$65536,14,FALSE))</f>
        <v>21</v>
      </c>
      <c r="AL690" s="75">
        <f>IF(ISBLANK(S690),"",VLOOKUP(S690,'[2]plan gier'!$X$1:$AN$65536,15,FALSE))</f>
        <v>10</v>
      </c>
      <c r="AM690" s="75">
        <f>IF(ISBLANK(S690),"",VLOOKUP(S690,'[2]plan gier'!$X$1:$AN$65536,16,FALSE))</f>
        <v>0</v>
      </c>
      <c r="AN690" s="75">
        <f>IF(ISBLANK(S690),"",VLOOKUP(S690,'[2]plan gier'!$X$1:$AN$65536,17,FALSE))</f>
        <v>0</v>
      </c>
      <c r="AO690" s="76">
        <f t="shared" si="61"/>
        <v>21</v>
      </c>
      <c r="AP690" s="75">
        <f t="shared" si="61"/>
        <v>17</v>
      </c>
      <c r="AQ690" s="77">
        <f t="shared" si="61"/>
        <v>21</v>
      </c>
      <c r="AR690" s="75">
        <f t="shared" si="61"/>
        <v>10</v>
      </c>
      <c r="AS690" s="77">
        <f t="shared" si="61"/>
        <v>0</v>
      </c>
      <c r="AT690" s="75">
        <f t="shared" si="61"/>
        <v>0</v>
      </c>
      <c r="AU690" s="54">
        <f>SUM(AO690:AT690)</f>
        <v>69</v>
      </c>
      <c r="AV690" s="13">
        <v>3</v>
      </c>
      <c r="AW690" s="74">
        <f>IF(AI688&lt;AJ688,1,0)+IF(AK688&lt;AL688,1,0)+IF(AM688&lt;AN688,1,0)</f>
        <v>0</v>
      </c>
      <c r="AX690" s="75">
        <f>BA688</f>
        <v>2</v>
      </c>
      <c r="AY690" s="75">
        <f>IF(AI689&lt;AJ689,1,0)+IF(AK689&lt;AL689,1,0)+IF(AM689&lt;AN689,1,0)</f>
        <v>0</v>
      </c>
      <c r="AZ690" s="75">
        <f>BA689</f>
        <v>2</v>
      </c>
      <c r="BA690" s="78"/>
      <c r="BB690" s="79"/>
      <c r="BE690" s="74">
        <f>AP688+AR688+AT688+AP689+AR689+AT689</f>
        <v>36</v>
      </c>
      <c r="BF690" s="80">
        <f>AO688+AQ688+AS688+AO689+AQ689+AS689</f>
        <v>84</v>
      </c>
      <c r="BG690" s="74">
        <f>AW690+AY690</f>
        <v>0</v>
      </c>
      <c r="BH690" s="80">
        <f>AX690+AZ690</f>
        <v>4</v>
      </c>
      <c r="BI690" s="74">
        <f>IF(AW690&gt;AX690,1,0)+IF(AY690&gt;AZ690,1,0)</f>
        <v>0</v>
      </c>
      <c r="BJ690" s="81">
        <f>IF(AX690&gt;AW690,1,0)+IF(AZ690&gt;AY690,1,0)</f>
        <v>2</v>
      </c>
      <c r="BK690" s="82">
        <f>IF(BI690+BJ690=0,"",IF(BL690=MAX(BL688:BL690),1,IF(BL690=MIN(BL688:BL690),3,2)))</f>
        <v>3</v>
      </c>
      <c r="BL690" s="60">
        <f>IF(BI690+BJ690&lt;&gt;0,BI690+1+(BG690-BH690)/100+(BE690-BF690)/100000+(BE690/BF690)/1000000,0)</f>
        <v>0.9595204285714285</v>
      </c>
    </row>
    <row r="691" spans="1:64" ht="11.45" customHeight="1" x14ac:dyDescent="0.2">
      <c r="A691" s="2"/>
      <c r="J691" s="28"/>
      <c r="K691" s="28"/>
      <c r="L691" s="28"/>
      <c r="O691" s="28"/>
      <c r="P691" s="28"/>
      <c r="Q691" s="2"/>
      <c r="R691" s="2"/>
      <c r="S691" s="2"/>
      <c r="T691" s="241">
        <v>3</v>
      </c>
      <c r="U691" s="244" t="str">
        <f>IF(AND(N692&lt;&gt;"",N693&lt;&gt;""),CONCATENATE(VLOOKUP(N692,[2]zawodnicy!$A$1:$E$65536,1,FALSE)," ",VLOOKUP(N692,[2]zawodnicy!$A$1:$E$65536,2,FALSE)," ",VLOOKUP(N692,[2]zawodnicy!$A$1:$E$65536,3,FALSE)," - ",VLOOKUP(N692,[2]zawodnicy!$A$1:$E$65536,4,FALSE)),"")</f>
        <v>B4184 Milena BAŁON - SKB Suwałki</v>
      </c>
      <c r="V691" s="245"/>
      <c r="W691" s="246"/>
      <c r="X691" s="46" t="str">
        <f>IF(SUM(AO688:AP688)=0,"",AP688&amp;":"&amp;AO688)</f>
        <v>10:21</v>
      </c>
      <c r="Y691" s="83" t="str">
        <f>IF(SUM(AO689:AP689)=0,"",AP689&amp;":"&amp;AO689)</f>
        <v>8:21</v>
      </c>
      <c r="Z691" s="84"/>
      <c r="AA691" s="247" t="str">
        <f>IF(SUM(AW690:AZ690)=0,"",BE690&amp;":"&amp;BF690)</f>
        <v>36:84</v>
      </c>
      <c r="AB691" s="250" t="str">
        <f>IF(SUM(AW690:AZ690)=0,"",BG690&amp;":"&amp;BH690)</f>
        <v>0:4</v>
      </c>
      <c r="AC691" s="250" t="str">
        <f>IF(SUM(AW690:AZ690)=0,"",BI690&amp;":"&amp;BJ690)</f>
        <v>0:2</v>
      </c>
      <c r="AD691" s="253">
        <f>IF(SUM(BI688:BI690)&gt;0,BK690,"")</f>
        <v>3</v>
      </c>
      <c r="AE691" s="2"/>
      <c r="AF691" s="12"/>
      <c r="AG691" s="12"/>
      <c r="BE691" s="19">
        <f>SUM(BE688:BE690)</f>
        <v>189</v>
      </c>
      <c r="BF691" s="19">
        <f>SUM(BF688:BF690)</f>
        <v>189</v>
      </c>
      <c r="BG691" s="19">
        <f>SUM(BG688:BG690)</f>
        <v>6</v>
      </c>
      <c r="BH691" s="19">
        <f>SUM(BH688:BH690)</f>
        <v>6</v>
      </c>
      <c r="BK691" s="19"/>
      <c r="BL691" s="20"/>
    </row>
    <row r="692" spans="1:64" ht="11.45" customHeight="1" x14ac:dyDescent="0.2">
      <c r="A692" s="19"/>
      <c r="J692" s="19"/>
      <c r="K692" s="19"/>
      <c r="L692" s="19"/>
      <c r="N692" s="33" t="s">
        <v>97</v>
      </c>
      <c r="O692" s="34">
        <f>IF(O684&gt;0,(O684&amp;3)*1,"")</f>
        <v>33</v>
      </c>
      <c r="Q692" s="85"/>
      <c r="R692" s="85"/>
      <c r="S692" s="85"/>
      <c r="T692" s="242"/>
      <c r="U692" s="244" t="str">
        <f>IF(AND(N692&lt;&gt;"",N693=""),CONCATENATE(VLOOKUP(N692,[2]zawodnicy!$A$1:$E$65536,1,FALSE)," ",VLOOKUP(N692,[2]zawodnicy!$A$1:$E$65536,2,FALSE)," ",VLOOKUP(N692,[2]zawodnicy!$A$1:$E$65536,3,FALSE)," - ",VLOOKUP(N692,[2]zawodnicy!$A$1:$E$65536,4,FALSE)),"")</f>
        <v/>
      </c>
      <c r="V692" s="245"/>
      <c r="W692" s="246"/>
      <c r="X692" s="61" t="str">
        <f>IF(SUM(AQ688:AR688)=0,"",AR688&amp;":"&amp;AQ688)</f>
        <v>5:21</v>
      </c>
      <c r="Y692" s="36" t="str">
        <f>IF(SUM(AQ689:AR689)=0,"",AR689&amp;":"&amp;AQ689)</f>
        <v>13:21</v>
      </c>
      <c r="Z692" s="86"/>
      <c r="AA692" s="248"/>
      <c r="AB692" s="251"/>
      <c r="AC692" s="251"/>
      <c r="AD692" s="254"/>
      <c r="AE692" s="2"/>
      <c r="AF692" s="12"/>
      <c r="AG692" s="1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row>
    <row r="693" spans="1:64" ht="11.45" customHeight="1" thickBot="1" x14ac:dyDescent="0.25">
      <c r="A693" s="2"/>
      <c r="J693" s="28"/>
      <c r="K693" s="28"/>
      <c r="L693" s="28"/>
      <c r="N693" s="38" t="s">
        <v>79</v>
      </c>
      <c r="O693" s="28"/>
      <c r="P693" s="28"/>
      <c r="Q693" s="2"/>
      <c r="R693" s="2"/>
      <c r="S693" s="2"/>
      <c r="T693" s="243"/>
      <c r="U693" s="256" t="str">
        <f>IF(N693&lt;&gt;"",CONCATENATE(VLOOKUP(N693,[2]zawodnicy!$A$1:$E$65536,1,FALSE)," ",VLOOKUP(N693,[2]zawodnicy!$A$1:$E$65536,2,FALSE)," ",VLOOKUP(N693,[2]zawodnicy!$A$1:$E$65536,3,FALSE)," - ",VLOOKUP(N693,[2]zawodnicy!$A$1:$E$65536,4,FALSE)),"")</f>
        <v>K3474 Joanna KRYSIAK - SKB Suwałki</v>
      </c>
      <c r="V693" s="257"/>
      <c r="W693" s="258"/>
      <c r="X693" s="87" t="str">
        <f>IF(SUM(AS688:AT688)=0,"",AT688&amp;":"&amp;AS688)</f>
        <v/>
      </c>
      <c r="Y693" s="88" t="str">
        <f>IF(SUM(AS689:AT689)=0,"",AT689&amp;":"&amp;AS689)</f>
        <v/>
      </c>
      <c r="Z693" s="89"/>
      <c r="AA693" s="249"/>
      <c r="AB693" s="252"/>
      <c r="AC693" s="252"/>
      <c r="AD693" s="255"/>
      <c r="AE693" s="10"/>
      <c r="AF693" s="12"/>
      <c r="AG693" s="1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row>
    <row r="694" spans="1:64" s="19" customFormat="1" ht="5.0999999999999996" customHeight="1" thickBot="1" x14ac:dyDescent="0.25">
      <c r="M694" s="90"/>
      <c r="O694" s="90"/>
      <c r="P694" s="90"/>
      <c r="Q694" s="91"/>
      <c r="R694" s="91"/>
      <c r="S694" s="91"/>
      <c r="T694" s="91"/>
      <c r="U694" s="5"/>
      <c r="V694" s="5"/>
      <c r="W694" s="5"/>
      <c r="AA694" s="92"/>
      <c r="AB694" s="91"/>
      <c r="AC694" s="91"/>
      <c r="AD694" s="91"/>
      <c r="AE694" s="91"/>
      <c r="AF694" s="91"/>
      <c r="AI694" s="93"/>
      <c r="AJ694" s="94"/>
      <c r="AK694" s="94"/>
    </row>
    <row r="695" spans="1:64" ht="11.45" customHeight="1" thickBot="1" x14ac:dyDescent="0.25">
      <c r="N695" s="11"/>
      <c r="O695" s="21">
        <v>4</v>
      </c>
      <c r="Q695" s="277" t="str">
        <f>"Grupa "&amp;O695&amp;"."</f>
        <v>Grupa 4.</v>
      </c>
      <c r="R695" s="277"/>
      <c r="S695" s="277"/>
      <c r="T695" s="22" t="s">
        <v>1</v>
      </c>
      <c r="U695" s="278" t="s">
        <v>2</v>
      </c>
      <c r="V695" s="279"/>
      <c r="W695" s="280"/>
      <c r="X695" s="22">
        <v>1</v>
      </c>
      <c r="Y695" s="23">
        <v>2</v>
      </c>
      <c r="Z695" s="24">
        <v>3</v>
      </c>
      <c r="AA695" s="25" t="s">
        <v>3</v>
      </c>
      <c r="AB695" s="26" t="s">
        <v>4</v>
      </c>
      <c r="AC695" s="26" t="s">
        <v>5</v>
      </c>
      <c r="AD695" s="27" t="s">
        <v>6</v>
      </c>
      <c r="AE695" s="2"/>
      <c r="AF695" s="12"/>
      <c r="AG695" s="12"/>
      <c r="BK695" s="19"/>
      <c r="BL695" s="20"/>
    </row>
    <row r="696" spans="1:64" ht="11.45" customHeight="1" x14ac:dyDescent="0.2">
      <c r="J696" s="28"/>
      <c r="K696" s="28"/>
      <c r="L696" s="28"/>
      <c r="N696" s="29" t="s">
        <v>142</v>
      </c>
      <c r="Q696" s="274" t="s">
        <v>7</v>
      </c>
      <c r="R696" s="274"/>
      <c r="S696" s="275" t="s">
        <v>8</v>
      </c>
      <c r="T696" s="276">
        <v>1</v>
      </c>
      <c r="U696" s="244" t="str">
        <f>IF(AND(N697&lt;&gt;"",N698&lt;&gt;""),CONCATENATE(VLOOKUP(N697,[2]zawodnicy!$A$1:$E$65536,1,FALSE)," ",VLOOKUP(N697,[2]zawodnicy!$A$1:$E$65536,2,FALSE)," ",VLOOKUP(N697,[2]zawodnicy!$A$1:$E$65536,3,FALSE)," - ",VLOOKUP(N697,[2]zawodnicy!$A$1:$E$65536,4,FALSE)),"")</f>
        <v>Ś3779 Magdalena ŚWIERCZYŃSKA - UKS Orkan Przeźmierowo</v>
      </c>
      <c r="V696" s="245"/>
      <c r="W696" s="246"/>
      <c r="X696" s="30"/>
      <c r="Y696" s="31" t="str">
        <f>IF(SUM(AO701:AP701)=0,"",AO701&amp;":"&amp;AP701)</f>
        <v>22:20</v>
      </c>
      <c r="Z696" s="32" t="str">
        <f>IF(SUM(AO699:AP699)=0,"",AO699&amp;":"&amp;AP699)</f>
        <v>21:19</v>
      </c>
      <c r="AA696" s="270" t="str">
        <f>IF(SUM(AY699:BB699)=0,"",BE699&amp;":"&amp;BF699)</f>
        <v>107:97</v>
      </c>
      <c r="AB696" s="271" t="str">
        <f>IF(SUM(AY699:BB699)=0,"",BG699&amp;":"&amp;BH699)</f>
        <v>4:1</v>
      </c>
      <c r="AC696" s="271" t="str">
        <f>IF(SUM(AY699:BB699)=0,"",BI699&amp;":"&amp;BJ699)</f>
        <v>2:0</v>
      </c>
      <c r="AD696" s="272">
        <f>IF(SUM(BI699:BI701)&gt;0,BK699,"")</f>
        <v>1</v>
      </c>
      <c r="AE696" s="2"/>
      <c r="AF696" s="12"/>
      <c r="AG696" s="12"/>
      <c r="AH696" s="14"/>
      <c r="AI696" s="273" t="s">
        <v>9</v>
      </c>
      <c r="AJ696" s="273"/>
      <c r="AK696" s="273"/>
      <c r="AL696" s="273"/>
      <c r="AM696" s="273"/>
      <c r="AN696" s="273"/>
      <c r="AO696" s="273" t="s">
        <v>10</v>
      </c>
      <c r="AP696" s="273"/>
      <c r="AQ696" s="273"/>
      <c r="AR696" s="273"/>
      <c r="AS696" s="273"/>
      <c r="AT696" s="273"/>
      <c r="BK696" s="19"/>
      <c r="BL696" s="20"/>
    </row>
    <row r="697" spans="1:64" ht="11.45" customHeight="1" thickBot="1" x14ac:dyDescent="0.25">
      <c r="I697" s="2" t="str">
        <f>"1"&amp;O695&amp;N696</f>
        <v>14podwójna dziewcząt JM</v>
      </c>
      <c r="J697" s="10" t="str">
        <f>IF(AD696="","",IF(AD696=1,N697,IF(AD699=1,N700,IF(AD702=1,N703,""))))</f>
        <v>Ś3779</v>
      </c>
      <c r="K697" s="10" t="str">
        <f>IF(AD696="","",IF(AD696=1,N698,IF(AD699=1,N701,IF(AD702=1,N704,""))))</f>
        <v>W4435</v>
      </c>
      <c r="L697" s="10"/>
      <c r="N697" s="33" t="s">
        <v>99</v>
      </c>
      <c r="O697" s="34">
        <f>IF(O695&gt;0,(O695&amp;1)*1,"")</f>
        <v>41</v>
      </c>
      <c r="Q697" s="274"/>
      <c r="R697" s="274"/>
      <c r="S697" s="275"/>
      <c r="T697" s="242"/>
      <c r="U697" s="244" t="str">
        <f>IF(AND(N697&lt;&gt;"",N698=""),CONCATENATE(VLOOKUP(N697,[2]zawodnicy!$A$1:$E$65536,1,FALSE)," ",VLOOKUP(N697,[2]zawodnicy!$A$1:$E$65536,2,FALSE)," ",VLOOKUP(N697,[2]zawodnicy!$A$1:$E$65536,3,FALSE)," - ",VLOOKUP(N697,[2]zawodnicy!$A$1:$E$65536,4,FALSE)),"")</f>
        <v/>
      </c>
      <c r="V697" s="245"/>
      <c r="W697" s="246"/>
      <c r="X697" s="35"/>
      <c r="Y697" s="36" t="str">
        <f>IF(SUM(AQ701:AR701)=0,"",AQ701&amp;":"&amp;AR701)</f>
        <v>18:21</v>
      </c>
      <c r="Z697" s="37" t="str">
        <f>IF(SUM(AQ699:AR699)=0,"",AQ699&amp;":"&amp;AR699)</f>
        <v>21:14</v>
      </c>
      <c r="AA697" s="248"/>
      <c r="AB697" s="251"/>
      <c r="AC697" s="251"/>
      <c r="AD697" s="254"/>
      <c r="AE697" s="2"/>
      <c r="AF697" s="12"/>
      <c r="AG697" s="12"/>
      <c r="AH697" s="14"/>
      <c r="BE697" s="19">
        <f>SUM(BE699:BE701)</f>
        <v>283</v>
      </c>
      <c r="BF697" s="19">
        <f>SUM(BF699:BF701)</f>
        <v>283</v>
      </c>
      <c r="BG697" s="19">
        <f>SUM(BG699:BG701)</f>
        <v>7</v>
      </c>
      <c r="BH697" s="19">
        <f>SUM(BH699:BH701)</f>
        <v>7</v>
      </c>
      <c r="BK697" s="19"/>
      <c r="BL697" s="20"/>
    </row>
    <row r="698" spans="1:64" ht="11.45" customHeight="1" thickBot="1" x14ac:dyDescent="0.25">
      <c r="J698" s="10"/>
      <c r="K698" s="28"/>
      <c r="L698" s="28"/>
      <c r="N698" s="38" t="s">
        <v>78</v>
      </c>
      <c r="O698" s="28"/>
      <c r="P698" s="28"/>
      <c r="Q698" s="274"/>
      <c r="R698" s="274"/>
      <c r="S698" s="275"/>
      <c r="T698" s="261"/>
      <c r="U698" s="265" t="str">
        <f>IF(N698&lt;&gt;"",CONCATENATE(VLOOKUP(N698,[2]zawodnicy!$A$1:$E$65536,1,FALSE)," ",VLOOKUP(N698,[2]zawodnicy!$A$1:$E$65536,2,FALSE)," ",VLOOKUP(N698,[2]zawodnicy!$A$1:$E$65536,3,FALSE)," - ",VLOOKUP(N698,[2]zawodnicy!$A$1:$E$65536,4,FALSE)),"")</f>
        <v>W4435 Karolina WŁADZIŃSKA - ----</v>
      </c>
      <c r="V698" s="266"/>
      <c r="W698" s="267"/>
      <c r="X698" s="35"/>
      <c r="Y698" s="39" t="str">
        <f>IF(SUM(AS701:AT701)=0,"",AS701&amp;":"&amp;AT701)</f>
        <v>25:23</v>
      </c>
      <c r="Z698" s="40" t="str">
        <f>IF(SUM(AS699:AT699)=0,"",AS699&amp;":"&amp;AT699)</f>
        <v/>
      </c>
      <c r="AA698" s="262"/>
      <c r="AB698" s="263"/>
      <c r="AC698" s="263"/>
      <c r="AD698" s="264"/>
      <c r="AE698" s="2"/>
      <c r="AF698" s="12"/>
      <c r="AG698" s="12"/>
      <c r="AH698" s="14"/>
      <c r="AI698" s="259" t="s">
        <v>12</v>
      </c>
      <c r="AJ698" s="269"/>
      <c r="AK698" s="268" t="s">
        <v>13</v>
      </c>
      <c r="AL698" s="269"/>
      <c r="AM698" s="268" t="s">
        <v>14</v>
      </c>
      <c r="AN698" s="260"/>
      <c r="AO698" s="259" t="s">
        <v>12</v>
      </c>
      <c r="AP698" s="269"/>
      <c r="AQ698" s="268" t="s">
        <v>13</v>
      </c>
      <c r="AR698" s="269"/>
      <c r="AS698" s="268" t="s">
        <v>14</v>
      </c>
      <c r="AT698" s="269"/>
      <c r="AU698" s="12"/>
      <c r="AV698" s="12"/>
      <c r="AW698" s="259">
        <v>1</v>
      </c>
      <c r="AX698" s="269"/>
      <c r="AY698" s="268">
        <v>2</v>
      </c>
      <c r="AZ698" s="269"/>
      <c r="BA698" s="268">
        <v>3</v>
      </c>
      <c r="BB698" s="260"/>
      <c r="BE698" s="259" t="s">
        <v>3</v>
      </c>
      <c r="BF698" s="260"/>
      <c r="BG698" s="259" t="s">
        <v>4</v>
      </c>
      <c r="BH698" s="260"/>
      <c r="BI698" s="259" t="s">
        <v>5</v>
      </c>
      <c r="BJ698" s="260"/>
      <c r="BK698" s="41" t="s">
        <v>6</v>
      </c>
      <c r="BL698" s="20"/>
    </row>
    <row r="699" spans="1:64" ht="11.45" customHeight="1" x14ac:dyDescent="0.2">
      <c r="A699" s="19">
        <f>S699</f>
        <v>12</v>
      </c>
      <c r="B699" s="2" t="str">
        <f>IF(N697="","",N697)</f>
        <v>Ś3779</v>
      </c>
      <c r="C699" s="2" t="str">
        <f>IF(N698="","",N698)</f>
        <v>W4435</v>
      </c>
      <c r="D699" s="2" t="str">
        <f>IF(N703="","",N703)</f>
        <v>K3437</v>
      </c>
      <c r="E699" s="2" t="str">
        <f>IF(N704="","",N704)</f>
        <v>M3790</v>
      </c>
      <c r="I699" s="2" t="str">
        <f>"2"&amp;O695&amp;N696</f>
        <v>24podwójna dziewcząt JM</v>
      </c>
      <c r="J699" s="10" t="str">
        <f>IF(AD699="","",IF(AD696=2,N697,IF(AD699=2,N700,IF(AD702=2,N703,""))))</f>
        <v>S3617</v>
      </c>
      <c r="K699" s="10" t="str">
        <f>IF(AD699="","",IF(AD696=2,N698,IF(AD699=2,N701,IF(AD702=2,N704,""))))</f>
        <v>S4168</v>
      </c>
      <c r="M699" s="42" t="str">
        <f>N696</f>
        <v>podwójna dziewcząt JM</v>
      </c>
      <c r="O699" s="28"/>
      <c r="P699" s="28"/>
      <c r="Q699" s="43" t="str">
        <f>IF(AU699&gt;0,"",IF(A699=0,"",IF(VLOOKUP(A699,'[2]plan gier'!A$1:S$65536,19,FALSE)="","",VLOOKUP(A699,'[2]plan gier'!A$1:S$65536,19,FALSE))))</f>
        <v/>
      </c>
      <c r="R699" s="44" t="s">
        <v>15</v>
      </c>
      <c r="S699" s="45">
        <v>12</v>
      </c>
      <c r="T699" s="241">
        <v>2</v>
      </c>
      <c r="U699" s="244" t="str">
        <f>IF(AND(N700&lt;&gt;"",N701&lt;&gt;""),CONCATENATE(VLOOKUP(N700,[2]zawodnicy!$A$1:$E$65536,1,FALSE)," ",VLOOKUP(N700,[2]zawodnicy!$A$1:$E$65536,2,FALSE)," ",VLOOKUP(N700,[2]zawodnicy!$A$1:$E$65536,3,FALSE)," - ",VLOOKUP(N700,[2]zawodnicy!$A$1:$E$65536,4,FALSE)),"")</f>
        <v>S3617 Katarzyna SŁOMBA - UKSB Volant Mielec</v>
      </c>
      <c r="V699" s="245"/>
      <c r="W699" s="246"/>
      <c r="X699" s="46" t="str">
        <f>IF(SUM(AO701:AP701)=0,"",AP701&amp;":"&amp;AO701)</f>
        <v>20:22</v>
      </c>
      <c r="Y699" s="47"/>
      <c r="Z699" s="48" t="str">
        <f>IF(SUM(AO700:AP700)=0,"",AO700&amp;":"&amp;AP700)</f>
        <v>21:19</v>
      </c>
      <c r="AA699" s="247" t="str">
        <f>IF(SUM(AW700:AX700,BA700:BB700)=0,"",BE700&amp;":"&amp;BF700)</f>
        <v>106:102</v>
      </c>
      <c r="AB699" s="250" t="str">
        <f>IF(SUM(AW700:AX700,BA700:BB700)=0,"",BG700&amp;":"&amp;BH700)</f>
        <v>3:2</v>
      </c>
      <c r="AC699" s="250" t="str">
        <f>IF(SUM(AW700:AX700,BA700:BB700)=0,"",BI700&amp;":"&amp;BJ700)</f>
        <v>1:1</v>
      </c>
      <c r="AD699" s="253">
        <f>IF(SUM(BI699:BI701)&gt;0,BK700,"")</f>
        <v>2</v>
      </c>
      <c r="AE699" s="2"/>
      <c r="AF699" s="12"/>
      <c r="AG699" s="12"/>
      <c r="AH699" s="44" t="s">
        <v>15</v>
      </c>
      <c r="AI699" s="49">
        <f>IF(ISBLANK(S699),"",VLOOKUP(S699,'[2]plan gier'!$X$1:$AN$65536,12,FALSE))</f>
        <v>21</v>
      </c>
      <c r="AJ699" s="50">
        <f>IF(ISBLANK(S699),"",VLOOKUP(S699,'[2]plan gier'!$X$1:$AN$65536,13,FALSE))</f>
        <v>19</v>
      </c>
      <c r="AK699" s="50">
        <f>IF(ISBLANK(S699),"",VLOOKUP(S699,'[2]plan gier'!$X$1:$AN$65536,14,FALSE))</f>
        <v>21</v>
      </c>
      <c r="AL699" s="50">
        <f>IF(ISBLANK(S699),"",VLOOKUP(S699,'[2]plan gier'!$X$1:$AN$65536,15,FALSE))</f>
        <v>14</v>
      </c>
      <c r="AM699" s="50">
        <f>IF(ISBLANK(S699),"",VLOOKUP(S699,'[2]plan gier'!$X$1:$AN$65536,16,FALSE))</f>
        <v>0</v>
      </c>
      <c r="AN699" s="50">
        <f>IF(ISBLANK(S699),"",VLOOKUP(S699,'[2]plan gier'!$X$1:$AN$65536,17,FALSE))</f>
        <v>0</v>
      </c>
      <c r="AO699" s="51">
        <f t="shared" ref="AO699:AT701" si="62">IF(AI699="",0,AI699)</f>
        <v>21</v>
      </c>
      <c r="AP699" s="52">
        <f t="shared" si="62"/>
        <v>19</v>
      </c>
      <c r="AQ699" s="53">
        <f t="shared" si="62"/>
        <v>21</v>
      </c>
      <c r="AR699" s="52">
        <f t="shared" si="62"/>
        <v>14</v>
      </c>
      <c r="AS699" s="53">
        <f t="shared" si="62"/>
        <v>0</v>
      </c>
      <c r="AT699" s="52">
        <f t="shared" si="62"/>
        <v>0</v>
      </c>
      <c r="AU699" s="54">
        <f>SUM(AO699:AT699)</f>
        <v>75</v>
      </c>
      <c r="AV699" s="13">
        <v>1</v>
      </c>
      <c r="AW699" s="55"/>
      <c r="AX699" s="56"/>
      <c r="AY699" s="50">
        <f>IF(AI701&gt;AJ701,1,0)+IF(AK701&gt;AL701,1,0)+IF(AM701&gt;AN701,1,0)</f>
        <v>2</v>
      </c>
      <c r="AZ699" s="50">
        <f>AW700</f>
        <v>1</v>
      </c>
      <c r="BA699" s="50">
        <f>IF(AI699&gt;AJ699,1,0)+IF(AK699&gt;AL699,1,0)+IF(AM699&gt;AN699,1,0)</f>
        <v>2</v>
      </c>
      <c r="BB699" s="57">
        <f>AW701</f>
        <v>0</v>
      </c>
      <c r="BE699" s="49">
        <f>AO699+AQ699+AS699+AO701+AQ701+AS701</f>
        <v>107</v>
      </c>
      <c r="BF699" s="57">
        <f>AP699+AR699+AT699+AP701+AR701+AT701</f>
        <v>97</v>
      </c>
      <c r="BG699" s="49">
        <f>AY699+BA699</f>
        <v>4</v>
      </c>
      <c r="BH699" s="57">
        <f>AZ699+BB699</f>
        <v>1</v>
      </c>
      <c r="BI699" s="49">
        <f>IF(AY699&gt;AZ699,1,0)+IF(BA699&gt;BB699,1,0)</f>
        <v>2</v>
      </c>
      <c r="BJ699" s="58">
        <f>IF(AZ699&gt;AY699,1,0)+IF(BB699&gt;BA699,1,0)</f>
        <v>0</v>
      </c>
      <c r="BK699" s="59">
        <f>IF(BI699+BJ699=0,"",IF(BL699=MAX(BL699:BL701),1,IF(BL699=MIN(BL699:BL701),3,2)))</f>
        <v>1</v>
      </c>
      <c r="BL699" s="60">
        <f>IF(BI699+BJ699&lt;&gt;0,BI699+1+(BG699-BH699)/100+(BE699-BF699)/100000+(BE699/BF699)/1000000,0)</f>
        <v>3.0301011030927834</v>
      </c>
    </row>
    <row r="700" spans="1:64" ht="11.45" customHeight="1" x14ac:dyDescent="0.2">
      <c r="A700" s="19">
        <f>S700</f>
        <v>77</v>
      </c>
      <c r="B700" s="2" t="str">
        <f>IF(N700="","",N700)</f>
        <v>S3617</v>
      </c>
      <c r="C700" s="2" t="str">
        <f>IF(N701="","",N701)</f>
        <v>S4168</v>
      </c>
      <c r="D700" s="2" t="str">
        <f>IF(N703="","",N703)</f>
        <v>K3437</v>
      </c>
      <c r="E700" s="2" t="str">
        <f>IF(N704="","",N704)</f>
        <v>M3790</v>
      </c>
      <c r="J700" s="10"/>
      <c r="K700" s="19"/>
      <c r="M700" s="42" t="str">
        <f>N696</f>
        <v>podwójna dziewcząt JM</v>
      </c>
      <c r="N700" s="33" t="s">
        <v>90</v>
      </c>
      <c r="O700" s="34">
        <f>IF(O695&gt;0,(O695&amp;2)*1,"")</f>
        <v>42</v>
      </c>
      <c r="Q700" s="43" t="str">
        <f>IF(AU700&gt;0,"",IF(A700=0,"",IF(VLOOKUP(A700,'[2]plan gier'!A$1:S$65536,19,FALSE)="","",VLOOKUP(A700,'[2]plan gier'!A$1:S$65536,19,FALSE))))</f>
        <v/>
      </c>
      <c r="R700" s="44" t="s">
        <v>17</v>
      </c>
      <c r="S700" s="45">
        <v>77</v>
      </c>
      <c r="T700" s="242"/>
      <c r="U700" s="244" t="str">
        <f>IF(AND(N700&lt;&gt;"",N701=""),CONCATENATE(VLOOKUP(N700,[2]zawodnicy!$A$1:$E$65536,1,FALSE)," ",VLOOKUP(N700,[2]zawodnicy!$A$1:$E$65536,2,FALSE)," ",VLOOKUP(N700,[2]zawodnicy!$A$1:$E$65536,3,FALSE)," - ",VLOOKUP(N700,[2]zawodnicy!$A$1:$E$65536,4,FALSE)),"")</f>
        <v/>
      </c>
      <c r="V700" s="245"/>
      <c r="W700" s="246"/>
      <c r="X700" s="61" t="str">
        <f>IF(SUM(AQ701:AR701)=0,"",AR701&amp;":"&amp;AQ701)</f>
        <v>21:18</v>
      </c>
      <c r="Y700" s="62"/>
      <c r="Z700" s="37" t="str">
        <f>IF(SUM(AQ700:AR700)=0,"",AQ700&amp;":"&amp;AR700)</f>
        <v>21:18</v>
      </c>
      <c r="AA700" s="248"/>
      <c r="AB700" s="251"/>
      <c r="AC700" s="251"/>
      <c r="AD700" s="254"/>
      <c r="AE700" s="2"/>
      <c r="AF700" s="12"/>
      <c r="AG700" s="12"/>
      <c r="AH700" s="44" t="s">
        <v>17</v>
      </c>
      <c r="AI700" s="63">
        <f>IF(ISBLANK(S700),"",VLOOKUP(S700,'[2]plan gier'!$X$1:$AN$65536,12,FALSE))</f>
        <v>21</v>
      </c>
      <c r="AJ700" s="64">
        <f>IF(ISBLANK(S700),"",VLOOKUP(S700,'[2]plan gier'!$X$1:$AN$65536,13,FALSE))</f>
        <v>19</v>
      </c>
      <c r="AK700" s="64">
        <f>IF(ISBLANK(S700),"",VLOOKUP(S700,'[2]plan gier'!$X$1:$AN$65536,14,FALSE))</f>
        <v>21</v>
      </c>
      <c r="AL700" s="64">
        <f>IF(ISBLANK(S700),"",VLOOKUP(S700,'[2]plan gier'!$X$1:$AN$65536,15,FALSE))</f>
        <v>18</v>
      </c>
      <c r="AM700" s="64">
        <f>IF(ISBLANK(S700),"",VLOOKUP(S700,'[2]plan gier'!$X$1:$AN$65536,16,FALSE))</f>
        <v>0</v>
      </c>
      <c r="AN700" s="64">
        <f>IF(ISBLANK(S700),"",VLOOKUP(S700,'[2]plan gier'!$X$1:$AN$65536,17,FALSE))</f>
        <v>0</v>
      </c>
      <c r="AO700" s="65">
        <f t="shared" si="62"/>
        <v>21</v>
      </c>
      <c r="AP700" s="64">
        <f t="shared" si="62"/>
        <v>19</v>
      </c>
      <c r="AQ700" s="66">
        <f t="shared" si="62"/>
        <v>21</v>
      </c>
      <c r="AR700" s="64">
        <f t="shared" si="62"/>
        <v>18</v>
      </c>
      <c r="AS700" s="66">
        <f t="shared" si="62"/>
        <v>0</v>
      </c>
      <c r="AT700" s="64">
        <f t="shared" si="62"/>
        <v>0</v>
      </c>
      <c r="AU700" s="54">
        <f>SUM(AO700:AT700)</f>
        <v>79</v>
      </c>
      <c r="AV700" s="13">
        <v>2</v>
      </c>
      <c r="AW700" s="63">
        <f>IF(AI701&lt;AJ701,1,0)+IF(AK701&lt;AL701,1,0)+IF(AM701&lt;AN701,1,0)</f>
        <v>1</v>
      </c>
      <c r="AX700" s="64">
        <f>AY699</f>
        <v>2</v>
      </c>
      <c r="AY700" s="67"/>
      <c r="AZ700" s="68"/>
      <c r="BA700" s="64">
        <f>IF(AI700&gt;AJ700,1,0)+IF(AK700&gt;AL700,1,0)+IF(AM700&gt;AN700,1,0)</f>
        <v>2</v>
      </c>
      <c r="BB700" s="69">
        <f>AY701</f>
        <v>0</v>
      </c>
      <c r="BE700" s="63">
        <f>AO700+AQ700+AS700+AP701+AR701+AT701</f>
        <v>106</v>
      </c>
      <c r="BF700" s="69">
        <f>AP700+AR700+AT700+AO701+AQ701+AS701</f>
        <v>102</v>
      </c>
      <c r="BG700" s="63">
        <f>AW700+BA700</f>
        <v>3</v>
      </c>
      <c r="BH700" s="69">
        <f>AX700+BB700</f>
        <v>2</v>
      </c>
      <c r="BI700" s="63">
        <f>IF(AW700&gt;AX700,1,0)+IF(BA700&gt;BB700,1,0)</f>
        <v>1</v>
      </c>
      <c r="BJ700" s="70">
        <f>IF(AX700&gt;AW700,1,0)+IF(BB700&gt;BA700,1,0)</f>
        <v>1</v>
      </c>
      <c r="BK700" s="71">
        <f>IF(BI700+BJ700=0,"",IF(BL700=MAX(BL699:BL701),1,IF(BL700=MIN(BL699:BL701),3,2)))</f>
        <v>2</v>
      </c>
      <c r="BL700" s="60">
        <f>IF(BI700+BJ700&lt;&gt;0,BI700+1+(BG700-BH700)/100+(BE700-BF700)/100000+(BE700/BF700)/1000000,0)</f>
        <v>2.010041039215686</v>
      </c>
    </row>
    <row r="701" spans="1:64" ht="11.45" customHeight="1" thickBot="1" x14ac:dyDescent="0.25">
      <c r="A701" s="19">
        <f>S701</f>
        <v>142</v>
      </c>
      <c r="B701" s="2" t="str">
        <f>IF(N697="","",N697)</f>
        <v>Ś3779</v>
      </c>
      <c r="C701" s="2" t="str">
        <f>IF(N698="","",N698)</f>
        <v>W4435</v>
      </c>
      <c r="D701" s="2" t="str">
        <f>IF(N700="","",N700)</f>
        <v>S3617</v>
      </c>
      <c r="E701" s="2" t="str">
        <f>IF(N701="","",N701)</f>
        <v>S4168</v>
      </c>
      <c r="I701" s="2" t="str">
        <f>"3"&amp;O695&amp;N696</f>
        <v>34podwójna dziewcząt JM</v>
      </c>
      <c r="J701" s="10" t="str">
        <f>IF(AD702="","",IF(AD696=3,N697,IF(AD699=3,N700,IF(AD702=3,N703,""))))</f>
        <v>K3437</v>
      </c>
      <c r="K701" s="10" t="str">
        <f>IF(AD702="","",IF(AD696=3,N698,IF(AD699=3,N701,IF(AD702=3,N704,""))))</f>
        <v>M3790</v>
      </c>
      <c r="M701" s="42" t="str">
        <f>N696</f>
        <v>podwójna dziewcząt JM</v>
      </c>
      <c r="N701" s="38" t="s">
        <v>93</v>
      </c>
      <c r="O701" s="28"/>
      <c r="P701" s="28"/>
      <c r="Q701" s="43" t="str">
        <f>IF(AU701&gt;0,"",IF(A701=0,"",IF(VLOOKUP(A701,'[2]plan gier'!A$1:S$65536,19,FALSE)="","",VLOOKUP(A701,'[2]plan gier'!A$1:S$65536,19,FALSE))))</f>
        <v/>
      </c>
      <c r="R701" s="72" t="s">
        <v>18</v>
      </c>
      <c r="S701" s="45">
        <v>142</v>
      </c>
      <c r="T701" s="261"/>
      <c r="U701" s="265" t="str">
        <f>IF(N701&lt;&gt;"",CONCATENATE(VLOOKUP(N701,[2]zawodnicy!$A$1:$E$65536,1,FALSE)," ",VLOOKUP(N701,[2]zawodnicy!$A$1:$E$65536,2,FALSE)," ",VLOOKUP(N701,[2]zawodnicy!$A$1:$E$65536,3,FALSE)," - ",VLOOKUP(N701,[2]zawodnicy!$A$1:$E$65536,4,FALSE)),"")</f>
        <v>S4168 Agnieszka SZYMASZEK - UKS Orbitek Straszęcin</v>
      </c>
      <c r="V701" s="266"/>
      <c r="W701" s="267"/>
      <c r="X701" s="73" t="str">
        <f>IF(SUM(AS701:AT701)=0,"",AT701&amp;":"&amp;AS701)</f>
        <v>23:25</v>
      </c>
      <c r="Y701" s="62"/>
      <c r="Z701" s="40" t="str">
        <f>IF(SUM(AS700:AT700)=0,"",AS700&amp;":"&amp;AT700)</f>
        <v/>
      </c>
      <c r="AA701" s="262"/>
      <c r="AB701" s="263"/>
      <c r="AC701" s="263"/>
      <c r="AD701" s="264"/>
      <c r="AE701" s="2"/>
      <c r="AF701" s="12"/>
      <c r="AG701" s="12"/>
      <c r="AH701" s="72" t="s">
        <v>18</v>
      </c>
      <c r="AI701" s="74">
        <f>IF(ISBLANK(S701),"",VLOOKUP(S701,'[2]plan gier'!$X$1:$AN$65536,12,FALSE))</f>
        <v>22</v>
      </c>
      <c r="AJ701" s="75">
        <f>IF(ISBLANK(S701),"",VLOOKUP(S701,'[2]plan gier'!$X$1:$AN$65536,13,FALSE))</f>
        <v>20</v>
      </c>
      <c r="AK701" s="75">
        <f>IF(ISBLANK(S701),"",VLOOKUP(S701,'[2]plan gier'!$X$1:$AN$65536,14,FALSE))</f>
        <v>18</v>
      </c>
      <c r="AL701" s="75">
        <f>IF(ISBLANK(S701),"",VLOOKUP(S701,'[2]plan gier'!$X$1:$AN$65536,15,FALSE))</f>
        <v>21</v>
      </c>
      <c r="AM701" s="75">
        <f>IF(ISBLANK(S701),"",VLOOKUP(S701,'[2]plan gier'!$X$1:$AN$65536,16,FALSE))</f>
        <v>25</v>
      </c>
      <c r="AN701" s="75">
        <f>IF(ISBLANK(S701),"",VLOOKUP(S701,'[2]plan gier'!$X$1:$AN$65536,17,FALSE))</f>
        <v>23</v>
      </c>
      <c r="AO701" s="76">
        <f t="shared" si="62"/>
        <v>22</v>
      </c>
      <c r="AP701" s="75">
        <f t="shared" si="62"/>
        <v>20</v>
      </c>
      <c r="AQ701" s="77">
        <f t="shared" si="62"/>
        <v>18</v>
      </c>
      <c r="AR701" s="75">
        <f t="shared" si="62"/>
        <v>21</v>
      </c>
      <c r="AS701" s="77">
        <f t="shared" si="62"/>
        <v>25</v>
      </c>
      <c r="AT701" s="75">
        <f t="shared" si="62"/>
        <v>23</v>
      </c>
      <c r="AU701" s="54">
        <f>SUM(AO701:AT701)</f>
        <v>129</v>
      </c>
      <c r="AV701" s="13">
        <v>3</v>
      </c>
      <c r="AW701" s="74">
        <f>IF(AI699&lt;AJ699,1,0)+IF(AK699&lt;AL699,1,0)+IF(AM699&lt;AN699,1,0)</f>
        <v>0</v>
      </c>
      <c r="AX701" s="75">
        <f>BA699</f>
        <v>2</v>
      </c>
      <c r="AY701" s="75">
        <f>IF(AI700&lt;AJ700,1,0)+IF(AK700&lt;AL700,1,0)+IF(AM700&lt;AN700,1,0)</f>
        <v>0</v>
      </c>
      <c r="AZ701" s="75">
        <f>BA700</f>
        <v>2</v>
      </c>
      <c r="BA701" s="78"/>
      <c r="BB701" s="79"/>
      <c r="BE701" s="74">
        <f>AP699+AR699+AT699+AP700+AR700+AT700</f>
        <v>70</v>
      </c>
      <c r="BF701" s="80">
        <f>AO699+AQ699+AS699+AO700+AQ700+AS700</f>
        <v>84</v>
      </c>
      <c r="BG701" s="74">
        <f>AW701+AY701</f>
        <v>0</v>
      </c>
      <c r="BH701" s="80">
        <f>AX701+AZ701</f>
        <v>4</v>
      </c>
      <c r="BI701" s="74">
        <f>IF(AW701&gt;AX701,1,0)+IF(AY701&gt;AZ701,1,0)</f>
        <v>0</v>
      </c>
      <c r="BJ701" s="81">
        <f>IF(AX701&gt;AW701,1,0)+IF(AZ701&gt;AY701,1,0)</f>
        <v>2</v>
      </c>
      <c r="BK701" s="82">
        <f>IF(BI701+BJ701=0,"",IF(BL701=MAX(BL699:BL701),1,IF(BL701=MIN(BL699:BL701),3,2)))</f>
        <v>3</v>
      </c>
      <c r="BL701" s="60">
        <f>IF(BI701+BJ701&lt;&gt;0,BI701+1+(BG701-BH701)/100+(BE701-BF701)/100000+(BE701/BF701)/1000000,0)</f>
        <v>0.95986083333333327</v>
      </c>
    </row>
    <row r="702" spans="1:64" ht="11.45" customHeight="1" x14ac:dyDescent="0.2">
      <c r="A702" s="2"/>
      <c r="J702" s="28"/>
      <c r="K702" s="28"/>
      <c r="L702" s="28"/>
      <c r="O702" s="28"/>
      <c r="P702" s="28"/>
      <c r="Q702" s="2"/>
      <c r="R702" s="2"/>
      <c r="S702" s="2"/>
      <c r="T702" s="241">
        <v>3</v>
      </c>
      <c r="U702" s="244" t="str">
        <f>IF(AND(N703&lt;&gt;"",N704&lt;&gt;""),CONCATENATE(VLOOKUP(N703,[2]zawodnicy!$A$1:$E$65536,1,FALSE)," ",VLOOKUP(N703,[2]zawodnicy!$A$1:$E$65536,2,FALSE)," ",VLOOKUP(N703,[2]zawodnicy!$A$1:$E$65536,3,FALSE)," - ",VLOOKUP(N703,[2]zawodnicy!$A$1:$E$65536,4,FALSE)),"")</f>
        <v>K3437 Kornelia KOWALCZYK - UKS Kometa Sianów</v>
      </c>
      <c r="V702" s="245"/>
      <c r="W702" s="246"/>
      <c r="X702" s="46" t="str">
        <f>IF(SUM(AO699:AP699)=0,"",AP699&amp;":"&amp;AO699)</f>
        <v>19:21</v>
      </c>
      <c r="Y702" s="83" t="str">
        <f>IF(SUM(AO700:AP700)=0,"",AP700&amp;":"&amp;AO700)</f>
        <v>19:21</v>
      </c>
      <c r="Z702" s="84"/>
      <c r="AA702" s="247" t="str">
        <f>IF(SUM(AW701:AZ701)=0,"",BE701&amp;":"&amp;BF701)</f>
        <v>70:84</v>
      </c>
      <c r="AB702" s="250" t="str">
        <f>IF(SUM(AW701:AZ701)=0,"",BG701&amp;":"&amp;BH701)</f>
        <v>0:4</v>
      </c>
      <c r="AC702" s="250" t="str">
        <f>IF(SUM(AW701:AZ701)=0,"",BI701&amp;":"&amp;BJ701)</f>
        <v>0:2</v>
      </c>
      <c r="AD702" s="253">
        <f>IF(SUM(BI699:BI701)&gt;0,BK701,"")</f>
        <v>3</v>
      </c>
      <c r="AE702" s="2"/>
      <c r="AF702" s="12"/>
      <c r="AG702" s="12"/>
      <c r="BE702" s="19">
        <f>SUM(BE699:BE701)</f>
        <v>283</v>
      </c>
      <c r="BF702" s="19">
        <f>SUM(BF699:BF701)</f>
        <v>283</v>
      </c>
      <c r="BG702" s="19">
        <f>SUM(BG699:BG701)</f>
        <v>7</v>
      </c>
      <c r="BH702" s="19">
        <f>SUM(BH699:BH701)</f>
        <v>7</v>
      </c>
      <c r="BK702" s="19"/>
      <c r="BL702" s="20"/>
    </row>
    <row r="703" spans="1:64" ht="11.45" customHeight="1" x14ac:dyDescent="0.2">
      <c r="A703" s="19"/>
      <c r="J703" s="19"/>
      <c r="K703" s="19"/>
      <c r="L703" s="19"/>
      <c r="N703" s="33" t="s">
        <v>102</v>
      </c>
      <c r="O703" s="34">
        <f>IF(O695&gt;0,(O695&amp;3)*1,"")</f>
        <v>43</v>
      </c>
      <c r="Q703" s="85"/>
      <c r="R703" s="85"/>
      <c r="S703" s="85"/>
      <c r="T703" s="242"/>
      <c r="U703" s="244" t="str">
        <f>IF(AND(N703&lt;&gt;"",N704=""),CONCATENATE(VLOOKUP(N703,[2]zawodnicy!$A$1:$E$65536,1,FALSE)," ",VLOOKUP(N703,[2]zawodnicy!$A$1:$E$65536,2,FALSE)," ",VLOOKUP(N703,[2]zawodnicy!$A$1:$E$65536,3,FALSE)," - ",VLOOKUP(N703,[2]zawodnicy!$A$1:$E$65536,4,FALSE)),"")</f>
        <v/>
      </c>
      <c r="V703" s="245"/>
      <c r="W703" s="246"/>
      <c r="X703" s="61" t="str">
        <f>IF(SUM(AQ699:AR699)=0,"",AR699&amp;":"&amp;AQ699)</f>
        <v>14:21</v>
      </c>
      <c r="Y703" s="36" t="str">
        <f>IF(SUM(AQ700:AR700)=0,"",AR700&amp;":"&amp;AQ700)</f>
        <v>18:21</v>
      </c>
      <c r="Z703" s="86"/>
      <c r="AA703" s="248"/>
      <c r="AB703" s="251"/>
      <c r="AC703" s="251"/>
      <c r="AD703" s="254"/>
      <c r="AE703" s="2"/>
      <c r="AF703" s="12"/>
      <c r="AG703" s="1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row>
    <row r="704" spans="1:64" ht="11.45" customHeight="1" thickBot="1" x14ac:dyDescent="0.25">
      <c r="A704" s="2"/>
      <c r="J704" s="28"/>
      <c r="K704" s="28"/>
      <c r="L704" s="28"/>
      <c r="N704" s="38" t="s">
        <v>147</v>
      </c>
      <c r="O704" s="28"/>
      <c r="P704" s="28"/>
      <c r="Q704" s="2"/>
      <c r="R704" s="2"/>
      <c r="S704" s="2"/>
      <c r="T704" s="243"/>
      <c r="U704" s="256" t="str">
        <f>IF(N704&lt;&gt;"",CONCATENATE(VLOOKUP(N704,[2]zawodnicy!$A$1:$E$65536,1,FALSE)," ",VLOOKUP(N704,[2]zawodnicy!$A$1:$E$65536,2,FALSE)," ",VLOOKUP(N704,[2]zawodnicy!$A$1:$E$65536,3,FALSE)," - ",VLOOKUP(N704,[2]zawodnicy!$A$1:$E$65536,4,FALSE)),"")</f>
        <v>M3790 Kornelia MARCZAK - UKS Plesbad Pszczyna</v>
      </c>
      <c r="V704" s="257"/>
      <c r="W704" s="258"/>
      <c r="X704" s="87" t="str">
        <f>IF(SUM(AS699:AT699)=0,"",AT699&amp;":"&amp;AS699)</f>
        <v/>
      </c>
      <c r="Y704" s="88" t="str">
        <f>IF(SUM(AS700:AT700)=0,"",AT700&amp;":"&amp;AS700)</f>
        <v/>
      </c>
      <c r="Z704" s="89"/>
      <c r="AA704" s="249"/>
      <c r="AB704" s="252"/>
      <c r="AC704" s="252"/>
      <c r="AD704" s="255"/>
      <c r="AE704" s="10"/>
      <c r="AF704" s="12"/>
      <c r="AG704" s="1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row>
    <row r="705" spans="1:64" s="19" customFormat="1" ht="5.0999999999999996" customHeight="1" x14ac:dyDescent="0.2">
      <c r="M705" s="90"/>
      <c r="O705" s="90"/>
      <c r="P705" s="90"/>
      <c r="Q705" s="91"/>
      <c r="R705" s="91"/>
      <c r="S705" s="91"/>
      <c r="T705" s="91"/>
      <c r="U705" s="5"/>
      <c r="V705" s="5"/>
      <c r="W705" s="5"/>
      <c r="AA705" s="92"/>
      <c r="AB705" s="91"/>
      <c r="AC705" s="91"/>
      <c r="AD705" s="91"/>
      <c r="AE705" s="91"/>
      <c r="AF705" s="91"/>
      <c r="AI705" s="93"/>
      <c r="AJ705" s="94"/>
      <c r="AK705" s="94"/>
    </row>
    <row r="707" spans="1:64" ht="12.75" x14ac:dyDescent="0.2">
      <c r="J707" s="2"/>
      <c r="K707" s="2"/>
      <c r="L707" s="2"/>
      <c r="M707" s="95"/>
      <c r="N707" s="96">
        <v>1</v>
      </c>
      <c r="O707" s="97">
        <v>4</v>
      </c>
      <c r="P707" s="98"/>
      <c r="Q707" s="1"/>
      <c r="R707" s="1"/>
      <c r="S707" s="1"/>
      <c r="T707" s="229"/>
      <c r="U707" s="229"/>
      <c r="V707" s="229"/>
      <c r="W707" s="229"/>
      <c r="X707" s="229"/>
      <c r="Y707" s="229"/>
      <c r="Z707" s="229"/>
      <c r="AA707" s="229"/>
      <c r="AB707" s="229"/>
      <c r="AC707" s="229"/>
      <c r="AD707" s="114"/>
      <c r="AE707" s="114"/>
      <c r="AF707" s="114"/>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row>
    <row r="708" spans="1:64" ht="12.75" x14ac:dyDescent="0.2">
      <c r="J708" s="2"/>
      <c r="K708" s="2"/>
      <c r="L708" s="2"/>
      <c r="N708" s="99" t="s">
        <v>142</v>
      </c>
      <c r="P708" s="98"/>
      <c r="Q708" s="1"/>
      <c r="R708" s="1"/>
      <c r="S708" s="1"/>
      <c r="T708" s="1"/>
      <c r="U708" s="1"/>
      <c r="V708" s="101"/>
      <c r="W708" s="101"/>
      <c r="X708" s="101"/>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row>
    <row r="709" spans="1:64" ht="12.75" x14ac:dyDescent="0.2">
      <c r="J709" s="2"/>
      <c r="K709" s="2"/>
      <c r="L709" s="2"/>
      <c r="M709" s="95"/>
      <c r="N709" s="119"/>
      <c r="O709" s="120">
        <f>IF(P709="","",1)</f>
        <v>1</v>
      </c>
      <c r="P709" s="121">
        <f>IF(O707&gt;2,1,"")</f>
        <v>1</v>
      </c>
      <c r="Q709" s="113">
        <f>O709</f>
        <v>1</v>
      </c>
      <c r="R709" s="113"/>
      <c r="S709" s="113"/>
      <c r="T709" s="234" t="str">
        <f>UPPER(IF(O709="","",IF(ISTEXT(N709),N709,IF(AND(N707&gt;0,O709&gt;0),VLOOKUP(N707&amp;O709&amp;N708,I:K,2,FALSE),""))))</f>
        <v>X28</v>
      </c>
      <c r="U709" s="235"/>
      <c r="V709" s="122" t="str">
        <f>IF(T709&lt;&gt;"",CONCATENATE(VLOOKUP(T709,[2]zawodnicy!$A$1:$E$65536,2,FALSE)," ",VLOOKUP(T709,[2]zawodnicy!$A$1:$E$65536,3,FALSE)," - ",VLOOKUP(T709,[2]zawodnicy!$A$1:$E$65536,4,FALSE)),"")</f>
        <v>Yulia BAYAROUSKAYA - Białoruś</v>
      </c>
      <c r="W709" s="123"/>
      <c r="X709" s="228" t="str">
        <f>IF(ISBLANK(W710),IF(AND(LEN(T709)&gt;0,LEN(T711)=0),VLOOKUP(T709,[2]zawodnicy!$A$1:$E$65536,3,FALSE),IF(AND(LEN(T711)&gt;0,LEN(T709)=0),VLOOKUP(T711,[2]zawodnicy!$A$1:$E$65536,3,FALSE),"")),IF((VLOOKUP(W710,'[2]plan gier'!$X$1:$AF$65536,7,FALSE))="","",VLOOKUP(VLOOKUP(W710,'[2]plan gier'!$X$1:$AF$65536,7,FALSE),[2]zawodnicy!$A$1:$E$65536,3,FALSE)))</f>
        <v>LUGOVYKH</v>
      </c>
      <c r="Y709" s="229"/>
      <c r="Z709" s="229"/>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row>
    <row r="710" spans="1:64" ht="12.75" x14ac:dyDescent="0.2">
      <c r="A710" s="102">
        <f>W710</f>
        <v>222</v>
      </c>
      <c r="B710" s="2" t="str">
        <f>IF(TYPE(T709)=16,"",T709)</f>
        <v>X28</v>
      </c>
      <c r="C710" s="2" t="str">
        <f>IF(TYPE(T710)=16,"",T710)</f>
        <v>G4721</v>
      </c>
      <c r="D710" s="2" t="str">
        <f>IF(TYPE(T711)=16,"",T711)</f>
        <v>X19</v>
      </c>
      <c r="E710" s="2" t="str">
        <f>IF(TYPE(T712)=16,"",T712)</f>
        <v>X20</v>
      </c>
      <c r="F710" s="2" t="str">
        <f>IF(A710=0,IF(AND(LEN(B710)&gt;1,LEN(D710)=0),VLOOKUP(B710,[2]zawodnicy!$A$1:$E$65536,1,FALSE),IF(AND(LEN(D710)&gt;1,LEN(B710)=0),VLOOKUP(D710,[2]zawodnicy!$A$1:$E$65536,1,FALSE),"")),IF((VLOOKUP(A710,'[2]plan gier'!$X$1:$AF$65536,7,FALSE))="","",VLOOKUP(VLOOKUP(A710,'[2]plan gier'!$X$1:$AF$65536,7,FALSE),[2]zawodnicy!$A$1:$E$65536,1,FALSE)))</f>
        <v>X19</v>
      </c>
      <c r="G710" s="2" t="str">
        <f>IF(A710=0,IF(AND(LEN(C710)&gt;1,LEN(E710)=0),VLOOKUP(C710,[2]zawodnicy!$A$1:$E$65536,1,FALSE),IF(AND(LEN(E710)&gt;1,LEN(C710)=0),VLOOKUP(E710,[2]zawodnicy!$A$1:$E$65536,1,FALSE),"")),IF((VLOOKUP(A710,'[2]plan gier'!$X$1:$AF$65536,8,FALSE))="","",VLOOKUP(VLOOKUP(A710,'[2]plan gier'!$X$1:$AF$65536,8,FALSE),[2]zawodnicy!$A$1:$E$65536,1,FALSE)))</f>
        <v>X20</v>
      </c>
      <c r="H710" s="2" t="str">
        <f>IF(A710=0,"",IF((VLOOKUP(A710,'[2]plan gier'!$X$1:$AF$65536,7,FALSE))="","",VLOOKUP(A710,'[2]plan gier'!$X$1:$AF$65536,9,FALSE)))</f>
        <v>21:3,21:18</v>
      </c>
      <c r="L710" s="124" t="str">
        <f>IF(A710=0,"",IF(VLOOKUP(A710,'[2]plan gier'!A$1:S$65536,19,FALSE)="","",VLOOKUP(A710,'[2]plan gier'!A$1:S$65536,19,FALSE)))</f>
        <v>sob 17:30</v>
      </c>
      <c r="M710" s="2" t="str">
        <f>N708</f>
        <v>podwójna dziewcząt JM</v>
      </c>
      <c r="N710" s="125"/>
      <c r="O710" s="121"/>
      <c r="P710" s="121"/>
      <c r="Q710" s="114"/>
      <c r="R710" s="114"/>
      <c r="S710" s="114"/>
      <c r="T710" s="224" t="str">
        <f>UPPER(IF(O709="","",IF(ISTEXT(N710),N710,IF(AND(N707&gt;0,O709&gt;0),VLOOKUP(N707&amp;O709&amp;N708,I:K,3,FALSE),""))))</f>
        <v>G4721</v>
      </c>
      <c r="U710" s="225"/>
      <c r="V710" s="126" t="str">
        <f>IF(T710&lt;&gt;"",CONCATENATE(VLOOKUP(T710,[2]zawodnicy!$A$1:$E$65536,2,FALSE)," ",VLOOKUP(T710,[2]zawodnicy!$A$1:$E$65536,3,FALSE)," - ",VLOOKUP(T710,[2]zawodnicy!$A$1:$E$65536,4,FALSE)),"")</f>
        <v>Kinga GURZ - UKS Sokół Ropczyce</v>
      </c>
      <c r="W710" s="127">
        <v>222</v>
      </c>
      <c r="X710" s="231" t="str">
        <f>IF(ISBLANK(W710),IF(AND(LEN(T710)&gt;0,LEN(T712)=0),VLOOKUP(T710,[2]zawodnicy!$A$1:$E$65536,3,FALSE),IF(AND(LEN(T712)&gt;0,LEN(T710)=0),VLOOKUP(T712,[2]zawodnicy!$A$1:$E$65536,3,FALSE),"")),IF((VLOOKUP(W710,'[2]plan gier'!$X$1:$AF$65536,8,FALSE))="","",VLOOKUP(VLOOKUP(W710,'[2]plan gier'!$X$1:$AF$65536,8,FALSE),[2]zawodnicy!$A$1:$E$65536,3,FALSE)))</f>
        <v>SEBOVA</v>
      </c>
      <c r="Y710" s="232"/>
      <c r="Z710" s="23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row>
    <row r="711" spans="1:64" ht="12.75" x14ac:dyDescent="0.2">
      <c r="J711" s="2"/>
      <c r="K711" s="2"/>
      <c r="L711" s="2"/>
      <c r="M711" s="95"/>
      <c r="N711" s="125"/>
      <c r="O711" s="120">
        <f>IF(P711="","",MAX(O709:O710)+1)</f>
        <v>2</v>
      </c>
      <c r="P711" s="121">
        <f>IF(O707&gt;3,9,"")</f>
        <v>9</v>
      </c>
      <c r="Q711" s="113">
        <f>O711</f>
        <v>2</v>
      </c>
      <c r="R711" s="113"/>
      <c r="S711" s="113"/>
      <c r="T711" s="234" t="str">
        <f>UPPER(IF(O711="","",IF(ISTEXT(N711),N711,IF(AND(N707&gt;0,O711&gt;0),VLOOKUP(N707&amp;O711&amp;N708,I:K,2,FALSE),""))))</f>
        <v>X19</v>
      </c>
      <c r="U711" s="235"/>
      <c r="V711" s="122" t="str">
        <f>IF(T711&lt;&gt;"",CONCATENATE(VLOOKUP(T711,[2]zawodnicy!$A$1:$E$65536,2,FALSE)," ",VLOOKUP(T711,[2]zawodnicy!$A$1:$E$65536,3,FALSE)," - ",VLOOKUP(T711,[2]zawodnicy!$A$1:$E$65536,4,FALSE)),"")</f>
        <v>Oleksandra LUGOVYKH - Vinnica Ukraina</v>
      </c>
      <c r="W711" s="128"/>
      <c r="X711" s="237" t="str">
        <f>IF(ISBLANK(W710),"",IF((VLOOKUP(W710,'[2]plan gier'!$X$1:$AF$65536,7,FALSE))="",L710,VLOOKUP(W710,'[2]plan gier'!$X$1:$AF$65536,9,FALSE)))</f>
        <v>21:3,21:18</v>
      </c>
      <c r="Y711" s="237"/>
      <c r="Z711" s="240"/>
      <c r="AA711" s="229" t="str">
        <f>IF(ISBLANK(Z712),IF(AND(LEN(X709)&gt;0,LEN(X713)=0),X709,IF(AND(LEN(X713)&gt;0,LEN(X709)=0),X713,"")),IF((VLOOKUP(Z712,'[2]plan gier'!$X$1:$AF$65536,7,FALSE))="","",VLOOKUP(VLOOKUP(Z712,'[2]plan gier'!$X$1:$AF$65536,7,FALSE),[2]zawodnicy!$A$1:$E$65536,3,FALSE)))</f>
        <v>LUGOVYKH</v>
      </c>
      <c r="AB711" s="229"/>
      <c r="AC711" s="229"/>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row>
    <row r="712" spans="1:64" ht="13.5" thickBot="1" x14ac:dyDescent="0.25">
      <c r="A712" s="111">
        <f>Z712</f>
        <v>238</v>
      </c>
      <c r="B712" s="2" t="str">
        <f>F710</f>
        <v>X19</v>
      </c>
      <c r="C712" s="2" t="str">
        <f>G710</f>
        <v>X20</v>
      </c>
      <c r="D712" s="2" t="str">
        <f>F714</f>
        <v>J3786</v>
      </c>
      <c r="E712" s="2" t="str">
        <f>G714</f>
        <v>M3661</v>
      </c>
      <c r="F712" s="2" t="str">
        <f>IF(A712=0,IF(AND(LEN(B712)&gt;0,LEN(D712)=0),B712,IF(AND(LEN(D712)&gt;0,LEN(B712)=0),D712,"")),IF((VLOOKUP(A712,'[2]plan gier'!$X$1:$AF$65536,7,FALSE))="","",VLOOKUP(VLOOKUP(A712,'[2]plan gier'!$X$1:$AF$65536,7,FALSE),[2]zawodnicy!$A$1:$E$65536,1,FALSE)))</f>
        <v>X19</v>
      </c>
      <c r="G712" s="2" t="str">
        <f>IF(A712=0,IF(AND(LEN(C712)&gt;0,LEN(E712)=0),C712,IF(AND(LEN(E712)&gt;0,LEN(C712)=0),E712,"")),IF((VLOOKUP(A712,'[2]plan gier'!$X$1:$AF$65536,8,FALSE))="","",VLOOKUP(VLOOKUP(A712,'[2]plan gier'!$X$1:$AF$65536,8,FALSE),[2]zawodnicy!$A$1:$E$65536,1,FALSE)))</f>
        <v>X20</v>
      </c>
      <c r="H712" s="2" t="str">
        <f>IF(A712=0,"",IF((VLOOKUP(A712,'[2]plan gier'!$X$1:$AF$65536,7,FALSE))="","",VLOOKUP(A712,'[2]plan gier'!$X$1:$AF$65536,9,FALSE)))</f>
        <v>21:11,21:11</v>
      </c>
      <c r="L712" s="124" t="str">
        <f>IF(A712=0,"",IF(VLOOKUP(A712,'[2]plan gier'!A$1:S$65536,19,FALSE)="","",VLOOKUP(A712,'[2]plan gier'!A$1:S$65536,19,FALSE)))</f>
        <v>nie 11:30</v>
      </c>
      <c r="M712" s="2" t="str">
        <f>N708</f>
        <v>podwójna dziewcząt JM</v>
      </c>
      <c r="N712" s="129"/>
      <c r="O712" s="121"/>
      <c r="P712" s="121"/>
      <c r="Q712" s="114"/>
      <c r="R712" s="114"/>
      <c r="S712" s="114"/>
      <c r="T712" s="238" t="str">
        <f>UPPER(IF(O711="","",IF(ISTEXT(N712),N712,IF(AND(N707&gt;0,O711&gt;0),VLOOKUP(N707&amp;O711&amp;N708,I:K,3,FALSE),""))))</f>
        <v>X20</v>
      </c>
      <c r="U712" s="239"/>
      <c r="V712" s="130" t="str">
        <f>IF(T712&lt;&gt;"",CONCATENATE(VLOOKUP(T712,[2]zawodnicy!$A$1:$E$65536,2,FALSE)," ",VLOOKUP(T712,[2]zawodnicy!$A$1:$E$65536,3,FALSE)," - ",VLOOKUP(T712,[2]zawodnicy!$A$1:$E$65536,4,FALSE)),"")</f>
        <v>Inna SEBOVA - Vinnica Ukraina</v>
      </c>
      <c r="W712" s="131"/>
      <c r="X712" s="114"/>
      <c r="Y712" s="10"/>
      <c r="Z712" s="115">
        <v>238</v>
      </c>
      <c r="AA712" s="231" t="str">
        <f>IF(ISBLANK(Z712),IF(AND(LEN(X710)&gt;0,LEN(X714)=0),X710,IF(AND(LEN(X714)&gt;0,LEN(X710)=0),X714,"")),IF((VLOOKUP(Z712,'[2]plan gier'!$X$1:$AF$65536,8,FALSE))="","",VLOOKUP(VLOOKUP(Z712,'[2]plan gier'!$X$1:$AF$65536,8,FALSE),[2]zawodnicy!$A$1:$E$65536,3,FALSE)))</f>
        <v>SEBOVA</v>
      </c>
      <c r="AB712" s="232"/>
      <c r="AC712" s="23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row>
    <row r="713" spans="1:64" ht="13.5" thickTop="1" x14ac:dyDescent="0.2">
      <c r="J713" s="2"/>
      <c r="K713" s="2"/>
      <c r="L713" s="2"/>
      <c r="M713" s="95"/>
      <c r="N713" s="132"/>
      <c r="O713" s="120">
        <f>IF(P713="","",MAX(O709:O712)+1)</f>
        <v>3</v>
      </c>
      <c r="P713" s="121">
        <f>IF(O707&gt;2,24,"")</f>
        <v>24</v>
      </c>
      <c r="Q713" s="113">
        <f>O713</f>
        <v>3</v>
      </c>
      <c r="R713" s="113"/>
      <c r="S713" s="113"/>
      <c r="T713" s="226" t="str">
        <f>UPPER(IF(O713="","",IF(ISTEXT(N713),N713,IF(AND(N707&gt;0,O713&gt;0),VLOOKUP(N707&amp;O713&amp;N708,I:K,2,FALSE),""))))</f>
        <v>J3786</v>
      </c>
      <c r="U713" s="227"/>
      <c r="V713" s="133" t="str">
        <f>IF(T713&lt;&gt;"",CONCATENATE(VLOOKUP(T713,[2]zawodnicy!$A$1:$E$65536,2,FALSE)," ",VLOOKUP(T713,[2]zawodnicy!$A$1:$E$65536,3,FALSE)," - ",VLOOKUP(T713,[2]zawodnicy!$A$1:$E$65536,4,FALSE)),"")</f>
        <v>Emilia JAWORSKA - MKS Spartakus Niepołomice</v>
      </c>
      <c r="W713" s="134"/>
      <c r="X713" s="228" t="str">
        <f>IF(ISBLANK(W714),IF(AND(LEN(T713)&gt;0,LEN(T715)=0),VLOOKUP(T713,[2]zawodnicy!$A$1:$E$65536,3,FALSE),IF(AND(LEN(T715)&gt;0,LEN(T713)=0),VLOOKUP(T715,[2]zawodnicy!$A$1:$E$65536,3,FALSE),"")),IF((VLOOKUP(W714,'[2]plan gier'!$X$1:$AF$65536,7,FALSE))="","",VLOOKUP(VLOOKUP(W714,'[2]plan gier'!$X$1:$AF$65536,7,FALSE),[2]zawodnicy!$A$1:$E$65536,3,FALSE)))</f>
        <v>JAWORSKA</v>
      </c>
      <c r="Y713" s="229"/>
      <c r="Z713" s="230"/>
      <c r="AA713" s="229" t="str">
        <f>IF(ISBLANK(Z712),"",IF((VLOOKUP(Z712,'[2]plan gier'!$X$1:$AF$65536,7,FALSE))="",L712,VLOOKUP(Z712,'[2]plan gier'!$X$1:$AF$65536,9,FALSE)))</f>
        <v>21:11,21:11</v>
      </c>
      <c r="AB713" s="229"/>
      <c r="AC713" s="229"/>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row>
    <row r="714" spans="1:64" ht="12.75" x14ac:dyDescent="0.2">
      <c r="A714" s="102">
        <f>W714</f>
        <v>223</v>
      </c>
      <c r="B714" s="2" t="str">
        <f>IF(TYPE(T713)=16,"",T713)</f>
        <v>J3786</v>
      </c>
      <c r="C714" s="2" t="str">
        <f>IF(TYPE(T714)=16,"",T714)</f>
        <v>M3661</v>
      </c>
      <c r="D714" s="2" t="str">
        <f>IF(TYPE(T715)=16,"",T715)</f>
        <v>Ś3779</v>
      </c>
      <c r="E714" s="2" t="str">
        <f>IF(TYPE(T716)=16,"",T716)</f>
        <v>W4435</v>
      </c>
      <c r="F714" s="2" t="str">
        <f>IF(A714=0,IF(AND(LEN(B714)&gt;1,LEN(D714)=0),VLOOKUP(B714,[2]zawodnicy!$A$1:$E$65536,1,FALSE),IF(AND(LEN(D714)&gt;1,LEN(B714)=0),VLOOKUP(D714,[2]zawodnicy!$A$1:$E$65536,1,FALSE),"")),IF((VLOOKUP(A714,'[2]plan gier'!$X$1:$AF$65536,7,FALSE))="","",VLOOKUP(VLOOKUP(A714,'[2]plan gier'!$X$1:$AF$65536,7,FALSE),[2]zawodnicy!$A$1:$E$65536,1,FALSE)))</f>
        <v>J3786</v>
      </c>
      <c r="G714" s="2" t="str">
        <f>IF(A714=0,IF(AND(LEN(C714)&gt;1,LEN(E714)=0),VLOOKUP(C714,[2]zawodnicy!$A$1:$E$65536,1,FALSE),IF(AND(LEN(E714)&gt;1,LEN(C714)=0),VLOOKUP(E714,[2]zawodnicy!$A$1:$E$65536,1,FALSE),"")),IF((VLOOKUP(A714,'[2]plan gier'!$X$1:$AF$65536,8,FALSE))="","",VLOOKUP(VLOOKUP(A714,'[2]plan gier'!$X$1:$AF$65536,8,FALSE),[2]zawodnicy!$A$1:$E$65536,1,FALSE)))</f>
        <v>M3661</v>
      </c>
      <c r="H714" s="2" t="str">
        <f>IF(A714=0,"",IF((VLOOKUP(A714,'[2]plan gier'!$X$1:$AF$65536,7,FALSE))="","",VLOOKUP(A714,'[2]plan gier'!$X$1:$AF$65536,9,FALSE)))</f>
        <v>15:21,21:12,21:17</v>
      </c>
      <c r="L714" s="124" t="str">
        <f>IF(A714=0,"",IF(VLOOKUP(A714,'[2]plan gier'!A$1:S$65536,19,FALSE)="","",VLOOKUP(A714,'[2]plan gier'!A$1:S$65536,19,FALSE)))</f>
        <v>sob 17:30</v>
      </c>
      <c r="M714" s="2" t="str">
        <f>N708</f>
        <v>podwójna dziewcząt JM</v>
      </c>
      <c r="N714" s="125"/>
      <c r="O714" s="121"/>
      <c r="P714" s="121"/>
      <c r="Q714" s="114"/>
      <c r="R714" s="114"/>
      <c r="S714" s="114"/>
      <c r="T714" s="224" t="str">
        <f>UPPER(IF(O713="","",IF(ISTEXT(N714),N714,IF(AND(N707&gt;0,O713&gt;0),VLOOKUP(N707&amp;O713&amp;N708,I:K,3,FALSE),""))))</f>
        <v>M3661</v>
      </c>
      <c r="U714" s="225"/>
      <c r="V714" s="126" t="str">
        <f>IF(T714&lt;&gt;"",CONCATENATE(VLOOKUP(T714,[2]zawodnicy!$A$1:$E$65536,2,FALSE)," ",VLOOKUP(T714,[2]zawodnicy!$A$1:$E$65536,3,FALSE)," - ",VLOOKUP(T714,[2]zawodnicy!$A$1:$E$65536,4,FALSE)),"")</f>
        <v>Magdalena MACHNIK - UKS Orbitek Straszęcin</v>
      </c>
      <c r="W714" s="127">
        <v>223</v>
      </c>
      <c r="X714" s="231" t="str">
        <f>IF(ISBLANK(W714),IF(AND(LEN(T714)&gt;0,LEN(T716)=0),VLOOKUP(T714,[2]zawodnicy!$A$1:$E$65536,3,FALSE),IF(AND(LEN(T716)&gt;0,LEN(T714)=0),VLOOKUP(T716,[2]zawodnicy!$A$1:$E$65536,3,FALSE),"")),IF((VLOOKUP(W714,'[2]plan gier'!$X$1:$AF$65536,8,FALSE))="","",VLOOKUP(VLOOKUP(W714,'[2]plan gier'!$X$1:$AF$65536,8,FALSE),[2]zawodnicy!$A$1:$E$65536,3,FALSE)))</f>
        <v>MACHNIK</v>
      </c>
      <c r="Y714" s="232"/>
      <c r="Z714" s="233"/>
      <c r="AA714" s="10"/>
      <c r="AB714" s="10"/>
      <c r="AC714" s="10"/>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row>
    <row r="715" spans="1:64" ht="12.75" x14ac:dyDescent="0.2">
      <c r="J715" s="2"/>
      <c r="K715" s="2"/>
      <c r="L715" s="2"/>
      <c r="M715" s="95"/>
      <c r="N715" s="125"/>
      <c r="O715" s="120">
        <f>IF(P715="","",MAX(O709:O714)+1)</f>
        <v>4</v>
      </c>
      <c r="P715" s="121">
        <f>IF(O707&gt;2,32,"")</f>
        <v>32</v>
      </c>
      <c r="Q715" s="113">
        <f>O715</f>
        <v>4</v>
      </c>
      <c r="R715" s="113"/>
      <c r="S715" s="113"/>
      <c r="T715" s="234" t="str">
        <f>UPPER(IF(O715="","",IF(ISTEXT(N715),N715,IF(AND(N707&gt;0,O715&gt;0),VLOOKUP(N707&amp;O715&amp;N708,I:K,2,FALSE),""))))</f>
        <v>Ś3779</v>
      </c>
      <c r="U715" s="235"/>
      <c r="V715" s="122" t="str">
        <f>IF(T715&lt;&gt;"",CONCATENATE(VLOOKUP(T715,[2]zawodnicy!$A$1:$E$65536,2,FALSE)," ",VLOOKUP(T715,[2]zawodnicy!$A$1:$E$65536,3,FALSE)," - ",VLOOKUP(T715,[2]zawodnicy!$A$1:$E$65536,4,FALSE)),"")</f>
        <v>Magdalena ŚWIERCZYŃSKA - UKS Orkan Przeźmierowo</v>
      </c>
      <c r="W715" s="128"/>
      <c r="X715" s="236" t="str">
        <f>IF(ISBLANK(W714),"",IF((VLOOKUP(W714,'[2]plan gier'!$X$1:$AF$65536,7,FALSE))="",L714,VLOOKUP(W714,'[2]plan gier'!$X$1:$AF$65536,9,FALSE)))</f>
        <v>15:21,21:12,21:17</v>
      </c>
      <c r="Y715" s="237"/>
      <c r="Z715" s="237"/>
      <c r="AA715" s="10"/>
      <c r="AB715" s="10"/>
      <c r="AC715" s="114"/>
      <c r="AD715" s="114"/>
      <c r="AE715" s="114"/>
      <c r="AF715" s="114"/>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row>
    <row r="716" spans="1:64" ht="12.75" x14ac:dyDescent="0.2">
      <c r="A716" s="135"/>
      <c r="B716" s="16"/>
      <c r="C716" s="16"/>
      <c r="D716" s="16"/>
      <c r="E716" s="16"/>
      <c r="F716" s="16"/>
      <c r="G716" s="16"/>
      <c r="H716" s="16"/>
      <c r="I716" s="16"/>
      <c r="M716" s="16"/>
      <c r="N716" s="125"/>
      <c r="O716" s="121"/>
      <c r="P716" s="121"/>
      <c r="Q716" s="114"/>
      <c r="R716" s="114"/>
      <c r="S716" s="114"/>
      <c r="T716" s="224" t="str">
        <f>UPPER(IF(O715="","",IF(ISTEXT(N716),N716,IF(AND(N707&gt;0,O715&gt;0),VLOOKUP(N707&amp;O715&amp;N708,I:K,3,FALSE),""))))</f>
        <v>W4435</v>
      </c>
      <c r="U716" s="225"/>
      <c r="V716" s="126" t="str">
        <f>IF(T716&lt;&gt;"",CONCATENATE(VLOOKUP(T716,[2]zawodnicy!$A$1:$E$65536,2,FALSE)," ",VLOOKUP(T716,[2]zawodnicy!$A$1:$E$65536,3,FALSE)," - ",VLOOKUP(T716,[2]zawodnicy!$A$1:$E$65536,4,FALSE)),"")</f>
        <v>Karolina WŁADZIŃSKA - ----</v>
      </c>
      <c r="W716" s="136"/>
      <c r="X716" s="10"/>
      <c r="Y716" s="10"/>
      <c r="Z716" s="10"/>
      <c r="AA716" s="10"/>
      <c r="AB716" s="10"/>
      <c r="AC716" s="137"/>
      <c r="AD716" s="114"/>
      <c r="AE716" s="114"/>
      <c r="AF716" s="114"/>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row>
    <row r="718" spans="1:64" ht="11.45" customHeight="1" x14ac:dyDescent="0.2">
      <c r="M718" s="16"/>
      <c r="N718" s="17" t="s">
        <v>148</v>
      </c>
      <c r="R718" s="18"/>
      <c r="S718" s="18"/>
      <c r="T718" s="277" t="str">
        <f>"Gra "&amp;N718</f>
        <v>Gra podwójna chłopców JM</v>
      </c>
      <c r="U718" s="277"/>
      <c r="V718" s="277"/>
      <c r="W718" s="277"/>
      <c r="X718" s="277"/>
      <c r="Y718" s="277"/>
      <c r="Z718" s="277"/>
      <c r="AA718" s="277"/>
      <c r="AB718" s="277"/>
      <c r="AC718" s="277"/>
      <c r="AD718" s="277"/>
      <c r="AE718" s="18"/>
    </row>
    <row r="719" spans="1:64" ht="11.45" customHeight="1" thickBot="1" x14ac:dyDescent="0.25"/>
    <row r="720" spans="1:64" ht="11.45" customHeight="1" thickBot="1" x14ac:dyDescent="0.25">
      <c r="N720" s="11"/>
      <c r="O720" s="21">
        <v>1</v>
      </c>
      <c r="Q720" s="277" t="str">
        <f>"Grupa "&amp;O720&amp;"."</f>
        <v>Grupa 1.</v>
      </c>
      <c r="R720" s="277"/>
      <c r="S720" s="277"/>
      <c r="T720" s="22" t="s">
        <v>1</v>
      </c>
      <c r="U720" s="278" t="s">
        <v>2</v>
      </c>
      <c r="V720" s="279"/>
      <c r="W720" s="280"/>
      <c r="X720" s="22">
        <v>1</v>
      </c>
      <c r="Y720" s="23">
        <v>2</v>
      </c>
      <c r="Z720" s="24">
        <v>3</v>
      </c>
      <c r="AA720" s="25" t="s">
        <v>3</v>
      </c>
      <c r="AB720" s="26" t="s">
        <v>4</v>
      </c>
      <c r="AC720" s="26" t="s">
        <v>5</v>
      </c>
      <c r="AD720" s="27" t="s">
        <v>6</v>
      </c>
      <c r="AE720" s="2"/>
      <c r="AF720" s="12"/>
      <c r="AG720" s="12"/>
      <c r="BK720" s="19"/>
      <c r="BL720" s="20"/>
    </row>
    <row r="721" spans="1:64" ht="11.45" customHeight="1" x14ac:dyDescent="0.2">
      <c r="J721" s="28"/>
      <c r="K721" s="28"/>
      <c r="L721" s="28"/>
      <c r="N721" s="29" t="s">
        <v>148</v>
      </c>
      <c r="Q721" s="274" t="s">
        <v>7</v>
      </c>
      <c r="R721" s="274"/>
      <c r="S721" s="275" t="s">
        <v>8</v>
      </c>
      <c r="T721" s="276">
        <v>1</v>
      </c>
      <c r="U721" s="244" t="str">
        <f>IF(AND(N722&lt;&gt;"",N723&lt;&gt;""),CONCATENATE(VLOOKUP(N722,[2]zawodnicy!$A$1:$E$65536,1,FALSE)," ",VLOOKUP(N722,[2]zawodnicy!$A$1:$E$65536,2,FALSE)," ",VLOOKUP(N722,[2]zawodnicy!$A$1:$E$65536,3,FALSE)," - ",VLOOKUP(N722,[2]zawodnicy!$A$1:$E$65536,4,FALSE)),"")</f>
        <v>F4048 Konrad FRĄTCZAK - UKS Iskra Sarbice</v>
      </c>
      <c r="V721" s="245"/>
      <c r="W721" s="246"/>
      <c r="X721" s="30"/>
      <c r="Y721" s="31" t="str">
        <f>IF(SUM(AO726:AP726)=0,"",AO726&amp;":"&amp;AP726)</f>
        <v>21:0</v>
      </c>
      <c r="Z721" s="32" t="str">
        <f>IF(SUM(AO724:AP724)=0,"",AO724&amp;":"&amp;AP724)</f>
        <v>22:24</v>
      </c>
      <c r="AA721" s="270" t="str">
        <f>IF(SUM(AY724:BB724)=0,"",BE724&amp;":"&amp;BF724)</f>
        <v>106:48</v>
      </c>
      <c r="AB721" s="271" t="str">
        <f>IF(SUM(AY724:BB724)=0,"",BG724&amp;":"&amp;BH724)</f>
        <v>4:1</v>
      </c>
      <c r="AC721" s="271" t="str">
        <f>IF(SUM(AY724:BB724)=0,"",BI724&amp;":"&amp;BJ724)</f>
        <v>2:0</v>
      </c>
      <c r="AD721" s="272">
        <f>IF(SUM(BI724:BI726)&gt;0,BK724,"")</f>
        <v>1</v>
      </c>
      <c r="AE721" s="2"/>
      <c r="AF721" s="12"/>
      <c r="AG721" s="12"/>
      <c r="AH721" s="14"/>
      <c r="AI721" s="273" t="s">
        <v>9</v>
      </c>
      <c r="AJ721" s="273"/>
      <c r="AK721" s="273"/>
      <c r="AL721" s="273"/>
      <c r="AM721" s="273"/>
      <c r="AN721" s="273"/>
      <c r="AO721" s="273" t="s">
        <v>10</v>
      </c>
      <c r="AP721" s="273"/>
      <c r="AQ721" s="273"/>
      <c r="AR721" s="273"/>
      <c r="AS721" s="273"/>
      <c r="AT721" s="273"/>
      <c r="BK721" s="19"/>
      <c r="BL721" s="20"/>
    </row>
    <row r="722" spans="1:64" ht="11.45" customHeight="1" thickBot="1" x14ac:dyDescent="0.25">
      <c r="I722" s="2" t="str">
        <f>"1"&amp;O720&amp;N721</f>
        <v>11podwójna chłopców JM</v>
      </c>
      <c r="J722" s="10" t="str">
        <f>IF(AD721="","",IF(AD721=1,N722,IF(AD724=1,N725,IF(AD727=1,N728,""))))</f>
        <v>F4048</v>
      </c>
      <c r="K722" s="10" t="str">
        <f>IF(AD721="","",IF(AD721=1,N723,IF(AD724=1,N726,IF(AD727=1,N729,""))))</f>
        <v>W4049</v>
      </c>
      <c r="L722" s="10"/>
      <c r="N722" s="33" t="s">
        <v>149</v>
      </c>
      <c r="O722" s="34">
        <f>IF(O720&gt;0,(O720&amp;1)*1,"")</f>
        <v>11</v>
      </c>
      <c r="Q722" s="274"/>
      <c r="R722" s="274"/>
      <c r="S722" s="275"/>
      <c r="T722" s="242"/>
      <c r="U722" s="244" t="str">
        <f>IF(AND(N722&lt;&gt;"",N723=""),CONCATENATE(VLOOKUP(N722,[2]zawodnicy!$A$1:$E$65536,1,FALSE)," ",VLOOKUP(N722,[2]zawodnicy!$A$1:$E$65536,2,FALSE)," ",VLOOKUP(N722,[2]zawodnicy!$A$1:$E$65536,3,FALSE)," - ",VLOOKUP(N722,[2]zawodnicy!$A$1:$E$65536,4,FALSE)),"")</f>
        <v/>
      </c>
      <c r="V722" s="245"/>
      <c r="W722" s="246"/>
      <c r="X722" s="35"/>
      <c r="Y722" s="36" t="str">
        <f>IF(SUM(AQ726:AR726)=0,"",AQ726&amp;":"&amp;AR726)</f>
        <v>21:0</v>
      </c>
      <c r="Z722" s="37" t="str">
        <f>IF(SUM(AQ724:AR724)=0,"",AQ724&amp;":"&amp;AR724)</f>
        <v>21:8</v>
      </c>
      <c r="AA722" s="248"/>
      <c r="AB722" s="251"/>
      <c r="AC722" s="251"/>
      <c r="AD722" s="254"/>
      <c r="AE722" s="2"/>
      <c r="AF722" s="12"/>
      <c r="AG722" s="12"/>
      <c r="AH722" s="14"/>
      <c r="BE722" s="19">
        <f>SUM(BE724:BE726)</f>
        <v>196</v>
      </c>
      <c r="BF722" s="19">
        <f>SUM(BF724:BF726)</f>
        <v>196</v>
      </c>
      <c r="BG722" s="19">
        <f>SUM(BG724:BG726)</f>
        <v>7</v>
      </c>
      <c r="BH722" s="19">
        <f>SUM(BH724:BH726)</f>
        <v>7</v>
      </c>
      <c r="BK722" s="19"/>
      <c r="BL722" s="20"/>
    </row>
    <row r="723" spans="1:64" ht="11.45" customHeight="1" thickBot="1" x14ac:dyDescent="0.25">
      <c r="J723" s="10"/>
      <c r="K723" s="28"/>
      <c r="L723" s="28"/>
      <c r="N723" s="38" t="s">
        <v>150</v>
      </c>
      <c r="O723" s="28"/>
      <c r="P723" s="28"/>
      <c r="Q723" s="274"/>
      <c r="R723" s="274"/>
      <c r="S723" s="275"/>
      <c r="T723" s="261"/>
      <c r="U723" s="265" t="str">
        <f>IF(N723&lt;&gt;"",CONCATENATE(VLOOKUP(N723,[2]zawodnicy!$A$1:$E$65536,1,FALSE)," ",VLOOKUP(N723,[2]zawodnicy!$A$1:$E$65536,2,FALSE)," ",VLOOKUP(N723,[2]zawodnicy!$A$1:$E$65536,3,FALSE)," - ",VLOOKUP(N723,[2]zawodnicy!$A$1:$E$65536,4,FALSE)),"")</f>
        <v>W4049 Kamil WUDARSKI - UKS Iskra Sarbice</v>
      </c>
      <c r="V723" s="266"/>
      <c r="W723" s="267"/>
      <c r="X723" s="35"/>
      <c r="Y723" s="39" t="str">
        <f>IF(SUM(AS726:AT726)=0,"",AS726&amp;":"&amp;AT726)</f>
        <v/>
      </c>
      <c r="Z723" s="40" t="str">
        <f>IF(SUM(AS724:AT724)=0,"",AS724&amp;":"&amp;AT724)</f>
        <v>21:16</v>
      </c>
      <c r="AA723" s="262"/>
      <c r="AB723" s="263"/>
      <c r="AC723" s="263"/>
      <c r="AD723" s="264"/>
      <c r="AE723" s="2"/>
      <c r="AF723" s="12"/>
      <c r="AG723" s="12"/>
      <c r="AH723" s="14"/>
      <c r="AI723" s="259" t="s">
        <v>12</v>
      </c>
      <c r="AJ723" s="269"/>
      <c r="AK723" s="268" t="s">
        <v>13</v>
      </c>
      <c r="AL723" s="269"/>
      <c r="AM723" s="268" t="s">
        <v>14</v>
      </c>
      <c r="AN723" s="260"/>
      <c r="AO723" s="259" t="s">
        <v>12</v>
      </c>
      <c r="AP723" s="269"/>
      <c r="AQ723" s="268" t="s">
        <v>13</v>
      </c>
      <c r="AR723" s="269"/>
      <c r="AS723" s="268" t="s">
        <v>14</v>
      </c>
      <c r="AT723" s="269"/>
      <c r="AU723" s="12"/>
      <c r="AV723" s="12"/>
      <c r="AW723" s="259">
        <v>1</v>
      </c>
      <c r="AX723" s="269"/>
      <c r="AY723" s="268">
        <v>2</v>
      </c>
      <c r="AZ723" s="269"/>
      <c r="BA723" s="268">
        <v>3</v>
      </c>
      <c r="BB723" s="260"/>
      <c r="BE723" s="259" t="s">
        <v>3</v>
      </c>
      <c r="BF723" s="260"/>
      <c r="BG723" s="259" t="s">
        <v>4</v>
      </c>
      <c r="BH723" s="260"/>
      <c r="BI723" s="259" t="s">
        <v>5</v>
      </c>
      <c r="BJ723" s="260"/>
      <c r="BK723" s="41" t="s">
        <v>6</v>
      </c>
      <c r="BL723" s="20"/>
    </row>
    <row r="724" spans="1:64" ht="11.45" customHeight="1" x14ac:dyDescent="0.2">
      <c r="A724" s="19">
        <f>S724</f>
        <v>13</v>
      </c>
      <c r="B724" s="2" t="str">
        <f>IF(N722="","",N722)</f>
        <v>F4048</v>
      </c>
      <c r="C724" s="2" t="str">
        <f>IF(N723="","",N723)</f>
        <v>W4049</v>
      </c>
      <c r="D724" s="2" t="str">
        <f>IF(N728="","",N728)</f>
        <v>K4841</v>
      </c>
      <c r="E724" s="2" t="str">
        <f>IF(N729="","",N729)</f>
        <v>S3778</v>
      </c>
      <c r="I724" s="2" t="str">
        <f>"2"&amp;O720&amp;N721</f>
        <v>21podwójna chłopców JM</v>
      </c>
      <c r="J724" s="10" t="str">
        <f>IF(AD724="","",IF(AD721=2,N722,IF(AD724=2,N725,IF(AD727=2,N728,""))))</f>
        <v>K4841</v>
      </c>
      <c r="K724" s="10" t="str">
        <f>IF(AD724="","",IF(AD721=2,N723,IF(AD724=2,N726,IF(AD727=2,N729,""))))</f>
        <v>S3778</v>
      </c>
      <c r="M724" s="42" t="str">
        <f>N721</f>
        <v>podwójna chłopców JM</v>
      </c>
      <c r="O724" s="28"/>
      <c r="P724" s="28"/>
      <c r="Q724" s="43" t="str">
        <f>IF(AU724&gt;0,"",IF(A724=0,"",IF(VLOOKUP(A724,'[2]plan gier'!A$1:S$65536,19,FALSE)="","",VLOOKUP(A724,'[2]plan gier'!A$1:S$65536,19,FALSE))))</f>
        <v/>
      </c>
      <c r="R724" s="44" t="s">
        <v>15</v>
      </c>
      <c r="S724" s="45">
        <v>13</v>
      </c>
      <c r="T724" s="241">
        <v>2</v>
      </c>
      <c r="U724" s="244" t="str">
        <f>IF(AND(N725&lt;&gt;"",N726&lt;&gt;""),CONCATENATE(VLOOKUP(N725,[2]zawodnicy!$A$1:$E$65536,1,FALSE)," ",VLOOKUP(N725,[2]zawodnicy!$A$1:$E$65536,2,FALSE)," ",VLOOKUP(N725,[2]zawodnicy!$A$1:$E$65536,3,FALSE)," - ",VLOOKUP(N725,[2]zawodnicy!$A$1:$E$65536,4,FALSE)),"")</f>
        <v>M3704 Rafał MARKOWICZ - UKS Orliki Ropica Polska</v>
      </c>
      <c r="V724" s="245"/>
      <c r="W724" s="246"/>
      <c r="X724" s="46" t="str">
        <f>IF(SUM(AO726:AP726)=0,"",AP726&amp;":"&amp;AO726)</f>
        <v>0:21</v>
      </c>
      <c r="Y724" s="47"/>
      <c r="Z724" s="48" t="str">
        <f>IF(SUM(AO725:AP725)=0,"",AO725&amp;":"&amp;AP725)</f>
        <v>0:21</v>
      </c>
      <c r="AA724" s="247" t="str">
        <f>IF(SUM(AW725:AX725,BA725:BB725)=0,"",BE725&amp;":"&amp;BF725)</f>
        <v>0:84</v>
      </c>
      <c r="AB724" s="250" t="str">
        <f>IF(SUM(AW725:AX725,BA725:BB725)=0,"",BG725&amp;":"&amp;BH725)</f>
        <v>0:4</v>
      </c>
      <c r="AC724" s="250" t="str">
        <f>IF(SUM(AW725:AX725,BA725:BB725)=0,"",BI725&amp;":"&amp;BJ725)</f>
        <v>0:2</v>
      </c>
      <c r="AD724" s="253">
        <f>IF(SUM(BI724:BI726)&gt;0,BK725,"")</f>
        <v>3</v>
      </c>
      <c r="AE724" s="2"/>
      <c r="AF724" s="12"/>
      <c r="AG724" s="12"/>
      <c r="AH724" s="44" t="s">
        <v>15</v>
      </c>
      <c r="AI724" s="49">
        <f>IF(ISBLANK(S724),"",VLOOKUP(S724,'[2]plan gier'!$X$1:$AN$65536,12,FALSE))</f>
        <v>22</v>
      </c>
      <c r="AJ724" s="50">
        <f>IF(ISBLANK(S724),"",VLOOKUP(S724,'[2]plan gier'!$X$1:$AN$65536,13,FALSE))</f>
        <v>24</v>
      </c>
      <c r="AK724" s="50">
        <f>IF(ISBLANK(S724),"",VLOOKUP(S724,'[2]plan gier'!$X$1:$AN$65536,14,FALSE))</f>
        <v>21</v>
      </c>
      <c r="AL724" s="50">
        <f>IF(ISBLANK(S724),"",VLOOKUP(S724,'[2]plan gier'!$X$1:$AN$65536,15,FALSE))</f>
        <v>8</v>
      </c>
      <c r="AM724" s="50">
        <f>IF(ISBLANK(S724),"",VLOOKUP(S724,'[2]plan gier'!$X$1:$AN$65536,16,FALSE))</f>
        <v>21</v>
      </c>
      <c r="AN724" s="50">
        <f>IF(ISBLANK(S724),"",VLOOKUP(S724,'[2]plan gier'!$X$1:$AN$65536,17,FALSE))</f>
        <v>16</v>
      </c>
      <c r="AO724" s="51">
        <f t="shared" ref="AO724:AT726" si="63">IF(AI724="",0,AI724)</f>
        <v>22</v>
      </c>
      <c r="AP724" s="52">
        <f t="shared" si="63"/>
        <v>24</v>
      </c>
      <c r="AQ724" s="53">
        <f t="shared" si="63"/>
        <v>21</v>
      </c>
      <c r="AR724" s="52">
        <f t="shared" si="63"/>
        <v>8</v>
      </c>
      <c r="AS724" s="53">
        <f t="shared" si="63"/>
        <v>21</v>
      </c>
      <c r="AT724" s="52">
        <f t="shared" si="63"/>
        <v>16</v>
      </c>
      <c r="AU724" s="54">
        <f>SUM(AO724:AT724)</f>
        <v>112</v>
      </c>
      <c r="AV724" s="13">
        <v>1</v>
      </c>
      <c r="AW724" s="55"/>
      <c r="AX724" s="56"/>
      <c r="AY724" s="50">
        <f>IF(AI726&gt;AJ726,1,0)+IF(AK726&gt;AL726,1,0)+IF(AM726&gt;AN726,1,0)</f>
        <v>2</v>
      </c>
      <c r="AZ724" s="50">
        <f>AW725</f>
        <v>0</v>
      </c>
      <c r="BA724" s="50">
        <f>IF(AI724&gt;AJ724,1,0)+IF(AK724&gt;AL724,1,0)+IF(AM724&gt;AN724,1,0)</f>
        <v>2</v>
      </c>
      <c r="BB724" s="57">
        <f>AW726</f>
        <v>1</v>
      </c>
      <c r="BE724" s="49">
        <f>AO724+AQ724+AS724+AO726+AQ726+AS726</f>
        <v>106</v>
      </c>
      <c r="BF724" s="57">
        <f>AP724+AR724+AT724+AP726+AR726+AT726</f>
        <v>48</v>
      </c>
      <c r="BG724" s="49">
        <f>AY724+BA724</f>
        <v>4</v>
      </c>
      <c r="BH724" s="57">
        <f>AZ724+BB724</f>
        <v>1</v>
      </c>
      <c r="BI724" s="49">
        <f>IF(AY724&gt;AZ724,1,0)+IF(BA724&gt;BB724,1,0)</f>
        <v>2</v>
      </c>
      <c r="BJ724" s="58">
        <f>IF(AZ724&gt;AY724,1,0)+IF(BB724&gt;BA724,1,0)</f>
        <v>0</v>
      </c>
      <c r="BK724" s="59">
        <f>IF(BI724+BJ724=0,"",IF(BL724=MAX(BL724:BL726),1,IF(BL724=MIN(BL724:BL726),3,2)))</f>
        <v>1</v>
      </c>
      <c r="BL724" s="60">
        <f>IF(BI724+BJ724&lt;&gt;0,BI724+1+(BG724-BH724)/100+(BE724-BF724)/100000+(BE724/BF724)/1000000,0)</f>
        <v>3.0305822083333331</v>
      </c>
    </row>
    <row r="725" spans="1:64" ht="11.45" customHeight="1" x14ac:dyDescent="0.2">
      <c r="A725" s="19">
        <f>S725</f>
        <v>78</v>
      </c>
      <c r="B725" s="2" t="str">
        <f>IF(N725="","",N725)</f>
        <v>M3704</v>
      </c>
      <c r="C725" s="2" t="str">
        <f>IF(N726="","",N726)</f>
        <v>S4731</v>
      </c>
      <c r="D725" s="2" t="str">
        <f>IF(N728="","",N728)</f>
        <v>K4841</v>
      </c>
      <c r="E725" s="2" t="str">
        <f>IF(N729="","",N729)</f>
        <v>S3778</v>
      </c>
      <c r="J725" s="10"/>
      <c r="K725" s="19"/>
      <c r="M725" s="42" t="str">
        <f>N721</f>
        <v>podwójna chłopców JM</v>
      </c>
      <c r="N725" s="33" t="s">
        <v>110</v>
      </c>
      <c r="O725" s="34">
        <f>IF(O720&gt;0,(O720&amp;2)*1,"")</f>
        <v>12</v>
      </c>
      <c r="Q725" s="43" t="str">
        <f>IF(AU725&gt;0,"",IF(A725=0,"",IF(VLOOKUP(A725,'[2]plan gier'!A$1:S$65536,19,FALSE)="","",VLOOKUP(A725,'[2]plan gier'!A$1:S$65536,19,FALSE))))</f>
        <v/>
      </c>
      <c r="R725" s="44" t="s">
        <v>17</v>
      </c>
      <c r="S725" s="45">
        <v>78</v>
      </c>
      <c r="T725" s="242"/>
      <c r="U725" s="244" t="str">
        <f>IF(AND(N725&lt;&gt;"",N726=""),CONCATENATE(VLOOKUP(N725,[2]zawodnicy!$A$1:$E$65536,1,FALSE)," ",VLOOKUP(N725,[2]zawodnicy!$A$1:$E$65536,2,FALSE)," ",VLOOKUP(N725,[2]zawodnicy!$A$1:$E$65536,3,FALSE)," - ",VLOOKUP(N725,[2]zawodnicy!$A$1:$E$65536,4,FALSE)),"")</f>
        <v/>
      </c>
      <c r="V725" s="245"/>
      <c r="W725" s="246"/>
      <c r="X725" s="61" t="str">
        <f>IF(SUM(AQ726:AR726)=0,"",AR726&amp;":"&amp;AQ726)</f>
        <v>0:21</v>
      </c>
      <c r="Y725" s="62"/>
      <c r="Z725" s="37" t="str">
        <f>IF(SUM(AQ725:AR725)=0,"",AQ725&amp;":"&amp;AR725)</f>
        <v>0:21</v>
      </c>
      <c r="AA725" s="248"/>
      <c r="AB725" s="251"/>
      <c r="AC725" s="251"/>
      <c r="AD725" s="254"/>
      <c r="AE725" s="2"/>
      <c r="AF725" s="12"/>
      <c r="AG725" s="12"/>
      <c r="AH725" s="44" t="s">
        <v>17</v>
      </c>
      <c r="AI725" s="63">
        <f>IF(ISBLANK(S725),"",VLOOKUP(S725,'[2]plan gier'!$X$1:$AN$65536,12,FALSE))</f>
        <v>0</v>
      </c>
      <c r="AJ725" s="64">
        <f>IF(ISBLANK(S725),"",VLOOKUP(S725,'[2]plan gier'!$X$1:$AN$65536,13,FALSE))</f>
        <v>21</v>
      </c>
      <c r="AK725" s="64">
        <f>IF(ISBLANK(S725),"",VLOOKUP(S725,'[2]plan gier'!$X$1:$AN$65536,14,FALSE))</f>
        <v>0</v>
      </c>
      <c r="AL725" s="64">
        <f>IF(ISBLANK(S725),"",VLOOKUP(S725,'[2]plan gier'!$X$1:$AN$65536,15,FALSE))</f>
        <v>21</v>
      </c>
      <c r="AM725" s="64">
        <f>IF(ISBLANK(S725),"",VLOOKUP(S725,'[2]plan gier'!$X$1:$AN$65536,16,FALSE))</f>
        <v>0</v>
      </c>
      <c r="AN725" s="64">
        <f>IF(ISBLANK(S725),"",VLOOKUP(S725,'[2]plan gier'!$X$1:$AN$65536,17,FALSE))</f>
        <v>0</v>
      </c>
      <c r="AO725" s="65">
        <f t="shared" si="63"/>
        <v>0</v>
      </c>
      <c r="AP725" s="64">
        <f t="shared" si="63"/>
        <v>21</v>
      </c>
      <c r="AQ725" s="66">
        <f t="shared" si="63"/>
        <v>0</v>
      </c>
      <c r="AR725" s="64">
        <f t="shared" si="63"/>
        <v>21</v>
      </c>
      <c r="AS725" s="66">
        <f t="shared" si="63"/>
        <v>0</v>
      </c>
      <c r="AT725" s="64">
        <f t="shared" si="63"/>
        <v>0</v>
      </c>
      <c r="AU725" s="54">
        <f>SUM(AO725:AT725)</f>
        <v>42</v>
      </c>
      <c r="AV725" s="13">
        <v>2</v>
      </c>
      <c r="AW725" s="63">
        <f>IF(AI726&lt;AJ726,1,0)+IF(AK726&lt;AL726,1,0)+IF(AM726&lt;AN726,1,0)</f>
        <v>0</v>
      </c>
      <c r="AX725" s="64">
        <f>AY724</f>
        <v>2</v>
      </c>
      <c r="AY725" s="67"/>
      <c r="AZ725" s="68"/>
      <c r="BA725" s="64">
        <f>IF(AI725&gt;AJ725,1,0)+IF(AK725&gt;AL725,1,0)+IF(AM725&gt;AN725,1,0)</f>
        <v>0</v>
      </c>
      <c r="BB725" s="69">
        <f>AY726</f>
        <v>2</v>
      </c>
      <c r="BE725" s="63">
        <f>AO725+AQ725+AS725+AP726+AR726+AT726</f>
        <v>0</v>
      </c>
      <c r="BF725" s="69">
        <f>AP725+AR725+AT725+AO726+AQ726+AS726</f>
        <v>84</v>
      </c>
      <c r="BG725" s="63">
        <f>AW725+BA725</f>
        <v>0</v>
      </c>
      <c r="BH725" s="69">
        <f>AX725+BB725</f>
        <v>4</v>
      </c>
      <c r="BI725" s="63">
        <f>IF(AW725&gt;AX725,1,0)+IF(BA725&gt;BB725,1,0)</f>
        <v>0</v>
      </c>
      <c r="BJ725" s="70">
        <f>IF(AX725&gt;AW725,1,0)+IF(BB725&gt;BA725,1,0)</f>
        <v>2</v>
      </c>
      <c r="BK725" s="71">
        <f>IF(BI725+BJ725=0,"",IF(BL725=MAX(BL724:BL726),1,IF(BL725=MIN(BL724:BL726),3,2)))</f>
        <v>3</v>
      </c>
      <c r="BL725" s="60">
        <f>IF(BI725+BJ725&lt;&gt;0,BI725+1+(BG725-BH725)/100+(BE725-BF725)/100000+(BE725/BF725)/1000000,0)</f>
        <v>0.95916000000000001</v>
      </c>
    </row>
    <row r="726" spans="1:64" ht="11.45" customHeight="1" thickBot="1" x14ac:dyDescent="0.25">
      <c r="A726" s="19">
        <f>S726</f>
        <v>143</v>
      </c>
      <c r="B726" s="2" t="str">
        <f>IF(N722="","",N722)</f>
        <v>F4048</v>
      </c>
      <c r="C726" s="2" t="str">
        <f>IF(N723="","",N723)</f>
        <v>W4049</v>
      </c>
      <c r="D726" s="2" t="str">
        <f>IF(N725="","",N725)</f>
        <v>M3704</v>
      </c>
      <c r="E726" s="2" t="str">
        <f>IF(N726="","",N726)</f>
        <v>S4731</v>
      </c>
      <c r="I726" s="2" t="str">
        <f>"3"&amp;O720&amp;N721</f>
        <v>31podwójna chłopców JM</v>
      </c>
      <c r="J726" s="10" t="str">
        <f>IF(AD727="","",IF(AD721=3,N722,IF(AD724=3,N725,IF(AD727=3,N728,""))))</f>
        <v>M3704</v>
      </c>
      <c r="K726" s="10" t="str">
        <f>IF(AD727="","",IF(AD721=3,N723,IF(AD724=3,N726,IF(AD727=3,N729,""))))</f>
        <v>S4731</v>
      </c>
      <c r="M726" s="42" t="str">
        <f>N721</f>
        <v>podwójna chłopców JM</v>
      </c>
      <c r="N726" s="38" t="s">
        <v>140</v>
      </c>
      <c r="O726" s="28"/>
      <c r="P726" s="28"/>
      <c r="Q726" s="43" t="str">
        <f>IF(AU726&gt;0,"",IF(A726=0,"",IF(VLOOKUP(A726,'[2]plan gier'!A$1:S$65536,19,FALSE)="","",VLOOKUP(A726,'[2]plan gier'!A$1:S$65536,19,FALSE))))</f>
        <v/>
      </c>
      <c r="R726" s="72" t="s">
        <v>18</v>
      </c>
      <c r="S726" s="45">
        <v>143</v>
      </c>
      <c r="T726" s="261"/>
      <c r="U726" s="265" t="str">
        <f>IF(N726&lt;&gt;"",CONCATENATE(VLOOKUP(N726,[2]zawodnicy!$A$1:$E$65536,1,FALSE)," ",VLOOKUP(N726,[2]zawodnicy!$A$1:$E$65536,2,FALSE)," ",VLOOKUP(N726,[2]zawodnicy!$A$1:$E$65536,3,FALSE)," - ",VLOOKUP(N726,[2]zawodnicy!$A$1:$E$65536,4,FALSE)),"")</f>
        <v>S4731 Michał SIERAK - UKS Orliki Ropica Polska</v>
      </c>
      <c r="V726" s="266"/>
      <c r="W726" s="267"/>
      <c r="X726" s="73" t="str">
        <f>IF(SUM(AS726:AT726)=0,"",AT726&amp;":"&amp;AS726)</f>
        <v/>
      </c>
      <c r="Y726" s="62"/>
      <c r="Z726" s="40" t="str">
        <f>IF(SUM(AS725:AT725)=0,"",AS725&amp;":"&amp;AT725)</f>
        <v/>
      </c>
      <c r="AA726" s="262"/>
      <c r="AB726" s="263"/>
      <c r="AC726" s="263"/>
      <c r="AD726" s="264"/>
      <c r="AE726" s="2"/>
      <c r="AF726" s="12"/>
      <c r="AG726" s="12"/>
      <c r="AH726" s="72" t="s">
        <v>18</v>
      </c>
      <c r="AI726" s="74">
        <f>IF(ISBLANK(S726),"",VLOOKUP(S726,'[2]plan gier'!$X$1:$AN$65536,12,FALSE))</f>
        <v>21</v>
      </c>
      <c r="AJ726" s="75">
        <f>IF(ISBLANK(S726),"",VLOOKUP(S726,'[2]plan gier'!$X$1:$AN$65536,13,FALSE))</f>
        <v>0</v>
      </c>
      <c r="AK726" s="75">
        <f>IF(ISBLANK(S726),"",VLOOKUP(S726,'[2]plan gier'!$X$1:$AN$65536,14,FALSE))</f>
        <v>21</v>
      </c>
      <c r="AL726" s="75">
        <f>IF(ISBLANK(S726),"",VLOOKUP(S726,'[2]plan gier'!$X$1:$AN$65536,15,FALSE))</f>
        <v>0</v>
      </c>
      <c r="AM726" s="75">
        <f>IF(ISBLANK(S726),"",VLOOKUP(S726,'[2]plan gier'!$X$1:$AN$65536,16,FALSE))</f>
        <v>0</v>
      </c>
      <c r="AN726" s="75">
        <f>IF(ISBLANK(S726),"",VLOOKUP(S726,'[2]plan gier'!$X$1:$AN$65536,17,FALSE))</f>
        <v>0</v>
      </c>
      <c r="AO726" s="76">
        <f t="shared" si="63"/>
        <v>21</v>
      </c>
      <c r="AP726" s="75">
        <f t="shared" si="63"/>
        <v>0</v>
      </c>
      <c r="AQ726" s="77">
        <f t="shared" si="63"/>
        <v>21</v>
      </c>
      <c r="AR726" s="75">
        <f t="shared" si="63"/>
        <v>0</v>
      </c>
      <c r="AS726" s="77">
        <f t="shared" si="63"/>
        <v>0</v>
      </c>
      <c r="AT726" s="75">
        <f t="shared" si="63"/>
        <v>0</v>
      </c>
      <c r="AU726" s="54">
        <f>SUM(AO726:AT726)</f>
        <v>42</v>
      </c>
      <c r="AV726" s="13">
        <v>3</v>
      </c>
      <c r="AW726" s="74">
        <f>IF(AI724&lt;AJ724,1,0)+IF(AK724&lt;AL724,1,0)+IF(AM724&lt;AN724,1,0)</f>
        <v>1</v>
      </c>
      <c r="AX726" s="75">
        <f>BA724</f>
        <v>2</v>
      </c>
      <c r="AY726" s="75">
        <f>IF(AI725&lt;AJ725,1,0)+IF(AK725&lt;AL725,1,0)+IF(AM725&lt;AN725,1,0)</f>
        <v>2</v>
      </c>
      <c r="AZ726" s="75">
        <f>BA725</f>
        <v>0</v>
      </c>
      <c r="BA726" s="78"/>
      <c r="BB726" s="79"/>
      <c r="BE726" s="74">
        <f>AP724+AR724+AT724+AP725+AR725+AT725</f>
        <v>90</v>
      </c>
      <c r="BF726" s="80">
        <f>AO724+AQ724+AS724+AO725+AQ725+AS725</f>
        <v>64</v>
      </c>
      <c r="BG726" s="74">
        <f>AW726+AY726</f>
        <v>3</v>
      </c>
      <c r="BH726" s="80">
        <f>AX726+AZ726</f>
        <v>2</v>
      </c>
      <c r="BI726" s="74">
        <f>IF(AW726&gt;AX726,1,0)+IF(AY726&gt;AZ726,1,0)</f>
        <v>1</v>
      </c>
      <c r="BJ726" s="81">
        <f>IF(AX726&gt;AW726,1,0)+IF(AZ726&gt;AY726,1,0)</f>
        <v>1</v>
      </c>
      <c r="BK726" s="82">
        <f>IF(BI726+BJ726=0,"",IF(BL726=MAX(BL724:BL726),1,IF(BL726=MIN(BL724:BL726),3,2)))</f>
        <v>2</v>
      </c>
      <c r="BL726" s="60">
        <f>IF(BI726+BJ726&lt;&gt;0,BI726+1+(BG726-BH726)/100+(BE726-BF726)/100000+(BE726/BF726)/1000000,0)</f>
        <v>2.0102614062499997</v>
      </c>
    </row>
    <row r="727" spans="1:64" ht="11.45" customHeight="1" x14ac:dyDescent="0.2">
      <c r="A727" s="2"/>
      <c r="J727" s="28"/>
      <c r="K727" s="28"/>
      <c r="L727" s="28"/>
      <c r="O727" s="28"/>
      <c r="P727" s="28"/>
      <c r="Q727" s="2"/>
      <c r="R727" s="2"/>
      <c r="S727" s="2"/>
      <c r="T727" s="241">
        <v>3</v>
      </c>
      <c r="U727" s="244" t="str">
        <f>IF(AND(N728&lt;&gt;"",N729&lt;&gt;""),CONCATENATE(VLOOKUP(N728,[2]zawodnicy!$A$1:$E$65536,1,FALSE)," ",VLOOKUP(N728,[2]zawodnicy!$A$1:$E$65536,2,FALSE)," ",VLOOKUP(N728,[2]zawodnicy!$A$1:$E$65536,3,FALSE)," - ",VLOOKUP(N728,[2]zawodnicy!$A$1:$E$65536,4,FALSE)),"")</f>
        <v>K4841 Mateusz KĘDZIORA - PTS Puszczykowo</v>
      </c>
      <c r="V727" s="245"/>
      <c r="W727" s="246"/>
      <c r="X727" s="46" t="str">
        <f>IF(SUM(AO724:AP724)=0,"",AP724&amp;":"&amp;AO724)</f>
        <v>24:22</v>
      </c>
      <c r="Y727" s="83" t="str">
        <f>IF(SUM(AO725:AP725)=0,"",AP725&amp;":"&amp;AO725)</f>
        <v>21:0</v>
      </c>
      <c r="Z727" s="84"/>
      <c r="AA727" s="247" t="str">
        <f>IF(SUM(AW726:AZ726)=0,"",BE726&amp;":"&amp;BF726)</f>
        <v>90:64</v>
      </c>
      <c r="AB727" s="250" t="str">
        <f>IF(SUM(AW726:AZ726)=0,"",BG726&amp;":"&amp;BH726)</f>
        <v>3:2</v>
      </c>
      <c r="AC727" s="250" t="str">
        <f>IF(SUM(AW726:AZ726)=0,"",BI726&amp;":"&amp;BJ726)</f>
        <v>1:1</v>
      </c>
      <c r="AD727" s="253">
        <f>IF(SUM(BI724:BI726)&gt;0,BK726,"")</f>
        <v>2</v>
      </c>
      <c r="AE727" s="2"/>
      <c r="AF727" s="12"/>
      <c r="AG727" s="12"/>
      <c r="BE727" s="19">
        <f>SUM(BE724:BE726)</f>
        <v>196</v>
      </c>
      <c r="BF727" s="19">
        <f>SUM(BF724:BF726)</f>
        <v>196</v>
      </c>
      <c r="BG727" s="19">
        <f>SUM(BG724:BG726)</f>
        <v>7</v>
      </c>
      <c r="BH727" s="19">
        <f>SUM(BH724:BH726)</f>
        <v>7</v>
      </c>
      <c r="BK727" s="19"/>
      <c r="BL727" s="20"/>
    </row>
    <row r="728" spans="1:64" ht="11.45" customHeight="1" x14ac:dyDescent="0.2">
      <c r="A728" s="19"/>
      <c r="J728" s="19"/>
      <c r="K728" s="19"/>
      <c r="L728" s="19"/>
      <c r="N728" s="33" t="s">
        <v>123</v>
      </c>
      <c r="O728" s="34">
        <f>IF(O720&gt;0,(O720&amp;3)*1,"")</f>
        <v>13</v>
      </c>
      <c r="Q728" s="85"/>
      <c r="R728" s="85"/>
      <c r="S728" s="85"/>
      <c r="T728" s="242"/>
      <c r="U728" s="244" t="str">
        <f>IF(AND(N728&lt;&gt;"",N729=""),CONCATENATE(VLOOKUP(N728,[2]zawodnicy!$A$1:$E$65536,1,FALSE)," ",VLOOKUP(N728,[2]zawodnicy!$A$1:$E$65536,2,FALSE)," ",VLOOKUP(N728,[2]zawodnicy!$A$1:$E$65536,3,FALSE)," - ",VLOOKUP(N728,[2]zawodnicy!$A$1:$E$65536,4,FALSE)),"")</f>
        <v/>
      </c>
      <c r="V728" s="245"/>
      <c r="W728" s="246"/>
      <c r="X728" s="61" t="str">
        <f>IF(SUM(AQ724:AR724)=0,"",AR724&amp;":"&amp;AQ724)</f>
        <v>8:21</v>
      </c>
      <c r="Y728" s="36" t="str">
        <f>IF(SUM(AQ725:AR725)=0,"",AR725&amp;":"&amp;AQ725)</f>
        <v>21:0</v>
      </c>
      <c r="Z728" s="86"/>
      <c r="AA728" s="248"/>
      <c r="AB728" s="251"/>
      <c r="AC728" s="251"/>
      <c r="AD728" s="254"/>
      <c r="AE728" s="2"/>
      <c r="AF728" s="12"/>
      <c r="AG728" s="1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row>
    <row r="729" spans="1:64" ht="11.45" customHeight="1" thickBot="1" x14ac:dyDescent="0.25">
      <c r="A729" s="2"/>
      <c r="J729" s="28"/>
      <c r="K729" s="28"/>
      <c r="L729" s="28"/>
      <c r="N729" s="38" t="s">
        <v>138</v>
      </c>
      <c r="O729" s="28"/>
      <c r="P729" s="28"/>
      <c r="Q729" s="2"/>
      <c r="R729" s="2"/>
      <c r="S729" s="2"/>
      <c r="T729" s="243"/>
      <c r="U729" s="256" t="str">
        <f>IF(N729&lt;&gt;"",CONCATENATE(VLOOKUP(N729,[2]zawodnicy!$A$1:$E$65536,1,FALSE)," ",VLOOKUP(N729,[2]zawodnicy!$A$1:$E$65536,2,FALSE)," ",VLOOKUP(N729,[2]zawodnicy!$A$1:$E$65536,3,FALSE)," - ",VLOOKUP(N729,[2]zawodnicy!$A$1:$E$65536,4,FALSE)),"")</f>
        <v>S3778 Damian SADALSKI - UKS Orkan Przeźmierowo</v>
      </c>
      <c r="V729" s="257"/>
      <c r="W729" s="258"/>
      <c r="X729" s="87" t="str">
        <f>IF(SUM(AS724:AT724)=0,"",AT724&amp;":"&amp;AS724)</f>
        <v>16:21</v>
      </c>
      <c r="Y729" s="88" t="str">
        <f>IF(SUM(AS725:AT725)=0,"",AT725&amp;":"&amp;AS725)</f>
        <v/>
      </c>
      <c r="Z729" s="89"/>
      <c r="AA729" s="249"/>
      <c r="AB729" s="252"/>
      <c r="AC729" s="252"/>
      <c r="AD729" s="255"/>
      <c r="AE729" s="10"/>
      <c r="AF729" s="12"/>
      <c r="AG729" s="1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row>
    <row r="730" spans="1:64" s="19" customFormat="1" ht="5.0999999999999996" customHeight="1" thickBot="1" x14ac:dyDescent="0.25">
      <c r="M730" s="90"/>
      <c r="O730" s="90"/>
      <c r="P730" s="90"/>
      <c r="Q730" s="91"/>
      <c r="R730" s="91"/>
      <c r="S730" s="91"/>
      <c r="T730" s="91"/>
      <c r="U730" s="5"/>
      <c r="V730" s="5"/>
      <c r="W730" s="5"/>
      <c r="AA730" s="92"/>
      <c r="AB730" s="91"/>
      <c r="AC730" s="91"/>
      <c r="AD730" s="91"/>
      <c r="AE730" s="91"/>
      <c r="AF730" s="91"/>
      <c r="AI730" s="93"/>
      <c r="AJ730" s="94"/>
      <c r="AK730" s="94"/>
    </row>
    <row r="731" spans="1:64" ht="11.45" customHeight="1" thickBot="1" x14ac:dyDescent="0.25">
      <c r="N731" s="11"/>
      <c r="O731" s="21">
        <v>2</v>
      </c>
      <c r="Q731" s="277" t="str">
        <f>"Grupa "&amp;O731&amp;"."</f>
        <v>Grupa 2.</v>
      </c>
      <c r="R731" s="277"/>
      <c r="S731" s="277"/>
      <c r="T731" s="22" t="s">
        <v>1</v>
      </c>
      <c r="U731" s="278" t="s">
        <v>2</v>
      </c>
      <c r="V731" s="279"/>
      <c r="W731" s="280"/>
      <c r="X731" s="22">
        <v>1</v>
      </c>
      <c r="Y731" s="23">
        <v>2</v>
      </c>
      <c r="Z731" s="24">
        <v>3</v>
      </c>
      <c r="AA731" s="25" t="s">
        <v>3</v>
      </c>
      <c r="AB731" s="26" t="s">
        <v>4</v>
      </c>
      <c r="AC731" s="26" t="s">
        <v>5</v>
      </c>
      <c r="AD731" s="27" t="s">
        <v>6</v>
      </c>
      <c r="AE731" s="2"/>
      <c r="AF731" s="12"/>
      <c r="AG731" s="12"/>
      <c r="BK731" s="19"/>
      <c r="BL731" s="20"/>
    </row>
    <row r="732" spans="1:64" ht="11.45" customHeight="1" x14ac:dyDescent="0.2">
      <c r="J732" s="28"/>
      <c r="K732" s="28"/>
      <c r="L732" s="28"/>
      <c r="N732" s="29" t="s">
        <v>148</v>
      </c>
      <c r="Q732" s="274" t="s">
        <v>7</v>
      </c>
      <c r="R732" s="274"/>
      <c r="S732" s="275" t="s">
        <v>8</v>
      </c>
      <c r="T732" s="276">
        <v>1</v>
      </c>
      <c r="U732" s="244" t="str">
        <f>IF(AND(N733&lt;&gt;"",N734&lt;&gt;""),CONCATENATE(VLOOKUP(N733,[2]zawodnicy!$A$1:$E$65536,1,FALSE)," ",VLOOKUP(N733,[2]zawodnicy!$A$1:$E$65536,2,FALSE)," ",VLOOKUP(N733,[2]zawodnicy!$A$1:$E$65536,3,FALSE)," - ",VLOOKUP(N733,[2]zawodnicy!$A$1:$E$65536,4,FALSE)),"")</f>
        <v>G4333 Michał GIELECKI - UKS Kiko Zamość</v>
      </c>
      <c r="V732" s="245"/>
      <c r="W732" s="246"/>
      <c r="X732" s="30"/>
      <c r="Y732" s="31" t="str">
        <f>IF(SUM(AO737:AP737)=0,"",AO737&amp;":"&amp;AP737)</f>
        <v>14:21</v>
      </c>
      <c r="Z732" s="32" t="str">
        <f>IF(SUM(AO735:AP735)=0,"",AO735&amp;":"&amp;AP735)</f>
        <v>15:21</v>
      </c>
      <c r="AA732" s="270" t="str">
        <f>IF(SUM(AY735:BB735)=0,"",BE735&amp;":"&amp;BF735)</f>
        <v>55:84</v>
      </c>
      <c r="AB732" s="271" t="str">
        <f>IF(SUM(AY735:BB735)=0,"",BG735&amp;":"&amp;BH735)</f>
        <v>0:4</v>
      </c>
      <c r="AC732" s="271" t="str">
        <f>IF(SUM(AY735:BB735)=0,"",BI735&amp;":"&amp;BJ735)</f>
        <v>0:2</v>
      </c>
      <c r="AD732" s="272">
        <f>IF(SUM(BI735:BI737)&gt;0,BK735,"")</f>
        <v>3</v>
      </c>
      <c r="AE732" s="2"/>
      <c r="AF732" s="12"/>
      <c r="AG732" s="12"/>
      <c r="AH732" s="14"/>
      <c r="AI732" s="273" t="s">
        <v>9</v>
      </c>
      <c r="AJ732" s="273"/>
      <c r="AK732" s="273"/>
      <c r="AL732" s="273"/>
      <c r="AM732" s="273"/>
      <c r="AN732" s="273"/>
      <c r="AO732" s="273" t="s">
        <v>10</v>
      </c>
      <c r="AP732" s="273"/>
      <c r="AQ732" s="273"/>
      <c r="AR732" s="273"/>
      <c r="AS732" s="273"/>
      <c r="AT732" s="273"/>
      <c r="BK732" s="19"/>
      <c r="BL732" s="20"/>
    </row>
    <row r="733" spans="1:64" ht="11.45" customHeight="1" thickBot="1" x14ac:dyDescent="0.25">
      <c r="I733" s="2" t="str">
        <f>"1"&amp;O731&amp;N732</f>
        <v>12podwójna chłopców JM</v>
      </c>
      <c r="J733" s="10" t="str">
        <f>IF(AD732="","",IF(AD732=1,N733,IF(AD735=1,N736,IF(AD738=1,N739,""))))</f>
        <v>X41</v>
      </c>
      <c r="K733" s="10" t="str">
        <f>IF(AD732="","",IF(AD732=1,N734,IF(AD735=1,N737,IF(AD738=1,N740,""))))</f>
        <v>X39</v>
      </c>
      <c r="L733" s="10"/>
      <c r="N733" s="33" t="s">
        <v>128</v>
      </c>
      <c r="O733" s="34">
        <f>IF(O731&gt;0,(O731&amp;1)*1,"")</f>
        <v>21</v>
      </c>
      <c r="Q733" s="274"/>
      <c r="R733" s="274"/>
      <c r="S733" s="275"/>
      <c r="T733" s="242"/>
      <c r="U733" s="244" t="str">
        <f>IF(AND(N733&lt;&gt;"",N734=""),CONCATENATE(VLOOKUP(N733,[2]zawodnicy!$A$1:$E$65536,1,FALSE)," ",VLOOKUP(N733,[2]zawodnicy!$A$1:$E$65536,2,FALSE)," ",VLOOKUP(N733,[2]zawodnicy!$A$1:$E$65536,3,FALSE)," - ",VLOOKUP(N733,[2]zawodnicy!$A$1:$E$65536,4,FALSE)),"")</f>
        <v/>
      </c>
      <c r="V733" s="245"/>
      <c r="W733" s="246"/>
      <c r="X733" s="35"/>
      <c r="Y733" s="36" t="str">
        <f>IF(SUM(AQ737:AR737)=0,"",AQ737&amp;":"&amp;AR737)</f>
        <v>14:21</v>
      </c>
      <c r="Z733" s="37" t="str">
        <f>IF(SUM(AQ735:AR735)=0,"",AQ735&amp;":"&amp;AR735)</f>
        <v>12:21</v>
      </c>
      <c r="AA733" s="248"/>
      <c r="AB733" s="251"/>
      <c r="AC733" s="251"/>
      <c r="AD733" s="254"/>
      <c r="AE733" s="2"/>
      <c r="AF733" s="12"/>
      <c r="AG733" s="12"/>
      <c r="AH733" s="14"/>
      <c r="BE733" s="19">
        <f>SUM(BE735:BE737)</f>
        <v>244</v>
      </c>
      <c r="BF733" s="19">
        <f>SUM(BF735:BF737)</f>
        <v>244</v>
      </c>
      <c r="BG733" s="19">
        <f>SUM(BG735:BG737)</f>
        <v>7</v>
      </c>
      <c r="BH733" s="19">
        <f>SUM(BH735:BH737)</f>
        <v>7</v>
      </c>
      <c r="BK733" s="19"/>
      <c r="BL733" s="20"/>
    </row>
    <row r="734" spans="1:64" ht="11.45" customHeight="1" thickBot="1" x14ac:dyDescent="0.25">
      <c r="J734" s="10"/>
      <c r="K734" s="28"/>
      <c r="L734" s="28"/>
      <c r="N734" s="38" t="s">
        <v>136</v>
      </c>
      <c r="O734" s="28"/>
      <c r="P734" s="28"/>
      <c r="Q734" s="274"/>
      <c r="R734" s="274"/>
      <c r="S734" s="275"/>
      <c r="T734" s="261"/>
      <c r="U734" s="265" t="str">
        <f>IF(N734&lt;&gt;"",CONCATENATE(VLOOKUP(N734,[2]zawodnicy!$A$1:$E$65536,1,FALSE)," ",VLOOKUP(N734,[2]zawodnicy!$A$1:$E$65536,2,FALSE)," ",VLOOKUP(N734,[2]zawodnicy!$A$1:$E$65536,3,FALSE)," - ",VLOOKUP(N734,[2]zawodnicy!$A$1:$E$65536,4,FALSE)),"")</f>
        <v>L4037 Patryk LEPIANKA - UKS Kiko Zamość</v>
      </c>
      <c r="V734" s="266"/>
      <c r="W734" s="267"/>
      <c r="X734" s="35"/>
      <c r="Y734" s="39" t="str">
        <f>IF(SUM(AS737:AT737)=0,"",AS737&amp;":"&amp;AT737)</f>
        <v/>
      </c>
      <c r="Z734" s="40" t="str">
        <f>IF(SUM(AS735:AT735)=0,"",AS735&amp;":"&amp;AT735)</f>
        <v/>
      </c>
      <c r="AA734" s="262"/>
      <c r="AB734" s="263"/>
      <c r="AC734" s="263"/>
      <c r="AD734" s="264"/>
      <c r="AE734" s="2"/>
      <c r="AF734" s="12"/>
      <c r="AG734" s="12"/>
      <c r="AH734" s="14"/>
      <c r="AI734" s="259" t="s">
        <v>12</v>
      </c>
      <c r="AJ734" s="269"/>
      <c r="AK734" s="268" t="s">
        <v>13</v>
      </c>
      <c r="AL734" s="269"/>
      <c r="AM734" s="268" t="s">
        <v>14</v>
      </c>
      <c r="AN734" s="260"/>
      <c r="AO734" s="259" t="s">
        <v>12</v>
      </c>
      <c r="AP734" s="269"/>
      <c r="AQ734" s="268" t="s">
        <v>13</v>
      </c>
      <c r="AR734" s="269"/>
      <c r="AS734" s="268" t="s">
        <v>14</v>
      </c>
      <c r="AT734" s="269"/>
      <c r="AU734" s="12"/>
      <c r="AV734" s="12"/>
      <c r="AW734" s="259">
        <v>1</v>
      </c>
      <c r="AX734" s="269"/>
      <c r="AY734" s="268">
        <v>2</v>
      </c>
      <c r="AZ734" s="269"/>
      <c r="BA734" s="268">
        <v>3</v>
      </c>
      <c r="BB734" s="260"/>
      <c r="BE734" s="259" t="s">
        <v>3</v>
      </c>
      <c r="BF734" s="260"/>
      <c r="BG734" s="259" t="s">
        <v>4</v>
      </c>
      <c r="BH734" s="260"/>
      <c r="BI734" s="259" t="s">
        <v>5</v>
      </c>
      <c r="BJ734" s="260"/>
      <c r="BK734" s="41" t="s">
        <v>6</v>
      </c>
      <c r="BL734" s="20"/>
    </row>
    <row r="735" spans="1:64" ht="11.45" customHeight="1" x14ac:dyDescent="0.2">
      <c r="A735" s="19">
        <f>S735</f>
        <v>14</v>
      </c>
      <c r="B735" s="2" t="str">
        <f>IF(N733="","",N733)</f>
        <v>G4333</v>
      </c>
      <c r="C735" s="2" t="str">
        <f>IF(N734="","",N734)</f>
        <v>L4037</v>
      </c>
      <c r="D735" s="2" t="str">
        <f>IF(N739="","",N739)</f>
        <v>F4256</v>
      </c>
      <c r="E735" s="2" t="str">
        <f>IF(N740="","",N740)</f>
        <v>O2779</v>
      </c>
      <c r="I735" s="2" t="str">
        <f>"2"&amp;O731&amp;N732</f>
        <v>22podwójna chłopców JM</v>
      </c>
      <c r="J735" s="10" t="str">
        <f>IF(AD735="","",IF(AD732=2,N733,IF(AD735=2,N736,IF(AD738=2,N739,""))))</f>
        <v>F4256</v>
      </c>
      <c r="K735" s="10" t="str">
        <f>IF(AD735="","",IF(AD732=2,N734,IF(AD735=2,N737,IF(AD738=2,N740,""))))</f>
        <v>O2779</v>
      </c>
      <c r="M735" s="42" t="str">
        <f>N732</f>
        <v>podwójna chłopców JM</v>
      </c>
      <c r="O735" s="28"/>
      <c r="P735" s="28"/>
      <c r="Q735" s="43" t="str">
        <f>IF(AU735&gt;0,"",IF(A735=0,"",IF(VLOOKUP(A735,'[2]plan gier'!A$1:S$65536,19,FALSE)="","",VLOOKUP(A735,'[2]plan gier'!A$1:S$65536,19,FALSE))))</f>
        <v/>
      </c>
      <c r="R735" s="44" t="s">
        <v>15</v>
      </c>
      <c r="S735" s="45">
        <v>14</v>
      </c>
      <c r="T735" s="241">
        <v>2</v>
      </c>
      <c r="U735" s="244" t="str">
        <f>IF(AND(N736&lt;&gt;"",N737&lt;&gt;""),CONCATENATE(VLOOKUP(N736,[2]zawodnicy!$A$1:$E$65536,1,FALSE)," ",VLOOKUP(N736,[2]zawodnicy!$A$1:$E$65536,2,FALSE)," ",VLOOKUP(N736,[2]zawodnicy!$A$1:$E$65536,3,FALSE)," - ",VLOOKUP(N736,[2]zawodnicy!$A$1:$E$65536,4,FALSE)),"")</f>
        <v>X41 Marek Kufa  - Slavoj Cesky Tesin</v>
      </c>
      <c r="V735" s="245"/>
      <c r="W735" s="246"/>
      <c r="X735" s="46" t="str">
        <f>IF(SUM(AO737:AP737)=0,"",AP737&amp;":"&amp;AO737)</f>
        <v>21:14</v>
      </c>
      <c r="Y735" s="47"/>
      <c r="Z735" s="48" t="str">
        <f>IF(SUM(AO736:AP736)=0,"",AO736&amp;":"&amp;AP736)</f>
        <v>21:14</v>
      </c>
      <c r="AA735" s="247" t="str">
        <f>IF(SUM(AW736:AX736,BA736:BB736)=0,"",BE736&amp;":"&amp;BF736)</f>
        <v>99:76</v>
      </c>
      <c r="AB735" s="250" t="str">
        <f>IF(SUM(AW736:AX736,BA736:BB736)=0,"",BG736&amp;":"&amp;BH736)</f>
        <v>4:1</v>
      </c>
      <c r="AC735" s="250" t="str">
        <f>IF(SUM(AW736:AX736,BA736:BB736)=0,"",BI736&amp;":"&amp;BJ736)</f>
        <v>2:0</v>
      </c>
      <c r="AD735" s="253">
        <f>IF(SUM(BI735:BI737)&gt;0,BK736,"")</f>
        <v>1</v>
      </c>
      <c r="AE735" s="2"/>
      <c r="AF735" s="12"/>
      <c r="AG735" s="12"/>
      <c r="AH735" s="44" t="s">
        <v>15</v>
      </c>
      <c r="AI735" s="49">
        <f>IF(ISBLANK(S735),"",VLOOKUP(S735,'[2]plan gier'!$X$1:$AN$65536,12,FALSE))</f>
        <v>15</v>
      </c>
      <c r="AJ735" s="50">
        <f>IF(ISBLANK(S735),"",VLOOKUP(S735,'[2]plan gier'!$X$1:$AN$65536,13,FALSE))</f>
        <v>21</v>
      </c>
      <c r="AK735" s="50">
        <f>IF(ISBLANK(S735),"",VLOOKUP(S735,'[2]plan gier'!$X$1:$AN$65536,14,FALSE))</f>
        <v>12</v>
      </c>
      <c r="AL735" s="50">
        <f>IF(ISBLANK(S735),"",VLOOKUP(S735,'[2]plan gier'!$X$1:$AN$65536,15,FALSE))</f>
        <v>21</v>
      </c>
      <c r="AM735" s="50">
        <f>IF(ISBLANK(S735),"",VLOOKUP(S735,'[2]plan gier'!$X$1:$AN$65536,16,FALSE))</f>
        <v>0</v>
      </c>
      <c r="AN735" s="50">
        <f>IF(ISBLANK(S735),"",VLOOKUP(S735,'[2]plan gier'!$X$1:$AN$65536,17,FALSE))</f>
        <v>0</v>
      </c>
      <c r="AO735" s="51">
        <f t="shared" ref="AO735:AT737" si="64">IF(AI735="",0,AI735)</f>
        <v>15</v>
      </c>
      <c r="AP735" s="52">
        <f t="shared" si="64"/>
        <v>21</v>
      </c>
      <c r="AQ735" s="53">
        <f t="shared" si="64"/>
        <v>12</v>
      </c>
      <c r="AR735" s="52">
        <f t="shared" si="64"/>
        <v>21</v>
      </c>
      <c r="AS735" s="53">
        <f t="shared" si="64"/>
        <v>0</v>
      </c>
      <c r="AT735" s="52">
        <f t="shared" si="64"/>
        <v>0</v>
      </c>
      <c r="AU735" s="54">
        <f>SUM(AO735:AT735)</f>
        <v>69</v>
      </c>
      <c r="AV735" s="13">
        <v>1</v>
      </c>
      <c r="AW735" s="55"/>
      <c r="AX735" s="56"/>
      <c r="AY735" s="50">
        <f>IF(AI737&gt;AJ737,1,0)+IF(AK737&gt;AL737,1,0)+IF(AM737&gt;AN737,1,0)</f>
        <v>0</v>
      </c>
      <c r="AZ735" s="50">
        <f>AW736</f>
        <v>2</v>
      </c>
      <c r="BA735" s="50">
        <f>IF(AI735&gt;AJ735,1,0)+IF(AK735&gt;AL735,1,0)+IF(AM735&gt;AN735,1,0)</f>
        <v>0</v>
      </c>
      <c r="BB735" s="57">
        <f>AW737</f>
        <v>2</v>
      </c>
      <c r="BE735" s="49">
        <f>AO735+AQ735+AS735+AO737+AQ737+AS737</f>
        <v>55</v>
      </c>
      <c r="BF735" s="57">
        <f>AP735+AR735+AT735+AP737+AR737+AT737</f>
        <v>84</v>
      </c>
      <c r="BG735" s="49">
        <f>AY735+BA735</f>
        <v>0</v>
      </c>
      <c r="BH735" s="57">
        <f>AZ735+BB735</f>
        <v>4</v>
      </c>
      <c r="BI735" s="49">
        <f>IF(AY735&gt;AZ735,1,0)+IF(BA735&gt;BB735,1,0)</f>
        <v>0</v>
      </c>
      <c r="BJ735" s="58">
        <f>IF(AZ735&gt;AY735,1,0)+IF(BB735&gt;BA735,1,0)</f>
        <v>2</v>
      </c>
      <c r="BK735" s="59">
        <f>IF(BI735+BJ735=0,"",IF(BL735=MAX(BL735:BL737),1,IF(BL735=MIN(BL735:BL737),3,2)))</f>
        <v>3</v>
      </c>
      <c r="BL735" s="60">
        <f>IF(BI735+BJ735&lt;&gt;0,BI735+1+(BG735-BH735)/100+(BE735-BF735)/100000+(BE735/BF735)/1000000,0)</f>
        <v>0.95971065476190476</v>
      </c>
    </row>
    <row r="736" spans="1:64" ht="11.45" customHeight="1" x14ac:dyDescent="0.2">
      <c r="A736" s="19">
        <f>S736</f>
        <v>79</v>
      </c>
      <c r="B736" s="2" t="str">
        <f>IF(N736="","",N736)</f>
        <v>X41</v>
      </c>
      <c r="C736" s="2" t="str">
        <f>IF(N737="","",N737)</f>
        <v>X39</v>
      </c>
      <c r="D736" s="2" t="str">
        <f>IF(N739="","",N739)</f>
        <v>F4256</v>
      </c>
      <c r="E736" s="2" t="str">
        <f>IF(N740="","",N740)</f>
        <v>O2779</v>
      </c>
      <c r="J736" s="10"/>
      <c r="K736" s="19"/>
      <c r="M736" s="42" t="str">
        <f>N732</f>
        <v>podwójna chłopców JM</v>
      </c>
      <c r="N736" s="33" t="s">
        <v>129</v>
      </c>
      <c r="O736" s="34">
        <f>IF(O731&gt;0,(O731&amp;2)*1,"")</f>
        <v>22</v>
      </c>
      <c r="Q736" s="43" t="str">
        <f>IF(AU736&gt;0,"",IF(A736=0,"",IF(VLOOKUP(A736,'[2]plan gier'!A$1:S$65536,19,FALSE)="","",VLOOKUP(A736,'[2]plan gier'!A$1:S$65536,19,FALSE))))</f>
        <v/>
      </c>
      <c r="R736" s="44" t="s">
        <v>17</v>
      </c>
      <c r="S736" s="45">
        <v>79</v>
      </c>
      <c r="T736" s="242"/>
      <c r="U736" s="244" t="str">
        <f>IF(AND(N736&lt;&gt;"",N737=""),CONCATENATE(VLOOKUP(N736,[2]zawodnicy!$A$1:$E$65536,1,FALSE)," ",VLOOKUP(N736,[2]zawodnicy!$A$1:$E$65536,2,FALSE)," ",VLOOKUP(N736,[2]zawodnicy!$A$1:$E$65536,3,FALSE)," - ",VLOOKUP(N736,[2]zawodnicy!$A$1:$E$65536,4,FALSE)),"")</f>
        <v/>
      </c>
      <c r="V736" s="245"/>
      <c r="W736" s="246"/>
      <c r="X736" s="61" t="str">
        <f>IF(SUM(AQ737:AR737)=0,"",AR737&amp;":"&amp;AQ737)</f>
        <v>21:14</v>
      </c>
      <c r="Y736" s="62"/>
      <c r="Z736" s="37" t="str">
        <f>IF(SUM(AQ736:AR736)=0,"",AQ736&amp;":"&amp;AR736)</f>
        <v>15:21</v>
      </c>
      <c r="AA736" s="248"/>
      <c r="AB736" s="251"/>
      <c r="AC736" s="251"/>
      <c r="AD736" s="254"/>
      <c r="AE736" s="2"/>
      <c r="AF736" s="12"/>
      <c r="AG736" s="12"/>
      <c r="AH736" s="44" t="s">
        <v>17</v>
      </c>
      <c r="AI736" s="63">
        <f>IF(ISBLANK(S736),"",VLOOKUP(S736,'[2]plan gier'!$X$1:$AN$65536,12,FALSE))</f>
        <v>21</v>
      </c>
      <c r="AJ736" s="64">
        <f>IF(ISBLANK(S736),"",VLOOKUP(S736,'[2]plan gier'!$X$1:$AN$65536,13,FALSE))</f>
        <v>14</v>
      </c>
      <c r="AK736" s="64">
        <f>IF(ISBLANK(S736),"",VLOOKUP(S736,'[2]plan gier'!$X$1:$AN$65536,14,FALSE))</f>
        <v>15</v>
      </c>
      <c r="AL736" s="64">
        <f>IF(ISBLANK(S736),"",VLOOKUP(S736,'[2]plan gier'!$X$1:$AN$65536,15,FALSE))</f>
        <v>21</v>
      </c>
      <c r="AM736" s="64">
        <f>IF(ISBLANK(S736),"",VLOOKUP(S736,'[2]plan gier'!$X$1:$AN$65536,16,FALSE))</f>
        <v>21</v>
      </c>
      <c r="AN736" s="64">
        <f>IF(ISBLANK(S736),"",VLOOKUP(S736,'[2]plan gier'!$X$1:$AN$65536,17,FALSE))</f>
        <v>13</v>
      </c>
      <c r="AO736" s="65">
        <f t="shared" si="64"/>
        <v>21</v>
      </c>
      <c r="AP736" s="64">
        <f t="shared" si="64"/>
        <v>14</v>
      </c>
      <c r="AQ736" s="66">
        <f t="shared" si="64"/>
        <v>15</v>
      </c>
      <c r="AR736" s="64">
        <f t="shared" si="64"/>
        <v>21</v>
      </c>
      <c r="AS736" s="66">
        <f t="shared" si="64"/>
        <v>21</v>
      </c>
      <c r="AT736" s="64">
        <f t="shared" si="64"/>
        <v>13</v>
      </c>
      <c r="AU736" s="54">
        <f>SUM(AO736:AT736)</f>
        <v>105</v>
      </c>
      <c r="AV736" s="13">
        <v>2</v>
      </c>
      <c r="AW736" s="63">
        <f>IF(AI737&lt;AJ737,1,0)+IF(AK737&lt;AL737,1,0)+IF(AM737&lt;AN737,1,0)</f>
        <v>2</v>
      </c>
      <c r="AX736" s="64">
        <f>AY735</f>
        <v>0</v>
      </c>
      <c r="AY736" s="67"/>
      <c r="AZ736" s="68"/>
      <c r="BA736" s="64">
        <f>IF(AI736&gt;AJ736,1,0)+IF(AK736&gt;AL736,1,0)+IF(AM736&gt;AN736,1,0)</f>
        <v>2</v>
      </c>
      <c r="BB736" s="69">
        <f>AY737</f>
        <v>1</v>
      </c>
      <c r="BE736" s="63">
        <f>AO736+AQ736+AS736+AP737+AR737+AT737</f>
        <v>99</v>
      </c>
      <c r="BF736" s="69">
        <f>AP736+AR736+AT736+AO737+AQ737+AS737</f>
        <v>76</v>
      </c>
      <c r="BG736" s="63">
        <f>AW736+BA736</f>
        <v>4</v>
      </c>
      <c r="BH736" s="69">
        <f>AX736+BB736</f>
        <v>1</v>
      </c>
      <c r="BI736" s="63">
        <f>IF(AW736&gt;AX736,1,0)+IF(BA736&gt;BB736,1,0)</f>
        <v>2</v>
      </c>
      <c r="BJ736" s="70">
        <f>IF(AX736&gt;AW736,1,0)+IF(BB736&gt;BA736,1,0)</f>
        <v>0</v>
      </c>
      <c r="BK736" s="71">
        <f>IF(BI736+BJ736=0,"",IF(BL736=MAX(BL735:BL737),1,IF(BL736=MIN(BL735:BL737),3,2)))</f>
        <v>1</v>
      </c>
      <c r="BL736" s="60">
        <f>IF(BI736+BJ736&lt;&gt;0,BI736+1+(BG736-BH736)/100+(BE736-BF736)/100000+(BE736/BF736)/1000000,0)</f>
        <v>3.030231302631579</v>
      </c>
    </row>
    <row r="737" spans="1:64" ht="11.45" customHeight="1" thickBot="1" x14ac:dyDescent="0.25">
      <c r="A737" s="19">
        <f>S737</f>
        <v>144</v>
      </c>
      <c r="B737" s="2" t="str">
        <f>IF(N733="","",N733)</f>
        <v>G4333</v>
      </c>
      <c r="C737" s="2" t="str">
        <f>IF(N734="","",N734)</f>
        <v>L4037</v>
      </c>
      <c r="D737" s="2" t="str">
        <f>IF(N736="","",N736)</f>
        <v>X41</v>
      </c>
      <c r="E737" s="2" t="str">
        <f>IF(N737="","",N737)</f>
        <v>X39</v>
      </c>
      <c r="I737" s="2" t="str">
        <f>"3"&amp;O731&amp;N732</f>
        <v>32podwójna chłopców JM</v>
      </c>
      <c r="J737" s="10" t="str">
        <f>IF(AD738="","",IF(AD732=3,N733,IF(AD735=3,N736,IF(AD738=3,N739,""))))</f>
        <v>G4333</v>
      </c>
      <c r="K737" s="10" t="str">
        <f>IF(AD738="","",IF(AD732=3,N734,IF(AD735=3,N737,IF(AD738=3,N740,""))))</f>
        <v>L4037</v>
      </c>
      <c r="M737" s="42" t="str">
        <f>N732</f>
        <v>podwójna chłopców JM</v>
      </c>
      <c r="N737" s="38" t="s">
        <v>119</v>
      </c>
      <c r="O737" s="28"/>
      <c r="P737" s="28"/>
      <c r="Q737" s="43" t="str">
        <f>IF(AU737&gt;0,"",IF(A737=0,"",IF(VLOOKUP(A737,'[2]plan gier'!A$1:S$65536,19,FALSE)="","",VLOOKUP(A737,'[2]plan gier'!A$1:S$65536,19,FALSE))))</f>
        <v/>
      </c>
      <c r="R737" s="72" t="s">
        <v>18</v>
      </c>
      <c r="S737" s="45">
        <v>144</v>
      </c>
      <c r="T737" s="261"/>
      <c r="U737" s="265" t="str">
        <f>IF(N737&lt;&gt;"",CONCATENATE(VLOOKUP(N737,[2]zawodnicy!$A$1:$E$65536,1,FALSE)," ",VLOOKUP(N737,[2]zawodnicy!$A$1:$E$65536,2,FALSE)," ",VLOOKUP(N737,[2]zawodnicy!$A$1:$E$65536,3,FALSE)," - ",VLOOKUP(N737,[2]zawodnicy!$A$1:$E$65536,4,FALSE)),"")</f>
        <v>X39 Adam Šářec  - Slavoj Cesky Tesin</v>
      </c>
      <c r="V737" s="266"/>
      <c r="W737" s="267"/>
      <c r="X737" s="73" t="str">
        <f>IF(SUM(AS737:AT737)=0,"",AT737&amp;":"&amp;AS737)</f>
        <v/>
      </c>
      <c r="Y737" s="62"/>
      <c r="Z737" s="40" t="str">
        <f>IF(SUM(AS736:AT736)=0,"",AS736&amp;":"&amp;AT736)</f>
        <v>21:13</v>
      </c>
      <c r="AA737" s="262"/>
      <c r="AB737" s="263"/>
      <c r="AC737" s="263"/>
      <c r="AD737" s="264"/>
      <c r="AE737" s="2"/>
      <c r="AF737" s="12"/>
      <c r="AG737" s="12"/>
      <c r="AH737" s="72" t="s">
        <v>18</v>
      </c>
      <c r="AI737" s="74">
        <f>IF(ISBLANK(S737),"",VLOOKUP(S737,'[2]plan gier'!$X$1:$AN$65536,12,FALSE))</f>
        <v>14</v>
      </c>
      <c r="AJ737" s="75">
        <f>IF(ISBLANK(S737),"",VLOOKUP(S737,'[2]plan gier'!$X$1:$AN$65536,13,FALSE))</f>
        <v>21</v>
      </c>
      <c r="AK737" s="75">
        <f>IF(ISBLANK(S737),"",VLOOKUP(S737,'[2]plan gier'!$X$1:$AN$65536,14,FALSE))</f>
        <v>14</v>
      </c>
      <c r="AL737" s="75">
        <f>IF(ISBLANK(S737),"",VLOOKUP(S737,'[2]plan gier'!$X$1:$AN$65536,15,FALSE))</f>
        <v>21</v>
      </c>
      <c r="AM737" s="75">
        <f>IF(ISBLANK(S737),"",VLOOKUP(S737,'[2]plan gier'!$X$1:$AN$65536,16,FALSE))</f>
        <v>0</v>
      </c>
      <c r="AN737" s="75">
        <f>IF(ISBLANK(S737),"",VLOOKUP(S737,'[2]plan gier'!$X$1:$AN$65536,17,FALSE))</f>
        <v>0</v>
      </c>
      <c r="AO737" s="76">
        <f t="shared" si="64"/>
        <v>14</v>
      </c>
      <c r="AP737" s="75">
        <f t="shared" si="64"/>
        <v>21</v>
      </c>
      <c r="AQ737" s="77">
        <f t="shared" si="64"/>
        <v>14</v>
      </c>
      <c r="AR737" s="75">
        <f t="shared" si="64"/>
        <v>21</v>
      </c>
      <c r="AS737" s="77">
        <f t="shared" si="64"/>
        <v>0</v>
      </c>
      <c r="AT737" s="75">
        <f t="shared" si="64"/>
        <v>0</v>
      </c>
      <c r="AU737" s="54">
        <f>SUM(AO737:AT737)</f>
        <v>70</v>
      </c>
      <c r="AV737" s="13">
        <v>3</v>
      </c>
      <c r="AW737" s="74">
        <f>IF(AI735&lt;AJ735,1,0)+IF(AK735&lt;AL735,1,0)+IF(AM735&lt;AN735,1,0)</f>
        <v>2</v>
      </c>
      <c r="AX737" s="75">
        <f>BA735</f>
        <v>0</v>
      </c>
      <c r="AY737" s="75">
        <f>IF(AI736&lt;AJ736,1,0)+IF(AK736&lt;AL736,1,0)+IF(AM736&lt;AN736,1,0)</f>
        <v>1</v>
      </c>
      <c r="AZ737" s="75">
        <f>BA736</f>
        <v>2</v>
      </c>
      <c r="BA737" s="78"/>
      <c r="BB737" s="79"/>
      <c r="BE737" s="74">
        <f>AP735+AR735+AT735+AP736+AR736+AT736</f>
        <v>90</v>
      </c>
      <c r="BF737" s="80">
        <f>AO735+AQ735+AS735+AO736+AQ736+AS736</f>
        <v>84</v>
      </c>
      <c r="BG737" s="74">
        <f>AW737+AY737</f>
        <v>3</v>
      </c>
      <c r="BH737" s="80">
        <f>AX737+AZ737</f>
        <v>2</v>
      </c>
      <c r="BI737" s="74">
        <f>IF(AW737&gt;AX737,1,0)+IF(AY737&gt;AZ737,1,0)</f>
        <v>1</v>
      </c>
      <c r="BJ737" s="81">
        <f>IF(AX737&gt;AW737,1,0)+IF(AZ737&gt;AY737,1,0)</f>
        <v>1</v>
      </c>
      <c r="BK737" s="82">
        <f>IF(BI737+BJ737=0,"",IF(BL737=MAX(BL735:BL737),1,IF(BL737=MIN(BL735:BL737),3,2)))</f>
        <v>2</v>
      </c>
      <c r="BL737" s="60">
        <f>IF(BI737+BJ737&lt;&gt;0,BI737+1+(BG737-BH737)/100+(BE737-BF737)/100000+(BE737/BF737)/1000000,0)</f>
        <v>2.0100610714285714</v>
      </c>
    </row>
    <row r="738" spans="1:64" ht="11.45" customHeight="1" x14ac:dyDescent="0.2">
      <c r="A738" s="2"/>
      <c r="J738" s="28"/>
      <c r="K738" s="28"/>
      <c r="L738" s="28"/>
      <c r="O738" s="28"/>
      <c r="P738" s="28"/>
      <c r="Q738" s="2"/>
      <c r="R738" s="2"/>
      <c r="S738" s="2"/>
      <c r="T738" s="241">
        <v>3</v>
      </c>
      <c r="U738" s="244" t="str">
        <f>IF(AND(N739&lt;&gt;"",N740&lt;&gt;""),CONCATENATE(VLOOKUP(N739,[2]zawodnicy!$A$1:$E$65536,1,FALSE)," ",VLOOKUP(N739,[2]zawodnicy!$A$1:$E$65536,2,FALSE)," ",VLOOKUP(N739,[2]zawodnicy!$A$1:$E$65536,3,FALSE)," - ",VLOOKUP(N739,[2]zawodnicy!$A$1:$E$65536,4,FALSE)),"")</f>
        <v>F4256 Kacper FRYSZCZYN - KS Hubertus Zalesie Górne</v>
      </c>
      <c r="V738" s="245"/>
      <c r="W738" s="246"/>
      <c r="X738" s="46" t="str">
        <f>IF(SUM(AO735:AP735)=0,"",AP735&amp;":"&amp;AO735)</f>
        <v>21:15</v>
      </c>
      <c r="Y738" s="83" t="str">
        <f>IF(SUM(AO736:AP736)=0,"",AP736&amp;":"&amp;AO736)</f>
        <v>14:21</v>
      </c>
      <c r="Z738" s="84"/>
      <c r="AA738" s="247" t="str">
        <f>IF(SUM(AW737:AZ737)=0,"",BE737&amp;":"&amp;BF737)</f>
        <v>90:84</v>
      </c>
      <c r="AB738" s="250" t="str">
        <f>IF(SUM(AW737:AZ737)=0,"",BG737&amp;":"&amp;BH737)</f>
        <v>3:2</v>
      </c>
      <c r="AC738" s="250" t="str">
        <f>IF(SUM(AW737:AZ737)=0,"",BI737&amp;":"&amp;BJ737)</f>
        <v>1:1</v>
      </c>
      <c r="AD738" s="253">
        <f>IF(SUM(BI735:BI737)&gt;0,BK737,"")</f>
        <v>2</v>
      </c>
      <c r="AE738" s="2"/>
      <c r="AF738" s="12"/>
      <c r="AG738" s="12"/>
      <c r="BE738" s="19">
        <f>SUM(BE735:BE737)</f>
        <v>244</v>
      </c>
      <c r="BF738" s="19">
        <f>SUM(BF735:BF737)</f>
        <v>244</v>
      </c>
      <c r="BG738" s="19">
        <f>SUM(BG735:BG737)</f>
        <v>7</v>
      </c>
      <c r="BH738" s="19">
        <f>SUM(BH735:BH737)</f>
        <v>7</v>
      </c>
      <c r="BK738" s="19"/>
      <c r="BL738" s="20"/>
    </row>
    <row r="739" spans="1:64" ht="11.45" customHeight="1" x14ac:dyDescent="0.2">
      <c r="A739" s="19"/>
      <c r="J739" s="19"/>
      <c r="K739" s="19"/>
      <c r="L739" s="19"/>
      <c r="N739" s="33" t="s">
        <v>151</v>
      </c>
      <c r="O739" s="34">
        <f>IF(O731&gt;0,(O731&amp;3)*1,"")</f>
        <v>23</v>
      </c>
      <c r="Q739" s="85"/>
      <c r="R739" s="85"/>
      <c r="S739" s="85"/>
      <c r="T739" s="242"/>
      <c r="U739" s="244" t="str">
        <f>IF(AND(N739&lt;&gt;"",N740=""),CONCATENATE(VLOOKUP(N739,[2]zawodnicy!$A$1:$E$65536,1,FALSE)," ",VLOOKUP(N739,[2]zawodnicy!$A$1:$E$65536,2,FALSE)," ",VLOOKUP(N739,[2]zawodnicy!$A$1:$E$65536,3,FALSE)," - ",VLOOKUP(N739,[2]zawodnicy!$A$1:$E$65536,4,FALSE)),"")</f>
        <v/>
      </c>
      <c r="V739" s="245"/>
      <c r="W739" s="246"/>
      <c r="X739" s="61" t="str">
        <f>IF(SUM(AQ735:AR735)=0,"",AR735&amp;":"&amp;AQ735)</f>
        <v>21:12</v>
      </c>
      <c r="Y739" s="36" t="str">
        <f>IF(SUM(AQ736:AR736)=0,"",AR736&amp;":"&amp;AQ736)</f>
        <v>21:15</v>
      </c>
      <c r="Z739" s="86"/>
      <c r="AA739" s="248"/>
      <c r="AB739" s="251"/>
      <c r="AC739" s="251"/>
      <c r="AD739" s="254"/>
      <c r="AE739" s="2"/>
      <c r="AF739" s="12"/>
      <c r="AG739" s="1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row>
    <row r="740" spans="1:64" ht="11.45" customHeight="1" thickBot="1" x14ac:dyDescent="0.25">
      <c r="A740" s="2"/>
      <c r="J740" s="28"/>
      <c r="K740" s="28"/>
      <c r="L740" s="28"/>
      <c r="N740" s="38" t="s">
        <v>120</v>
      </c>
      <c r="O740" s="28"/>
      <c r="P740" s="28"/>
      <c r="Q740" s="2"/>
      <c r="R740" s="2"/>
      <c r="S740" s="2"/>
      <c r="T740" s="243"/>
      <c r="U740" s="256" t="str">
        <f>IF(N740&lt;&gt;"",CONCATENATE(VLOOKUP(N740,[2]zawodnicy!$A$1:$E$65536,1,FALSE)," ",VLOOKUP(N740,[2]zawodnicy!$A$1:$E$65536,2,FALSE)," ",VLOOKUP(N740,[2]zawodnicy!$A$1:$E$65536,3,FALSE)," - ",VLOOKUP(N740,[2]zawodnicy!$A$1:$E$65536,4,FALSE)),"")</f>
        <v>O2779 Szymon OLEARCZUK - AZSWAT Warszawa</v>
      </c>
      <c r="V740" s="257"/>
      <c r="W740" s="258"/>
      <c r="X740" s="87" t="str">
        <f>IF(SUM(AS735:AT735)=0,"",AT735&amp;":"&amp;AS735)</f>
        <v/>
      </c>
      <c r="Y740" s="88" t="str">
        <f>IF(SUM(AS736:AT736)=0,"",AT736&amp;":"&amp;AS736)</f>
        <v>13:21</v>
      </c>
      <c r="Z740" s="89"/>
      <c r="AA740" s="249"/>
      <c r="AB740" s="252"/>
      <c r="AC740" s="252"/>
      <c r="AD740" s="255"/>
      <c r="AE740" s="10"/>
      <c r="AF740" s="12"/>
      <c r="AG740" s="1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row>
    <row r="741" spans="1:64" s="19" customFormat="1" ht="5.0999999999999996" customHeight="1" thickBot="1" x14ac:dyDescent="0.25">
      <c r="M741" s="90"/>
      <c r="O741" s="90"/>
      <c r="P741" s="90"/>
      <c r="Q741" s="91"/>
      <c r="R741" s="91"/>
      <c r="S741" s="91"/>
      <c r="T741" s="91"/>
      <c r="U741" s="5"/>
      <c r="V741" s="5"/>
      <c r="W741" s="5"/>
      <c r="AA741" s="92"/>
      <c r="AB741" s="91"/>
      <c r="AC741" s="91"/>
      <c r="AD741" s="91"/>
      <c r="AE741" s="91"/>
      <c r="AF741" s="91"/>
      <c r="AI741" s="93"/>
      <c r="AJ741" s="94"/>
      <c r="AK741" s="94"/>
    </row>
    <row r="742" spans="1:64" ht="11.45" customHeight="1" thickBot="1" x14ac:dyDescent="0.25">
      <c r="N742" s="11"/>
      <c r="O742" s="21">
        <v>3</v>
      </c>
      <c r="Q742" s="277" t="str">
        <f>"Grupa "&amp;O742&amp;"."</f>
        <v>Grupa 3.</v>
      </c>
      <c r="R742" s="277"/>
      <c r="S742" s="277"/>
      <c r="T742" s="22" t="s">
        <v>1</v>
      </c>
      <c r="U742" s="278" t="s">
        <v>2</v>
      </c>
      <c r="V742" s="279"/>
      <c r="W742" s="280"/>
      <c r="X742" s="22">
        <v>1</v>
      </c>
      <c r="Y742" s="23">
        <v>2</v>
      </c>
      <c r="Z742" s="24">
        <v>3</v>
      </c>
      <c r="AA742" s="25" t="s">
        <v>3</v>
      </c>
      <c r="AB742" s="26" t="s">
        <v>4</v>
      </c>
      <c r="AC742" s="26" t="s">
        <v>5</v>
      </c>
      <c r="AD742" s="27" t="s">
        <v>6</v>
      </c>
      <c r="AE742" s="2"/>
      <c r="AF742" s="12"/>
      <c r="AG742" s="12"/>
      <c r="BK742" s="19"/>
      <c r="BL742" s="20"/>
    </row>
    <row r="743" spans="1:64" ht="11.45" customHeight="1" x14ac:dyDescent="0.2">
      <c r="J743" s="28"/>
      <c r="K743" s="28"/>
      <c r="L743" s="28"/>
      <c r="N743" s="29" t="s">
        <v>148</v>
      </c>
      <c r="Q743" s="274" t="s">
        <v>7</v>
      </c>
      <c r="R743" s="274"/>
      <c r="S743" s="275" t="s">
        <v>8</v>
      </c>
      <c r="T743" s="276">
        <v>1</v>
      </c>
      <c r="U743" s="244" t="str">
        <f>IF(AND(N744&lt;&gt;"",N745&lt;&gt;""),CONCATENATE(VLOOKUP(N744,[2]zawodnicy!$A$1:$E$65536,1,FALSE)," ",VLOOKUP(N744,[2]zawodnicy!$A$1:$E$65536,2,FALSE)," ",VLOOKUP(N744,[2]zawodnicy!$A$1:$E$65536,3,FALSE)," - ",VLOOKUP(N744,[2]zawodnicy!$A$1:$E$65536,4,FALSE)),"")</f>
        <v>B4079 Kamil BARTKIEWICZ - UKS Ząbkowice Dąbrowa Górn.</v>
      </c>
      <c r="V743" s="245"/>
      <c r="W743" s="246"/>
      <c r="X743" s="30"/>
      <c r="Y743" s="31" t="str">
        <f>IF(SUM(AO748:AP748)=0,"",AO748&amp;":"&amp;AP748)</f>
        <v>21:18</v>
      </c>
      <c r="Z743" s="32" t="str">
        <f>IF(SUM(AO746:AP746)=0,"",AO746&amp;":"&amp;AP746)</f>
        <v>15:21</v>
      </c>
      <c r="AA743" s="270" t="str">
        <f>IF(SUM(AY746:BB746)=0,"",BE746&amp;":"&amp;BF746)</f>
        <v>79:73</v>
      </c>
      <c r="AB743" s="271" t="str">
        <f>IF(SUM(AY746:BB746)=0,"",BG746&amp;":"&amp;BH746)</f>
        <v>2:2</v>
      </c>
      <c r="AC743" s="271" t="str">
        <f>IF(SUM(AY746:BB746)=0,"",BI746&amp;":"&amp;BJ746)</f>
        <v>1:1</v>
      </c>
      <c r="AD743" s="272">
        <f>IF(SUM(BI746:BI748)&gt;0,BK746,"")</f>
        <v>2</v>
      </c>
      <c r="AE743" s="2"/>
      <c r="AF743" s="12"/>
      <c r="AG743" s="12"/>
      <c r="AH743" s="14"/>
      <c r="AI743" s="273" t="s">
        <v>9</v>
      </c>
      <c r="AJ743" s="273"/>
      <c r="AK743" s="273"/>
      <c r="AL743" s="273"/>
      <c r="AM743" s="273"/>
      <c r="AN743" s="273"/>
      <c r="AO743" s="273" t="s">
        <v>10</v>
      </c>
      <c r="AP743" s="273"/>
      <c r="AQ743" s="273"/>
      <c r="AR743" s="273"/>
      <c r="AS743" s="273"/>
      <c r="AT743" s="273"/>
      <c r="BK743" s="19"/>
      <c r="BL743" s="20"/>
    </row>
    <row r="744" spans="1:64" ht="11.45" customHeight="1" thickBot="1" x14ac:dyDescent="0.25">
      <c r="I744" s="2" t="str">
        <f>"1"&amp;O742&amp;N743</f>
        <v>13podwójna chłopców JM</v>
      </c>
      <c r="J744" s="10" t="str">
        <f>IF(AD743="","",IF(AD743=1,N744,IF(AD746=1,N747,IF(AD749=1,N750,""))))</f>
        <v>D3323</v>
      </c>
      <c r="K744" s="10" t="str">
        <f>IF(AD743="","",IF(AD743=1,N745,IF(AD746=1,N748,IF(AD749=1,N751,""))))</f>
        <v>M4225</v>
      </c>
      <c r="L744" s="10"/>
      <c r="N744" s="33" t="s">
        <v>126</v>
      </c>
      <c r="O744" s="34">
        <f>IF(O742&gt;0,(O742&amp;1)*1,"")</f>
        <v>31</v>
      </c>
      <c r="Q744" s="274"/>
      <c r="R744" s="274"/>
      <c r="S744" s="275"/>
      <c r="T744" s="242"/>
      <c r="U744" s="244" t="str">
        <f>IF(AND(N744&lt;&gt;"",N745=""),CONCATENATE(VLOOKUP(N744,[2]zawodnicy!$A$1:$E$65536,1,FALSE)," ",VLOOKUP(N744,[2]zawodnicy!$A$1:$E$65536,2,FALSE)," ",VLOOKUP(N744,[2]zawodnicy!$A$1:$E$65536,3,FALSE)," - ",VLOOKUP(N744,[2]zawodnicy!$A$1:$E$65536,4,FALSE)),"")</f>
        <v/>
      </c>
      <c r="V744" s="245"/>
      <c r="W744" s="246"/>
      <c r="X744" s="35"/>
      <c r="Y744" s="36" t="str">
        <f>IF(SUM(AQ748:AR748)=0,"",AQ748&amp;":"&amp;AR748)</f>
        <v>21:10</v>
      </c>
      <c r="Z744" s="37" t="str">
        <f>IF(SUM(AQ746:AR746)=0,"",AQ746&amp;":"&amp;AR746)</f>
        <v>22:24</v>
      </c>
      <c r="AA744" s="248"/>
      <c r="AB744" s="251"/>
      <c r="AC744" s="251"/>
      <c r="AD744" s="254"/>
      <c r="AE744" s="2"/>
      <c r="AF744" s="12"/>
      <c r="AG744" s="12"/>
      <c r="AH744" s="14"/>
      <c r="BE744" s="19">
        <f>SUM(BE746:BE748)</f>
        <v>254</v>
      </c>
      <c r="BF744" s="19">
        <f>SUM(BF746:BF748)</f>
        <v>254</v>
      </c>
      <c r="BG744" s="19">
        <f>SUM(BG746:BG748)</f>
        <v>7</v>
      </c>
      <c r="BH744" s="19">
        <f>SUM(BH746:BH748)</f>
        <v>7</v>
      </c>
      <c r="BK744" s="19"/>
      <c r="BL744" s="20"/>
    </row>
    <row r="745" spans="1:64" ht="11.45" customHeight="1" thickBot="1" x14ac:dyDescent="0.25">
      <c r="J745" s="10"/>
      <c r="K745" s="28"/>
      <c r="L745" s="28"/>
      <c r="N745" s="38" t="s">
        <v>107</v>
      </c>
      <c r="O745" s="28"/>
      <c r="P745" s="28"/>
      <c r="Q745" s="274"/>
      <c r="R745" s="274"/>
      <c r="S745" s="275"/>
      <c r="T745" s="261"/>
      <c r="U745" s="265" t="str">
        <f>IF(N745&lt;&gt;"",CONCATENATE(VLOOKUP(N745,[2]zawodnicy!$A$1:$E$65536,1,FALSE)," ",VLOOKUP(N745,[2]zawodnicy!$A$1:$E$65536,2,FALSE)," ",VLOOKUP(N745,[2]zawodnicy!$A$1:$E$65536,3,FALSE)," - ",VLOOKUP(N745,[2]zawodnicy!$A$1:$E$65536,4,FALSE)),"")</f>
        <v>L4078 Norbert LECH - UKS Ząbkowice Dąbrowa Górn.</v>
      </c>
      <c r="V745" s="266"/>
      <c r="W745" s="267"/>
      <c r="X745" s="35"/>
      <c r="Y745" s="39" t="str">
        <f>IF(SUM(AS748:AT748)=0,"",AS748&amp;":"&amp;AT748)</f>
        <v/>
      </c>
      <c r="Z745" s="40" t="str">
        <f>IF(SUM(AS746:AT746)=0,"",AS746&amp;":"&amp;AT746)</f>
        <v/>
      </c>
      <c r="AA745" s="262"/>
      <c r="AB745" s="263"/>
      <c r="AC745" s="263"/>
      <c r="AD745" s="264"/>
      <c r="AE745" s="2"/>
      <c r="AF745" s="12"/>
      <c r="AG745" s="12"/>
      <c r="AH745" s="14"/>
      <c r="AI745" s="259" t="s">
        <v>12</v>
      </c>
      <c r="AJ745" s="269"/>
      <c r="AK745" s="268" t="s">
        <v>13</v>
      </c>
      <c r="AL745" s="269"/>
      <c r="AM745" s="268" t="s">
        <v>14</v>
      </c>
      <c r="AN745" s="260"/>
      <c r="AO745" s="259" t="s">
        <v>12</v>
      </c>
      <c r="AP745" s="269"/>
      <c r="AQ745" s="268" t="s">
        <v>13</v>
      </c>
      <c r="AR745" s="269"/>
      <c r="AS745" s="268" t="s">
        <v>14</v>
      </c>
      <c r="AT745" s="269"/>
      <c r="AU745" s="12"/>
      <c r="AV745" s="12"/>
      <c r="AW745" s="259">
        <v>1</v>
      </c>
      <c r="AX745" s="269"/>
      <c r="AY745" s="268">
        <v>2</v>
      </c>
      <c r="AZ745" s="269"/>
      <c r="BA745" s="268">
        <v>3</v>
      </c>
      <c r="BB745" s="260"/>
      <c r="BE745" s="259" t="s">
        <v>3</v>
      </c>
      <c r="BF745" s="260"/>
      <c r="BG745" s="259" t="s">
        <v>4</v>
      </c>
      <c r="BH745" s="260"/>
      <c r="BI745" s="259" t="s">
        <v>5</v>
      </c>
      <c r="BJ745" s="260"/>
      <c r="BK745" s="41" t="s">
        <v>6</v>
      </c>
      <c r="BL745" s="20"/>
    </row>
    <row r="746" spans="1:64" ht="11.45" customHeight="1" x14ac:dyDescent="0.2">
      <c r="A746" s="19">
        <f>S746</f>
        <v>15</v>
      </c>
      <c r="B746" s="2" t="str">
        <f>IF(N744="","",N744)</f>
        <v>B4079</v>
      </c>
      <c r="C746" s="2" t="str">
        <f>IF(N745="","",N745)</f>
        <v>L4078</v>
      </c>
      <c r="D746" s="2" t="str">
        <f>IF(N750="","",N750)</f>
        <v>D3323</v>
      </c>
      <c r="E746" s="2" t="str">
        <f>IF(N751="","",N751)</f>
        <v>M4225</v>
      </c>
      <c r="I746" s="2" t="str">
        <f>"2"&amp;O742&amp;N743</f>
        <v>23podwójna chłopców JM</v>
      </c>
      <c r="J746" s="10" t="str">
        <f>IF(AD746="","",IF(AD743=2,N744,IF(AD746=2,N747,IF(AD749=2,N750,""))))</f>
        <v>B4079</v>
      </c>
      <c r="K746" s="10" t="str">
        <f>IF(AD746="","",IF(AD743=2,N745,IF(AD746=2,N748,IF(AD749=2,N751,""))))</f>
        <v>L4078</v>
      </c>
      <c r="M746" s="42" t="str">
        <f>N743</f>
        <v>podwójna chłopców JM</v>
      </c>
      <c r="O746" s="28"/>
      <c r="P746" s="28"/>
      <c r="Q746" s="43" t="str">
        <f>IF(AU746&gt;0,"",IF(A746=0,"",IF(VLOOKUP(A746,'[2]plan gier'!A$1:S$65536,19,FALSE)="","",VLOOKUP(A746,'[2]plan gier'!A$1:S$65536,19,FALSE))))</f>
        <v/>
      </c>
      <c r="R746" s="44" t="s">
        <v>15</v>
      </c>
      <c r="S746" s="45">
        <v>15</v>
      </c>
      <c r="T746" s="241">
        <v>2</v>
      </c>
      <c r="U746" s="244" t="str">
        <f>IF(AND(N747&lt;&gt;"",N748&lt;&gt;""),CONCATENATE(VLOOKUP(N747,[2]zawodnicy!$A$1:$E$65536,1,FALSE)," ",VLOOKUP(N747,[2]zawodnicy!$A$1:$E$65536,2,FALSE)," ",VLOOKUP(N747,[2]zawodnicy!$A$1:$E$65536,3,FALSE)," - ",VLOOKUP(N747,[2]zawodnicy!$A$1:$E$65536,4,FALSE)),"")</f>
        <v>J5591 Łukasz JABŁOŃSKI - KSR Wolant Łódź</v>
      </c>
      <c r="V746" s="245"/>
      <c r="W746" s="246"/>
      <c r="X746" s="46" t="str">
        <f>IF(SUM(AO748:AP748)=0,"",AP748&amp;":"&amp;AO748)</f>
        <v>18:21</v>
      </c>
      <c r="Y746" s="47"/>
      <c r="Z746" s="48" t="str">
        <f>IF(SUM(AO747:AP747)=0,"",AO747&amp;":"&amp;AP747)</f>
        <v>21:19</v>
      </c>
      <c r="AA746" s="247" t="str">
        <f>IF(SUM(AW747:AX747,BA747:BB747)=0,"",BE747&amp;":"&amp;BF747)</f>
        <v>69:103</v>
      </c>
      <c r="AB746" s="250" t="str">
        <f>IF(SUM(AW747:AX747,BA747:BB747)=0,"",BG747&amp;":"&amp;BH747)</f>
        <v>1:4</v>
      </c>
      <c r="AC746" s="250" t="str">
        <f>IF(SUM(AW747:AX747,BA747:BB747)=0,"",BI747&amp;":"&amp;BJ747)</f>
        <v>0:2</v>
      </c>
      <c r="AD746" s="253">
        <f>IF(SUM(BI746:BI748)&gt;0,BK747,"")</f>
        <v>3</v>
      </c>
      <c r="AE746" s="2"/>
      <c r="AF746" s="12"/>
      <c r="AG746" s="12"/>
      <c r="AH746" s="44" t="s">
        <v>15</v>
      </c>
      <c r="AI746" s="49">
        <f>IF(ISBLANK(S746),"",VLOOKUP(S746,'[2]plan gier'!$X$1:$AN$65536,12,FALSE))</f>
        <v>15</v>
      </c>
      <c r="AJ746" s="50">
        <f>IF(ISBLANK(S746),"",VLOOKUP(S746,'[2]plan gier'!$X$1:$AN$65536,13,FALSE))</f>
        <v>21</v>
      </c>
      <c r="AK746" s="50">
        <f>IF(ISBLANK(S746),"",VLOOKUP(S746,'[2]plan gier'!$X$1:$AN$65536,14,FALSE))</f>
        <v>22</v>
      </c>
      <c r="AL746" s="50">
        <f>IF(ISBLANK(S746),"",VLOOKUP(S746,'[2]plan gier'!$X$1:$AN$65536,15,FALSE))</f>
        <v>24</v>
      </c>
      <c r="AM746" s="50">
        <f>IF(ISBLANK(S746),"",VLOOKUP(S746,'[2]plan gier'!$X$1:$AN$65536,16,FALSE))</f>
        <v>0</v>
      </c>
      <c r="AN746" s="50">
        <f>IF(ISBLANK(S746),"",VLOOKUP(S746,'[2]plan gier'!$X$1:$AN$65536,17,FALSE))</f>
        <v>0</v>
      </c>
      <c r="AO746" s="51">
        <f t="shared" ref="AO746:AT748" si="65">IF(AI746="",0,AI746)</f>
        <v>15</v>
      </c>
      <c r="AP746" s="52">
        <f t="shared" si="65"/>
        <v>21</v>
      </c>
      <c r="AQ746" s="53">
        <f t="shared" si="65"/>
        <v>22</v>
      </c>
      <c r="AR746" s="52">
        <f t="shared" si="65"/>
        <v>24</v>
      </c>
      <c r="AS746" s="53">
        <f t="shared" si="65"/>
        <v>0</v>
      </c>
      <c r="AT746" s="52">
        <f t="shared" si="65"/>
        <v>0</v>
      </c>
      <c r="AU746" s="54">
        <f>SUM(AO746:AT746)</f>
        <v>82</v>
      </c>
      <c r="AV746" s="13">
        <v>1</v>
      </c>
      <c r="AW746" s="55"/>
      <c r="AX746" s="56"/>
      <c r="AY746" s="50">
        <f>IF(AI748&gt;AJ748,1,0)+IF(AK748&gt;AL748,1,0)+IF(AM748&gt;AN748,1,0)</f>
        <v>2</v>
      </c>
      <c r="AZ746" s="50">
        <f>AW747</f>
        <v>0</v>
      </c>
      <c r="BA746" s="50">
        <f>IF(AI746&gt;AJ746,1,0)+IF(AK746&gt;AL746,1,0)+IF(AM746&gt;AN746,1,0)</f>
        <v>0</v>
      </c>
      <c r="BB746" s="57">
        <f>AW748</f>
        <v>2</v>
      </c>
      <c r="BE746" s="49">
        <f>AO746+AQ746+AS746+AO748+AQ748+AS748</f>
        <v>79</v>
      </c>
      <c r="BF746" s="57">
        <f>AP746+AR746+AT746+AP748+AR748+AT748</f>
        <v>73</v>
      </c>
      <c r="BG746" s="49">
        <f>AY746+BA746</f>
        <v>2</v>
      </c>
      <c r="BH746" s="57">
        <f>AZ746+BB746</f>
        <v>2</v>
      </c>
      <c r="BI746" s="49">
        <f>IF(AY746&gt;AZ746,1,0)+IF(BA746&gt;BB746,1,0)</f>
        <v>1</v>
      </c>
      <c r="BJ746" s="58">
        <f>IF(AZ746&gt;AY746,1,0)+IF(BB746&gt;BA746,1,0)</f>
        <v>1</v>
      </c>
      <c r="BK746" s="59">
        <f>IF(BI746+BJ746=0,"",IF(BL746=MAX(BL746:BL748),1,IF(BL746=MIN(BL746:BL748),3,2)))</f>
        <v>2</v>
      </c>
      <c r="BL746" s="60">
        <f>IF(BI746+BJ746&lt;&gt;0,BI746+1+(BG746-BH746)/100+(BE746-BF746)/100000+(BE746/BF746)/1000000,0)</f>
        <v>2.0000610821917806</v>
      </c>
    </row>
    <row r="747" spans="1:64" ht="11.45" customHeight="1" x14ac:dyDescent="0.2">
      <c r="A747" s="19">
        <f>S747</f>
        <v>80</v>
      </c>
      <c r="B747" s="2" t="str">
        <f>IF(N747="","",N747)</f>
        <v>J5591</v>
      </c>
      <c r="C747" s="2" t="str">
        <f>IF(N748="","",N748)</f>
        <v>X56</v>
      </c>
      <c r="D747" s="2" t="str">
        <f>IF(N750="","",N750)</f>
        <v>D3323</v>
      </c>
      <c r="E747" s="2" t="str">
        <f>IF(N751="","",N751)</f>
        <v>M4225</v>
      </c>
      <c r="J747" s="10"/>
      <c r="K747" s="19"/>
      <c r="M747" s="42" t="str">
        <f>N743</f>
        <v>podwójna chłopców JM</v>
      </c>
      <c r="N747" s="33" t="s">
        <v>116</v>
      </c>
      <c r="O747" s="34">
        <f>IF(O742&gt;0,(O742&amp;2)*1,"")</f>
        <v>32</v>
      </c>
      <c r="Q747" s="43" t="str">
        <f>IF(AU747&gt;0,"",IF(A747=0,"",IF(VLOOKUP(A747,'[2]plan gier'!A$1:S$65536,19,FALSE)="","",VLOOKUP(A747,'[2]plan gier'!A$1:S$65536,19,FALSE))))</f>
        <v/>
      </c>
      <c r="R747" s="44" t="s">
        <v>17</v>
      </c>
      <c r="S747" s="45">
        <v>80</v>
      </c>
      <c r="T747" s="242"/>
      <c r="U747" s="244" t="str">
        <f>IF(AND(N747&lt;&gt;"",N748=""),CONCATENATE(VLOOKUP(N747,[2]zawodnicy!$A$1:$E$65536,1,FALSE)," ",VLOOKUP(N747,[2]zawodnicy!$A$1:$E$65536,2,FALSE)," ",VLOOKUP(N747,[2]zawodnicy!$A$1:$E$65536,3,FALSE)," - ",VLOOKUP(N747,[2]zawodnicy!$A$1:$E$65536,4,FALSE)),"")</f>
        <v/>
      </c>
      <c r="V747" s="245"/>
      <c r="W747" s="246"/>
      <c r="X747" s="61" t="str">
        <f>IF(SUM(AQ748:AR748)=0,"",AR748&amp;":"&amp;AQ748)</f>
        <v>10:21</v>
      </c>
      <c r="Y747" s="62"/>
      <c r="Z747" s="37" t="str">
        <f>IF(SUM(AQ747:AR747)=0,"",AQ747&amp;":"&amp;AR747)</f>
        <v>11:21</v>
      </c>
      <c r="AA747" s="248"/>
      <c r="AB747" s="251"/>
      <c r="AC747" s="251"/>
      <c r="AD747" s="254"/>
      <c r="AE747" s="2"/>
      <c r="AF747" s="12"/>
      <c r="AG747" s="12"/>
      <c r="AH747" s="44" t="s">
        <v>17</v>
      </c>
      <c r="AI747" s="63">
        <f>IF(ISBLANK(S747),"",VLOOKUP(S747,'[2]plan gier'!$X$1:$AN$65536,12,FALSE))</f>
        <v>21</v>
      </c>
      <c r="AJ747" s="64">
        <f>IF(ISBLANK(S747),"",VLOOKUP(S747,'[2]plan gier'!$X$1:$AN$65536,13,FALSE))</f>
        <v>19</v>
      </c>
      <c r="AK747" s="64">
        <f>IF(ISBLANK(S747),"",VLOOKUP(S747,'[2]plan gier'!$X$1:$AN$65536,14,FALSE))</f>
        <v>11</v>
      </c>
      <c r="AL747" s="64">
        <f>IF(ISBLANK(S747),"",VLOOKUP(S747,'[2]plan gier'!$X$1:$AN$65536,15,FALSE))</f>
        <v>21</v>
      </c>
      <c r="AM747" s="64">
        <f>IF(ISBLANK(S747),"",VLOOKUP(S747,'[2]plan gier'!$X$1:$AN$65536,16,FALSE))</f>
        <v>9</v>
      </c>
      <c r="AN747" s="64">
        <f>IF(ISBLANK(S747),"",VLOOKUP(S747,'[2]plan gier'!$X$1:$AN$65536,17,FALSE))</f>
        <v>21</v>
      </c>
      <c r="AO747" s="65">
        <f t="shared" si="65"/>
        <v>21</v>
      </c>
      <c r="AP747" s="64">
        <f t="shared" si="65"/>
        <v>19</v>
      </c>
      <c r="AQ747" s="66">
        <f t="shared" si="65"/>
        <v>11</v>
      </c>
      <c r="AR747" s="64">
        <f t="shared" si="65"/>
        <v>21</v>
      </c>
      <c r="AS747" s="66">
        <f t="shared" si="65"/>
        <v>9</v>
      </c>
      <c r="AT747" s="64">
        <f t="shared" si="65"/>
        <v>21</v>
      </c>
      <c r="AU747" s="54">
        <f>SUM(AO747:AT747)</f>
        <v>102</v>
      </c>
      <c r="AV747" s="13">
        <v>2</v>
      </c>
      <c r="AW747" s="63">
        <f>IF(AI748&lt;AJ748,1,0)+IF(AK748&lt;AL748,1,0)+IF(AM748&lt;AN748,1,0)</f>
        <v>0</v>
      </c>
      <c r="AX747" s="64">
        <f>AY746</f>
        <v>2</v>
      </c>
      <c r="AY747" s="67"/>
      <c r="AZ747" s="68"/>
      <c r="BA747" s="64">
        <f>IF(AI747&gt;AJ747,1,0)+IF(AK747&gt;AL747,1,0)+IF(AM747&gt;AN747,1,0)</f>
        <v>1</v>
      </c>
      <c r="BB747" s="69">
        <f>AY748</f>
        <v>2</v>
      </c>
      <c r="BE747" s="63">
        <f>AO747+AQ747+AS747+AP748+AR748+AT748</f>
        <v>69</v>
      </c>
      <c r="BF747" s="69">
        <f>AP747+AR747+AT747+AO748+AQ748+AS748</f>
        <v>103</v>
      </c>
      <c r="BG747" s="63">
        <f>AW747+BA747</f>
        <v>1</v>
      </c>
      <c r="BH747" s="69">
        <f>AX747+BB747</f>
        <v>4</v>
      </c>
      <c r="BI747" s="63">
        <f>IF(AW747&gt;AX747,1,0)+IF(BA747&gt;BB747,1,0)</f>
        <v>0</v>
      </c>
      <c r="BJ747" s="70">
        <f>IF(AX747&gt;AW747,1,0)+IF(BB747&gt;BA747,1,0)</f>
        <v>2</v>
      </c>
      <c r="BK747" s="71">
        <f>IF(BI747+BJ747=0,"",IF(BL747=MAX(BL746:BL748),1,IF(BL747=MIN(BL746:BL748),3,2)))</f>
        <v>3</v>
      </c>
      <c r="BL747" s="60">
        <f>IF(BI747+BJ747&lt;&gt;0,BI747+1+(BG747-BH747)/100+(BE747-BF747)/100000+(BE747/BF747)/1000000,0)</f>
        <v>0.96966066990291255</v>
      </c>
    </row>
    <row r="748" spans="1:64" ht="11.45" customHeight="1" thickBot="1" x14ac:dyDescent="0.25">
      <c r="A748" s="19">
        <f>S748</f>
        <v>145</v>
      </c>
      <c r="B748" s="2" t="str">
        <f>IF(N744="","",N744)</f>
        <v>B4079</v>
      </c>
      <c r="C748" s="2" t="str">
        <f>IF(N745="","",N745)</f>
        <v>L4078</v>
      </c>
      <c r="D748" s="2" t="str">
        <f>IF(N747="","",N747)</f>
        <v>J5591</v>
      </c>
      <c r="E748" s="2" t="str">
        <f>IF(N748="","",N748)</f>
        <v>X56</v>
      </c>
      <c r="I748" s="2" t="str">
        <f>"3"&amp;O742&amp;N743</f>
        <v>33podwójna chłopców JM</v>
      </c>
      <c r="J748" s="10" t="str">
        <f>IF(AD749="","",IF(AD743=3,N744,IF(AD746=3,N747,IF(AD749=3,N750,""))))</f>
        <v>J5591</v>
      </c>
      <c r="K748" s="10" t="str">
        <f>IF(AD749="","",IF(AD743=3,N745,IF(AD746=3,N748,IF(AD749=3,N751,""))))</f>
        <v>X56</v>
      </c>
      <c r="M748" s="42" t="str">
        <f>N743</f>
        <v>podwójna chłopców JM</v>
      </c>
      <c r="N748" s="38" t="s">
        <v>117</v>
      </c>
      <c r="O748" s="28"/>
      <c r="P748" s="28"/>
      <c r="Q748" s="43" t="str">
        <f>IF(AU748&gt;0,"",IF(A748=0,"",IF(VLOOKUP(A748,'[2]plan gier'!A$1:S$65536,19,FALSE)="","",VLOOKUP(A748,'[2]plan gier'!A$1:S$65536,19,FALSE))))</f>
        <v/>
      </c>
      <c r="R748" s="72" t="s">
        <v>18</v>
      </c>
      <c r="S748" s="45">
        <v>145</v>
      </c>
      <c r="T748" s="261"/>
      <c r="U748" s="265" t="str">
        <f>IF(N748&lt;&gt;"",CONCATENATE(VLOOKUP(N748,[2]zawodnicy!$A$1:$E$65536,1,FALSE)," ",VLOOKUP(N748,[2]zawodnicy!$A$1:$E$65536,2,FALSE)," ",VLOOKUP(N748,[2]zawodnicy!$A$1:$E$65536,3,FALSE)," - ",VLOOKUP(N748,[2]zawodnicy!$A$1:$E$65536,4,FALSE)),"")</f>
        <v>X56 Artem TKACHUK - Vinnica Ukraina</v>
      </c>
      <c r="V748" s="266"/>
      <c r="W748" s="267"/>
      <c r="X748" s="73" t="str">
        <f>IF(SUM(AS748:AT748)=0,"",AT748&amp;":"&amp;AS748)</f>
        <v/>
      </c>
      <c r="Y748" s="62"/>
      <c r="Z748" s="40" t="str">
        <f>IF(SUM(AS747:AT747)=0,"",AS747&amp;":"&amp;AT747)</f>
        <v>9:21</v>
      </c>
      <c r="AA748" s="262"/>
      <c r="AB748" s="263"/>
      <c r="AC748" s="263"/>
      <c r="AD748" s="264"/>
      <c r="AE748" s="2"/>
      <c r="AF748" s="12"/>
      <c r="AG748" s="12"/>
      <c r="AH748" s="72" t="s">
        <v>18</v>
      </c>
      <c r="AI748" s="74">
        <f>IF(ISBLANK(S748),"",VLOOKUP(S748,'[2]plan gier'!$X$1:$AN$65536,12,FALSE))</f>
        <v>21</v>
      </c>
      <c r="AJ748" s="75">
        <f>IF(ISBLANK(S748),"",VLOOKUP(S748,'[2]plan gier'!$X$1:$AN$65536,13,FALSE))</f>
        <v>18</v>
      </c>
      <c r="AK748" s="75">
        <f>IF(ISBLANK(S748),"",VLOOKUP(S748,'[2]plan gier'!$X$1:$AN$65536,14,FALSE))</f>
        <v>21</v>
      </c>
      <c r="AL748" s="75">
        <f>IF(ISBLANK(S748),"",VLOOKUP(S748,'[2]plan gier'!$X$1:$AN$65536,15,FALSE))</f>
        <v>10</v>
      </c>
      <c r="AM748" s="75">
        <f>IF(ISBLANK(S748),"",VLOOKUP(S748,'[2]plan gier'!$X$1:$AN$65536,16,FALSE))</f>
        <v>0</v>
      </c>
      <c r="AN748" s="75">
        <f>IF(ISBLANK(S748),"",VLOOKUP(S748,'[2]plan gier'!$X$1:$AN$65536,17,FALSE))</f>
        <v>0</v>
      </c>
      <c r="AO748" s="76">
        <f t="shared" si="65"/>
        <v>21</v>
      </c>
      <c r="AP748" s="75">
        <f t="shared" si="65"/>
        <v>18</v>
      </c>
      <c r="AQ748" s="77">
        <f t="shared" si="65"/>
        <v>21</v>
      </c>
      <c r="AR748" s="75">
        <f t="shared" si="65"/>
        <v>10</v>
      </c>
      <c r="AS748" s="77">
        <f t="shared" si="65"/>
        <v>0</v>
      </c>
      <c r="AT748" s="75">
        <f t="shared" si="65"/>
        <v>0</v>
      </c>
      <c r="AU748" s="54">
        <f>SUM(AO748:AT748)</f>
        <v>70</v>
      </c>
      <c r="AV748" s="13">
        <v>3</v>
      </c>
      <c r="AW748" s="74">
        <f>IF(AI746&lt;AJ746,1,0)+IF(AK746&lt;AL746,1,0)+IF(AM746&lt;AN746,1,0)</f>
        <v>2</v>
      </c>
      <c r="AX748" s="75">
        <f>BA746</f>
        <v>0</v>
      </c>
      <c r="AY748" s="75">
        <f>IF(AI747&lt;AJ747,1,0)+IF(AK747&lt;AL747,1,0)+IF(AM747&lt;AN747,1,0)</f>
        <v>2</v>
      </c>
      <c r="AZ748" s="75">
        <f>BA747</f>
        <v>1</v>
      </c>
      <c r="BA748" s="78"/>
      <c r="BB748" s="79"/>
      <c r="BE748" s="74">
        <f>AP746+AR746+AT746+AP747+AR747+AT747</f>
        <v>106</v>
      </c>
      <c r="BF748" s="80">
        <f>AO746+AQ746+AS746+AO747+AQ747+AS747</f>
        <v>78</v>
      </c>
      <c r="BG748" s="74">
        <f>AW748+AY748</f>
        <v>4</v>
      </c>
      <c r="BH748" s="80">
        <f>AX748+AZ748</f>
        <v>1</v>
      </c>
      <c r="BI748" s="74">
        <f>IF(AW748&gt;AX748,1,0)+IF(AY748&gt;AZ748,1,0)</f>
        <v>2</v>
      </c>
      <c r="BJ748" s="81">
        <f>IF(AX748&gt;AW748,1,0)+IF(AZ748&gt;AY748,1,0)</f>
        <v>0</v>
      </c>
      <c r="BK748" s="82">
        <f>IF(BI748+BJ748=0,"",IF(BL748=MAX(BL746:BL748),1,IF(BL748=MIN(BL746:BL748),3,2)))</f>
        <v>1</v>
      </c>
      <c r="BL748" s="60">
        <f>IF(BI748+BJ748&lt;&gt;0,BI748+1+(BG748-BH748)/100+(BE748-BF748)/100000+(BE748/BF748)/1000000,0)</f>
        <v>3.0302813589743587</v>
      </c>
    </row>
    <row r="749" spans="1:64" ht="11.45" customHeight="1" x14ac:dyDescent="0.2">
      <c r="A749" s="2"/>
      <c r="J749" s="28"/>
      <c r="K749" s="28"/>
      <c r="L749" s="28"/>
      <c r="O749" s="28"/>
      <c r="P749" s="28"/>
      <c r="Q749" s="2"/>
      <c r="R749" s="2"/>
      <c r="S749" s="2"/>
      <c r="T749" s="241">
        <v>3</v>
      </c>
      <c r="U749" s="244" t="str">
        <f>IF(AND(N750&lt;&gt;"",N751&lt;&gt;""),CONCATENATE(VLOOKUP(N750,[2]zawodnicy!$A$1:$E$65536,1,FALSE)," ",VLOOKUP(N750,[2]zawodnicy!$A$1:$E$65536,2,FALSE)," ",VLOOKUP(N750,[2]zawodnicy!$A$1:$E$65536,3,FALSE)," - ",VLOOKUP(N750,[2]zawodnicy!$A$1:$E$65536,4,FALSE)),"")</f>
        <v>D3323 Mateusz DANIELAK - KKS Ruch Piotrków Tryb.</v>
      </c>
      <c r="V749" s="245"/>
      <c r="W749" s="246"/>
      <c r="X749" s="46" t="str">
        <f>IF(SUM(AO746:AP746)=0,"",AP746&amp;":"&amp;AO746)</f>
        <v>21:15</v>
      </c>
      <c r="Y749" s="83" t="str">
        <f>IF(SUM(AO747:AP747)=0,"",AP747&amp;":"&amp;AO747)</f>
        <v>19:21</v>
      </c>
      <c r="Z749" s="84"/>
      <c r="AA749" s="247" t="str">
        <f>IF(SUM(AW748:AZ748)=0,"",BE748&amp;":"&amp;BF748)</f>
        <v>106:78</v>
      </c>
      <c r="AB749" s="250" t="str">
        <f>IF(SUM(AW748:AZ748)=0,"",BG748&amp;":"&amp;BH748)</f>
        <v>4:1</v>
      </c>
      <c r="AC749" s="250" t="str">
        <f>IF(SUM(AW748:AZ748)=0,"",BI748&amp;":"&amp;BJ748)</f>
        <v>2:0</v>
      </c>
      <c r="AD749" s="253">
        <f>IF(SUM(BI746:BI748)&gt;0,BK748,"")</f>
        <v>1</v>
      </c>
      <c r="AE749" s="2"/>
      <c r="AF749" s="12"/>
      <c r="AG749" s="12"/>
      <c r="BE749" s="19">
        <f>SUM(BE746:BE748)</f>
        <v>254</v>
      </c>
      <c r="BF749" s="19">
        <f>SUM(BF746:BF748)</f>
        <v>254</v>
      </c>
      <c r="BG749" s="19">
        <f>SUM(BG746:BG748)</f>
        <v>7</v>
      </c>
      <c r="BH749" s="19">
        <f>SUM(BH746:BH748)</f>
        <v>7</v>
      </c>
      <c r="BK749" s="19"/>
      <c r="BL749" s="20"/>
    </row>
    <row r="750" spans="1:64" ht="11.45" customHeight="1" x14ac:dyDescent="0.2">
      <c r="A750" s="19"/>
      <c r="J750" s="19"/>
      <c r="K750" s="19"/>
      <c r="L750" s="19"/>
      <c r="N750" s="33" t="s">
        <v>130</v>
      </c>
      <c r="O750" s="34">
        <f>IF(O742&gt;0,(O742&amp;3)*1,"")</f>
        <v>33</v>
      </c>
      <c r="Q750" s="85"/>
      <c r="R750" s="85"/>
      <c r="S750" s="85"/>
      <c r="T750" s="242"/>
      <c r="U750" s="244" t="str">
        <f>IF(AND(N750&lt;&gt;"",N751=""),CONCATENATE(VLOOKUP(N750,[2]zawodnicy!$A$1:$E$65536,1,FALSE)," ",VLOOKUP(N750,[2]zawodnicy!$A$1:$E$65536,2,FALSE)," ",VLOOKUP(N750,[2]zawodnicy!$A$1:$E$65536,3,FALSE)," - ",VLOOKUP(N750,[2]zawodnicy!$A$1:$E$65536,4,FALSE)),"")</f>
        <v/>
      </c>
      <c r="V750" s="245"/>
      <c r="W750" s="246"/>
      <c r="X750" s="61" t="str">
        <f>IF(SUM(AQ746:AR746)=0,"",AR746&amp;":"&amp;AQ746)</f>
        <v>24:22</v>
      </c>
      <c r="Y750" s="36" t="str">
        <f>IF(SUM(AQ747:AR747)=0,"",AR747&amp;":"&amp;AQ747)</f>
        <v>21:11</v>
      </c>
      <c r="Z750" s="86"/>
      <c r="AA750" s="248"/>
      <c r="AB750" s="251"/>
      <c r="AC750" s="251"/>
      <c r="AD750" s="254"/>
      <c r="AE750" s="2"/>
      <c r="AF750" s="12"/>
      <c r="AG750" s="1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row>
    <row r="751" spans="1:64" ht="11.45" customHeight="1" thickBot="1" x14ac:dyDescent="0.25">
      <c r="A751" s="2"/>
      <c r="J751" s="28"/>
      <c r="K751" s="28"/>
      <c r="L751" s="28"/>
      <c r="N751" s="38" t="s">
        <v>115</v>
      </c>
      <c r="O751" s="28"/>
      <c r="P751" s="28"/>
      <c r="Q751" s="2"/>
      <c r="R751" s="2"/>
      <c r="S751" s="2"/>
      <c r="T751" s="243"/>
      <c r="U751" s="256" t="str">
        <f>IF(N751&lt;&gt;"",CONCATENATE(VLOOKUP(N751,[2]zawodnicy!$A$1:$E$65536,1,FALSE)," ",VLOOKUP(N751,[2]zawodnicy!$A$1:$E$65536,2,FALSE)," ",VLOOKUP(N751,[2]zawodnicy!$A$1:$E$65536,3,FALSE)," - ",VLOOKUP(N751,[2]zawodnicy!$A$1:$E$65536,4,FALSE)),"")</f>
        <v>M4225 Bartosz MARKIEWICZ - MLKS Solec Kuj.</v>
      </c>
      <c r="V751" s="257"/>
      <c r="W751" s="258"/>
      <c r="X751" s="87" t="str">
        <f>IF(SUM(AS746:AT746)=0,"",AT746&amp;":"&amp;AS746)</f>
        <v/>
      </c>
      <c r="Y751" s="88" t="str">
        <f>IF(SUM(AS747:AT747)=0,"",AT747&amp;":"&amp;AS747)</f>
        <v>21:9</v>
      </c>
      <c r="Z751" s="89"/>
      <c r="AA751" s="249"/>
      <c r="AB751" s="252"/>
      <c r="AC751" s="252"/>
      <c r="AD751" s="255"/>
      <c r="AE751" s="10"/>
      <c r="AF751" s="12"/>
      <c r="AG751" s="1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row>
    <row r="752" spans="1:64" s="19" customFormat="1" ht="5.0999999999999996" customHeight="1" thickBot="1" x14ac:dyDescent="0.25">
      <c r="M752" s="90"/>
      <c r="O752" s="90"/>
      <c r="P752" s="90"/>
      <c r="Q752" s="91"/>
      <c r="R752" s="91"/>
      <c r="S752" s="91"/>
      <c r="T752" s="91"/>
      <c r="U752" s="5"/>
      <c r="V752" s="5"/>
      <c r="W752" s="5"/>
      <c r="AA752" s="92"/>
      <c r="AB752" s="91"/>
      <c r="AC752" s="91"/>
      <c r="AD752" s="91"/>
      <c r="AE752" s="91"/>
      <c r="AF752" s="91"/>
      <c r="AI752" s="93"/>
      <c r="AJ752" s="94"/>
      <c r="AK752" s="94"/>
    </row>
    <row r="753" spans="1:64" ht="11.45" customHeight="1" thickBot="1" x14ac:dyDescent="0.25">
      <c r="N753" s="11"/>
      <c r="O753" s="21">
        <v>4</v>
      </c>
      <c r="Q753" s="277" t="str">
        <f>"Grupa "&amp;O753&amp;"."</f>
        <v>Grupa 4.</v>
      </c>
      <c r="R753" s="277"/>
      <c r="S753" s="277"/>
      <c r="T753" s="22" t="s">
        <v>1</v>
      </c>
      <c r="U753" s="278" t="s">
        <v>2</v>
      </c>
      <c r="V753" s="279"/>
      <c r="W753" s="280"/>
      <c r="X753" s="22">
        <v>1</v>
      </c>
      <c r="Y753" s="23">
        <v>2</v>
      </c>
      <c r="Z753" s="24">
        <v>3</v>
      </c>
      <c r="AA753" s="25" t="s">
        <v>3</v>
      </c>
      <c r="AB753" s="26" t="s">
        <v>4</v>
      </c>
      <c r="AC753" s="26" t="s">
        <v>5</v>
      </c>
      <c r="AD753" s="27" t="s">
        <v>6</v>
      </c>
      <c r="AE753" s="2"/>
      <c r="AF753" s="12"/>
      <c r="AG753" s="12"/>
      <c r="BK753" s="19"/>
      <c r="BL753" s="20"/>
    </row>
    <row r="754" spans="1:64" ht="11.45" customHeight="1" x14ac:dyDescent="0.2">
      <c r="J754" s="28"/>
      <c r="K754" s="28"/>
      <c r="L754" s="28"/>
      <c r="N754" s="29" t="s">
        <v>148</v>
      </c>
      <c r="Q754" s="274" t="s">
        <v>7</v>
      </c>
      <c r="R754" s="274"/>
      <c r="S754" s="275" t="s">
        <v>8</v>
      </c>
      <c r="T754" s="276">
        <v>1</v>
      </c>
      <c r="U754" s="244" t="str">
        <f>IF(AND(N755&lt;&gt;"",N756&lt;&gt;""),CONCATENATE(VLOOKUP(N755,[2]zawodnicy!$A$1:$E$65536,1,FALSE)," ",VLOOKUP(N755,[2]zawodnicy!$A$1:$E$65536,2,FALSE)," ",VLOOKUP(N755,[2]zawodnicy!$A$1:$E$65536,3,FALSE)," - ",VLOOKUP(N755,[2]zawodnicy!$A$1:$E$65536,4,FALSE)),"")</f>
        <v>M3524 Dawid MAZUR - LKS Technik Głubczyce</v>
      </c>
      <c r="V754" s="245"/>
      <c r="W754" s="246"/>
      <c r="X754" s="30"/>
      <c r="Y754" s="31" t="str">
        <f>IF(SUM(AO759:AP759)=0,"",AO759&amp;":"&amp;AP759)</f>
        <v>21:16</v>
      </c>
      <c r="Z754" s="32" t="str">
        <f>IF(SUM(AO757:AP757)=0,"",AO757&amp;":"&amp;AP757)</f>
        <v>21:11</v>
      </c>
      <c r="AA754" s="270" t="str">
        <f>IF(SUM(AY757:BB757)=0,"",BE757&amp;":"&amp;BF757)</f>
        <v>104:75</v>
      </c>
      <c r="AB754" s="271" t="str">
        <f>IF(SUM(AY757:BB757)=0,"",BG757&amp;":"&amp;BH757)</f>
        <v>4:1</v>
      </c>
      <c r="AC754" s="271" t="str">
        <f>IF(SUM(AY757:BB757)=0,"",BI757&amp;":"&amp;BJ757)</f>
        <v>2:0</v>
      </c>
      <c r="AD754" s="272">
        <f>IF(SUM(BI757:BI759)&gt;0,BK757,"")</f>
        <v>1</v>
      </c>
      <c r="AE754" s="2"/>
      <c r="AF754" s="12"/>
      <c r="AG754" s="12"/>
      <c r="AH754" s="14"/>
      <c r="AI754" s="273" t="s">
        <v>9</v>
      </c>
      <c r="AJ754" s="273"/>
      <c r="AK754" s="273"/>
      <c r="AL754" s="273"/>
      <c r="AM754" s="273"/>
      <c r="AN754" s="273"/>
      <c r="AO754" s="273" t="s">
        <v>10</v>
      </c>
      <c r="AP754" s="273"/>
      <c r="AQ754" s="273"/>
      <c r="AR754" s="273"/>
      <c r="AS754" s="273"/>
      <c r="AT754" s="273"/>
      <c r="BK754" s="19"/>
      <c r="BL754" s="20"/>
    </row>
    <row r="755" spans="1:64" ht="11.45" customHeight="1" thickBot="1" x14ac:dyDescent="0.25">
      <c r="I755" s="2" t="str">
        <f>"1"&amp;O753&amp;N754</f>
        <v>14podwójna chłopców JM</v>
      </c>
      <c r="J755" s="10" t="str">
        <f>IF(AD754="","",IF(AD754=1,N755,IF(AD757=1,N758,IF(AD760=1,N761,""))))</f>
        <v>M3524</v>
      </c>
      <c r="K755" s="10" t="str">
        <f>IF(AD754="","",IF(AD754=1,N756,IF(AD757=1,N759,IF(AD760=1,N762,""))))</f>
        <v>M4193</v>
      </c>
      <c r="L755" s="10"/>
      <c r="N755" s="33" t="s">
        <v>122</v>
      </c>
      <c r="O755" s="34">
        <f>IF(O753&gt;0,(O753&amp;1)*1,"")</f>
        <v>41</v>
      </c>
      <c r="Q755" s="274"/>
      <c r="R755" s="274"/>
      <c r="S755" s="275"/>
      <c r="T755" s="242"/>
      <c r="U755" s="244" t="str">
        <f>IF(AND(N755&lt;&gt;"",N756=""),CONCATENATE(VLOOKUP(N755,[2]zawodnicy!$A$1:$E$65536,1,FALSE)," ",VLOOKUP(N755,[2]zawodnicy!$A$1:$E$65536,2,FALSE)," ",VLOOKUP(N755,[2]zawodnicy!$A$1:$E$65536,3,FALSE)," - ",VLOOKUP(N755,[2]zawodnicy!$A$1:$E$65536,4,FALSE)),"")</f>
        <v/>
      </c>
      <c r="V755" s="245"/>
      <c r="W755" s="246"/>
      <c r="X755" s="35"/>
      <c r="Y755" s="36" t="str">
        <f>IF(SUM(AQ759:AR759)=0,"",AQ759&amp;":"&amp;AR759)</f>
        <v>20:22</v>
      </c>
      <c r="Z755" s="37" t="str">
        <f>IF(SUM(AQ757:AR757)=0,"",AQ757&amp;":"&amp;AR757)</f>
        <v>21:12</v>
      </c>
      <c r="AA755" s="248"/>
      <c r="AB755" s="251"/>
      <c r="AC755" s="251"/>
      <c r="AD755" s="254"/>
      <c r="AE755" s="2"/>
      <c r="AF755" s="12"/>
      <c r="AG755" s="12"/>
      <c r="AH755" s="14"/>
      <c r="BE755" s="19">
        <f>SUM(BE757:BE759)</f>
        <v>243</v>
      </c>
      <c r="BF755" s="19">
        <f>SUM(BF757:BF759)</f>
        <v>243</v>
      </c>
      <c r="BG755" s="19">
        <f>SUM(BG757:BG759)</f>
        <v>7</v>
      </c>
      <c r="BH755" s="19">
        <f>SUM(BH757:BH759)</f>
        <v>7</v>
      </c>
      <c r="BK755" s="19"/>
      <c r="BL755" s="20"/>
    </row>
    <row r="756" spans="1:64" ht="11.45" customHeight="1" thickBot="1" x14ac:dyDescent="0.25">
      <c r="J756" s="10"/>
      <c r="K756" s="28"/>
      <c r="L756" s="28"/>
      <c r="N756" s="38" t="s">
        <v>127</v>
      </c>
      <c r="O756" s="28"/>
      <c r="P756" s="28"/>
      <c r="Q756" s="274"/>
      <c r="R756" s="274"/>
      <c r="S756" s="275"/>
      <c r="T756" s="261"/>
      <c r="U756" s="265" t="str">
        <f>IF(N756&lt;&gt;"",CONCATENATE(VLOOKUP(N756,[2]zawodnicy!$A$1:$E$65536,1,FALSE)," ",VLOOKUP(N756,[2]zawodnicy!$A$1:$E$65536,2,FALSE)," ",VLOOKUP(N756,[2]zawodnicy!$A$1:$E$65536,3,FALSE)," - ",VLOOKUP(N756,[2]zawodnicy!$A$1:$E$65536,4,FALSE)),"")</f>
        <v>M4193 Robert MIRGA - LKS Technik Głubczyce</v>
      </c>
      <c r="V756" s="266"/>
      <c r="W756" s="267"/>
      <c r="X756" s="35"/>
      <c r="Y756" s="39" t="str">
        <f>IF(SUM(AS759:AT759)=0,"",AS759&amp;":"&amp;AT759)</f>
        <v>21:14</v>
      </c>
      <c r="Z756" s="40" t="str">
        <f>IF(SUM(AS757:AT757)=0,"",AS757&amp;":"&amp;AT757)</f>
        <v/>
      </c>
      <c r="AA756" s="262"/>
      <c r="AB756" s="263"/>
      <c r="AC756" s="263"/>
      <c r="AD756" s="264"/>
      <c r="AE756" s="2"/>
      <c r="AF756" s="12"/>
      <c r="AG756" s="12"/>
      <c r="AH756" s="14"/>
      <c r="AI756" s="259" t="s">
        <v>12</v>
      </c>
      <c r="AJ756" s="269"/>
      <c r="AK756" s="268" t="s">
        <v>13</v>
      </c>
      <c r="AL756" s="269"/>
      <c r="AM756" s="268" t="s">
        <v>14</v>
      </c>
      <c r="AN756" s="260"/>
      <c r="AO756" s="259" t="s">
        <v>12</v>
      </c>
      <c r="AP756" s="269"/>
      <c r="AQ756" s="268" t="s">
        <v>13</v>
      </c>
      <c r="AR756" s="269"/>
      <c r="AS756" s="268" t="s">
        <v>14</v>
      </c>
      <c r="AT756" s="269"/>
      <c r="AU756" s="12"/>
      <c r="AV756" s="12"/>
      <c r="AW756" s="259">
        <v>1</v>
      </c>
      <c r="AX756" s="269"/>
      <c r="AY756" s="268">
        <v>2</v>
      </c>
      <c r="AZ756" s="269"/>
      <c r="BA756" s="268">
        <v>3</v>
      </c>
      <c r="BB756" s="260"/>
      <c r="BE756" s="259" t="s">
        <v>3</v>
      </c>
      <c r="BF756" s="260"/>
      <c r="BG756" s="259" t="s">
        <v>4</v>
      </c>
      <c r="BH756" s="260"/>
      <c r="BI756" s="259" t="s">
        <v>5</v>
      </c>
      <c r="BJ756" s="260"/>
      <c r="BK756" s="41" t="s">
        <v>6</v>
      </c>
      <c r="BL756" s="20"/>
    </row>
    <row r="757" spans="1:64" ht="11.45" customHeight="1" x14ac:dyDescent="0.2">
      <c r="A757" s="19">
        <f>S757</f>
        <v>16</v>
      </c>
      <c r="B757" s="2" t="str">
        <f>IF(N755="","",N755)</f>
        <v>M3524</v>
      </c>
      <c r="C757" s="2" t="str">
        <f>IF(N756="","",N756)</f>
        <v>M4193</v>
      </c>
      <c r="D757" s="2" t="str">
        <f>IF(N761="","",N761)</f>
        <v>K3867</v>
      </c>
      <c r="E757" s="2" t="str">
        <f>IF(N762="","",N762)</f>
        <v>Ś3865</v>
      </c>
      <c r="I757" s="2" t="str">
        <f>"2"&amp;O753&amp;N754</f>
        <v>24podwójna chłopców JM</v>
      </c>
      <c r="J757" s="10" t="str">
        <f>IF(AD757="","",IF(AD754=2,N755,IF(AD757=2,N758,IF(AD760=2,N761,""))))</f>
        <v>X10</v>
      </c>
      <c r="K757" s="10" t="str">
        <f>IF(AD757="","",IF(AD754=2,N756,IF(AD757=2,N759,IF(AD760=2,N762,""))))</f>
        <v>X11</v>
      </c>
      <c r="M757" s="42" t="str">
        <f>N754</f>
        <v>podwójna chłopców JM</v>
      </c>
      <c r="O757" s="28"/>
      <c r="P757" s="28"/>
      <c r="Q757" s="43" t="str">
        <f>IF(AU757&gt;0,"",IF(A757=0,"",IF(VLOOKUP(A757,'[2]plan gier'!A$1:S$65536,19,FALSE)="","",VLOOKUP(A757,'[2]plan gier'!A$1:S$65536,19,FALSE))))</f>
        <v/>
      </c>
      <c r="R757" s="44" t="s">
        <v>15</v>
      </c>
      <c r="S757" s="45">
        <v>16</v>
      </c>
      <c r="T757" s="241">
        <v>2</v>
      </c>
      <c r="U757" s="244" t="str">
        <f>IF(AND(N758&lt;&gt;"",N759&lt;&gt;""),CONCATENATE(VLOOKUP(N758,[2]zawodnicy!$A$1:$E$65536,1,FALSE)," ",VLOOKUP(N758,[2]zawodnicy!$A$1:$E$65536,2,FALSE)," ",VLOOKUP(N758,[2]zawodnicy!$A$1:$E$65536,3,FALSE)," - ",VLOOKUP(N758,[2]zawodnicy!$A$1:$E$65536,4,FALSE)),"")</f>
        <v>X10 Dmitry KUSIMITSKI - Brześć Białoruś</v>
      </c>
      <c r="V757" s="245"/>
      <c r="W757" s="246"/>
      <c r="X757" s="46" t="str">
        <f>IF(SUM(AO759:AP759)=0,"",AP759&amp;":"&amp;AO759)</f>
        <v>16:21</v>
      </c>
      <c r="Y757" s="47"/>
      <c r="Z757" s="48" t="str">
        <f>IF(SUM(AO758:AP758)=0,"",AO758&amp;":"&amp;AP758)</f>
        <v>21:12</v>
      </c>
      <c r="AA757" s="247" t="str">
        <f>IF(SUM(AW758:AX758,BA758:BB758)=0,"",BE758&amp;":"&amp;BF758)</f>
        <v>94:84</v>
      </c>
      <c r="AB757" s="250" t="str">
        <f>IF(SUM(AW758:AX758,BA758:BB758)=0,"",BG758&amp;":"&amp;BH758)</f>
        <v>3:2</v>
      </c>
      <c r="AC757" s="250" t="str">
        <f>IF(SUM(AW758:AX758,BA758:BB758)=0,"",BI758&amp;":"&amp;BJ758)</f>
        <v>1:1</v>
      </c>
      <c r="AD757" s="253">
        <f>IF(SUM(BI757:BI759)&gt;0,BK758,"")</f>
        <v>2</v>
      </c>
      <c r="AE757" s="2"/>
      <c r="AF757" s="12"/>
      <c r="AG757" s="12"/>
      <c r="AH757" s="44" t="s">
        <v>15</v>
      </c>
      <c r="AI757" s="49">
        <f>IF(ISBLANK(S757),"",VLOOKUP(S757,'[2]plan gier'!$X$1:$AN$65536,12,FALSE))</f>
        <v>21</v>
      </c>
      <c r="AJ757" s="50">
        <f>IF(ISBLANK(S757),"",VLOOKUP(S757,'[2]plan gier'!$X$1:$AN$65536,13,FALSE))</f>
        <v>11</v>
      </c>
      <c r="AK757" s="50">
        <f>IF(ISBLANK(S757),"",VLOOKUP(S757,'[2]plan gier'!$X$1:$AN$65536,14,FALSE))</f>
        <v>21</v>
      </c>
      <c r="AL757" s="50">
        <f>IF(ISBLANK(S757),"",VLOOKUP(S757,'[2]plan gier'!$X$1:$AN$65536,15,FALSE))</f>
        <v>12</v>
      </c>
      <c r="AM757" s="50">
        <f>IF(ISBLANK(S757),"",VLOOKUP(S757,'[2]plan gier'!$X$1:$AN$65536,16,FALSE))</f>
        <v>0</v>
      </c>
      <c r="AN757" s="50">
        <f>IF(ISBLANK(S757),"",VLOOKUP(S757,'[2]plan gier'!$X$1:$AN$65536,17,FALSE))</f>
        <v>0</v>
      </c>
      <c r="AO757" s="51">
        <f t="shared" ref="AO757:AT759" si="66">IF(AI757="",0,AI757)</f>
        <v>21</v>
      </c>
      <c r="AP757" s="52">
        <f t="shared" si="66"/>
        <v>11</v>
      </c>
      <c r="AQ757" s="53">
        <f t="shared" si="66"/>
        <v>21</v>
      </c>
      <c r="AR757" s="52">
        <f t="shared" si="66"/>
        <v>12</v>
      </c>
      <c r="AS757" s="53">
        <f t="shared" si="66"/>
        <v>0</v>
      </c>
      <c r="AT757" s="52">
        <f t="shared" si="66"/>
        <v>0</v>
      </c>
      <c r="AU757" s="54">
        <f>SUM(AO757:AT757)</f>
        <v>65</v>
      </c>
      <c r="AV757" s="13">
        <v>1</v>
      </c>
      <c r="AW757" s="55"/>
      <c r="AX757" s="56"/>
      <c r="AY757" s="50">
        <f>IF(AI759&gt;AJ759,1,0)+IF(AK759&gt;AL759,1,0)+IF(AM759&gt;AN759,1,0)</f>
        <v>2</v>
      </c>
      <c r="AZ757" s="50">
        <f>AW758</f>
        <v>1</v>
      </c>
      <c r="BA757" s="50">
        <f>IF(AI757&gt;AJ757,1,0)+IF(AK757&gt;AL757,1,0)+IF(AM757&gt;AN757,1,0)</f>
        <v>2</v>
      </c>
      <c r="BB757" s="57">
        <f>AW759</f>
        <v>0</v>
      </c>
      <c r="BE757" s="49">
        <f>AO757+AQ757+AS757+AO759+AQ759+AS759</f>
        <v>104</v>
      </c>
      <c r="BF757" s="57">
        <f>AP757+AR757+AT757+AP759+AR759+AT759</f>
        <v>75</v>
      </c>
      <c r="BG757" s="49">
        <f>AY757+BA757</f>
        <v>4</v>
      </c>
      <c r="BH757" s="57">
        <f>AZ757+BB757</f>
        <v>1</v>
      </c>
      <c r="BI757" s="49">
        <f>IF(AY757&gt;AZ757,1,0)+IF(BA757&gt;BB757,1,0)</f>
        <v>2</v>
      </c>
      <c r="BJ757" s="58">
        <f>IF(AZ757&gt;AY757,1,0)+IF(BB757&gt;BA757,1,0)</f>
        <v>0</v>
      </c>
      <c r="BK757" s="59">
        <f>IF(BI757+BJ757=0,"",IF(BL757=MAX(BL757:BL759),1,IF(BL757=MIN(BL757:BL759),3,2)))</f>
        <v>1</v>
      </c>
      <c r="BL757" s="60">
        <f>IF(BI757+BJ757&lt;&gt;0,BI757+1+(BG757-BH757)/100+(BE757-BF757)/100000+(BE757/BF757)/1000000,0)</f>
        <v>3.0302913866666668</v>
      </c>
    </row>
    <row r="758" spans="1:64" ht="11.45" customHeight="1" x14ac:dyDescent="0.2">
      <c r="A758" s="19">
        <f>S758</f>
        <v>81</v>
      </c>
      <c r="B758" s="2" t="str">
        <f>IF(N758="","",N758)</f>
        <v>X10</v>
      </c>
      <c r="C758" s="2" t="str">
        <f>IF(N759="","",N759)</f>
        <v>X11</v>
      </c>
      <c r="D758" s="2" t="str">
        <f>IF(N761="","",N761)</f>
        <v>K3867</v>
      </c>
      <c r="E758" s="2" t="str">
        <f>IF(N762="","",N762)</f>
        <v>Ś3865</v>
      </c>
      <c r="J758" s="10"/>
      <c r="K758" s="19"/>
      <c r="M758" s="42" t="str">
        <f>N754</f>
        <v>podwójna chłopców JM</v>
      </c>
      <c r="N758" s="33" t="s">
        <v>114</v>
      </c>
      <c r="O758" s="34">
        <f>IF(O753&gt;0,(O753&amp;2)*1,"")</f>
        <v>42</v>
      </c>
      <c r="Q758" s="43" t="str">
        <f>IF(AU758&gt;0,"",IF(A758=0,"",IF(VLOOKUP(A758,'[2]plan gier'!A$1:S$65536,19,FALSE)="","",VLOOKUP(A758,'[2]plan gier'!A$1:S$65536,19,FALSE))))</f>
        <v/>
      </c>
      <c r="R758" s="44" t="s">
        <v>17</v>
      </c>
      <c r="S758" s="45">
        <v>81</v>
      </c>
      <c r="T758" s="242"/>
      <c r="U758" s="244" t="str">
        <f>IF(AND(N758&lt;&gt;"",N759=""),CONCATENATE(VLOOKUP(N758,[2]zawodnicy!$A$1:$E$65536,1,FALSE)," ",VLOOKUP(N758,[2]zawodnicy!$A$1:$E$65536,2,FALSE)," ",VLOOKUP(N758,[2]zawodnicy!$A$1:$E$65536,3,FALSE)," - ",VLOOKUP(N758,[2]zawodnicy!$A$1:$E$65536,4,FALSE)),"")</f>
        <v/>
      </c>
      <c r="V758" s="245"/>
      <c r="W758" s="246"/>
      <c r="X758" s="61" t="str">
        <f>IF(SUM(AQ759:AR759)=0,"",AR759&amp;":"&amp;AQ759)</f>
        <v>22:20</v>
      </c>
      <c r="Y758" s="62"/>
      <c r="Z758" s="37" t="str">
        <f>IF(SUM(AQ758:AR758)=0,"",AQ758&amp;":"&amp;AR758)</f>
        <v>21:10</v>
      </c>
      <c r="AA758" s="248"/>
      <c r="AB758" s="251"/>
      <c r="AC758" s="251"/>
      <c r="AD758" s="254"/>
      <c r="AE758" s="2"/>
      <c r="AF758" s="12"/>
      <c r="AG758" s="12"/>
      <c r="AH758" s="44" t="s">
        <v>17</v>
      </c>
      <c r="AI758" s="63">
        <f>IF(ISBLANK(S758),"",VLOOKUP(S758,'[2]plan gier'!$X$1:$AN$65536,12,FALSE))</f>
        <v>21</v>
      </c>
      <c r="AJ758" s="64">
        <f>IF(ISBLANK(S758),"",VLOOKUP(S758,'[2]plan gier'!$X$1:$AN$65536,13,FALSE))</f>
        <v>12</v>
      </c>
      <c r="AK758" s="64">
        <f>IF(ISBLANK(S758),"",VLOOKUP(S758,'[2]plan gier'!$X$1:$AN$65536,14,FALSE))</f>
        <v>21</v>
      </c>
      <c r="AL758" s="64">
        <f>IF(ISBLANK(S758),"",VLOOKUP(S758,'[2]plan gier'!$X$1:$AN$65536,15,FALSE))</f>
        <v>10</v>
      </c>
      <c r="AM758" s="64">
        <f>IF(ISBLANK(S758),"",VLOOKUP(S758,'[2]plan gier'!$X$1:$AN$65536,16,FALSE))</f>
        <v>0</v>
      </c>
      <c r="AN758" s="64">
        <f>IF(ISBLANK(S758),"",VLOOKUP(S758,'[2]plan gier'!$X$1:$AN$65536,17,FALSE))</f>
        <v>0</v>
      </c>
      <c r="AO758" s="65">
        <f t="shared" si="66"/>
        <v>21</v>
      </c>
      <c r="AP758" s="64">
        <f t="shared" si="66"/>
        <v>12</v>
      </c>
      <c r="AQ758" s="66">
        <f t="shared" si="66"/>
        <v>21</v>
      </c>
      <c r="AR758" s="64">
        <f t="shared" si="66"/>
        <v>10</v>
      </c>
      <c r="AS758" s="66">
        <f t="shared" si="66"/>
        <v>0</v>
      </c>
      <c r="AT758" s="64">
        <f t="shared" si="66"/>
        <v>0</v>
      </c>
      <c r="AU758" s="54">
        <f>SUM(AO758:AT758)</f>
        <v>64</v>
      </c>
      <c r="AV758" s="13">
        <v>2</v>
      </c>
      <c r="AW758" s="63">
        <f>IF(AI759&lt;AJ759,1,0)+IF(AK759&lt;AL759,1,0)+IF(AM759&lt;AN759,1,0)</f>
        <v>1</v>
      </c>
      <c r="AX758" s="64">
        <f>AY757</f>
        <v>2</v>
      </c>
      <c r="AY758" s="67"/>
      <c r="AZ758" s="68"/>
      <c r="BA758" s="64">
        <f>IF(AI758&gt;AJ758,1,0)+IF(AK758&gt;AL758,1,0)+IF(AM758&gt;AN758,1,0)</f>
        <v>2</v>
      </c>
      <c r="BB758" s="69">
        <f>AY759</f>
        <v>0</v>
      </c>
      <c r="BE758" s="63">
        <f>AO758+AQ758+AS758+AP759+AR759+AT759</f>
        <v>94</v>
      </c>
      <c r="BF758" s="69">
        <f>AP758+AR758+AT758+AO759+AQ759+AS759</f>
        <v>84</v>
      </c>
      <c r="BG758" s="63">
        <f>AW758+BA758</f>
        <v>3</v>
      </c>
      <c r="BH758" s="69">
        <f>AX758+BB758</f>
        <v>2</v>
      </c>
      <c r="BI758" s="63">
        <f>IF(AW758&gt;AX758,1,0)+IF(BA758&gt;BB758,1,0)</f>
        <v>1</v>
      </c>
      <c r="BJ758" s="70">
        <f>IF(AX758&gt;AW758,1,0)+IF(BB758&gt;BA758,1,0)</f>
        <v>1</v>
      </c>
      <c r="BK758" s="71">
        <f>IF(BI758+BJ758=0,"",IF(BL758=MAX(BL757:BL759),1,IF(BL758=MIN(BL757:BL759),3,2)))</f>
        <v>2</v>
      </c>
      <c r="BL758" s="60">
        <f>IF(BI758+BJ758&lt;&gt;0,BI758+1+(BG758-BH758)/100+(BE758-BF758)/100000+(BE758/BF758)/1000000,0)</f>
        <v>2.010101119047619</v>
      </c>
    </row>
    <row r="759" spans="1:64" ht="11.45" customHeight="1" thickBot="1" x14ac:dyDescent="0.25">
      <c r="A759" s="19">
        <f>S759</f>
        <v>146</v>
      </c>
      <c r="B759" s="2" t="str">
        <f>IF(N755="","",N755)</f>
        <v>M3524</v>
      </c>
      <c r="C759" s="2" t="str">
        <f>IF(N756="","",N756)</f>
        <v>M4193</v>
      </c>
      <c r="D759" s="2" t="str">
        <f>IF(N758="","",N758)</f>
        <v>X10</v>
      </c>
      <c r="E759" s="2" t="str">
        <f>IF(N759="","",N759)</f>
        <v>X11</v>
      </c>
      <c r="I759" s="2" t="str">
        <f>"3"&amp;O753&amp;N754</f>
        <v>34podwójna chłopców JM</v>
      </c>
      <c r="J759" s="10" t="str">
        <f>IF(AD760="","",IF(AD754=3,N755,IF(AD757=3,N758,IF(AD760=3,N761,""))))</f>
        <v>K3867</v>
      </c>
      <c r="K759" s="10" t="str">
        <f>IF(AD760="","",IF(AD754=3,N756,IF(AD757=3,N759,IF(AD760=3,N762,""))))</f>
        <v>Ś3865</v>
      </c>
      <c r="M759" s="42" t="str">
        <f>N754</f>
        <v>podwójna chłopców JM</v>
      </c>
      <c r="N759" s="38" t="s">
        <v>132</v>
      </c>
      <c r="O759" s="28"/>
      <c r="P759" s="28"/>
      <c r="Q759" s="43" t="str">
        <f>IF(AU759&gt;0,"",IF(A759=0,"",IF(VLOOKUP(A759,'[2]plan gier'!A$1:S$65536,19,FALSE)="","",VLOOKUP(A759,'[2]plan gier'!A$1:S$65536,19,FALSE))))</f>
        <v/>
      </c>
      <c r="R759" s="72" t="s">
        <v>18</v>
      </c>
      <c r="S759" s="45">
        <v>146</v>
      </c>
      <c r="T759" s="261"/>
      <c r="U759" s="265" t="str">
        <f>IF(N759&lt;&gt;"",CONCATENATE(VLOOKUP(N759,[2]zawodnicy!$A$1:$E$65536,1,FALSE)," ",VLOOKUP(N759,[2]zawodnicy!$A$1:$E$65536,2,FALSE)," ",VLOOKUP(N759,[2]zawodnicy!$A$1:$E$65536,3,FALSE)," - ",VLOOKUP(N759,[2]zawodnicy!$A$1:$E$65536,4,FALSE)),"")</f>
        <v>X11 Pavel SUGAEV - Brześć Białoruś</v>
      </c>
      <c r="V759" s="266"/>
      <c r="W759" s="267"/>
      <c r="X759" s="73" t="str">
        <f>IF(SUM(AS759:AT759)=0,"",AT759&amp;":"&amp;AS759)</f>
        <v>14:21</v>
      </c>
      <c r="Y759" s="62"/>
      <c r="Z759" s="40" t="str">
        <f>IF(SUM(AS758:AT758)=0,"",AS758&amp;":"&amp;AT758)</f>
        <v/>
      </c>
      <c r="AA759" s="262"/>
      <c r="AB759" s="263"/>
      <c r="AC759" s="263"/>
      <c r="AD759" s="264"/>
      <c r="AE759" s="2"/>
      <c r="AF759" s="12"/>
      <c r="AG759" s="12"/>
      <c r="AH759" s="72" t="s">
        <v>18</v>
      </c>
      <c r="AI759" s="74">
        <f>IF(ISBLANK(S759),"",VLOOKUP(S759,'[2]plan gier'!$X$1:$AN$65536,12,FALSE))</f>
        <v>21</v>
      </c>
      <c r="AJ759" s="75">
        <f>IF(ISBLANK(S759),"",VLOOKUP(S759,'[2]plan gier'!$X$1:$AN$65536,13,FALSE))</f>
        <v>16</v>
      </c>
      <c r="AK759" s="75">
        <f>IF(ISBLANK(S759),"",VLOOKUP(S759,'[2]plan gier'!$X$1:$AN$65536,14,FALSE))</f>
        <v>20</v>
      </c>
      <c r="AL759" s="75">
        <f>IF(ISBLANK(S759),"",VLOOKUP(S759,'[2]plan gier'!$X$1:$AN$65536,15,FALSE))</f>
        <v>22</v>
      </c>
      <c r="AM759" s="75">
        <f>IF(ISBLANK(S759),"",VLOOKUP(S759,'[2]plan gier'!$X$1:$AN$65536,16,FALSE))</f>
        <v>21</v>
      </c>
      <c r="AN759" s="75">
        <f>IF(ISBLANK(S759),"",VLOOKUP(S759,'[2]plan gier'!$X$1:$AN$65536,17,FALSE))</f>
        <v>14</v>
      </c>
      <c r="AO759" s="76">
        <f t="shared" si="66"/>
        <v>21</v>
      </c>
      <c r="AP759" s="75">
        <f t="shared" si="66"/>
        <v>16</v>
      </c>
      <c r="AQ759" s="77">
        <f t="shared" si="66"/>
        <v>20</v>
      </c>
      <c r="AR759" s="75">
        <f t="shared" si="66"/>
        <v>22</v>
      </c>
      <c r="AS759" s="77">
        <f t="shared" si="66"/>
        <v>21</v>
      </c>
      <c r="AT759" s="75">
        <f t="shared" si="66"/>
        <v>14</v>
      </c>
      <c r="AU759" s="54">
        <f>SUM(AO759:AT759)</f>
        <v>114</v>
      </c>
      <c r="AV759" s="13">
        <v>3</v>
      </c>
      <c r="AW759" s="74">
        <f>IF(AI757&lt;AJ757,1,0)+IF(AK757&lt;AL757,1,0)+IF(AM757&lt;AN757,1,0)</f>
        <v>0</v>
      </c>
      <c r="AX759" s="75">
        <f>BA757</f>
        <v>2</v>
      </c>
      <c r="AY759" s="75">
        <f>IF(AI758&lt;AJ758,1,0)+IF(AK758&lt;AL758,1,0)+IF(AM758&lt;AN758,1,0)</f>
        <v>0</v>
      </c>
      <c r="AZ759" s="75">
        <f>BA758</f>
        <v>2</v>
      </c>
      <c r="BA759" s="78"/>
      <c r="BB759" s="79"/>
      <c r="BE759" s="74">
        <f>AP757+AR757+AT757+AP758+AR758+AT758</f>
        <v>45</v>
      </c>
      <c r="BF759" s="80">
        <f>AO757+AQ757+AS757+AO758+AQ758+AS758</f>
        <v>84</v>
      </c>
      <c r="BG759" s="74">
        <f>AW759+AY759</f>
        <v>0</v>
      </c>
      <c r="BH759" s="80">
        <f>AX759+AZ759</f>
        <v>4</v>
      </c>
      <c r="BI759" s="74">
        <f>IF(AW759&gt;AX759,1,0)+IF(AY759&gt;AZ759,1,0)</f>
        <v>0</v>
      </c>
      <c r="BJ759" s="81">
        <f>IF(AX759&gt;AW759,1,0)+IF(AZ759&gt;AY759,1,0)</f>
        <v>2</v>
      </c>
      <c r="BK759" s="82">
        <f>IF(BI759+BJ759=0,"",IF(BL759=MAX(BL757:BL759),1,IF(BL759=MIN(BL757:BL759),3,2)))</f>
        <v>3</v>
      </c>
      <c r="BL759" s="60">
        <f>IF(BI759+BJ759&lt;&gt;0,BI759+1+(BG759-BH759)/100+(BE759-BF759)/100000+(BE759/BF759)/1000000,0)</f>
        <v>0.95961053571428567</v>
      </c>
    </row>
    <row r="760" spans="1:64" ht="11.45" customHeight="1" x14ac:dyDescent="0.2">
      <c r="A760" s="2"/>
      <c r="J760" s="28"/>
      <c r="K760" s="28"/>
      <c r="L760" s="28"/>
      <c r="O760" s="28"/>
      <c r="P760" s="28"/>
      <c r="Q760" s="2"/>
      <c r="R760" s="2"/>
      <c r="S760" s="2"/>
      <c r="T760" s="241">
        <v>3</v>
      </c>
      <c r="U760" s="244" t="str">
        <f>IF(AND(N761&lt;&gt;"",N762&lt;&gt;""),CONCATENATE(VLOOKUP(N761,[2]zawodnicy!$A$1:$E$65536,1,FALSE)," ",VLOOKUP(N761,[2]zawodnicy!$A$1:$E$65536,2,FALSE)," ",VLOOKUP(N761,[2]zawodnicy!$A$1:$E$65536,3,FALSE)," - ",VLOOKUP(N761,[2]zawodnicy!$A$1:$E$65536,4,FALSE)),"")</f>
        <v>K3867 Patryk KOPEĆ - MKS Stal Nowa Dęba</v>
      </c>
      <c r="V760" s="245"/>
      <c r="W760" s="246"/>
      <c r="X760" s="46" t="str">
        <f>IF(SUM(AO757:AP757)=0,"",AP757&amp;":"&amp;AO757)</f>
        <v>11:21</v>
      </c>
      <c r="Y760" s="83" t="str">
        <f>IF(SUM(AO758:AP758)=0,"",AP758&amp;":"&amp;AO758)</f>
        <v>12:21</v>
      </c>
      <c r="Z760" s="84"/>
      <c r="AA760" s="247" t="str">
        <f>IF(SUM(AW759:AZ759)=0,"",BE759&amp;":"&amp;BF759)</f>
        <v>45:84</v>
      </c>
      <c r="AB760" s="250" t="str">
        <f>IF(SUM(AW759:AZ759)=0,"",BG759&amp;":"&amp;BH759)</f>
        <v>0:4</v>
      </c>
      <c r="AC760" s="250" t="str">
        <f>IF(SUM(AW759:AZ759)=0,"",BI759&amp;":"&amp;BJ759)</f>
        <v>0:2</v>
      </c>
      <c r="AD760" s="253">
        <f>IF(SUM(BI757:BI759)&gt;0,BK759,"")</f>
        <v>3</v>
      </c>
      <c r="AE760" s="2"/>
      <c r="AF760" s="12"/>
      <c r="AG760" s="12"/>
      <c r="BE760" s="19">
        <f>SUM(BE757:BE759)</f>
        <v>243</v>
      </c>
      <c r="BF760" s="19">
        <f>SUM(BF757:BF759)</f>
        <v>243</v>
      </c>
      <c r="BG760" s="19">
        <f>SUM(BG757:BG759)</f>
        <v>7</v>
      </c>
      <c r="BH760" s="19">
        <f>SUM(BH757:BH759)</f>
        <v>7</v>
      </c>
      <c r="BK760" s="19"/>
      <c r="BL760" s="20"/>
    </row>
    <row r="761" spans="1:64" ht="11.45" customHeight="1" x14ac:dyDescent="0.2">
      <c r="A761" s="19"/>
      <c r="J761" s="19"/>
      <c r="K761" s="19"/>
      <c r="L761" s="19"/>
      <c r="N761" s="33" t="s">
        <v>109</v>
      </c>
      <c r="O761" s="34">
        <f>IF(O753&gt;0,(O753&amp;3)*1,"")</f>
        <v>43</v>
      </c>
      <c r="Q761" s="85"/>
      <c r="R761" s="85"/>
      <c r="S761" s="85"/>
      <c r="T761" s="242"/>
      <c r="U761" s="244" t="str">
        <f>IF(AND(N761&lt;&gt;"",N762=""),CONCATENATE(VLOOKUP(N761,[2]zawodnicy!$A$1:$E$65536,1,FALSE)," ",VLOOKUP(N761,[2]zawodnicy!$A$1:$E$65536,2,FALSE)," ",VLOOKUP(N761,[2]zawodnicy!$A$1:$E$65536,3,FALSE)," - ",VLOOKUP(N761,[2]zawodnicy!$A$1:$E$65536,4,FALSE)),"")</f>
        <v/>
      </c>
      <c r="V761" s="245"/>
      <c r="W761" s="246"/>
      <c r="X761" s="61" t="str">
        <f>IF(SUM(AQ757:AR757)=0,"",AR757&amp;":"&amp;AQ757)</f>
        <v>12:21</v>
      </c>
      <c r="Y761" s="36" t="str">
        <f>IF(SUM(AQ758:AR758)=0,"",AR758&amp;":"&amp;AQ758)</f>
        <v>10:21</v>
      </c>
      <c r="Z761" s="86"/>
      <c r="AA761" s="248"/>
      <c r="AB761" s="251"/>
      <c r="AC761" s="251"/>
      <c r="AD761" s="254"/>
      <c r="AE761" s="2"/>
      <c r="AF761" s="12"/>
      <c r="AG761" s="1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row>
    <row r="762" spans="1:64" ht="11.45" customHeight="1" thickBot="1" x14ac:dyDescent="0.25">
      <c r="A762" s="2"/>
      <c r="J762" s="28"/>
      <c r="K762" s="28"/>
      <c r="L762" s="28"/>
      <c r="N762" s="38" t="s">
        <v>125</v>
      </c>
      <c r="O762" s="28"/>
      <c r="P762" s="28"/>
      <c r="Q762" s="2"/>
      <c r="R762" s="2"/>
      <c r="S762" s="2"/>
      <c r="T762" s="243"/>
      <c r="U762" s="256" t="str">
        <f>IF(N762&lt;&gt;"",CONCATENATE(VLOOKUP(N762,[2]zawodnicy!$A$1:$E$65536,1,FALSE)," ",VLOOKUP(N762,[2]zawodnicy!$A$1:$E$65536,2,FALSE)," ",VLOOKUP(N762,[2]zawodnicy!$A$1:$E$65536,3,FALSE)," - ",VLOOKUP(N762,[2]zawodnicy!$A$1:$E$65536,4,FALSE)),"")</f>
        <v>Ś3865 Ernest ŚCIPIEŃ - MKS Stal Nowa Dęba</v>
      </c>
      <c r="V762" s="257"/>
      <c r="W762" s="258"/>
      <c r="X762" s="87" t="str">
        <f>IF(SUM(AS757:AT757)=0,"",AT757&amp;":"&amp;AS757)</f>
        <v/>
      </c>
      <c r="Y762" s="88" t="str">
        <f>IF(SUM(AS758:AT758)=0,"",AT758&amp;":"&amp;AS758)</f>
        <v/>
      </c>
      <c r="Z762" s="89"/>
      <c r="AA762" s="249"/>
      <c r="AB762" s="252"/>
      <c r="AC762" s="252"/>
      <c r="AD762" s="255"/>
      <c r="AE762" s="10"/>
      <c r="AF762" s="12"/>
      <c r="AG762" s="1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row>
    <row r="763" spans="1:64" s="19" customFormat="1" ht="5.0999999999999996" customHeight="1" thickBot="1" x14ac:dyDescent="0.25">
      <c r="M763" s="90"/>
      <c r="O763" s="90"/>
      <c r="P763" s="90"/>
      <c r="Q763" s="91"/>
      <c r="R763" s="91"/>
      <c r="S763" s="91"/>
      <c r="T763" s="91"/>
      <c r="U763" s="5"/>
      <c r="V763" s="5"/>
      <c r="W763" s="5"/>
      <c r="AA763" s="92"/>
      <c r="AB763" s="91"/>
      <c r="AC763" s="91"/>
      <c r="AD763" s="91"/>
      <c r="AE763" s="91"/>
      <c r="AF763" s="91"/>
      <c r="AI763" s="93"/>
      <c r="AJ763" s="94"/>
      <c r="AK763" s="94"/>
    </row>
    <row r="764" spans="1:64" ht="11.45" customHeight="1" thickBot="1" x14ac:dyDescent="0.25">
      <c r="N764" s="11"/>
      <c r="O764" s="21">
        <v>5</v>
      </c>
      <c r="Q764" s="277" t="str">
        <f>"Grupa "&amp;O764&amp;"."</f>
        <v>Grupa 5.</v>
      </c>
      <c r="R764" s="277"/>
      <c r="S764" s="277"/>
      <c r="T764" s="22" t="s">
        <v>1</v>
      </c>
      <c r="U764" s="278" t="s">
        <v>2</v>
      </c>
      <c r="V764" s="279"/>
      <c r="W764" s="280"/>
      <c r="X764" s="22">
        <v>1</v>
      </c>
      <c r="Y764" s="23">
        <v>2</v>
      </c>
      <c r="Z764" s="24">
        <v>3</v>
      </c>
      <c r="AA764" s="25" t="s">
        <v>3</v>
      </c>
      <c r="AB764" s="26" t="s">
        <v>4</v>
      </c>
      <c r="AC764" s="26" t="s">
        <v>5</v>
      </c>
      <c r="AD764" s="27" t="s">
        <v>6</v>
      </c>
      <c r="AE764" s="2"/>
      <c r="AF764" s="12"/>
      <c r="AG764" s="12"/>
      <c r="BK764" s="19"/>
      <c r="BL764" s="20"/>
    </row>
    <row r="765" spans="1:64" ht="11.45" customHeight="1" x14ac:dyDescent="0.2">
      <c r="J765" s="28"/>
      <c r="K765" s="28"/>
      <c r="L765" s="28"/>
      <c r="N765" s="29" t="s">
        <v>148</v>
      </c>
      <c r="Q765" s="274" t="s">
        <v>7</v>
      </c>
      <c r="R765" s="274"/>
      <c r="S765" s="275" t="s">
        <v>8</v>
      </c>
      <c r="T765" s="276">
        <v>1</v>
      </c>
      <c r="U765" s="244" t="str">
        <f>IF(AND(N766&lt;&gt;"",N767&lt;&gt;""),CONCATENATE(VLOOKUP(N766,[2]zawodnicy!$A$1:$E$65536,1,FALSE)," ",VLOOKUP(N766,[2]zawodnicy!$A$1:$E$65536,2,FALSE)," ",VLOOKUP(N766,[2]zawodnicy!$A$1:$E$65536,3,FALSE)," - ",VLOOKUP(N766,[2]zawodnicy!$A$1:$E$65536,4,FALSE)),"")</f>
        <v>P4202 Bartłomiej PARYSZ - UKS Unia Bieruń</v>
      </c>
      <c r="V765" s="245"/>
      <c r="W765" s="246"/>
      <c r="X765" s="30"/>
      <c r="Y765" s="31" t="str">
        <f>IF(SUM(AO770:AP770)=0,"",AO770&amp;":"&amp;AP770)</f>
        <v>21:18</v>
      </c>
      <c r="Z765" s="32" t="str">
        <f>IF(SUM(AO768:AP768)=0,"",AO768&amp;":"&amp;AP768)</f>
        <v>15:21</v>
      </c>
      <c r="AA765" s="270" t="str">
        <f>IF(SUM(AY768:BB768)=0,"",BE768&amp;":"&amp;BF768)</f>
        <v>85:104</v>
      </c>
      <c r="AB765" s="271" t="str">
        <f>IF(SUM(AY768:BB768)=0,"",BG768&amp;":"&amp;BH768)</f>
        <v>1:4</v>
      </c>
      <c r="AC765" s="271" t="str">
        <f>IF(SUM(AY768:BB768)=0,"",BI768&amp;":"&amp;BJ768)</f>
        <v>0:2</v>
      </c>
      <c r="AD765" s="272">
        <f>IF(SUM(BI768:BI770)&gt;0,BK768,"")</f>
        <v>3</v>
      </c>
      <c r="AE765" s="2"/>
      <c r="AF765" s="12"/>
      <c r="AG765" s="12"/>
      <c r="AH765" s="14"/>
      <c r="AI765" s="273" t="s">
        <v>9</v>
      </c>
      <c r="AJ765" s="273"/>
      <c r="AK765" s="273"/>
      <c r="AL765" s="273"/>
      <c r="AM765" s="273"/>
      <c r="AN765" s="273"/>
      <c r="AO765" s="273" t="s">
        <v>10</v>
      </c>
      <c r="AP765" s="273"/>
      <c r="AQ765" s="273"/>
      <c r="AR765" s="273"/>
      <c r="AS765" s="273"/>
      <c r="AT765" s="273"/>
      <c r="BK765" s="19"/>
      <c r="BL765" s="20"/>
    </row>
    <row r="766" spans="1:64" ht="11.45" customHeight="1" thickBot="1" x14ac:dyDescent="0.25">
      <c r="I766" s="2" t="str">
        <f>"1"&amp;O764&amp;N765</f>
        <v>15podwójna chłopców JM</v>
      </c>
      <c r="J766" s="10" t="str">
        <f>IF(AD765="","",IF(AD765=1,N766,IF(AD768=1,N769,IF(AD771=1,N772,""))))</f>
        <v>J2970</v>
      </c>
      <c r="K766" s="10" t="str">
        <f>IF(AD765="","",IF(AD765=1,N767,IF(AD768=1,N770,IF(AD771=1,N773,""))))</f>
        <v>J3436</v>
      </c>
      <c r="L766" s="10"/>
      <c r="N766" s="33" t="s">
        <v>124</v>
      </c>
      <c r="O766" s="34">
        <f>IF(O764&gt;0,(O764&amp;1)*1,"")</f>
        <v>51</v>
      </c>
      <c r="Q766" s="274"/>
      <c r="R766" s="274"/>
      <c r="S766" s="275"/>
      <c r="T766" s="242"/>
      <c r="U766" s="244" t="str">
        <f>IF(AND(N766&lt;&gt;"",N767=""),CONCATENATE(VLOOKUP(N766,[2]zawodnicy!$A$1:$E$65536,1,FALSE)," ",VLOOKUP(N766,[2]zawodnicy!$A$1:$E$65536,2,FALSE)," ",VLOOKUP(N766,[2]zawodnicy!$A$1:$E$65536,3,FALSE)," - ",VLOOKUP(N766,[2]zawodnicy!$A$1:$E$65536,4,FALSE)),"")</f>
        <v/>
      </c>
      <c r="V766" s="245"/>
      <c r="W766" s="246"/>
      <c r="X766" s="35"/>
      <c r="Y766" s="36" t="str">
        <f>IF(SUM(AQ770:AR770)=0,"",AQ770&amp;":"&amp;AR770)</f>
        <v>21:23</v>
      </c>
      <c r="Z766" s="37" t="str">
        <f>IF(SUM(AQ768:AR768)=0,"",AQ768&amp;":"&amp;AR768)</f>
        <v>13:21</v>
      </c>
      <c r="AA766" s="248"/>
      <c r="AB766" s="251"/>
      <c r="AC766" s="251"/>
      <c r="AD766" s="254"/>
      <c r="AE766" s="2"/>
      <c r="AF766" s="12"/>
      <c r="AG766" s="12"/>
      <c r="AH766" s="14"/>
      <c r="BE766" s="19">
        <f>SUM(BE768:BE770)</f>
        <v>251</v>
      </c>
      <c r="BF766" s="19">
        <f>SUM(BF768:BF770)</f>
        <v>251</v>
      </c>
      <c r="BG766" s="19">
        <f>SUM(BG768:BG770)</f>
        <v>7</v>
      </c>
      <c r="BH766" s="19">
        <f>SUM(BH768:BH770)</f>
        <v>7</v>
      </c>
      <c r="BK766" s="19"/>
      <c r="BL766" s="20"/>
    </row>
    <row r="767" spans="1:64" ht="11.45" customHeight="1" thickBot="1" x14ac:dyDescent="0.25">
      <c r="J767" s="10"/>
      <c r="K767" s="28"/>
      <c r="L767" s="28"/>
      <c r="N767" s="38" t="s">
        <v>112</v>
      </c>
      <c r="O767" s="28"/>
      <c r="P767" s="28"/>
      <c r="Q767" s="274"/>
      <c r="R767" s="274"/>
      <c r="S767" s="275"/>
      <c r="T767" s="261"/>
      <c r="U767" s="265" t="str">
        <f>IF(N767&lt;&gt;"",CONCATENATE(VLOOKUP(N767,[2]zawodnicy!$A$1:$E$65536,1,FALSE)," ",VLOOKUP(N767,[2]zawodnicy!$A$1:$E$65536,2,FALSE)," ",VLOOKUP(N767,[2]zawodnicy!$A$1:$E$65536,3,FALSE)," - ",VLOOKUP(N767,[2]zawodnicy!$A$1:$E$65536,4,FALSE)),"")</f>
        <v>W4270 Jędrzej WACHOWSKI - STB Energia Lubliniec</v>
      </c>
      <c r="V767" s="266"/>
      <c r="W767" s="267"/>
      <c r="X767" s="35"/>
      <c r="Y767" s="39" t="str">
        <f>IF(SUM(AS770:AT770)=0,"",AS770&amp;":"&amp;AT770)</f>
        <v>15:21</v>
      </c>
      <c r="Z767" s="40" t="str">
        <f>IF(SUM(AS768:AT768)=0,"",AS768&amp;":"&amp;AT768)</f>
        <v/>
      </c>
      <c r="AA767" s="262"/>
      <c r="AB767" s="263"/>
      <c r="AC767" s="263"/>
      <c r="AD767" s="264"/>
      <c r="AE767" s="2"/>
      <c r="AF767" s="12"/>
      <c r="AG767" s="12"/>
      <c r="AH767" s="14"/>
      <c r="AI767" s="259" t="s">
        <v>12</v>
      </c>
      <c r="AJ767" s="269"/>
      <c r="AK767" s="268" t="s">
        <v>13</v>
      </c>
      <c r="AL767" s="269"/>
      <c r="AM767" s="268" t="s">
        <v>14</v>
      </c>
      <c r="AN767" s="260"/>
      <c r="AO767" s="259" t="s">
        <v>12</v>
      </c>
      <c r="AP767" s="269"/>
      <c r="AQ767" s="268" t="s">
        <v>13</v>
      </c>
      <c r="AR767" s="269"/>
      <c r="AS767" s="268" t="s">
        <v>14</v>
      </c>
      <c r="AT767" s="269"/>
      <c r="AU767" s="12"/>
      <c r="AV767" s="12"/>
      <c r="AW767" s="259">
        <v>1</v>
      </c>
      <c r="AX767" s="269"/>
      <c r="AY767" s="268">
        <v>2</v>
      </c>
      <c r="AZ767" s="269"/>
      <c r="BA767" s="268">
        <v>3</v>
      </c>
      <c r="BB767" s="260"/>
      <c r="BE767" s="259" t="s">
        <v>3</v>
      </c>
      <c r="BF767" s="260"/>
      <c r="BG767" s="259" t="s">
        <v>4</v>
      </c>
      <c r="BH767" s="260"/>
      <c r="BI767" s="259" t="s">
        <v>5</v>
      </c>
      <c r="BJ767" s="260"/>
      <c r="BK767" s="41" t="s">
        <v>6</v>
      </c>
      <c r="BL767" s="20"/>
    </row>
    <row r="768" spans="1:64" ht="11.45" customHeight="1" x14ac:dyDescent="0.2">
      <c r="A768" s="19">
        <f>S768</f>
        <v>17</v>
      </c>
      <c r="B768" s="2" t="str">
        <f>IF(N766="","",N766)</f>
        <v>P4202</v>
      </c>
      <c r="C768" s="2" t="str">
        <f>IF(N767="","",N767)</f>
        <v>W4270</v>
      </c>
      <c r="D768" s="2" t="str">
        <f>IF(N772="","",N772)</f>
        <v>J2970</v>
      </c>
      <c r="E768" s="2" t="str">
        <f>IF(N773="","",N773)</f>
        <v>J3436</v>
      </c>
      <c r="I768" s="2" t="str">
        <f>"2"&amp;O764&amp;N765</f>
        <v>25podwójna chłopców JM</v>
      </c>
      <c r="J768" s="10" t="str">
        <f>IF(AD768="","",IF(AD765=2,N766,IF(AD768=2,N769,IF(AD771=2,N772,""))))</f>
        <v>H3554</v>
      </c>
      <c r="K768" s="10" t="str">
        <f>IF(AD768="","",IF(AD765=2,N767,IF(AD768=2,N770,IF(AD771=2,N773,""))))</f>
        <v>M3731</v>
      </c>
      <c r="M768" s="42" t="str">
        <f>N765</f>
        <v>podwójna chłopców JM</v>
      </c>
      <c r="O768" s="28"/>
      <c r="P768" s="28"/>
      <c r="Q768" s="43" t="str">
        <f>IF(AU768&gt;0,"",IF(A768=0,"",IF(VLOOKUP(A768,'[2]plan gier'!A$1:S$65536,19,FALSE)="","",VLOOKUP(A768,'[2]plan gier'!A$1:S$65536,19,FALSE))))</f>
        <v/>
      </c>
      <c r="R768" s="44" t="s">
        <v>15</v>
      </c>
      <c r="S768" s="45">
        <v>17</v>
      </c>
      <c r="T768" s="241">
        <v>2</v>
      </c>
      <c r="U768" s="244" t="str">
        <f>IF(AND(N769&lt;&gt;"",N770&lt;&gt;""),CONCATENATE(VLOOKUP(N769,[2]zawodnicy!$A$1:$E$65536,1,FALSE)," ",VLOOKUP(N769,[2]zawodnicy!$A$1:$E$65536,2,FALSE)," ",VLOOKUP(N769,[2]zawodnicy!$A$1:$E$65536,3,FALSE)," - ",VLOOKUP(N769,[2]zawodnicy!$A$1:$E$65536,4,FALSE)),"")</f>
        <v>H3554 Szymon HAŁASA - UKS Kiko Zamość</v>
      </c>
      <c r="V768" s="245"/>
      <c r="W768" s="246"/>
      <c r="X768" s="46" t="str">
        <f>IF(SUM(AO770:AP770)=0,"",AP770&amp;":"&amp;AO770)</f>
        <v>18:21</v>
      </c>
      <c r="Y768" s="47"/>
      <c r="Z768" s="48" t="str">
        <f>IF(SUM(AO769:AP769)=0,"",AO769&amp;":"&amp;AP769)</f>
        <v>8:21</v>
      </c>
      <c r="AA768" s="247" t="str">
        <f>IF(SUM(AW769:AX769,BA769:BB769)=0,"",BE769&amp;":"&amp;BF769)</f>
        <v>82:99</v>
      </c>
      <c r="AB768" s="250" t="str">
        <f>IF(SUM(AW769:AX769,BA769:BB769)=0,"",BG769&amp;":"&amp;BH769)</f>
        <v>2:3</v>
      </c>
      <c r="AC768" s="250" t="str">
        <f>IF(SUM(AW769:AX769,BA769:BB769)=0,"",BI769&amp;":"&amp;BJ769)</f>
        <v>1:1</v>
      </c>
      <c r="AD768" s="253">
        <f>IF(SUM(BI768:BI770)&gt;0,BK769,"")</f>
        <v>2</v>
      </c>
      <c r="AE768" s="2"/>
      <c r="AF768" s="12"/>
      <c r="AG768" s="12"/>
      <c r="AH768" s="44" t="s">
        <v>15</v>
      </c>
      <c r="AI768" s="49">
        <f>IF(ISBLANK(S768),"",VLOOKUP(S768,'[2]plan gier'!$X$1:$AN$65536,12,FALSE))</f>
        <v>15</v>
      </c>
      <c r="AJ768" s="50">
        <f>IF(ISBLANK(S768),"",VLOOKUP(S768,'[2]plan gier'!$X$1:$AN$65536,13,FALSE))</f>
        <v>21</v>
      </c>
      <c r="AK768" s="50">
        <f>IF(ISBLANK(S768),"",VLOOKUP(S768,'[2]plan gier'!$X$1:$AN$65536,14,FALSE))</f>
        <v>13</v>
      </c>
      <c r="AL768" s="50">
        <f>IF(ISBLANK(S768),"",VLOOKUP(S768,'[2]plan gier'!$X$1:$AN$65536,15,FALSE))</f>
        <v>21</v>
      </c>
      <c r="AM768" s="50">
        <f>IF(ISBLANK(S768),"",VLOOKUP(S768,'[2]plan gier'!$X$1:$AN$65536,16,FALSE))</f>
        <v>0</v>
      </c>
      <c r="AN768" s="50">
        <f>IF(ISBLANK(S768),"",VLOOKUP(S768,'[2]plan gier'!$X$1:$AN$65536,17,FALSE))</f>
        <v>0</v>
      </c>
      <c r="AO768" s="51">
        <f t="shared" ref="AO768:AT770" si="67">IF(AI768="",0,AI768)</f>
        <v>15</v>
      </c>
      <c r="AP768" s="52">
        <f t="shared" si="67"/>
        <v>21</v>
      </c>
      <c r="AQ768" s="53">
        <f t="shared" si="67"/>
        <v>13</v>
      </c>
      <c r="AR768" s="52">
        <f t="shared" si="67"/>
        <v>21</v>
      </c>
      <c r="AS768" s="53">
        <f t="shared" si="67"/>
        <v>0</v>
      </c>
      <c r="AT768" s="52">
        <f t="shared" si="67"/>
        <v>0</v>
      </c>
      <c r="AU768" s="54">
        <f>SUM(AO768:AT768)</f>
        <v>70</v>
      </c>
      <c r="AV768" s="13">
        <v>1</v>
      </c>
      <c r="AW768" s="55"/>
      <c r="AX768" s="56"/>
      <c r="AY768" s="50">
        <f>IF(AI770&gt;AJ770,1,0)+IF(AK770&gt;AL770,1,0)+IF(AM770&gt;AN770,1,0)</f>
        <v>1</v>
      </c>
      <c r="AZ768" s="50">
        <f>AW769</f>
        <v>2</v>
      </c>
      <c r="BA768" s="50">
        <f>IF(AI768&gt;AJ768,1,0)+IF(AK768&gt;AL768,1,0)+IF(AM768&gt;AN768,1,0)</f>
        <v>0</v>
      </c>
      <c r="BB768" s="57">
        <f>AW770</f>
        <v>2</v>
      </c>
      <c r="BE768" s="49">
        <f>AO768+AQ768+AS768+AO770+AQ770+AS770</f>
        <v>85</v>
      </c>
      <c r="BF768" s="57">
        <f>AP768+AR768+AT768+AP770+AR770+AT770</f>
        <v>104</v>
      </c>
      <c r="BG768" s="49">
        <f>AY768+BA768</f>
        <v>1</v>
      </c>
      <c r="BH768" s="57">
        <f>AZ768+BB768</f>
        <v>4</v>
      </c>
      <c r="BI768" s="49">
        <f>IF(AY768&gt;AZ768,1,0)+IF(BA768&gt;BB768,1,0)</f>
        <v>0</v>
      </c>
      <c r="BJ768" s="58">
        <f>IF(AZ768&gt;AY768,1,0)+IF(BB768&gt;BA768,1,0)</f>
        <v>2</v>
      </c>
      <c r="BK768" s="59">
        <f>IF(BI768+BJ768=0,"",IF(BL768=MAX(BL768:BL770),1,IF(BL768=MIN(BL768:BL770),3,2)))</f>
        <v>3</v>
      </c>
      <c r="BL768" s="60">
        <f>IF(BI768+BJ768&lt;&gt;0,BI768+1+(BG768-BH768)/100+(BE768-BF768)/100000+(BE768/BF768)/1000000,0)</f>
        <v>0.96981081730769225</v>
      </c>
    </row>
    <row r="769" spans="1:64" ht="11.45" customHeight="1" x14ac:dyDescent="0.2">
      <c r="A769" s="19">
        <f>S769</f>
        <v>82</v>
      </c>
      <c r="B769" s="2" t="str">
        <f>IF(N769="","",N769)</f>
        <v>H3554</v>
      </c>
      <c r="C769" s="2" t="str">
        <f>IF(N770="","",N770)</f>
        <v>M3731</v>
      </c>
      <c r="D769" s="2" t="str">
        <f>IF(N772="","",N772)</f>
        <v>J2970</v>
      </c>
      <c r="E769" s="2" t="str">
        <f>IF(N773="","",N773)</f>
        <v>J3436</v>
      </c>
      <c r="J769" s="10"/>
      <c r="K769" s="19"/>
      <c r="M769" s="42" t="str">
        <f>N765</f>
        <v>podwójna chłopców JM</v>
      </c>
      <c r="N769" s="33" t="s">
        <v>113</v>
      </c>
      <c r="O769" s="34">
        <f>IF(O764&gt;0,(O764&amp;2)*1,"")</f>
        <v>52</v>
      </c>
      <c r="Q769" s="43" t="str">
        <f>IF(AU769&gt;0,"",IF(A769=0,"",IF(VLOOKUP(A769,'[2]plan gier'!A$1:S$65536,19,FALSE)="","",VLOOKUP(A769,'[2]plan gier'!A$1:S$65536,19,FALSE))))</f>
        <v/>
      </c>
      <c r="R769" s="44" t="s">
        <v>17</v>
      </c>
      <c r="S769" s="45">
        <v>82</v>
      </c>
      <c r="T769" s="242"/>
      <c r="U769" s="244" t="str">
        <f>IF(AND(N769&lt;&gt;"",N770=""),CONCATENATE(VLOOKUP(N769,[2]zawodnicy!$A$1:$E$65536,1,FALSE)," ",VLOOKUP(N769,[2]zawodnicy!$A$1:$E$65536,2,FALSE)," ",VLOOKUP(N769,[2]zawodnicy!$A$1:$E$65536,3,FALSE)," - ",VLOOKUP(N769,[2]zawodnicy!$A$1:$E$65536,4,FALSE)),"")</f>
        <v/>
      </c>
      <c r="V769" s="245"/>
      <c r="W769" s="246"/>
      <c r="X769" s="61" t="str">
        <f>IF(SUM(AQ770:AR770)=0,"",AR770&amp;":"&amp;AQ770)</f>
        <v>23:21</v>
      </c>
      <c r="Y769" s="62"/>
      <c r="Z769" s="37" t="str">
        <f>IF(SUM(AQ769:AR769)=0,"",AQ769&amp;":"&amp;AR769)</f>
        <v>12:21</v>
      </c>
      <c r="AA769" s="248"/>
      <c r="AB769" s="251"/>
      <c r="AC769" s="251"/>
      <c r="AD769" s="254"/>
      <c r="AE769" s="2"/>
      <c r="AF769" s="12"/>
      <c r="AG769" s="12"/>
      <c r="AH769" s="44" t="s">
        <v>17</v>
      </c>
      <c r="AI769" s="63">
        <f>IF(ISBLANK(S769),"",VLOOKUP(S769,'[2]plan gier'!$X$1:$AN$65536,12,FALSE))</f>
        <v>8</v>
      </c>
      <c r="AJ769" s="64">
        <f>IF(ISBLANK(S769),"",VLOOKUP(S769,'[2]plan gier'!$X$1:$AN$65536,13,FALSE))</f>
        <v>21</v>
      </c>
      <c r="AK769" s="64">
        <f>IF(ISBLANK(S769),"",VLOOKUP(S769,'[2]plan gier'!$X$1:$AN$65536,14,FALSE))</f>
        <v>12</v>
      </c>
      <c r="AL769" s="64">
        <f>IF(ISBLANK(S769),"",VLOOKUP(S769,'[2]plan gier'!$X$1:$AN$65536,15,FALSE))</f>
        <v>21</v>
      </c>
      <c r="AM769" s="64">
        <f>IF(ISBLANK(S769),"",VLOOKUP(S769,'[2]plan gier'!$X$1:$AN$65536,16,FALSE))</f>
        <v>0</v>
      </c>
      <c r="AN769" s="64">
        <f>IF(ISBLANK(S769),"",VLOOKUP(S769,'[2]plan gier'!$X$1:$AN$65536,17,FALSE))</f>
        <v>0</v>
      </c>
      <c r="AO769" s="65">
        <f t="shared" si="67"/>
        <v>8</v>
      </c>
      <c r="AP769" s="64">
        <f t="shared" si="67"/>
        <v>21</v>
      </c>
      <c r="AQ769" s="66">
        <f t="shared" si="67"/>
        <v>12</v>
      </c>
      <c r="AR769" s="64">
        <f t="shared" si="67"/>
        <v>21</v>
      </c>
      <c r="AS769" s="66">
        <f t="shared" si="67"/>
        <v>0</v>
      </c>
      <c r="AT769" s="64">
        <f t="shared" si="67"/>
        <v>0</v>
      </c>
      <c r="AU769" s="54">
        <f>SUM(AO769:AT769)</f>
        <v>62</v>
      </c>
      <c r="AV769" s="13">
        <v>2</v>
      </c>
      <c r="AW769" s="63">
        <f>IF(AI770&lt;AJ770,1,0)+IF(AK770&lt;AL770,1,0)+IF(AM770&lt;AN770,1,0)</f>
        <v>2</v>
      </c>
      <c r="AX769" s="64">
        <f>AY768</f>
        <v>1</v>
      </c>
      <c r="AY769" s="67"/>
      <c r="AZ769" s="68"/>
      <c r="BA769" s="64">
        <f>IF(AI769&gt;AJ769,1,0)+IF(AK769&gt;AL769,1,0)+IF(AM769&gt;AN769,1,0)</f>
        <v>0</v>
      </c>
      <c r="BB769" s="69">
        <f>AY770</f>
        <v>2</v>
      </c>
      <c r="BE769" s="63">
        <f>AO769+AQ769+AS769+AP770+AR770+AT770</f>
        <v>82</v>
      </c>
      <c r="BF769" s="69">
        <f>AP769+AR769+AT769+AO770+AQ770+AS770</f>
        <v>99</v>
      </c>
      <c r="BG769" s="63">
        <f>AW769+BA769</f>
        <v>2</v>
      </c>
      <c r="BH769" s="69">
        <f>AX769+BB769</f>
        <v>3</v>
      </c>
      <c r="BI769" s="63">
        <f>IF(AW769&gt;AX769,1,0)+IF(BA769&gt;BB769,1,0)</f>
        <v>1</v>
      </c>
      <c r="BJ769" s="70">
        <f>IF(AX769&gt;AW769,1,0)+IF(BB769&gt;BA769,1,0)</f>
        <v>1</v>
      </c>
      <c r="BK769" s="71">
        <f>IF(BI769+BJ769=0,"",IF(BL769=MAX(BL768:BL770),1,IF(BL769=MIN(BL768:BL770),3,2)))</f>
        <v>2</v>
      </c>
      <c r="BL769" s="60">
        <f>IF(BI769+BJ769&lt;&gt;0,BI769+1+(BG769-BH769)/100+(BE769-BF769)/100000+(BE769/BF769)/1000000,0)</f>
        <v>1.9898308282828283</v>
      </c>
    </row>
    <row r="770" spans="1:64" ht="11.45" customHeight="1" thickBot="1" x14ac:dyDescent="0.25">
      <c r="A770" s="19">
        <f>S770</f>
        <v>147</v>
      </c>
      <c r="B770" s="2" t="str">
        <f>IF(N766="","",N766)</f>
        <v>P4202</v>
      </c>
      <c r="C770" s="2" t="str">
        <f>IF(N767="","",N767)</f>
        <v>W4270</v>
      </c>
      <c r="D770" s="2" t="str">
        <f>IF(N769="","",N769)</f>
        <v>H3554</v>
      </c>
      <c r="E770" s="2" t="str">
        <f>IF(N770="","",N770)</f>
        <v>M3731</v>
      </c>
      <c r="I770" s="2" t="str">
        <f>"3"&amp;O764&amp;N765</f>
        <v>35podwójna chłopców JM</v>
      </c>
      <c r="J770" s="10" t="str">
        <f>IF(AD771="","",IF(AD765=3,N766,IF(AD768=3,N769,IF(AD771=3,N772,""))))</f>
        <v>P4202</v>
      </c>
      <c r="K770" s="10" t="str">
        <f>IF(AD771="","",IF(AD765=3,N767,IF(AD768=3,N770,IF(AD771=3,N773,""))))</f>
        <v>W4270</v>
      </c>
      <c r="M770" s="42" t="str">
        <f>N765</f>
        <v>podwójna chłopców JM</v>
      </c>
      <c r="N770" s="38" t="s">
        <v>118</v>
      </c>
      <c r="O770" s="28"/>
      <c r="P770" s="28"/>
      <c r="Q770" s="43" t="str">
        <f>IF(AU770&gt;0,"",IF(A770=0,"",IF(VLOOKUP(A770,'[2]plan gier'!A$1:S$65536,19,FALSE)="","",VLOOKUP(A770,'[2]plan gier'!A$1:S$65536,19,FALSE))))</f>
        <v/>
      </c>
      <c r="R770" s="72" t="s">
        <v>18</v>
      </c>
      <c r="S770" s="45">
        <v>147</v>
      </c>
      <c r="T770" s="261"/>
      <c r="U770" s="265" t="str">
        <f>IF(N770&lt;&gt;"",CONCATENATE(VLOOKUP(N770,[2]zawodnicy!$A$1:$E$65536,1,FALSE)," ",VLOOKUP(N770,[2]zawodnicy!$A$1:$E$65536,2,FALSE)," ",VLOOKUP(N770,[2]zawodnicy!$A$1:$E$65536,3,FALSE)," - ",VLOOKUP(N770,[2]zawodnicy!$A$1:$E$65536,4,FALSE)),"")</f>
        <v>M3731 Jakub MOSORZEWSKI - UKS Kiko Zamość</v>
      </c>
      <c r="V770" s="266"/>
      <c r="W770" s="267"/>
      <c r="X770" s="73" t="str">
        <f>IF(SUM(AS770:AT770)=0,"",AT770&amp;":"&amp;AS770)</f>
        <v>21:15</v>
      </c>
      <c r="Y770" s="62"/>
      <c r="Z770" s="40" t="str">
        <f>IF(SUM(AS769:AT769)=0,"",AS769&amp;":"&amp;AT769)</f>
        <v/>
      </c>
      <c r="AA770" s="262"/>
      <c r="AB770" s="263"/>
      <c r="AC770" s="263"/>
      <c r="AD770" s="264"/>
      <c r="AE770" s="2"/>
      <c r="AF770" s="12"/>
      <c r="AG770" s="12"/>
      <c r="AH770" s="72" t="s">
        <v>18</v>
      </c>
      <c r="AI770" s="74">
        <f>IF(ISBLANK(S770),"",VLOOKUP(S770,'[2]plan gier'!$X$1:$AN$65536,12,FALSE))</f>
        <v>21</v>
      </c>
      <c r="AJ770" s="75">
        <f>IF(ISBLANK(S770),"",VLOOKUP(S770,'[2]plan gier'!$X$1:$AN$65536,13,FALSE))</f>
        <v>18</v>
      </c>
      <c r="AK770" s="75">
        <f>IF(ISBLANK(S770),"",VLOOKUP(S770,'[2]plan gier'!$X$1:$AN$65536,14,FALSE))</f>
        <v>21</v>
      </c>
      <c r="AL770" s="75">
        <f>IF(ISBLANK(S770),"",VLOOKUP(S770,'[2]plan gier'!$X$1:$AN$65536,15,FALSE))</f>
        <v>23</v>
      </c>
      <c r="AM770" s="75">
        <f>IF(ISBLANK(S770),"",VLOOKUP(S770,'[2]plan gier'!$X$1:$AN$65536,16,FALSE))</f>
        <v>15</v>
      </c>
      <c r="AN770" s="75">
        <f>IF(ISBLANK(S770),"",VLOOKUP(S770,'[2]plan gier'!$X$1:$AN$65536,17,FALSE))</f>
        <v>21</v>
      </c>
      <c r="AO770" s="76">
        <f t="shared" si="67"/>
        <v>21</v>
      </c>
      <c r="AP770" s="75">
        <f t="shared" si="67"/>
        <v>18</v>
      </c>
      <c r="AQ770" s="77">
        <f t="shared" si="67"/>
        <v>21</v>
      </c>
      <c r="AR770" s="75">
        <f t="shared" si="67"/>
        <v>23</v>
      </c>
      <c r="AS770" s="77">
        <f t="shared" si="67"/>
        <v>15</v>
      </c>
      <c r="AT770" s="75">
        <f t="shared" si="67"/>
        <v>21</v>
      </c>
      <c r="AU770" s="54">
        <f>SUM(AO770:AT770)</f>
        <v>119</v>
      </c>
      <c r="AV770" s="13">
        <v>3</v>
      </c>
      <c r="AW770" s="74">
        <f>IF(AI768&lt;AJ768,1,0)+IF(AK768&lt;AL768,1,0)+IF(AM768&lt;AN768,1,0)</f>
        <v>2</v>
      </c>
      <c r="AX770" s="75">
        <f>BA768</f>
        <v>0</v>
      </c>
      <c r="AY770" s="75">
        <f>IF(AI769&lt;AJ769,1,0)+IF(AK769&lt;AL769,1,0)+IF(AM769&lt;AN769,1,0)</f>
        <v>2</v>
      </c>
      <c r="AZ770" s="75">
        <f>BA769</f>
        <v>0</v>
      </c>
      <c r="BA770" s="78"/>
      <c r="BB770" s="79"/>
      <c r="BE770" s="74">
        <f>AP768+AR768+AT768+AP769+AR769+AT769</f>
        <v>84</v>
      </c>
      <c r="BF770" s="80">
        <f>AO768+AQ768+AS768+AO769+AQ769+AS769</f>
        <v>48</v>
      </c>
      <c r="BG770" s="74">
        <f>AW770+AY770</f>
        <v>4</v>
      </c>
      <c r="BH770" s="80">
        <f>AX770+AZ770</f>
        <v>0</v>
      </c>
      <c r="BI770" s="74">
        <f>IF(AW770&gt;AX770,1,0)+IF(AY770&gt;AZ770,1,0)</f>
        <v>2</v>
      </c>
      <c r="BJ770" s="81">
        <f>IF(AX770&gt;AW770,1,0)+IF(AZ770&gt;AY770,1,0)</f>
        <v>0</v>
      </c>
      <c r="BK770" s="82">
        <f>IF(BI770+BJ770=0,"",IF(BL770=MAX(BL768:BL770),1,IF(BL770=MIN(BL768:BL770),3,2)))</f>
        <v>1</v>
      </c>
      <c r="BL770" s="60">
        <f>IF(BI770+BJ770&lt;&gt;0,BI770+1+(BG770-BH770)/100+(BE770-BF770)/100000+(BE770/BF770)/1000000,0)</f>
        <v>3.0403617500000002</v>
      </c>
    </row>
    <row r="771" spans="1:64" ht="11.45" customHeight="1" x14ac:dyDescent="0.2">
      <c r="A771" s="2"/>
      <c r="J771" s="28"/>
      <c r="K771" s="28"/>
      <c r="L771" s="28"/>
      <c r="O771" s="28"/>
      <c r="P771" s="28"/>
      <c r="Q771" s="2"/>
      <c r="R771" s="2"/>
      <c r="S771" s="2"/>
      <c r="T771" s="241">
        <v>3</v>
      </c>
      <c r="U771" s="244" t="str">
        <f>IF(AND(N772&lt;&gt;"",N773&lt;&gt;""),CONCATENATE(VLOOKUP(N772,[2]zawodnicy!$A$1:$E$65536,1,FALSE)," ",VLOOKUP(N772,[2]zawodnicy!$A$1:$E$65536,2,FALSE)," ",VLOOKUP(N772,[2]zawodnicy!$A$1:$E$65536,3,FALSE)," - ",VLOOKUP(N772,[2]zawodnicy!$A$1:$E$65536,4,FALSE)),"")</f>
        <v>J2970 Aleksander JABŁOŃSKI - UKS Hubal Białystok</v>
      </c>
      <c r="V771" s="245"/>
      <c r="W771" s="246"/>
      <c r="X771" s="46" t="str">
        <f>IF(SUM(AO768:AP768)=0,"",AP768&amp;":"&amp;AO768)</f>
        <v>21:15</v>
      </c>
      <c r="Y771" s="83" t="str">
        <f>IF(SUM(AO769:AP769)=0,"",AP769&amp;":"&amp;AO769)</f>
        <v>21:8</v>
      </c>
      <c r="Z771" s="84"/>
      <c r="AA771" s="247" t="str">
        <f>IF(SUM(AW770:AZ770)=0,"",BE770&amp;":"&amp;BF770)</f>
        <v>84:48</v>
      </c>
      <c r="AB771" s="250" t="str">
        <f>IF(SUM(AW770:AZ770)=0,"",BG770&amp;":"&amp;BH770)</f>
        <v>4:0</v>
      </c>
      <c r="AC771" s="250" t="str">
        <f>IF(SUM(AW770:AZ770)=0,"",BI770&amp;":"&amp;BJ770)</f>
        <v>2:0</v>
      </c>
      <c r="AD771" s="253">
        <f>IF(SUM(BI768:BI770)&gt;0,BK770,"")</f>
        <v>1</v>
      </c>
      <c r="AE771" s="2"/>
      <c r="AF771" s="12"/>
      <c r="AG771" s="12"/>
      <c r="BE771" s="19">
        <f>SUM(BE768:BE770)</f>
        <v>251</v>
      </c>
      <c r="BF771" s="19">
        <f>SUM(BF768:BF770)</f>
        <v>251</v>
      </c>
      <c r="BG771" s="19">
        <f>SUM(BG768:BG770)</f>
        <v>7</v>
      </c>
      <c r="BH771" s="19">
        <f>SUM(BH768:BH770)</f>
        <v>7</v>
      </c>
      <c r="BK771" s="19"/>
      <c r="BL771" s="20"/>
    </row>
    <row r="772" spans="1:64" ht="11.45" customHeight="1" x14ac:dyDescent="0.2">
      <c r="A772" s="19"/>
      <c r="J772" s="19"/>
      <c r="K772" s="19"/>
      <c r="L772" s="19"/>
      <c r="N772" s="33" t="s">
        <v>106</v>
      </c>
      <c r="O772" s="34">
        <f>IF(O764&gt;0,(O764&amp;3)*1,"")</f>
        <v>53</v>
      </c>
      <c r="Q772" s="85"/>
      <c r="R772" s="85"/>
      <c r="S772" s="85"/>
      <c r="T772" s="242"/>
      <c r="U772" s="244" t="str">
        <f>IF(AND(N772&lt;&gt;"",N773=""),CONCATENATE(VLOOKUP(N772,[2]zawodnicy!$A$1:$E$65536,1,FALSE)," ",VLOOKUP(N772,[2]zawodnicy!$A$1:$E$65536,2,FALSE)," ",VLOOKUP(N772,[2]zawodnicy!$A$1:$E$65536,3,FALSE)," - ",VLOOKUP(N772,[2]zawodnicy!$A$1:$E$65536,4,FALSE)),"")</f>
        <v/>
      </c>
      <c r="V772" s="245"/>
      <c r="W772" s="246"/>
      <c r="X772" s="61" t="str">
        <f>IF(SUM(AQ768:AR768)=0,"",AR768&amp;":"&amp;AQ768)</f>
        <v>21:13</v>
      </c>
      <c r="Y772" s="36" t="str">
        <f>IF(SUM(AQ769:AR769)=0,"",AR769&amp;":"&amp;AQ769)</f>
        <v>21:12</v>
      </c>
      <c r="Z772" s="86"/>
      <c r="AA772" s="248"/>
      <c r="AB772" s="251"/>
      <c r="AC772" s="251"/>
      <c r="AD772" s="254"/>
      <c r="AE772" s="2"/>
      <c r="AF772" s="12"/>
      <c r="AG772" s="1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row>
    <row r="773" spans="1:64" ht="11.45" customHeight="1" thickBot="1" x14ac:dyDescent="0.25">
      <c r="A773" s="2"/>
      <c r="J773" s="28"/>
      <c r="K773" s="28"/>
      <c r="L773" s="28"/>
      <c r="N773" s="38" t="s">
        <v>121</v>
      </c>
      <c r="O773" s="28"/>
      <c r="P773" s="28"/>
      <c r="Q773" s="2"/>
      <c r="R773" s="2"/>
      <c r="S773" s="2"/>
      <c r="T773" s="243"/>
      <c r="U773" s="256" t="str">
        <f>IF(N773&lt;&gt;"",CONCATENATE(VLOOKUP(N773,[2]zawodnicy!$A$1:$E$65536,1,FALSE)," ",VLOOKUP(N773,[2]zawodnicy!$A$1:$E$65536,2,FALSE)," ",VLOOKUP(N773,[2]zawodnicy!$A$1:$E$65536,3,FALSE)," - ",VLOOKUP(N773,[2]zawodnicy!$A$1:$E$65536,4,FALSE)),"")</f>
        <v>J3436 Patryk JAS - UKS Kometa Sianów</v>
      </c>
      <c r="V773" s="257"/>
      <c r="W773" s="258"/>
      <c r="X773" s="87" t="str">
        <f>IF(SUM(AS768:AT768)=0,"",AT768&amp;":"&amp;AS768)</f>
        <v/>
      </c>
      <c r="Y773" s="88" t="str">
        <f>IF(SUM(AS769:AT769)=0,"",AT769&amp;":"&amp;AS769)</f>
        <v/>
      </c>
      <c r="Z773" s="89"/>
      <c r="AA773" s="249"/>
      <c r="AB773" s="252"/>
      <c r="AC773" s="252"/>
      <c r="AD773" s="255"/>
      <c r="AE773" s="10"/>
      <c r="AF773" s="12"/>
      <c r="AG773" s="1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row>
    <row r="774" spans="1:64" s="19" customFormat="1" ht="5.0999999999999996" customHeight="1" x14ac:dyDescent="0.2">
      <c r="M774" s="90"/>
      <c r="O774" s="90"/>
      <c r="P774" s="90"/>
      <c r="Q774" s="91"/>
      <c r="R774" s="91"/>
      <c r="S774" s="91"/>
      <c r="T774" s="91"/>
      <c r="U774" s="5"/>
      <c r="V774" s="5"/>
      <c r="W774" s="5"/>
      <c r="AA774" s="92"/>
      <c r="AB774" s="91"/>
      <c r="AC774" s="91"/>
      <c r="AD774" s="91"/>
      <c r="AE774" s="91"/>
      <c r="AF774" s="91"/>
      <c r="AI774" s="93"/>
      <c r="AJ774" s="94"/>
      <c r="AK774" s="94"/>
    </row>
    <row r="776" spans="1:64" ht="12.75" x14ac:dyDescent="0.2">
      <c r="J776" s="2"/>
      <c r="K776" s="2"/>
      <c r="L776" s="2"/>
      <c r="M776" s="95"/>
      <c r="N776" s="96">
        <v>1</v>
      </c>
      <c r="O776" s="97">
        <v>5</v>
      </c>
      <c r="P776" s="98"/>
      <c r="Q776" s="1"/>
      <c r="R776" s="1"/>
      <c r="S776" s="1"/>
      <c r="T776" s="229"/>
      <c r="U776" s="229"/>
      <c r="V776" s="229"/>
      <c r="W776" s="229"/>
      <c r="X776" s="229"/>
      <c r="Y776" s="229"/>
      <c r="Z776" s="229"/>
      <c r="AA776" s="229"/>
      <c r="AB776" s="229"/>
      <c r="AC776" s="229"/>
      <c r="AD776" s="229"/>
      <c r="AE776" s="229"/>
      <c r="AF776" s="229"/>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row>
    <row r="777" spans="1:64" ht="12.75" x14ac:dyDescent="0.2">
      <c r="J777" s="2"/>
      <c r="K777" s="2"/>
      <c r="L777" s="2"/>
      <c r="N777" s="99" t="s">
        <v>148</v>
      </c>
      <c r="P777" s="98"/>
      <c r="Q777" s="1"/>
      <c r="R777" s="1"/>
      <c r="S777" s="1"/>
      <c r="T777" s="1"/>
      <c r="U777" s="1"/>
      <c r="V777" s="101"/>
      <c r="W777" s="101"/>
      <c r="X777" s="101"/>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row>
    <row r="778" spans="1:64" ht="12.75" x14ac:dyDescent="0.2">
      <c r="J778" s="2"/>
      <c r="K778" s="2"/>
      <c r="L778" s="2"/>
      <c r="M778" s="95"/>
      <c r="N778" s="119"/>
      <c r="O778" s="120">
        <f>IF(P778="","",1)</f>
        <v>1</v>
      </c>
      <c r="P778" s="121">
        <f>IF(O776&gt;4,1,"")</f>
        <v>1</v>
      </c>
      <c r="Q778" s="113">
        <f>O778</f>
        <v>1</v>
      </c>
      <c r="R778" s="113"/>
      <c r="S778" s="113"/>
      <c r="T778" s="234" t="str">
        <f>UPPER(IF(O778="","",IF(ISTEXT(N778),N778,IF(AND(N776&gt;0,O778&gt;0),VLOOKUP(N776&amp;O778&amp;N777,I:K,2,FALSE),""))))</f>
        <v>F4048</v>
      </c>
      <c r="U778" s="235"/>
      <c r="V778" s="122" t="str">
        <f>IF(T778&lt;&gt;"",CONCATENATE(VLOOKUP(T778,[2]zawodnicy!$A$1:$E$65536,2,FALSE)," ",VLOOKUP(T778,[2]zawodnicy!$A$1:$E$65536,3,FALSE)," - ",VLOOKUP(T778,[2]zawodnicy!$A$1:$E$65536,4,FALSE)),"")</f>
        <v>Konrad FRĄTCZAK - UKS Iskra Sarbice</v>
      </c>
      <c r="W778" s="123"/>
      <c r="X778" s="228" t="str">
        <f>IF(ISBLANK(W779),IF(AND(LEN(T778)&gt;0,LEN(T780)=0),VLOOKUP(T778,[2]zawodnicy!$A$1:$E$65536,3,FALSE),IF(AND(LEN(T780)&gt;0,LEN(T778)=0),VLOOKUP(T780,[2]zawodnicy!$A$1:$E$65536,3,FALSE),"")),IF((VLOOKUP(W779,'[2]plan gier'!$X$1:$AF$65536,7,FALSE))="","",VLOOKUP(VLOOKUP(W779,'[2]plan gier'!$X$1:$AF$65536,7,FALSE),[2]zawodnicy!$A$1:$E$65536,3,FALSE)))</f>
        <v>FRĄTCZAK</v>
      </c>
      <c r="Y778" s="229"/>
      <c r="Z778" s="229"/>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row>
    <row r="779" spans="1:64" ht="12.75" x14ac:dyDescent="0.2">
      <c r="A779" s="102">
        <f>W779</f>
        <v>0</v>
      </c>
      <c r="B779" s="2" t="str">
        <f>IF(TYPE(T778)=16,"",T778)</f>
        <v>F4048</v>
      </c>
      <c r="C779" s="2" t="str">
        <f>IF(TYPE(T779)=16,"",T779)</f>
        <v>W4049</v>
      </c>
      <c r="D779" s="2" t="str">
        <f>IF(TYPE(T780)=16,"",T780)</f>
        <v/>
      </c>
      <c r="E779" s="2" t="str">
        <f>IF(TYPE(T781)=16,"",T781)</f>
        <v/>
      </c>
      <c r="F779" s="2" t="str">
        <f>IF(A779=0,IF(AND(LEN(B779)&gt;1,LEN(D779)=0),VLOOKUP(B779,[2]zawodnicy!$A$1:$E$65536,1,FALSE),IF(AND(LEN(D779)&gt;1,LEN(B779)=0),VLOOKUP(D779,[2]zawodnicy!$A$1:$E$65536,1,FALSE),"")),IF((VLOOKUP(A779,'[2]plan gier'!$X$1:$AF$65536,7,FALSE))="","",VLOOKUP(VLOOKUP(A779,'[2]plan gier'!$X$1:$AF$65536,7,FALSE),[2]zawodnicy!$A$1:$E$65536,1,FALSE)))</f>
        <v>F4048</v>
      </c>
      <c r="G779" s="2" t="str">
        <f>IF(A779=0,IF(AND(LEN(C779)&gt;1,LEN(E779)=0),VLOOKUP(C779,[2]zawodnicy!$A$1:$E$65536,1,FALSE),IF(AND(LEN(E779)&gt;1,LEN(C779)=0),VLOOKUP(E779,[2]zawodnicy!$A$1:$E$65536,1,FALSE),"")),IF((VLOOKUP(A779,'[2]plan gier'!$X$1:$AF$65536,8,FALSE))="","",VLOOKUP(VLOOKUP(A779,'[2]plan gier'!$X$1:$AF$65536,8,FALSE),[2]zawodnicy!$A$1:$E$65536,1,FALSE)))</f>
        <v>W4049</v>
      </c>
      <c r="H779" s="2" t="str">
        <f>IF(A779=0,"",IF((VLOOKUP(A779,'[2]plan gier'!$X$1:$AF$65536,7,FALSE))="","",VLOOKUP(A779,'[2]plan gier'!$X$1:$AF$65536,9,FALSE)))</f>
        <v/>
      </c>
      <c r="L779" s="124" t="str">
        <f>IF(A779=0,"",IF(VLOOKUP(A779,'[2]plan gier'!A$1:S$65536,19,FALSE)="","",VLOOKUP(A779,'[2]plan gier'!A$1:S$65536,19,FALSE)))</f>
        <v/>
      </c>
      <c r="M779" s="2" t="str">
        <f>N777</f>
        <v>podwójna chłopców JM</v>
      </c>
      <c r="N779" s="125"/>
      <c r="O779" s="121"/>
      <c r="P779" s="121"/>
      <c r="Q779" s="114"/>
      <c r="R779" s="114"/>
      <c r="S779" s="114"/>
      <c r="T779" s="224" t="str">
        <f>UPPER(IF(O778="","",IF(ISTEXT(N779),N779,IF(AND(N776&gt;0,O778&gt;0),VLOOKUP(N776&amp;O778&amp;N777,I:K,3,FALSE),""))))</f>
        <v>W4049</v>
      </c>
      <c r="U779" s="225"/>
      <c r="V779" s="126" t="str">
        <f>IF(T779&lt;&gt;"",CONCATENATE(VLOOKUP(T779,[2]zawodnicy!$A$1:$E$65536,2,FALSE)," ",VLOOKUP(T779,[2]zawodnicy!$A$1:$E$65536,3,FALSE)," - ",VLOOKUP(T779,[2]zawodnicy!$A$1:$E$65536,4,FALSE)),"")</f>
        <v>Kamil WUDARSKI - UKS Iskra Sarbice</v>
      </c>
      <c r="W779" s="127"/>
      <c r="X779" s="231" t="str">
        <f>IF(ISBLANK(W779),IF(AND(LEN(T779)&gt;0,LEN(T781)=0),VLOOKUP(T779,[2]zawodnicy!$A$1:$E$65536,3,FALSE),IF(AND(LEN(T781)&gt;0,LEN(T779)=0),VLOOKUP(T781,[2]zawodnicy!$A$1:$E$65536,3,FALSE),"")),IF((VLOOKUP(W779,'[2]plan gier'!$X$1:$AF$65536,8,FALSE))="","",VLOOKUP(VLOOKUP(W779,'[2]plan gier'!$X$1:$AF$65536,8,FALSE),[2]zawodnicy!$A$1:$E$65536,3,FALSE)))</f>
        <v>WUDARSKI</v>
      </c>
      <c r="Y779" s="232"/>
      <c r="Z779" s="23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row>
    <row r="780" spans="1:64" ht="12.75" x14ac:dyDescent="0.2">
      <c r="J780" s="2"/>
      <c r="K780" s="2"/>
      <c r="L780" s="2"/>
      <c r="M780" s="95"/>
      <c r="N780" s="125"/>
      <c r="O780" s="120" t="str">
        <f>IF(P780="","",MAX(O778:O779)+1)</f>
        <v/>
      </c>
      <c r="P780" s="121" t="str">
        <f>IF(O776&gt;7,5,"")</f>
        <v/>
      </c>
      <c r="Q780" s="113" t="str">
        <f>O780</f>
        <v/>
      </c>
      <c r="R780" s="113"/>
      <c r="S780" s="113"/>
      <c r="T780" s="234" t="str">
        <f>UPPER(IF(O780="","",IF(ISTEXT(N780),N780,IF(AND(N776&gt;0,O780&gt;0),VLOOKUP(N776&amp;O780&amp;N777,I:K,2,FALSE),""))))</f>
        <v/>
      </c>
      <c r="U780" s="235"/>
      <c r="V780" s="122" t="str">
        <f>IF(T780&lt;&gt;"",CONCATENATE(VLOOKUP(T780,[2]zawodnicy!$A$1:$E$65536,2,FALSE)," ",VLOOKUP(T780,[2]zawodnicy!$A$1:$E$65536,3,FALSE)," - ",VLOOKUP(T780,[2]zawodnicy!$A$1:$E$65536,4,FALSE)),"")</f>
        <v/>
      </c>
      <c r="W780" s="128"/>
      <c r="X780" s="237" t="str">
        <f>IF(ISBLANK(W779),"",IF((VLOOKUP(W779,'[2]plan gier'!$X$1:$AF$65536,7,FALSE))="",L779,VLOOKUP(W779,'[2]plan gier'!$X$1:$AF$65536,9,FALSE)))</f>
        <v/>
      </c>
      <c r="Y780" s="237"/>
      <c r="Z780" s="240"/>
      <c r="AA780" s="229" t="str">
        <f>IF(ISBLANK(Z781),IF(AND(LEN(X778)&gt;0,LEN(X782)=0),X778,IF(AND(LEN(X782)&gt;0,LEN(X778)=0),X782,"")),IF((VLOOKUP(Z781,'[2]plan gier'!$X$1:$AF$65536,7,FALSE))="","",VLOOKUP(VLOOKUP(Z781,'[2]plan gier'!$X$1:$AF$65536,7,FALSE),[2]zawodnicy!$A$1:$E$65536,3,FALSE)))</f>
        <v>FRĄTCZAK</v>
      </c>
      <c r="AB780" s="229"/>
      <c r="AC780" s="229"/>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row>
    <row r="781" spans="1:64" ht="13.5" thickBot="1" x14ac:dyDescent="0.25">
      <c r="A781" s="111">
        <f>Z781</f>
        <v>225</v>
      </c>
      <c r="B781" s="2" t="str">
        <f>F779</f>
        <v>F4048</v>
      </c>
      <c r="C781" s="2" t="str">
        <f>G779</f>
        <v>W4049</v>
      </c>
      <c r="D781" s="2" t="str">
        <f>F783</f>
        <v>X41</v>
      </c>
      <c r="E781" s="2" t="str">
        <f>G783</f>
        <v>X39</v>
      </c>
      <c r="F781" s="2" t="str">
        <f>IF(A781=0,IF(AND(LEN(B781)&gt;0,LEN(D781)=0),B781,IF(AND(LEN(D781)&gt;0,LEN(B781)=0),D781,"")),IF((VLOOKUP(A781,'[2]plan gier'!$X$1:$AF$65536,7,FALSE))="","",VLOOKUP(VLOOKUP(A781,'[2]plan gier'!$X$1:$AF$65536,7,FALSE),[2]zawodnicy!$A$1:$E$65536,1,FALSE)))</f>
        <v>F4048</v>
      </c>
      <c r="G781" s="2" t="str">
        <f>IF(A781=0,IF(AND(LEN(C781)&gt;0,LEN(E781)=0),C781,IF(AND(LEN(E781)&gt;0,LEN(C781)=0),E781,"")),IF((VLOOKUP(A781,'[2]plan gier'!$X$1:$AF$65536,8,FALSE))="","",VLOOKUP(VLOOKUP(A781,'[2]plan gier'!$X$1:$AF$65536,8,FALSE),[2]zawodnicy!$A$1:$E$65536,1,FALSE)))</f>
        <v>W4049</v>
      </c>
      <c r="H781" s="2" t="str">
        <f>IF(A781=0,"",IF((VLOOKUP(A781,'[2]plan gier'!$X$1:$AF$65536,7,FALSE))="","",VLOOKUP(A781,'[2]plan gier'!$X$1:$AF$65536,9,FALSE)))</f>
        <v>21:11,21:17</v>
      </c>
      <c r="L781" s="124" t="str">
        <f>IF(A781=0,"",IF(VLOOKUP(A781,'[2]plan gier'!A$1:S$65536,19,FALSE)="","",VLOOKUP(A781,'[2]plan gier'!A$1:S$65536,19,FALSE)))</f>
        <v>sob 17:30</v>
      </c>
      <c r="M781" s="2" t="str">
        <f>N777</f>
        <v>podwójna chłopców JM</v>
      </c>
      <c r="N781" s="129"/>
      <c r="O781" s="121"/>
      <c r="P781" s="121"/>
      <c r="Q781" s="114"/>
      <c r="R781" s="114"/>
      <c r="S781" s="114"/>
      <c r="T781" s="238" t="str">
        <f>UPPER(IF(O780="","",IF(ISTEXT(N781),N781,IF(AND(N776&gt;0,O780&gt;0),VLOOKUP(N776&amp;O780&amp;N777,I:K,3,FALSE),""))))</f>
        <v/>
      </c>
      <c r="U781" s="239"/>
      <c r="V781" s="130" t="str">
        <f>IF(T781&lt;&gt;"",CONCATENATE(VLOOKUP(T781,[2]zawodnicy!$A$1:$E$65536,2,FALSE)," ",VLOOKUP(T781,[2]zawodnicy!$A$1:$E$65536,3,FALSE)," - ",VLOOKUP(T781,[2]zawodnicy!$A$1:$E$65536,4,FALSE)),"")</f>
        <v/>
      </c>
      <c r="W781" s="131"/>
      <c r="X781" s="114"/>
      <c r="Y781" s="10"/>
      <c r="Z781" s="115">
        <v>225</v>
      </c>
      <c r="AA781" s="231" t="str">
        <f>IF(ISBLANK(Z781),IF(AND(LEN(X779)&gt;0,LEN(X783)=0),X779,IF(AND(LEN(X783)&gt;0,LEN(X779)=0),X783,"")),IF((VLOOKUP(Z781,'[2]plan gier'!$X$1:$AF$65536,8,FALSE))="","",VLOOKUP(VLOOKUP(Z781,'[2]plan gier'!$X$1:$AF$65536,8,FALSE),[2]zawodnicy!$A$1:$E$65536,3,FALSE)))</f>
        <v>WUDARSKI</v>
      </c>
      <c r="AB781" s="232"/>
      <c r="AC781" s="23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row>
    <row r="782" spans="1:64" ht="13.5" thickTop="1" x14ac:dyDescent="0.2">
      <c r="J782" s="2"/>
      <c r="K782" s="2"/>
      <c r="L782" s="2"/>
      <c r="M782" s="95"/>
      <c r="N782" s="132"/>
      <c r="O782" s="120">
        <f>IF(P782="","",MAX(O778:O781)+1)</f>
        <v>2</v>
      </c>
      <c r="P782" s="121">
        <f>IF(O776&gt;4,9,"")</f>
        <v>9</v>
      </c>
      <c r="Q782" s="113">
        <f>O782</f>
        <v>2</v>
      </c>
      <c r="R782" s="113"/>
      <c r="S782" s="113"/>
      <c r="T782" s="226" t="str">
        <f>UPPER(IF(O782="","",IF(ISTEXT(N782),N782,IF(AND(N776&gt;0,O782&gt;0),VLOOKUP(N776&amp;O782&amp;N777,I:K,2,FALSE),""))))</f>
        <v>X41</v>
      </c>
      <c r="U782" s="227"/>
      <c r="V782" s="133" t="str">
        <f>IF(T782&lt;&gt;"",CONCATENATE(VLOOKUP(T782,[2]zawodnicy!$A$1:$E$65536,2,FALSE)," ",VLOOKUP(T782,[2]zawodnicy!$A$1:$E$65536,3,FALSE)," - ",VLOOKUP(T782,[2]zawodnicy!$A$1:$E$65536,4,FALSE)),"")</f>
        <v>Marek Kufa  - Slavoj Cesky Tesin</v>
      </c>
      <c r="W782" s="134"/>
      <c r="X782" s="228" t="str">
        <f>IF(ISBLANK(W783),IF(AND(LEN(T782)&gt;0,LEN(T784)=0),VLOOKUP(T782,[2]zawodnicy!$A$1:$E$65536,3,FALSE),IF(AND(LEN(T784)&gt;0,LEN(T782)=0),VLOOKUP(T784,[2]zawodnicy!$A$1:$E$65536,3,FALSE),"")),IF((VLOOKUP(W783,'[2]plan gier'!$X$1:$AF$65536,7,FALSE))="","",VLOOKUP(VLOOKUP(W783,'[2]plan gier'!$X$1:$AF$65536,7,FALSE),[2]zawodnicy!$A$1:$E$65536,3,FALSE)))</f>
        <v xml:space="preserve">Kufa </v>
      </c>
      <c r="Y782" s="229"/>
      <c r="Z782" s="230"/>
      <c r="AA782" s="229" t="str">
        <f>IF(ISBLANK(Z781),"",IF((VLOOKUP(Z781,'[2]plan gier'!$X$1:$AF$65536,7,FALSE))="",L781,VLOOKUP(Z781,'[2]plan gier'!$X$1:$AF$65536,9,FALSE)))</f>
        <v>21:11,21:17</v>
      </c>
      <c r="AB782" s="229"/>
      <c r="AC782" s="230"/>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row>
    <row r="783" spans="1:64" ht="12.75" x14ac:dyDescent="0.2">
      <c r="A783" s="102">
        <f>W783</f>
        <v>0</v>
      </c>
      <c r="B783" s="2" t="str">
        <f>IF(TYPE(T782)=16,"",T782)</f>
        <v>X41</v>
      </c>
      <c r="C783" s="2" t="str">
        <f>IF(TYPE(T783)=16,"",T783)</f>
        <v>X39</v>
      </c>
      <c r="D783" s="2" t="str">
        <f>IF(TYPE(T784)=16,"",T784)</f>
        <v/>
      </c>
      <c r="E783" s="2" t="str">
        <f>IF(TYPE(T785)=16,"",T785)</f>
        <v/>
      </c>
      <c r="F783" s="2" t="str">
        <f>IF(A783=0,IF(AND(LEN(B783)&gt;1,LEN(D783)=0),VLOOKUP(B783,[2]zawodnicy!$A$1:$E$65536,1,FALSE),IF(AND(LEN(D783)&gt;1,LEN(B783)=0),VLOOKUP(D783,[2]zawodnicy!$A$1:$E$65536,1,FALSE),"")),IF((VLOOKUP(A783,'[2]plan gier'!$X$1:$AF$65536,7,FALSE))="","",VLOOKUP(VLOOKUP(A783,'[2]plan gier'!$X$1:$AF$65536,7,FALSE),[2]zawodnicy!$A$1:$E$65536,1,FALSE)))</f>
        <v>X41</v>
      </c>
      <c r="G783" s="2" t="str">
        <f>IF(A783=0,IF(AND(LEN(C783)&gt;1,LEN(E783)=0),VLOOKUP(C783,[2]zawodnicy!$A$1:$E$65536,1,FALSE),IF(AND(LEN(E783)&gt;1,LEN(C783)=0),VLOOKUP(E783,[2]zawodnicy!$A$1:$E$65536,1,FALSE),"")),IF((VLOOKUP(A783,'[2]plan gier'!$X$1:$AF$65536,8,FALSE))="","",VLOOKUP(VLOOKUP(A783,'[2]plan gier'!$X$1:$AF$65536,8,FALSE),[2]zawodnicy!$A$1:$E$65536,1,FALSE)))</f>
        <v>X39</v>
      </c>
      <c r="H783" s="2" t="str">
        <f>IF(A783=0,"",IF((VLOOKUP(A783,'[2]plan gier'!$X$1:$AF$65536,7,FALSE))="","",VLOOKUP(A783,'[2]plan gier'!$X$1:$AF$65536,9,FALSE)))</f>
        <v/>
      </c>
      <c r="L783" s="124" t="str">
        <f>IF(A783=0,"",IF(VLOOKUP(A783,'[2]plan gier'!A$1:S$65536,19,FALSE)="","",VLOOKUP(A783,'[2]plan gier'!A$1:S$65536,19,FALSE)))</f>
        <v/>
      </c>
      <c r="M783" s="2" t="str">
        <f>N777</f>
        <v>podwójna chłopców JM</v>
      </c>
      <c r="N783" s="125"/>
      <c r="O783" s="121"/>
      <c r="P783" s="121"/>
      <c r="Q783" s="114"/>
      <c r="R783" s="114"/>
      <c r="S783" s="114"/>
      <c r="T783" s="224" t="str">
        <f>UPPER(IF(O782="","",IF(ISTEXT(N783),N783,IF(AND(N776&gt;0,O782&gt;0),VLOOKUP(N776&amp;O782&amp;N777,I:K,3,FALSE),""))))</f>
        <v>X39</v>
      </c>
      <c r="U783" s="225"/>
      <c r="V783" s="126" t="str">
        <f>IF(T783&lt;&gt;"",CONCATENATE(VLOOKUP(T783,[2]zawodnicy!$A$1:$E$65536,2,FALSE)," ",VLOOKUP(T783,[2]zawodnicy!$A$1:$E$65536,3,FALSE)," - ",VLOOKUP(T783,[2]zawodnicy!$A$1:$E$65536,4,FALSE)),"")</f>
        <v>Adam Šářec  - Slavoj Cesky Tesin</v>
      </c>
      <c r="W783" s="127"/>
      <c r="X783" s="231" t="str">
        <f>IF(ISBLANK(W783),IF(AND(LEN(T783)&gt;0,LEN(T785)=0),VLOOKUP(T783,[2]zawodnicy!$A$1:$E$65536,3,FALSE),IF(AND(LEN(T785)&gt;0,LEN(T783)=0),VLOOKUP(T785,[2]zawodnicy!$A$1:$E$65536,3,FALSE),"")),IF((VLOOKUP(W783,'[2]plan gier'!$X$1:$AF$65536,8,FALSE))="","",VLOOKUP(VLOOKUP(W783,'[2]plan gier'!$X$1:$AF$65536,8,FALSE),[2]zawodnicy!$A$1:$E$65536,3,FALSE)))</f>
        <v xml:space="preserve">Šářec </v>
      </c>
      <c r="Y783" s="232"/>
      <c r="Z783" s="233"/>
      <c r="AA783" s="10"/>
      <c r="AB783" s="10"/>
      <c r="AC783" s="117"/>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row>
    <row r="784" spans="1:64" ht="12.75" x14ac:dyDescent="0.2">
      <c r="J784" s="2"/>
      <c r="K784" s="2"/>
      <c r="L784" s="2"/>
      <c r="M784" s="95"/>
      <c r="N784" s="125"/>
      <c r="O784" s="120" t="str">
        <f>IF(P784="","",MAX(O778:O783)+1)</f>
        <v/>
      </c>
      <c r="P784" s="121" t="str">
        <f>IF(O776&gt;5,13,"")</f>
        <v/>
      </c>
      <c r="Q784" s="113" t="str">
        <f>O784</f>
        <v/>
      </c>
      <c r="R784" s="113"/>
      <c r="S784" s="113"/>
      <c r="T784" s="234" t="str">
        <f>UPPER(IF(O784="","",IF(ISTEXT(N784),N784,IF(AND(N776&gt;0,O784&gt;0),VLOOKUP(N776&amp;O784&amp;N777,I:K,2,FALSE),""))))</f>
        <v/>
      </c>
      <c r="U784" s="235"/>
      <c r="V784" s="122" t="str">
        <f>IF(T784&lt;&gt;"",CONCATENATE(VLOOKUP(T784,[2]zawodnicy!$A$1:$E$65536,2,FALSE)," ",VLOOKUP(T784,[2]zawodnicy!$A$1:$E$65536,3,FALSE)," - ",VLOOKUP(T784,[2]zawodnicy!$A$1:$E$65536,4,FALSE)),"")</f>
        <v/>
      </c>
      <c r="W784" s="128"/>
      <c r="X784" s="236" t="str">
        <f>IF(ISBLANK(W783),"",IF((VLOOKUP(W783,'[2]plan gier'!$X$1:$AF$65536,7,FALSE))="",L783,VLOOKUP(W783,'[2]plan gier'!$X$1:$AF$65536,9,FALSE)))</f>
        <v/>
      </c>
      <c r="Y784" s="237"/>
      <c r="Z784" s="237"/>
      <c r="AA784" s="10"/>
      <c r="AB784" s="10"/>
      <c r="AC784" s="116"/>
      <c r="AD784" s="229" t="str">
        <f>IF(ISBLANK(AC785),IF(AND(LEN(AA780)&gt;0,LEN(AA788)=0),AA780,IF(AND(LEN(AA788)&gt;0,LEN(AA780)=0),AA788,"")),IF((VLOOKUP(AC785,'[2]plan gier'!$X$1:$AF$65536,7,FALSE))="","",VLOOKUP(VLOOKUP(AC785,'[2]plan gier'!$X$1:$AF$65536,7,FALSE),[2]zawodnicy!$A$1:$E$65536,3,FALSE)))</f>
        <v>MAZUR</v>
      </c>
      <c r="AE784" s="229"/>
      <c r="AF784" s="229"/>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row>
    <row r="785" spans="1:64" ht="13.5" thickBot="1" x14ac:dyDescent="0.25">
      <c r="A785" s="171">
        <f>AC785</f>
        <v>240</v>
      </c>
      <c r="B785" s="2" t="str">
        <f>F781</f>
        <v>F4048</v>
      </c>
      <c r="C785" s="2" t="str">
        <f>G781</f>
        <v>W4049</v>
      </c>
      <c r="D785" s="2" t="str">
        <f>F789</f>
        <v>M3524</v>
      </c>
      <c r="E785" s="2" t="str">
        <f>G789</f>
        <v>M4193</v>
      </c>
      <c r="F785" s="2" t="str">
        <f>IF(A785=0,IF(AND(LEN(B785)&gt;0,LEN(D785)=0),B785,IF(AND(LEN(D785)&gt;0,LEN(B785)=0),D785,"")),IF((VLOOKUP(A785,'[2]plan gier'!$X$1:$AF$65536,7,FALSE))="","",VLOOKUP(VLOOKUP(A785,'[2]plan gier'!$X$1:$AF$65536,7,FALSE),[2]zawodnicy!$A$1:$E$65536,1,FALSE)))</f>
        <v>M3524</v>
      </c>
      <c r="G785" s="2" t="str">
        <f>IF(A785=0,IF(AND(LEN(C785)&gt;0,LEN(E785)=0),C785,IF(AND(LEN(E785)&gt;0,LEN(C785)=0),E785,"")),IF((VLOOKUP(A785,'[2]plan gier'!$X$1:$AF$65536,8,FALSE))="","",VLOOKUP(VLOOKUP(A785,'[2]plan gier'!$X$1:$AF$65536,8,FALSE),[2]zawodnicy!$A$1:$E$65536,1,FALSE)))</f>
        <v>M4193</v>
      </c>
      <c r="H785" s="2" t="str">
        <f>IF(A785=0,"",IF((VLOOKUP(A785,'[2]plan gier'!$X$1:$AF$65536,7,FALSE))="","",VLOOKUP(A785,'[2]plan gier'!$X$1:$AF$65536,9,FALSE)))</f>
        <v>21:14,22:20</v>
      </c>
      <c r="L785" s="124" t="str">
        <f>IF(A785=0,"",IF(VLOOKUP(A785,'[2]plan gier'!A$1:S$65536,19,FALSE)="","",VLOOKUP(A785,'[2]plan gier'!A$1:S$65536,19,FALSE)))</f>
        <v>nie 11:30</v>
      </c>
      <c r="M785" s="2" t="str">
        <f>N777</f>
        <v>podwójna chłopców JM</v>
      </c>
      <c r="N785" s="129"/>
      <c r="O785" s="121"/>
      <c r="P785" s="121"/>
      <c r="Q785" s="114"/>
      <c r="R785" s="114"/>
      <c r="S785" s="114"/>
      <c r="T785" s="238" t="str">
        <f>UPPER(IF(O784="","",IF(ISTEXT(N785),N785,IF(AND(N776&gt;0,O784&gt;0),VLOOKUP(N776&amp;O784&amp;N777,I:K,3,FALSE),""))))</f>
        <v/>
      </c>
      <c r="U785" s="239"/>
      <c r="V785" s="130" t="str">
        <f>IF(T785&lt;&gt;"",CONCATENATE(VLOOKUP(T785,[2]zawodnicy!$A$1:$E$65536,2,FALSE)," ",VLOOKUP(T785,[2]zawodnicy!$A$1:$E$65536,3,FALSE)," - ",VLOOKUP(T785,[2]zawodnicy!$A$1:$E$65536,4,FALSE)),"")</f>
        <v/>
      </c>
      <c r="W785" s="131"/>
      <c r="X785" s="10"/>
      <c r="Y785" s="10"/>
      <c r="Z785" s="10"/>
      <c r="AA785" s="10"/>
      <c r="AB785" s="10"/>
      <c r="AC785" s="115">
        <v>240</v>
      </c>
      <c r="AD785" s="231" t="str">
        <f>IF(ISBLANK(AC785),IF(AND(LEN(AA781)&gt;0,LEN(AA789)=0),AA781,IF(AND(LEN(AA789)&gt;0,LEN(AA781)=0),AA789,"")),IF((VLOOKUP(AC785,'[2]plan gier'!$X$1:$AF$65536,8,FALSE))="","",VLOOKUP(VLOOKUP(AC785,'[2]plan gier'!$X$1:$AF$65536,8,FALSE),[2]zawodnicy!$A$1:$E$65536,3,FALSE)))</f>
        <v>MIRGA</v>
      </c>
      <c r="AE785" s="232"/>
      <c r="AF785" s="23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row>
    <row r="786" spans="1:64" ht="13.5" thickTop="1" x14ac:dyDescent="0.2">
      <c r="J786" s="2"/>
      <c r="K786" s="2"/>
      <c r="L786" s="2"/>
      <c r="M786" s="95"/>
      <c r="N786" s="132"/>
      <c r="O786" s="120">
        <f>IF(P786="","",MAX(O778:O785)+1)</f>
        <v>3</v>
      </c>
      <c r="P786" s="121">
        <f>IF(O776&gt;4,20,"")</f>
        <v>20</v>
      </c>
      <c r="Q786" s="113">
        <f>O786</f>
        <v>3</v>
      </c>
      <c r="R786" s="113"/>
      <c r="S786" s="113"/>
      <c r="T786" s="226" t="str">
        <f>UPPER(IF(O786="","",IF(ISTEXT(N786),N786,IF(AND(N776&gt;0,O786&gt;0),VLOOKUP(N776&amp;O786&amp;N777,I:K,2,FALSE),""))))</f>
        <v>D3323</v>
      </c>
      <c r="U786" s="227"/>
      <c r="V786" s="133" t="str">
        <f>IF(T786&lt;&gt;"",CONCATENATE(VLOOKUP(T786,[2]zawodnicy!$A$1:$E$65536,2,FALSE)," ",VLOOKUP(T786,[2]zawodnicy!$A$1:$E$65536,3,FALSE)," - ",VLOOKUP(T786,[2]zawodnicy!$A$1:$E$65536,4,FALSE)),"")</f>
        <v>Mateusz DANIELAK - KKS Ruch Piotrków Tryb.</v>
      </c>
      <c r="W786" s="134"/>
      <c r="X786" s="228" t="str">
        <f>IF(ISBLANK(W787),IF(AND(LEN(T786)&gt;0,LEN(T788)=0),VLOOKUP(T786,[2]zawodnicy!$A$1:$E$65536,3,FALSE),IF(AND(LEN(T788)&gt;0,LEN(T786)=0),VLOOKUP(T788,[2]zawodnicy!$A$1:$E$65536,3,FALSE),"")),IF((VLOOKUP(W787,'[2]plan gier'!$X$1:$AF$65536,7,FALSE))="","",VLOOKUP(VLOOKUP(W787,'[2]plan gier'!$X$1:$AF$65536,7,FALSE),[2]zawodnicy!$A$1:$E$65536,3,FALSE)))</f>
        <v>MAZUR</v>
      </c>
      <c r="Y786" s="229"/>
      <c r="Z786" s="229"/>
      <c r="AA786" s="10"/>
      <c r="AB786" s="10"/>
      <c r="AC786" s="116"/>
      <c r="AD786" s="229" t="str">
        <f>IF(ISBLANK(AC785),"",IF((VLOOKUP(AC785,'[2]plan gier'!$X$1:$AF$65536,7,FALSE))="",L785,VLOOKUP(AC785,'[2]plan gier'!$X$1:$AF$65536,9,FALSE)))</f>
        <v>21:14,22:20</v>
      </c>
      <c r="AE786" s="229"/>
      <c r="AF786" s="229"/>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row>
    <row r="787" spans="1:64" ht="12.75" x14ac:dyDescent="0.2">
      <c r="A787" s="102">
        <f>W787</f>
        <v>209</v>
      </c>
      <c r="B787" s="2" t="str">
        <f>IF(TYPE(T786)=16,"",T786)</f>
        <v>D3323</v>
      </c>
      <c r="C787" s="2" t="str">
        <f>IF(TYPE(T787)=16,"",T787)</f>
        <v>M4225</v>
      </c>
      <c r="D787" s="2" t="str">
        <f>IF(TYPE(T788)=16,"",T788)</f>
        <v>M3524</v>
      </c>
      <c r="E787" s="2" t="str">
        <f>IF(TYPE(T789)=16,"",T789)</f>
        <v>M4193</v>
      </c>
      <c r="F787" s="2" t="str">
        <f>IF(A787=0,IF(AND(LEN(B787)&gt;1,LEN(D787)=0),VLOOKUP(B787,[2]zawodnicy!$A$1:$E$65536,1,FALSE),IF(AND(LEN(D787)&gt;1,LEN(B787)=0),VLOOKUP(D787,[2]zawodnicy!$A$1:$E$65536,1,FALSE),"")),IF((VLOOKUP(A787,'[2]plan gier'!$X$1:$AF$65536,7,FALSE))="","",VLOOKUP(VLOOKUP(A787,'[2]plan gier'!$X$1:$AF$65536,7,FALSE),[2]zawodnicy!$A$1:$E$65536,1,FALSE)))</f>
        <v>M3524</v>
      </c>
      <c r="G787" s="2" t="str">
        <f>IF(A787=0,IF(AND(LEN(C787)&gt;1,LEN(E787)=0),VLOOKUP(C787,[2]zawodnicy!$A$1:$E$65536,1,FALSE),IF(AND(LEN(E787)&gt;1,LEN(C787)=0),VLOOKUP(E787,[2]zawodnicy!$A$1:$E$65536,1,FALSE),"")),IF((VLOOKUP(A787,'[2]plan gier'!$X$1:$AF$65536,8,FALSE))="","",VLOOKUP(VLOOKUP(A787,'[2]plan gier'!$X$1:$AF$65536,8,FALSE),[2]zawodnicy!$A$1:$E$65536,1,FALSE)))</f>
        <v>M4193</v>
      </c>
      <c r="H787" s="2" t="str">
        <f>IF(A787=0,"",IF((VLOOKUP(A787,'[2]plan gier'!$X$1:$AF$65536,7,FALSE))="","",VLOOKUP(A787,'[2]plan gier'!$X$1:$AF$65536,9,FALSE)))</f>
        <v>21:11,21:17</v>
      </c>
      <c r="L787" s="124" t="str">
        <f>IF(A787=0,"",IF(VLOOKUP(A787,'[2]plan gier'!A$1:S$65536,19,FALSE)="","",VLOOKUP(A787,'[2]plan gier'!A$1:S$65536,19,FALSE)))</f>
        <v>sob 16:00</v>
      </c>
      <c r="M787" s="2" t="str">
        <f>N777</f>
        <v>podwójna chłopców JM</v>
      </c>
      <c r="N787" s="125"/>
      <c r="O787" s="121"/>
      <c r="P787" s="121"/>
      <c r="Q787" s="114"/>
      <c r="R787" s="114"/>
      <c r="S787" s="114"/>
      <c r="T787" s="224" t="str">
        <f>UPPER(IF(O786="","",IF(ISTEXT(N787),N787,IF(AND(N776&gt;0,O786&gt;0),VLOOKUP(N776&amp;O786&amp;N777,I:K,3,FALSE),""))))</f>
        <v>M4225</v>
      </c>
      <c r="U787" s="225"/>
      <c r="V787" s="126" t="str">
        <f>IF(T787&lt;&gt;"",CONCATENATE(VLOOKUP(T787,[2]zawodnicy!$A$1:$E$65536,2,FALSE)," ",VLOOKUP(T787,[2]zawodnicy!$A$1:$E$65536,3,FALSE)," - ",VLOOKUP(T787,[2]zawodnicy!$A$1:$E$65536,4,FALSE)),"")</f>
        <v>Bartosz MARKIEWICZ - MLKS Solec Kuj.</v>
      </c>
      <c r="W787" s="127">
        <v>209</v>
      </c>
      <c r="X787" s="231" t="str">
        <f>IF(ISBLANK(W787),IF(AND(LEN(T787)&gt;0,LEN(T789)=0),VLOOKUP(T787,[2]zawodnicy!$A$1:$E$65536,3,FALSE),IF(AND(LEN(T789)&gt;0,LEN(T787)=0),VLOOKUP(T789,[2]zawodnicy!$A$1:$E$65536,3,FALSE),"")),IF((VLOOKUP(W787,'[2]plan gier'!$X$1:$AF$65536,8,FALSE))="","",VLOOKUP(VLOOKUP(W787,'[2]plan gier'!$X$1:$AF$65536,8,FALSE),[2]zawodnicy!$A$1:$E$65536,3,FALSE)))</f>
        <v>MIRGA</v>
      </c>
      <c r="Y787" s="232"/>
      <c r="Z787" s="232"/>
      <c r="AA787" s="10"/>
      <c r="AB787" s="10"/>
      <c r="AC787" s="117"/>
      <c r="AD787" s="10"/>
      <c r="AE787" s="10"/>
      <c r="AF787" s="10"/>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row>
    <row r="788" spans="1:64" ht="12.75" x14ac:dyDescent="0.2">
      <c r="J788" s="2"/>
      <c r="K788" s="2"/>
      <c r="L788" s="2"/>
      <c r="M788" s="95"/>
      <c r="N788" s="125"/>
      <c r="O788" s="120">
        <f>IF(P788="","",MAX(O778:O787)+1)</f>
        <v>4</v>
      </c>
      <c r="P788" s="121">
        <f>IF(O776&gt;4,24,"")</f>
        <v>24</v>
      </c>
      <c r="Q788" s="113">
        <f>O788</f>
        <v>4</v>
      </c>
      <c r="R788" s="113"/>
      <c r="S788" s="113"/>
      <c r="T788" s="234" t="str">
        <f>UPPER(IF(O788="","",IF(ISTEXT(N788),N788,IF(AND(N776&gt;0,O788&gt;0),VLOOKUP(N776&amp;O788&amp;N777,I:K,2,FALSE),""))))</f>
        <v>M3524</v>
      </c>
      <c r="U788" s="235"/>
      <c r="V788" s="122" t="str">
        <f>IF(T788&lt;&gt;"",CONCATENATE(VLOOKUP(T788,[2]zawodnicy!$A$1:$E$65536,2,FALSE)," ",VLOOKUP(T788,[2]zawodnicy!$A$1:$E$65536,3,FALSE)," - ",VLOOKUP(T788,[2]zawodnicy!$A$1:$E$65536,4,FALSE)),"")</f>
        <v>Dawid MAZUR - LKS Technik Głubczyce</v>
      </c>
      <c r="W788" s="128"/>
      <c r="X788" s="237" t="str">
        <f>IF(ISBLANK(W787),"",IF((VLOOKUP(W787,'[2]plan gier'!$X$1:$AF$65536,7,FALSE))="",L787,VLOOKUP(W787,'[2]plan gier'!$X$1:$AF$65536,9,FALSE)))</f>
        <v>21:11,21:17</v>
      </c>
      <c r="Y788" s="237"/>
      <c r="Z788" s="240"/>
      <c r="AA788" s="229" t="str">
        <f>IF(ISBLANK(Z789),IF(AND(LEN(X786)&gt;0,LEN(X790)=0),X786,IF(AND(LEN(X790)&gt;0,LEN(X786)=0),X790,"")),IF((VLOOKUP(Z789,'[2]plan gier'!$X$1:$AF$65536,7,FALSE))="","",VLOOKUP(VLOOKUP(Z789,'[2]plan gier'!$X$1:$AF$65536,7,FALSE),[2]zawodnicy!$A$1:$E$65536,3,FALSE)))</f>
        <v>MAZUR</v>
      </c>
      <c r="AB788" s="229"/>
      <c r="AC788" s="230"/>
      <c r="AD788" s="10"/>
      <c r="AE788" s="10"/>
      <c r="AF788" s="10"/>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row>
    <row r="789" spans="1:64" ht="13.5" thickBot="1" x14ac:dyDescent="0.25">
      <c r="A789" s="111">
        <f>Z789</f>
        <v>226</v>
      </c>
      <c r="B789" s="2" t="str">
        <f>F787</f>
        <v>M3524</v>
      </c>
      <c r="C789" s="2" t="str">
        <f>G787</f>
        <v>M4193</v>
      </c>
      <c r="D789" s="2" t="str">
        <f>F791</f>
        <v>J2970</v>
      </c>
      <c r="E789" s="2" t="str">
        <f>G791</f>
        <v>J3436</v>
      </c>
      <c r="F789" s="2" t="str">
        <f>IF(A789=0,IF(AND(LEN(B789)&gt;0,LEN(D789)=0),B789,IF(AND(LEN(D789)&gt;0,LEN(B789)=0),D789,"")),IF((VLOOKUP(A789,'[2]plan gier'!$X$1:$AF$65536,7,FALSE))="","",VLOOKUP(VLOOKUP(A789,'[2]plan gier'!$X$1:$AF$65536,7,FALSE),[2]zawodnicy!$A$1:$E$65536,1,FALSE)))</f>
        <v>M3524</v>
      </c>
      <c r="G789" s="2" t="str">
        <f>IF(A789=0,IF(AND(LEN(C789)&gt;0,LEN(E789)=0),C789,IF(AND(LEN(E789)&gt;0,LEN(C789)=0),E789,"")),IF((VLOOKUP(A789,'[2]plan gier'!$X$1:$AF$65536,8,FALSE))="","",VLOOKUP(VLOOKUP(A789,'[2]plan gier'!$X$1:$AF$65536,8,FALSE),[2]zawodnicy!$A$1:$E$65536,1,FALSE)))</f>
        <v>M4193</v>
      </c>
      <c r="H789" s="2" t="str">
        <f>IF(A789=0,"",IF((VLOOKUP(A789,'[2]plan gier'!$X$1:$AF$65536,7,FALSE))="","",VLOOKUP(A789,'[2]plan gier'!$X$1:$AF$65536,9,FALSE)))</f>
        <v>21:19,21:18</v>
      </c>
      <c r="L789" s="124" t="str">
        <f>IF(A789=0,"",IF(VLOOKUP(A789,'[2]plan gier'!A$1:S$65536,19,FALSE)="","",VLOOKUP(A789,'[2]plan gier'!A$1:S$65536,19,FALSE)))</f>
        <v>sob 17:30</v>
      </c>
      <c r="M789" s="2" t="str">
        <f>N777</f>
        <v>podwójna chłopców JM</v>
      </c>
      <c r="N789" s="129"/>
      <c r="O789" s="121"/>
      <c r="P789" s="121"/>
      <c r="Q789" s="114"/>
      <c r="R789" s="114"/>
      <c r="S789" s="114"/>
      <c r="T789" s="238" t="str">
        <f>UPPER(IF(O788="","",IF(ISTEXT(N789),N789,IF(AND(N776&gt;0,O788&gt;0),VLOOKUP(N776&amp;O788&amp;N777,I:K,3,FALSE),""))))</f>
        <v>M4193</v>
      </c>
      <c r="U789" s="239"/>
      <c r="V789" s="130" t="str">
        <f>IF(T789&lt;&gt;"",CONCATENATE(VLOOKUP(T789,[2]zawodnicy!$A$1:$E$65536,2,FALSE)," ",VLOOKUP(T789,[2]zawodnicy!$A$1:$E$65536,3,FALSE)," - ",VLOOKUP(T789,[2]zawodnicy!$A$1:$E$65536,4,FALSE)),"")</f>
        <v>Robert MIRGA - LKS Technik Głubczyce</v>
      </c>
      <c r="W789" s="131"/>
      <c r="X789" s="114"/>
      <c r="Y789" s="10"/>
      <c r="Z789" s="115">
        <v>226</v>
      </c>
      <c r="AA789" s="231" t="str">
        <f>IF(ISBLANK(Z789),IF(AND(LEN(X787)&gt;0,LEN(X791)=0),X787,IF(AND(LEN(X791)&gt;0,LEN(X787)=0),X791,"")),IF((VLOOKUP(Z789,'[2]plan gier'!$X$1:$AF$65536,8,FALSE))="","",VLOOKUP(VLOOKUP(Z789,'[2]plan gier'!$X$1:$AF$65536,8,FALSE),[2]zawodnicy!$A$1:$E$65536,3,FALSE)))</f>
        <v>MIRGA</v>
      </c>
      <c r="AB789" s="232"/>
      <c r="AC789" s="233"/>
      <c r="AD789" s="10"/>
      <c r="AE789" s="10"/>
      <c r="AF789" s="10"/>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row>
    <row r="790" spans="1:64" ht="13.5" thickTop="1" x14ac:dyDescent="0.2">
      <c r="J790" s="2"/>
      <c r="K790" s="2"/>
      <c r="L790" s="2"/>
      <c r="M790" s="95"/>
      <c r="N790" s="132"/>
      <c r="O790" s="120" t="str">
        <f>IF(P790="","",MAX(O778:O789)+1)</f>
        <v/>
      </c>
      <c r="P790" s="121" t="str">
        <f>IF(O776&gt;6,28,"")</f>
        <v/>
      </c>
      <c r="Q790" s="113" t="str">
        <f>O790</f>
        <v/>
      </c>
      <c r="R790" s="113"/>
      <c r="S790" s="113"/>
      <c r="T790" s="226" t="str">
        <f>UPPER(IF(O790="","",IF(ISTEXT(N790),N790,IF(AND(N776&gt;0,O790&gt;0),VLOOKUP(N776&amp;O790&amp;N777,I:K,2,FALSE),""))))</f>
        <v/>
      </c>
      <c r="U790" s="227"/>
      <c r="V790" s="133" t="str">
        <f>IF(T790&lt;&gt;"",CONCATENATE(VLOOKUP(T790,[2]zawodnicy!$A$1:$E$65536,2,FALSE)," ",VLOOKUP(T790,[2]zawodnicy!$A$1:$E$65536,3,FALSE)," - ",VLOOKUP(T790,[2]zawodnicy!$A$1:$E$65536,4,FALSE)),"")</f>
        <v/>
      </c>
      <c r="W790" s="134"/>
      <c r="X790" s="228" t="str">
        <f>IF(ISBLANK(W791),IF(AND(LEN(T790)&gt;0,LEN(T792)=0),VLOOKUP(T790,[2]zawodnicy!$A$1:$E$65536,3,FALSE),IF(AND(LEN(T792)&gt;0,LEN(T790)=0),VLOOKUP(T792,[2]zawodnicy!$A$1:$E$65536,3,FALSE),"")),IF((VLOOKUP(W791,'[2]plan gier'!$X$1:$AF$65536,7,FALSE))="","",VLOOKUP(VLOOKUP(W791,'[2]plan gier'!$X$1:$AF$65536,7,FALSE),[2]zawodnicy!$A$1:$E$65536,3,FALSE)))</f>
        <v>JABŁOŃSKI</v>
      </c>
      <c r="Y790" s="229"/>
      <c r="Z790" s="230"/>
      <c r="AA790" s="229" t="str">
        <f>IF(ISBLANK(Z789),"",IF((VLOOKUP(Z789,'[2]plan gier'!$X$1:$AF$65536,7,FALSE))="",L789,VLOOKUP(Z789,'[2]plan gier'!$X$1:$AF$65536,9,FALSE)))</f>
        <v>21:19,21:18</v>
      </c>
      <c r="AB790" s="229"/>
      <c r="AC790" s="229"/>
      <c r="AD790" s="114"/>
      <c r="AE790" s="114"/>
      <c r="AF790" s="114"/>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row>
    <row r="791" spans="1:64" ht="12.75" x14ac:dyDescent="0.2">
      <c r="A791" s="102">
        <f>W791</f>
        <v>0</v>
      </c>
      <c r="B791" s="2" t="str">
        <f>IF(TYPE(T790)=16,"",T790)</f>
        <v/>
      </c>
      <c r="C791" s="2" t="str">
        <f>IF(TYPE(T791)=16,"",T791)</f>
        <v/>
      </c>
      <c r="D791" s="2" t="str">
        <f>IF(TYPE(T792)=16,"",T792)</f>
        <v>J2970</v>
      </c>
      <c r="E791" s="2" t="str">
        <f>IF(TYPE(T793)=16,"",T793)</f>
        <v>J3436</v>
      </c>
      <c r="F791" s="2" t="str">
        <f>IF(A791=0,IF(AND(LEN(B791)&gt;1,LEN(D791)=0),VLOOKUP(B791,[2]zawodnicy!$A$1:$E$65536,1,FALSE),IF(AND(LEN(D791)&gt;1,LEN(B791)=0),VLOOKUP(D791,[2]zawodnicy!$A$1:$E$65536,1,FALSE),"")),IF((VLOOKUP(A791,'[2]plan gier'!$X$1:$AF$65536,7,FALSE))="","",VLOOKUP(VLOOKUP(A791,'[2]plan gier'!$X$1:$AF$65536,7,FALSE),[2]zawodnicy!$A$1:$E$65536,1,FALSE)))</f>
        <v>J2970</v>
      </c>
      <c r="G791" s="2" t="str">
        <f>IF(A791=0,IF(AND(LEN(C791)&gt;1,LEN(E791)=0),VLOOKUP(C791,[2]zawodnicy!$A$1:$E$65536,1,FALSE),IF(AND(LEN(E791)&gt;1,LEN(C791)=0),VLOOKUP(E791,[2]zawodnicy!$A$1:$E$65536,1,FALSE),"")),IF((VLOOKUP(A791,'[2]plan gier'!$X$1:$AF$65536,8,FALSE))="","",VLOOKUP(VLOOKUP(A791,'[2]plan gier'!$X$1:$AF$65536,8,FALSE),[2]zawodnicy!$A$1:$E$65536,1,FALSE)))</f>
        <v>J3436</v>
      </c>
      <c r="H791" s="2" t="str">
        <f>IF(A791=0,"",IF((VLOOKUP(A791,'[2]plan gier'!$X$1:$AF$65536,7,FALSE))="","",VLOOKUP(A791,'[2]plan gier'!$X$1:$AF$65536,9,FALSE)))</f>
        <v/>
      </c>
      <c r="L791" s="124" t="str">
        <f>IF(A791=0,"",IF(VLOOKUP(A791,'[2]plan gier'!A$1:S$65536,19,FALSE)="","",VLOOKUP(A791,'[2]plan gier'!A$1:S$65536,19,FALSE)))</f>
        <v/>
      </c>
      <c r="M791" s="2" t="str">
        <f>N777</f>
        <v>podwójna chłopców JM</v>
      </c>
      <c r="N791" s="125"/>
      <c r="O791" s="121"/>
      <c r="P791" s="121"/>
      <c r="Q791" s="114"/>
      <c r="R791" s="114"/>
      <c r="S791" s="114"/>
      <c r="T791" s="224" t="str">
        <f>UPPER(IF(O790="","",IF(ISTEXT(N791),N791,IF(AND(N776&gt;0,O790&gt;0),VLOOKUP(N776&amp;O790&amp;N777,I:K,3,FALSE),""))))</f>
        <v/>
      </c>
      <c r="U791" s="225"/>
      <c r="V791" s="126" t="str">
        <f>IF(T791&lt;&gt;"",CONCATENATE(VLOOKUP(T791,[2]zawodnicy!$A$1:$E$65536,2,FALSE)," ",VLOOKUP(T791,[2]zawodnicy!$A$1:$E$65536,3,FALSE)," - ",VLOOKUP(T791,[2]zawodnicy!$A$1:$E$65536,4,FALSE)),"")</f>
        <v/>
      </c>
      <c r="W791" s="127"/>
      <c r="X791" s="231" t="str">
        <f>IF(ISBLANK(W791),IF(AND(LEN(T791)&gt;0,LEN(T793)=0),VLOOKUP(T791,[2]zawodnicy!$A$1:$E$65536,3,FALSE),IF(AND(LEN(T793)&gt;0,LEN(T791)=0),VLOOKUP(T793,[2]zawodnicy!$A$1:$E$65536,3,FALSE),"")),IF((VLOOKUP(W791,'[2]plan gier'!$X$1:$AF$65536,8,FALSE))="","",VLOOKUP(VLOOKUP(W791,'[2]plan gier'!$X$1:$AF$65536,8,FALSE),[2]zawodnicy!$A$1:$E$65536,3,FALSE)))</f>
        <v>JAS</v>
      </c>
      <c r="Y791" s="232"/>
      <c r="Z791" s="233"/>
      <c r="AA791" s="2"/>
      <c r="AB791" s="2"/>
      <c r="AC791" s="2"/>
      <c r="AD791" s="10"/>
      <c r="AE791" s="10"/>
      <c r="AF791" s="10"/>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row>
    <row r="792" spans="1:64" ht="12.75" x14ac:dyDescent="0.2">
      <c r="J792" s="2"/>
      <c r="K792" s="2"/>
      <c r="L792" s="2"/>
      <c r="M792" s="95"/>
      <c r="N792" s="125"/>
      <c r="O792" s="120">
        <f>IF(P792="","",MAX(O778:O791)+1)</f>
        <v>5</v>
      </c>
      <c r="P792" s="121">
        <f>IF(O776&gt;4,32,"")</f>
        <v>32</v>
      </c>
      <c r="Q792" s="113">
        <f>O792</f>
        <v>5</v>
      </c>
      <c r="R792" s="113"/>
      <c r="S792" s="113"/>
      <c r="T792" s="234" t="str">
        <f>UPPER(IF(O792="","",IF(ISTEXT(N792),N792,IF(AND(N776&gt;0,O792&gt;0),VLOOKUP(N776&amp;O792&amp;N777,I:K,2,FALSE),""))))</f>
        <v>J2970</v>
      </c>
      <c r="U792" s="235"/>
      <c r="V792" s="122" t="str">
        <f>IF(T792&lt;&gt;"",CONCATENATE(VLOOKUP(T792,[2]zawodnicy!$A$1:$E$65536,2,FALSE)," ",VLOOKUP(T792,[2]zawodnicy!$A$1:$E$65536,3,FALSE)," - ",VLOOKUP(T792,[2]zawodnicy!$A$1:$E$65536,4,FALSE)),"")</f>
        <v>Aleksander JABŁOŃSKI - UKS Hubal Białystok</v>
      </c>
      <c r="W792" s="128"/>
      <c r="X792" s="236" t="str">
        <f>IF(ISBLANK(W791),"",IF((VLOOKUP(W791,'[2]plan gier'!$X$1:$AF$65536,7,FALSE))="",L791,VLOOKUP(W791,'[2]plan gier'!$X$1:$AF$65536,9,FALSE)))</f>
        <v/>
      </c>
      <c r="Y792" s="237"/>
      <c r="Z792" s="237"/>
      <c r="AA792" s="2"/>
      <c r="AB792" s="2"/>
      <c r="AC792" s="114"/>
      <c r="AD792" s="114"/>
      <c r="AE792" s="114"/>
      <c r="AF792" s="114"/>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row>
    <row r="793" spans="1:64" ht="12.75" x14ac:dyDescent="0.2">
      <c r="A793" s="135"/>
      <c r="B793" s="16"/>
      <c r="C793" s="16"/>
      <c r="D793" s="16"/>
      <c r="E793" s="16"/>
      <c r="F793" s="16"/>
      <c r="G793" s="16"/>
      <c r="H793" s="16"/>
      <c r="I793" s="16"/>
      <c r="M793" s="16"/>
      <c r="N793" s="125"/>
      <c r="O793" s="121"/>
      <c r="P793" s="121"/>
      <c r="Q793" s="114"/>
      <c r="R793" s="114"/>
      <c r="S793" s="114"/>
      <c r="T793" s="224" t="str">
        <f>UPPER(IF(O792="","",IF(ISTEXT(N793),N793,IF(AND(N776&gt;0,O792&gt;0),VLOOKUP(N776&amp;O792&amp;N777,I:K,3,FALSE),""))))</f>
        <v>J3436</v>
      </c>
      <c r="U793" s="225"/>
      <c r="V793" s="126" t="str">
        <f>IF(T793&lt;&gt;"",CONCATENATE(VLOOKUP(T793,[2]zawodnicy!$A$1:$E$65536,2,FALSE)," ",VLOOKUP(T793,[2]zawodnicy!$A$1:$E$65536,3,FALSE)," - ",VLOOKUP(T793,[2]zawodnicy!$A$1:$E$65536,4,FALSE)),"")</f>
        <v>Patryk JAS - UKS Kometa Sianów</v>
      </c>
      <c r="W793" s="136"/>
      <c r="X793" s="10"/>
      <c r="Y793" s="10"/>
      <c r="Z793" s="10"/>
      <c r="AA793" s="2"/>
      <c r="AB793" s="2"/>
      <c r="AC793" s="137"/>
      <c r="AD793" s="114"/>
      <c r="AE793" s="114"/>
      <c r="AF793" s="114"/>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row>
    <row r="795" spans="1:64" ht="11.45" customHeight="1" x14ac:dyDescent="0.2">
      <c r="M795" s="16"/>
      <c r="N795" s="17" t="s">
        <v>152</v>
      </c>
      <c r="R795" s="18"/>
      <c r="S795" s="18"/>
      <c r="T795" s="277" t="str">
        <f>"Gra "&amp;N795</f>
        <v>Gra mieszana JM</v>
      </c>
      <c r="U795" s="277"/>
      <c r="V795" s="277"/>
      <c r="W795" s="277"/>
      <c r="X795" s="277"/>
      <c r="Y795" s="277"/>
      <c r="Z795" s="277"/>
      <c r="AA795" s="277"/>
      <c r="AB795" s="277"/>
      <c r="AC795" s="277"/>
      <c r="AD795" s="277"/>
      <c r="AE795" s="18"/>
    </row>
    <row r="796" spans="1:64" ht="11.45" customHeight="1" thickBot="1" x14ac:dyDescent="0.25"/>
    <row r="797" spans="1:64" ht="11.45" customHeight="1" thickBot="1" x14ac:dyDescent="0.25">
      <c r="B797" s="2" t="s">
        <v>63</v>
      </c>
      <c r="N797" s="138"/>
      <c r="O797" s="21">
        <v>1</v>
      </c>
      <c r="Q797" s="277" t="str">
        <f>"Grupa "&amp;O797&amp;"."</f>
        <v>Grupa 1.</v>
      </c>
      <c r="R797" s="277"/>
      <c r="S797" s="277"/>
      <c r="T797" s="22" t="s">
        <v>1</v>
      </c>
      <c r="U797" s="278" t="s">
        <v>2</v>
      </c>
      <c r="V797" s="279"/>
      <c r="W797" s="280"/>
      <c r="X797" s="22">
        <v>1</v>
      </c>
      <c r="Y797" s="139">
        <v>2</v>
      </c>
      <c r="Z797" s="23">
        <v>3</v>
      </c>
      <c r="AA797" s="140">
        <v>4</v>
      </c>
      <c r="AB797" s="141" t="s">
        <v>3</v>
      </c>
      <c r="AC797" s="142" t="s">
        <v>4</v>
      </c>
      <c r="AD797" s="26" t="s">
        <v>5</v>
      </c>
      <c r="AE797" s="143" t="s">
        <v>6</v>
      </c>
      <c r="AF797" s="12"/>
      <c r="AG797" s="12"/>
      <c r="AI797" s="273" t="s">
        <v>9</v>
      </c>
      <c r="AJ797" s="273"/>
      <c r="AK797" s="273"/>
      <c r="AL797" s="273"/>
      <c r="AM797" s="273"/>
      <c r="AN797" s="273"/>
      <c r="AO797" s="273" t="s">
        <v>10</v>
      </c>
      <c r="AP797" s="273"/>
      <c r="AQ797" s="273"/>
      <c r="AR797" s="273"/>
      <c r="AS797" s="273"/>
      <c r="AT797" s="273"/>
      <c r="BK797" s="19"/>
      <c r="BL797" s="20"/>
    </row>
    <row r="798" spans="1:64" ht="11.45" customHeight="1" x14ac:dyDescent="0.2">
      <c r="N798" s="29" t="s">
        <v>152</v>
      </c>
      <c r="Q798" s="274" t="s">
        <v>7</v>
      </c>
      <c r="R798" s="274"/>
      <c r="S798" s="275" t="s">
        <v>8</v>
      </c>
      <c r="T798" s="242">
        <v>1</v>
      </c>
      <c r="U798" s="244" t="str">
        <f>IF(AND(N799&lt;&gt;"",N800&lt;&gt;""),CONCATENATE(VLOOKUP(N799,[2]zawodnicy!$A$1:$E$65536,1,FALSE)," ",VLOOKUP(N799,[2]zawodnicy!$A$1:$E$65536,2,FALSE)," ",VLOOKUP(N799,[2]zawodnicy!$A$1:$E$65536,3,FALSE)," - ",VLOOKUP(N799,[2]zawodnicy!$A$1:$E$65536,4,FALSE)),"")</f>
        <v>J3436 Patryk JAS - UKS Kometa Sianów</v>
      </c>
      <c r="V798" s="245"/>
      <c r="W798" s="246"/>
      <c r="X798" s="35"/>
      <c r="Y798" s="36" t="str">
        <f>IF(SUM(AO806:AP806)=0,"",AO806&amp;":"&amp;AP806)</f>
        <v>21:9</v>
      </c>
      <c r="Z798" s="36" t="str">
        <f>IF(SUM(AO801:AP801)=0,"",AO801&amp;":"&amp;AP801)</f>
        <v>22:20</v>
      </c>
      <c r="AA798" s="144" t="str">
        <f>IF(SUM(AO803:AP803)=0,"",AO803&amp;":"&amp;AP803)</f>
        <v>15:21</v>
      </c>
      <c r="AB798" s="242" t="str">
        <f>IF(SUM(AY801:BD801)=0,"",BE801&amp;":"&amp;BF801)</f>
        <v>117:99</v>
      </c>
      <c r="AC798" s="251" t="str">
        <f>IF(SUM(AY801:BD801)=0,"",BG801&amp;":"&amp;BH801)</f>
        <v>4:2</v>
      </c>
      <c r="AD798" s="251" t="str">
        <f>IF(SUM(AY801:BD801)=0,"",BI801&amp;":"&amp;BJ801)</f>
        <v>2:1</v>
      </c>
      <c r="AE798" s="254">
        <f>IF(SUM(BI801:BI804)&gt;0,BK801,"")</f>
        <v>2</v>
      </c>
      <c r="AF798" s="12"/>
      <c r="AG798" s="12"/>
      <c r="BK798" s="19"/>
      <c r="BL798" s="20"/>
    </row>
    <row r="799" spans="1:64" ht="11.45" customHeight="1" thickBot="1" x14ac:dyDescent="0.25">
      <c r="H799" s="10"/>
      <c r="I799" s="2" t="str">
        <f>"1"&amp;O797&amp;N798</f>
        <v>11mieszana JM</v>
      </c>
      <c r="J799" s="10" t="str">
        <f>IF(AE798="","",IF(AE798=1,N799,IF(AE801=1,N802,IF(AE804=1,N805,IF(AE807=1,N808,"")))))</f>
        <v>M3524</v>
      </c>
      <c r="K799" s="10" t="str">
        <f>IF(AE798="","",IF(AE798=1,N800,IF(AE801=1,N803,IF(AE804=1,N806,IF(AE807=1,N809,"")))))</f>
        <v>S3617</v>
      </c>
      <c r="L799" s="10"/>
      <c r="N799" s="33" t="s">
        <v>121</v>
      </c>
      <c r="O799" s="34">
        <f>IF(O797&gt;0,(O797&amp;1)*1,"")</f>
        <v>11</v>
      </c>
      <c r="Q799" s="274"/>
      <c r="R799" s="274"/>
      <c r="S799" s="275"/>
      <c r="T799" s="242"/>
      <c r="U799" s="244" t="str">
        <f>IF(AND(N799&lt;&gt;"",N800=""),CONCATENATE(VLOOKUP(N799,[2]zawodnicy!$A$1:$E$65536,1,FALSE)," ",VLOOKUP(N799,[2]zawodnicy!$A$1:$E$65536,2,FALSE)," ",VLOOKUP(N799,[2]zawodnicy!$A$1:$E$65536,3,FALSE)," - ",VLOOKUP(N799,[2]zawodnicy!$A$1:$E$65536,4,FALSE)),"")</f>
        <v/>
      </c>
      <c r="V799" s="245"/>
      <c r="W799" s="246"/>
      <c r="X799" s="35"/>
      <c r="Y799" s="36" t="str">
        <f>IF(SUM(AQ806:AR806)=0,"",AQ806&amp;":"&amp;AR806)</f>
        <v>21:13</v>
      </c>
      <c r="Z799" s="36" t="str">
        <f>IF(SUM(AQ801:AR801)=0,"",AQ801&amp;":"&amp;AR801)</f>
        <v>21:15</v>
      </c>
      <c r="AA799" s="144" t="str">
        <f>IF(SUM(AQ803:AR803)=0,"",AQ803&amp;":"&amp;AR803)</f>
        <v>17:21</v>
      </c>
      <c r="AB799" s="242"/>
      <c r="AC799" s="251"/>
      <c r="AD799" s="251"/>
      <c r="AE799" s="254"/>
      <c r="AF799" s="12"/>
      <c r="AG799" s="12"/>
      <c r="BK799" s="19"/>
      <c r="BL799" s="20"/>
    </row>
    <row r="800" spans="1:64" ht="11.45" customHeight="1" thickBot="1" x14ac:dyDescent="0.25">
      <c r="J800" s="10"/>
      <c r="K800" s="28"/>
      <c r="L800" s="28"/>
      <c r="N800" s="38" t="s">
        <v>102</v>
      </c>
      <c r="O800" s="28"/>
      <c r="P800" s="28"/>
      <c r="Q800" s="274"/>
      <c r="R800" s="274"/>
      <c r="S800" s="275"/>
      <c r="T800" s="261"/>
      <c r="U800" s="265" t="str">
        <f>IF(N800&lt;&gt;"",CONCATENATE(VLOOKUP(N800,[2]zawodnicy!$A$1:$E$65536,1,FALSE)," ",VLOOKUP(N800,[2]zawodnicy!$A$1:$E$65536,2,FALSE)," ",VLOOKUP(N800,[2]zawodnicy!$A$1:$E$65536,3,FALSE)," - ",VLOOKUP(N800,[2]zawodnicy!$A$1:$E$65536,4,FALSE)),"")</f>
        <v>K3437 Kornelia KOWALCZYK - UKS Kometa Sianów</v>
      </c>
      <c r="V800" s="266"/>
      <c r="W800" s="267"/>
      <c r="X800" s="35"/>
      <c r="Y800" s="39" t="str">
        <f>IF(SUM(AS806:AT806)=0,"",AS806&amp;":"&amp;AT806)</f>
        <v/>
      </c>
      <c r="Z800" s="39" t="str">
        <f>IF(SUM(AS801:AT801)=0,"",AS801&amp;":"&amp;AT801)</f>
        <v/>
      </c>
      <c r="AA800" s="145" t="str">
        <f>IF(SUM(AS803:AT803)=0,"",AS803&amp;":"&amp;AT803)</f>
        <v/>
      </c>
      <c r="AB800" s="242"/>
      <c r="AC800" s="251"/>
      <c r="AD800" s="251"/>
      <c r="AE800" s="254"/>
      <c r="AF800" s="12"/>
      <c r="AG800" s="12"/>
      <c r="AI800" s="283" t="s">
        <v>12</v>
      </c>
      <c r="AJ800" s="281"/>
      <c r="AK800" s="281" t="s">
        <v>13</v>
      </c>
      <c r="AL800" s="281"/>
      <c r="AM800" s="281" t="s">
        <v>14</v>
      </c>
      <c r="AN800" s="281"/>
      <c r="AO800" s="283" t="s">
        <v>12</v>
      </c>
      <c r="AP800" s="281"/>
      <c r="AQ800" s="281" t="s">
        <v>13</v>
      </c>
      <c r="AR800" s="281"/>
      <c r="AS800" s="281" t="s">
        <v>14</v>
      </c>
      <c r="AT800" s="282"/>
      <c r="AW800" s="283">
        <v>1</v>
      </c>
      <c r="AX800" s="281"/>
      <c r="AY800" s="281">
        <v>2</v>
      </c>
      <c r="AZ800" s="281"/>
      <c r="BA800" s="281">
        <v>3</v>
      </c>
      <c r="BB800" s="281"/>
      <c r="BC800" s="281">
        <v>4</v>
      </c>
      <c r="BD800" s="282"/>
      <c r="BE800" s="283" t="s">
        <v>3</v>
      </c>
      <c r="BF800" s="282"/>
      <c r="BG800" s="283" t="s">
        <v>4</v>
      </c>
      <c r="BH800" s="282"/>
      <c r="BI800" s="283" t="s">
        <v>5</v>
      </c>
      <c r="BJ800" s="268"/>
      <c r="BK800" s="41" t="s">
        <v>6</v>
      </c>
      <c r="BL800" s="20"/>
    </row>
    <row r="801" spans="1:64" ht="11.45" customHeight="1" x14ac:dyDescent="0.2">
      <c r="A801" s="19">
        <f t="shared" ref="A801:A806" si="68">S801</f>
        <v>1</v>
      </c>
      <c r="B801" s="19" t="str">
        <f>IF(N799="","",N799)</f>
        <v>J3436</v>
      </c>
      <c r="C801" s="19" t="str">
        <f>IF(N800="","",N800)</f>
        <v>K3437</v>
      </c>
      <c r="D801" s="19" t="str">
        <f>IF(N805="","",N805)</f>
        <v>R3535</v>
      </c>
      <c r="E801" s="19" t="str">
        <f>IF(N806="","",N806)</f>
        <v>X28</v>
      </c>
      <c r="H801" s="10"/>
      <c r="I801" s="2" t="str">
        <f>"2"&amp;O797&amp;N798</f>
        <v>21mieszana JM</v>
      </c>
      <c r="J801" s="10" t="str">
        <f>IF(AE801="","",IF(AE798=2,N799,IF(AE801=2,N802,IF(AE804=2,N805,IF(AE807=2,N808,"")))))</f>
        <v>J3436</v>
      </c>
      <c r="K801" s="10" t="str">
        <f>IF(AE801="","",IF(AE798=2,N800,IF(AE801=2,N803,IF(AE804=2,N806,IF(AE807=2,N809,"")))))</f>
        <v>K3437</v>
      </c>
      <c r="L801" s="10"/>
      <c r="M801" s="42" t="str">
        <f>N798</f>
        <v>mieszana JM</v>
      </c>
      <c r="O801" s="28"/>
      <c r="P801" s="28"/>
      <c r="Q801" s="43" t="str">
        <f>IF(AU801&gt;0,"",IF(A801=0,"",IF(VLOOKUP(A801,'[2]plan gier'!A$1:S$65536,19,FALSE)="","",VLOOKUP(A801,'[2]plan gier'!A$1:S$65536,19,FALSE))))</f>
        <v/>
      </c>
      <c r="R801" s="44" t="s">
        <v>15</v>
      </c>
      <c r="S801" s="146">
        <v>1</v>
      </c>
      <c r="T801" s="241">
        <v>2</v>
      </c>
      <c r="U801" s="244" t="str">
        <f>IF(AND(N802&lt;&gt;"",N803&lt;&gt;""),CONCATENATE(VLOOKUP(N802,[2]zawodnicy!$A$1:$E$65536,1,FALSE)," ",VLOOKUP(N802,[2]zawodnicy!$A$1:$E$65536,2,FALSE)," ",VLOOKUP(N802,[2]zawodnicy!$A$1:$E$65536,3,FALSE)," - ",VLOOKUP(N802,[2]zawodnicy!$A$1:$E$65536,4,FALSE)),"")</f>
        <v>B4388 Adrian BONDAROW - SKB Suwałki</v>
      </c>
      <c r="V801" s="245"/>
      <c r="W801" s="246"/>
      <c r="X801" s="46" t="str">
        <f>IF(SUM(AO806:AP806)=0,"",AP806&amp;":"&amp;AO806)</f>
        <v>9:21</v>
      </c>
      <c r="Y801" s="147"/>
      <c r="Z801" s="83" t="str">
        <f>IF(SUM(AO804:AP804)=0,"",AO804&amp;":"&amp;AP804)</f>
        <v>16:21</v>
      </c>
      <c r="AA801" s="48" t="str">
        <f>IF(SUM(AO802:AP802)=0,"",AO802&amp;":"&amp;AP802)</f>
        <v>18:21</v>
      </c>
      <c r="AB801" s="241" t="str">
        <f>IF(SUM(AW802:AX802,BA802:BD802)=0,"",BE802&amp;":"&amp;BF802)</f>
        <v>76:126</v>
      </c>
      <c r="AC801" s="250" t="str">
        <f>IF(SUM(AW802:AX802,BA802:BD802)=0,"",BG802&amp;":"&amp;BH802)</f>
        <v>0:6</v>
      </c>
      <c r="AD801" s="250" t="str">
        <f>IF(SUM(AW802:AX802,BA802:BD802)=0,"",BI802&amp;":"&amp;BJ802)</f>
        <v>0:3</v>
      </c>
      <c r="AE801" s="253">
        <f>IF(SUM(BI801:BI804)&gt;0,BK802,"")</f>
        <v>4</v>
      </c>
      <c r="AF801" s="12"/>
      <c r="AG801" s="12"/>
      <c r="AH801" s="44" t="s">
        <v>15</v>
      </c>
      <c r="AI801" s="148">
        <f>IF(ISBLANK(S801),"",VLOOKUP(S801,'[2]plan gier'!$X$1:$AN$65536,12,FALSE))</f>
        <v>22</v>
      </c>
      <c r="AJ801" s="52">
        <f>IF(ISBLANK(S801),"",VLOOKUP(S801,'[2]plan gier'!$X$1:$AN$65536,13,FALSE))</f>
        <v>20</v>
      </c>
      <c r="AK801" s="52">
        <f>IF(ISBLANK(S801),"",VLOOKUP(S801,'[2]plan gier'!$X$1:$AN$65536,14,FALSE))</f>
        <v>21</v>
      </c>
      <c r="AL801" s="52">
        <f>IF(ISBLANK(S801),"",VLOOKUP(S801,'[2]plan gier'!$X$1:$AN$65536,15,FALSE))</f>
        <v>15</v>
      </c>
      <c r="AM801" s="52">
        <f>IF(ISBLANK(S801),"",VLOOKUP(S801,'[2]plan gier'!$X$1:$AN$65536,16,FALSE))</f>
        <v>0</v>
      </c>
      <c r="AN801" s="52">
        <f>IF(ISBLANK(S801),"",VLOOKUP(S801,'[2]plan gier'!$X$1:$AN$65536,17,FALSE))</f>
        <v>0</v>
      </c>
      <c r="AO801" s="49">
        <f t="shared" ref="AO801:AT806" si="69">IF(AI801="",0,AI801)</f>
        <v>22</v>
      </c>
      <c r="AP801" s="50">
        <f t="shared" si="69"/>
        <v>20</v>
      </c>
      <c r="AQ801" s="50">
        <f t="shared" si="69"/>
        <v>21</v>
      </c>
      <c r="AR801" s="50">
        <f t="shared" si="69"/>
        <v>15</v>
      </c>
      <c r="AS801" s="50">
        <f t="shared" si="69"/>
        <v>0</v>
      </c>
      <c r="AT801" s="57">
        <f t="shared" si="69"/>
        <v>0</v>
      </c>
      <c r="AU801" s="149">
        <f t="shared" ref="AU801:AU806" si="70">SUM(AO801:AT801)</f>
        <v>78</v>
      </c>
      <c r="AV801" s="5">
        <v>1</v>
      </c>
      <c r="AW801" s="284"/>
      <c r="AX801" s="285"/>
      <c r="AY801" s="50">
        <f>IF(AI806&gt;AJ806,1,0)+IF(AK806&gt;AL806,1,0)+IF(AM806&gt;AN806,1,0)</f>
        <v>2</v>
      </c>
      <c r="AZ801" s="50">
        <f>AW802</f>
        <v>0</v>
      </c>
      <c r="BA801" s="50">
        <f>IF(AI801&gt;AJ801,1,0)+IF(AK801&gt;AL801,1,0)+IF(AM801&gt;AN801,1,0)</f>
        <v>2</v>
      </c>
      <c r="BB801" s="52">
        <f>AW803</f>
        <v>0</v>
      </c>
      <c r="BC801" s="150">
        <f>IF(AI803&gt;AJ803,1,0)+IF(AK803&gt;AL803,1,0)+IF(AM803&gt;AN803,1,0)</f>
        <v>0</v>
      </c>
      <c r="BD801" s="58">
        <f>AW804</f>
        <v>2</v>
      </c>
      <c r="BE801" s="148">
        <f>AO801+AQ801+AS801+AO803+AQ803+AS803+AO806+AQ806+AS806</f>
        <v>117</v>
      </c>
      <c r="BF801" s="151">
        <f>AP801+AR801+AT801+AP803+AR803+AT803+AP806+AR806+AT806</f>
        <v>99</v>
      </c>
      <c r="BG801" s="148">
        <f>AY801+BA801+BC801</f>
        <v>4</v>
      </c>
      <c r="BH801" s="152">
        <f>AZ801+BB801+BD801</f>
        <v>2</v>
      </c>
      <c r="BI801" s="148">
        <f>IF(AY801&gt;AZ801,1,0)+IF(BA801&gt;BB801,1,0)+IF(BC801&gt;BD801,1,0)</f>
        <v>2</v>
      </c>
      <c r="BJ801" s="152">
        <f>IF(AZ801&gt;AY801,1,0)+IF(BB801&gt;BA801,1,0)+IF(BD801&gt;BC801,1,0)</f>
        <v>1</v>
      </c>
      <c r="BK801" s="153">
        <f>IF(BI801+BJ801=0,"",IF(BL801=MAX(BL801:BL804),1,IF(BL801=LARGE(BL801:BL804,2),2,IF(BL801=MIN(BL801:BL804),4,3))))</f>
        <v>2</v>
      </c>
      <c r="BL801" s="60">
        <f>IF(BI801+BJ801&lt;&gt;0,BI801+1+(BG801-BH801)/100+(BE801-BF801)/100000+(BE801/BF801)/1000000,0)</f>
        <v>3.0201811818181818</v>
      </c>
    </row>
    <row r="802" spans="1:64" ht="11.45" customHeight="1" x14ac:dyDescent="0.2">
      <c r="A802" s="19">
        <f t="shared" si="68"/>
        <v>2</v>
      </c>
      <c r="B802" s="19" t="str">
        <f>IF(N802="","",N802)</f>
        <v>B4388</v>
      </c>
      <c r="C802" s="19" t="str">
        <f>IF(N803="","",N803)</f>
        <v>B4184</v>
      </c>
      <c r="D802" s="19" t="str">
        <f>IF(N808="","",N808)</f>
        <v>M3524</v>
      </c>
      <c r="E802" s="19" t="str">
        <f>IF(N809="","",N809)</f>
        <v>S3617</v>
      </c>
      <c r="J802" s="10"/>
      <c r="K802" s="19"/>
      <c r="L802" s="19"/>
      <c r="M802" s="42" t="str">
        <f>N798</f>
        <v>mieszana JM</v>
      </c>
      <c r="N802" s="33" t="s">
        <v>135</v>
      </c>
      <c r="O802" s="34">
        <f>IF(O797&gt;0,(O797&amp;2)*1,"")</f>
        <v>12</v>
      </c>
      <c r="Q802" s="43" t="str">
        <f>IF(AU802&gt;0,"",IF(A802=0,"",IF(VLOOKUP(A802,'[2]plan gier'!A$1:S$65536,19,FALSE)="","",VLOOKUP(A802,'[2]plan gier'!A$1:S$65536,19,FALSE))))</f>
        <v/>
      </c>
      <c r="R802" s="44" t="s">
        <v>66</v>
      </c>
      <c r="S802" s="146">
        <v>2</v>
      </c>
      <c r="T802" s="242"/>
      <c r="U802" s="244" t="str">
        <f>IF(AND(N802&lt;&gt;"",N803=""),CONCATENATE(VLOOKUP(N802,[2]zawodnicy!$A$1:$E$65536,1,FALSE)," ",VLOOKUP(N802,[2]zawodnicy!$A$1:$E$65536,2,FALSE)," ",VLOOKUP(N802,[2]zawodnicy!$A$1:$E$65536,3,FALSE)," - ",VLOOKUP(N802,[2]zawodnicy!$A$1:$E$65536,4,FALSE)),"")</f>
        <v/>
      </c>
      <c r="V802" s="245"/>
      <c r="W802" s="246"/>
      <c r="X802" s="61" t="str">
        <f>IF(SUM(AQ806:AR806)=0,"",AR806&amp;":"&amp;AQ806)</f>
        <v>13:21</v>
      </c>
      <c r="Y802" s="154"/>
      <c r="Z802" s="36" t="str">
        <f>IF(SUM(AQ804:AR804)=0,"",AQ804&amp;":"&amp;AR804)</f>
        <v>9:21</v>
      </c>
      <c r="AA802" s="37" t="str">
        <f>IF(SUM(AQ802:AR802)=0,"",AQ802&amp;":"&amp;AR802)</f>
        <v>11:21</v>
      </c>
      <c r="AB802" s="242"/>
      <c r="AC802" s="251"/>
      <c r="AD802" s="251"/>
      <c r="AE802" s="254"/>
      <c r="AF802" s="12"/>
      <c r="AG802" s="12"/>
      <c r="AH802" s="44" t="s">
        <v>66</v>
      </c>
      <c r="AI802" s="49">
        <f>IF(ISBLANK(S802),"",VLOOKUP(S802,'[2]plan gier'!$X$1:$AN$65536,12,FALSE))</f>
        <v>18</v>
      </c>
      <c r="AJ802" s="50">
        <f>IF(ISBLANK(S802),"",VLOOKUP(S802,'[2]plan gier'!$X$1:$AN$65536,13,FALSE))</f>
        <v>21</v>
      </c>
      <c r="AK802" s="50">
        <f>IF(ISBLANK(S802),"",VLOOKUP(S802,'[2]plan gier'!$X$1:$AN$65536,14,FALSE))</f>
        <v>11</v>
      </c>
      <c r="AL802" s="50">
        <f>IF(ISBLANK(S802),"",VLOOKUP(S802,'[2]plan gier'!$X$1:$AN$65536,15,FALSE))</f>
        <v>21</v>
      </c>
      <c r="AM802" s="50">
        <f>IF(ISBLANK(S802),"",VLOOKUP(S802,'[2]plan gier'!$X$1:$AN$65536,16,FALSE))</f>
        <v>0</v>
      </c>
      <c r="AN802" s="50">
        <f>IF(ISBLANK(S802),"",VLOOKUP(S802,'[2]plan gier'!$X$1:$AN$65536,17,FALSE))</f>
        <v>0</v>
      </c>
      <c r="AO802" s="63">
        <f t="shared" si="69"/>
        <v>18</v>
      </c>
      <c r="AP802" s="64">
        <f t="shared" si="69"/>
        <v>21</v>
      </c>
      <c r="AQ802" s="64">
        <f t="shared" si="69"/>
        <v>11</v>
      </c>
      <c r="AR802" s="64">
        <f t="shared" si="69"/>
        <v>21</v>
      </c>
      <c r="AS802" s="64">
        <f t="shared" si="69"/>
        <v>0</v>
      </c>
      <c r="AT802" s="69">
        <f t="shared" si="69"/>
        <v>0</v>
      </c>
      <c r="AU802" s="149">
        <f t="shared" si="70"/>
        <v>71</v>
      </c>
      <c r="AV802" s="5">
        <v>2</v>
      </c>
      <c r="AW802" s="63">
        <f>IF(AI806&lt;AJ806,1,0)+IF(AK806&lt;AL806,1,0)+IF(AM806&lt;AN806,1,0)</f>
        <v>0</v>
      </c>
      <c r="AX802" s="64">
        <f>AY801</f>
        <v>2</v>
      </c>
      <c r="AY802" s="155"/>
      <c r="AZ802" s="156"/>
      <c r="BA802" s="64">
        <f>IF(AI804&gt;AJ804,1,0)+IF(AK804&gt;AL804,1,0)+IF(AM804&gt;AN804,1,0)</f>
        <v>0</v>
      </c>
      <c r="BB802" s="64">
        <f>AY803</f>
        <v>2</v>
      </c>
      <c r="BC802" s="157">
        <f>IF(AI802&gt;AJ802,1,0)+IF(AK802&gt;AL802,1,0)+IF(AM802&gt;AN802,1,0)</f>
        <v>0</v>
      </c>
      <c r="BD802" s="70">
        <f>AY804</f>
        <v>2</v>
      </c>
      <c r="BE802" s="63">
        <f>AO802+AQ802+AS802+AO804+AQ804+AS804+AP806+AR806+AT806</f>
        <v>76</v>
      </c>
      <c r="BF802" s="70">
        <f>AP802+AR802+AT802+AP804+AR804+AT804+AO806+AQ806+AS806</f>
        <v>126</v>
      </c>
      <c r="BG802" s="63">
        <f>AW802+BA802+BC802</f>
        <v>0</v>
      </c>
      <c r="BH802" s="69">
        <f>AX802+BB802+BD802</f>
        <v>6</v>
      </c>
      <c r="BI802" s="63">
        <f>IF(AW802&gt;AX802,1,0)+IF(BA802&gt;BB802,1,0)+IF(BC802&gt;BD802,1,0)</f>
        <v>0</v>
      </c>
      <c r="BJ802" s="69">
        <f>IF(AX802&gt;AW802,1,0)+IF(BB802&gt;BA802,1,0)+IF(BD802&gt;BC802,1,0)</f>
        <v>3</v>
      </c>
      <c r="BK802" s="71">
        <f>IF(BI802+BJ802=0,"",IF(BL802=MAX(BL801:BL804),1,IF(BL802=LARGE(BL801:BL804,2),2,IF(BL802=MIN(BL801:BL804),4,3))))</f>
        <v>4</v>
      </c>
      <c r="BL802" s="60">
        <f>IF(BI802+BJ802&lt;&gt;0,BI802+1+(BG802-BH802)/100+(BE802-BF802)/100000+(BE802/BF802)/1000000,0)</f>
        <v>0.93950060317460315</v>
      </c>
    </row>
    <row r="803" spans="1:64" ht="11.45" customHeight="1" x14ac:dyDescent="0.2">
      <c r="A803" s="19">
        <f t="shared" si="68"/>
        <v>66</v>
      </c>
      <c r="B803" s="19" t="str">
        <f>IF(N799="","",N799)</f>
        <v>J3436</v>
      </c>
      <c r="C803" s="19" t="str">
        <f>IF(N800="","",N800)</f>
        <v>K3437</v>
      </c>
      <c r="D803" s="19" t="str">
        <f>IF(N808="","",N808)</f>
        <v>M3524</v>
      </c>
      <c r="E803" s="19" t="str">
        <f>IF(N809="","",N809)</f>
        <v>S3617</v>
      </c>
      <c r="H803" s="10"/>
      <c r="I803" s="2" t="str">
        <f>"3"&amp;O797&amp;N798</f>
        <v>31mieszana JM</v>
      </c>
      <c r="J803" s="10" t="str">
        <f>IF(AE804="","",IF(AE798=3,N799,IF(AE801=3,N802,IF(AE804=3,N805,IF(AE807=3,N808,"")))))</f>
        <v>R3535</v>
      </c>
      <c r="K803" s="10" t="str">
        <f>IF(AE804="","",IF(AE798=3,N800,IF(AE801=3,N803,IF(AE804=3,N806,IF(AE807=3,N809,"")))))</f>
        <v>X28</v>
      </c>
      <c r="L803" s="10"/>
      <c r="M803" s="42" t="str">
        <f>N798</f>
        <v>mieszana JM</v>
      </c>
      <c r="N803" s="38" t="s">
        <v>97</v>
      </c>
      <c r="O803" s="28"/>
      <c r="P803" s="28"/>
      <c r="Q803" s="43" t="str">
        <f>IF(AU803&gt;0,"",IF(A803=0,"",IF(VLOOKUP(A803,'[2]plan gier'!A$1:S$65536,19,FALSE)="","",VLOOKUP(A803,'[2]plan gier'!A$1:S$65536,19,FALSE))))</f>
        <v/>
      </c>
      <c r="R803" s="44" t="s">
        <v>68</v>
      </c>
      <c r="S803" s="146">
        <v>66</v>
      </c>
      <c r="T803" s="261"/>
      <c r="U803" s="265" t="str">
        <f>IF(N803&lt;&gt;"",CONCATENATE(VLOOKUP(N803,[2]zawodnicy!$A$1:$E$65536,1,FALSE)," ",VLOOKUP(N803,[2]zawodnicy!$A$1:$E$65536,2,FALSE)," ",VLOOKUP(N803,[2]zawodnicy!$A$1:$E$65536,3,FALSE)," - ",VLOOKUP(N803,[2]zawodnicy!$A$1:$E$65536,4,FALSE)),"")</f>
        <v>B4184 Milena BAŁON - SKB Suwałki</v>
      </c>
      <c r="V803" s="266"/>
      <c r="W803" s="267"/>
      <c r="X803" s="73" t="str">
        <f>IF(SUM(AS806:AT806)=0,"",AT806&amp;":"&amp;AS806)</f>
        <v/>
      </c>
      <c r="Y803" s="154"/>
      <c r="Z803" s="39" t="str">
        <f>IF(SUM(AS804:AT804)=0,"",AS804&amp;":"&amp;AT804)</f>
        <v/>
      </c>
      <c r="AA803" s="40" t="str">
        <f>IF(SUM(AS802:AT802)=0,"",AS802&amp;":"&amp;AT802)</f>
        <v/>
      </c>
      <c r="AB803" s="242"/>
      <c r="AC803" s="251"/>
      <c r="AD803" s="251"/>
      <c r="AE803" s="254"/>
      <c r="AF803" s="12"/>
      <c r="AG803" s="12"/>
      <c r="AH803" s="44" t="s">
        <v>68</v>
      </c>
      <c r="AI803" s="49">
        <f>IF(ISBLANK(S803),"",VLOOKUP(S803,'[2]plan gier'!$X$1:$AN$65536,12,FALSE))</f>
        <v>15</v>
      </c>
      <c r="AJ803" s="50">
        <f>IF(ISBLANK(S803),"",VLOOKUP(S803,'[2]plan gier'!$X$1:$AN$65536,13,FALSE))</f>
        <v>21</v>
      </c>
      <c r="AK803" s="50">
        <f>IF(ISBLANK(S803),"",VLOOKUP(S803,'[2]plan gier'!$X$1:$AN$65536,14,FALSE))</f>
        <v>17</v>
      </c>
      <c r="AL803" s="50">
        <f>IF(ISBLANK(S803),"",VLOOKUP(S803,'[2]plan gier'!$X$1:$AN$65536,15,FALSE))</f>
        <v>21</v>
      </c>
      <c r="AM803" s="50">
        <f>IF(ISBLANK(S803),"",VLOOKUP(S803,'[2]plan gier'!$X$1:$AN$65536,16,FALSE))</f>
        <v>0</v>
      </c>
      <c r="AN803" s="50">
        <f>IF(ISBLANK(S803),"",VLOOKUP(S803,'[2]plan gier'!$X$1:$AN$65536,17,FALSE))</f>
        <v>0</v>
      </c>
      <c r="AO803" s="63">
        <f t="shared" si="69"/>
        <v>15</v>
      </c>
      <c r="AP803" s="64">
        <f t="shared" si="69"/>
        <v>21</v>
      </c>
      <c r="AQ803" s="64">
        <f t="shared" si="69"/>
        <v>17</v>
      </c>
      <c r="AR803" s="64">
        <f t="shared" si="69"/>
        <v>21</v>
      </c>
      <c r="AS803" s="64">
        <f t="shared" si="69"/>
        <v>0</v>
      </c>
      <c r="AT803" s="69">
        <f t="shared" si="69"/>
        <v>0</v>
      </c>
      <c r="AU803" s="149">
        <f t="shared" si="70"/>
        <v>74</v>
      </c>
      <c r="AV803" s="5">
        <v>3</v>
      </c>
      <c r="AW803" s="63">
        <f>IF(AI801&lt;AJ801,1,0)+IF(AK801&lt;AL801,1,0)+IF(AM801&lt;AN801,1,0)</f>
        <v>0</v>
      </c>
      <c r="AX803" s="64">
        <f>BA801</f>
        <v>2</v>
      </c>
      <c r="AY803" s="64">
        <f>IF(AI804&lt;AJ804,1,0)+IF(AK804&lt;AL804,1,0)+IF(AM804&lt;AN804,1,0)</f>
        <v>2</v>
      </c>
      <c r="AZ803" s="64">
        <f>BA802</f>
        <v>0</v>
      </c>
      <c r="BA803" s="155"/>
      <c r="BB803" s="156"/>
      <c r="BC803" s="64">
        <f>IF(AI805&gt;AJ805,1,0)+IF(AK805&gt;AL805,1,0)+IF(AM805&gt;AN805,1,0)</f>
        <v>0</v>
      </c>
      <c r="BD803" s="70">
        <f>BA804</f>
        <v>2</v>
      </c>
      <c r="BE803" s="158">
        <f>AP801+AR801+AT801+AP804+AR804+AT804+AO805+AQ805+AS805</f>
        <v>109</v>
      </c>
      <c r="BF803" s="159">
        <f>AO801+AQ801+AS801+AO804+AQ804+AS804+AP805+AR805+AT805</f>
        <v>110</v>
      </c>
      <c r="BG803" s="158">
        <f>AW803+AY803+BC803</f>
        <v>2</v>
      </c>
      <c r="BH803" s="160">
        <f>AX803+AZ803+BD803</f>
        <v>4</v>
      </c>
      <c r="BI803" s="63">
        <f>IF(AW803&gt;AX803,1,0)+IF(AY803&gt;AZ803,1,0)+IF(BC803&gt;BD803,1,0)</f>
        <v>1</v>
      </c>
      <c r="BJ803" s="69">
        <f>IF(AX803&gt;AW803,1,0)+IF(AZ803&gt;AY803,1,0)+IF(BD803&gt;BC803,1,0)</f>
        <v>2</v>
      </c>
      <c r="BK803" s="71">
        <f>IF(BI803+BJ803=0,"",IF(BL803=MAX(BL801:BL804),1,IF(BL803=LARGE(BL801:BL804,2),2,IF(BL803=MIN(BL801:BL804),4,3))))</f>
        <v>3</v>
      </c>
      <c r="BL803" s="60">
        <f>IF(BI803+BJ803&lt;&gt;0,BI803+1+(BG803-BH803)/100+(BE803-BF803)/100000+(BE803/BF803)/1000000,0)</f>
        <v>1.9799909909090909</v>
      </c>
    </row>
    <row r="804" spans="1:64" ht="11.45" customHeight="1" thickBot="1" x14ac:dyDescent="0.25">
      <c r="A804" s="19">
        <f t="shared" si="68"/>
        <v>67</v>
      </c>
      <c r="B804" s="19" t="str">
        <f>IF(N802="","",N802)</f>
        <v>B4388</v>
      </c>
      <c r="C804" s="19" t="str">
        <f>IF(N803="","",N803)</f>
        <v>B4184</v>
      </c>
      <c r="D804" s="19" t="str">
        <f>IF(N805="","",N805)</f>
        <v>R3535</v>
      </c>
      <c r="E804" s="19" t="str">
        <f>IF(N806="","",N806)</f>
        <v>X28</v>
      </c>
      <c r="J804" s="10"/>
      <c r="K804" s="28"/>
      <c r="L804" s="28"/>
      <c r="M804" s="42" t="str">
        <f>N798</f>
        <v>mieszana JM</v>
      </c>
      <c r="O804" s="28"/>
      <c r="P804" s="28"/>
      <c r="Q804" s="43" t="str">
        <f>IF(AU804&gt;0,"",IF(A804=0,"",IF(VLOOKUP(A804,'[2]plan gier'!A$1:S$65536,19,FALSE)="","",VLOOKUP(A804,'[2]plan gier'!A$1:S$65536,19,FALSE))))</f>
        <v/>
      </c>
      <c r="R804" s="44" t="s">
        <v>17</v>
      </c>
      <c r="S804" s="146">
        <v>67</v>
      </c>
      <c r="T804" s="241">
        <v>3</v>
      </c>
      <c r="U804" s="244" t="str">
        <f>IF(AND(N805&lt;&gt;"",N806&lt;&gt;""),CONCATENATE(VLOOKUP(N805,[2]zawodnicy!$A$1:$E$65536,1,FALSE)," ",VLOOKUP(N805,[2]zawodnicy!$A$1:$E$65536,2,FALSE)," ",VLOOKUP(N805,[2]zawodnicy!$A$1:$E$65536,3,FALSE)," - ",VLOOKUP(N805,[2]zawodnicy!$A$1:$E$65536,4,FALSE)),"")</f>
        <v>R3535 Nikodem RATKOWSKI - ZKB Maced Polanów</v>
      </c>
      <c r="V804" s="245"/>
      <c r="W804" s="246"/>
      <c r="X804" s="46" t="str">
        <f>IF(SUM(AO801:AP801)=0,"",AP801&amp;":"&amp;AO801)</f>
        <v>20:22</v>
      </c>
      <c r="Y804" s="83" t="str">
        <f>IF(SUM(AO804:AP804)=0,"",AP804&amp;":"&amp;AO804)</f>
        <v>21:16</v>
      </c>
      <c r="Z804" s="47"/>
      <c r="AA804" s="48" t="str">
        <f>IF(SUM(AO805:AP805)=0,"",AO805&amp;":"&amp;AP805)</f>
        <v>18:21</v>
      </c>
      <c r="AB804" s="241" t="str">
        <f>IF(SUM(AW803:AZ803,BC803:BD803)=0,"",BE803&amp;":"&amp;BF803)</f>
        <v>109:110</v>
      </c>
      <c r="AC804" s="250" t="str">
        <f>IF(SUM(AW803:AZ803,BC803:BD803)=0,"",BG803&amp;":"&amp;BH803)</f>
        <v>2:4</v>
      </c>
      <c r="AD804" s="250" t="str">
        <f>IF(SUM(AW803:AZ803,BC803:BD803)=0,"",BI803&amp;":"&amp;BJ803)</f>
        <v>1:2</v>
      </c>
      <c r="AE804" s="253">
        <f>IF(SUM(BI801:BI804)&gt;0,BK803,"")</f>
        <v>3</v>
      </c>
      <c r="AF804" s="12"/>
      <c r="AG804" s="12"/>
      <c r="AH804" s="44" t="s">
        <v>17</v>
      </c>
      <c r="AI804" s="49">
        <f>IF(ISBLANK(S804),"",VLOOKUP(S804,'[2]plan gier'!$X$1:$AN$65536,12,FALSE))</f>
        <v>16</v>
      </c>
      <c r="AJ804" s="50">
        <f>IF(ISBLANK(S804),"",VLOOKUP(S804,'[2]plan gier'!$X$1:$AN$65536,13,FALSE))</f>
        <v>21</v>
      </c>
      <c r="AK804" s="50">
        <f>IF(ISBLANK(S804),"",VLOOKUP(S804,'[2]plan gier'!$X$1:$AN$65536,14,FALSE))</f>
        <v>9</v>
      </c>
      <c r="AL804" s="50">
        <f>IF(ISBLANK(S804),"",VLOOKUP(S804,'[2]plan gier'!$X$1:$AN$65536,15,FALSE))</f>
        <v>21</v>
      </c>
      <c r="AM804" s="50">
        <f>IF(ISBLANK(S804),"",VLOOKUP(S804,'[2]plan gier'!$X$1:$AN$65536,16,FALSE))</f>
        <v>0</v>
      </c>
      <c r="AN804" s="50">
        <f>IF(ISBLANK(S804),"",VLOOKUP(S804,'[2]plan gier'!$X$1:$AN$65536,17,FALSE))</f>
        <v>0</v>
      </c>
      <c r="AO804" s="63">
        <f t="shared" si="69"/>
        <v>16</v>
      </c>
      <c r="AP804" s="64">
        <f t="shared" si="69"/>
        <v>21</v>
      </c>
      <c r="AQ804" s="64">
        <f t="shared" si="69"/>
        <v>9</v>
      </c>
      <c r="AR804" s="64">
        <f t="shared" si="69"/>
        <v>21</v>
      </c>
      <c r="AS804" s="64">
        <f t="shared" si="69"/>
        <v>0</v>
      </c>
      <c r="AT804" s="69">
        <f t="shared" si="69"/>
        <v>0</v>
      </c>
      <c r="AU804" s="149">
        <f t="shared" si="70"/>
        <v>67</v>
      </c>
      <c r="AV804" s="5">
        <v>4</v>
      </c>
      <c r="AW804" s="161">
        <f>IF(AI803&lt;AJ803,1,0)+IF(AK803&lt;AL803,1,0)+IF(AM803&lt;AN803,1,0)</f>
        <v>2</v>
      </c>
      <c r="AX804" s="162">
        <f>BC801</f>
        <v>0</v>
      </c>
      <c r="AY804" s="162">
        <f>IF(AI802&lt;AJ802,1,0)+IF(AK802&lt;AL802,1,0)+IF(AM802&lt;AN802,1,0)</f>
        <v>2</v>
      </c>
      <c r="AZ804" s="162">
        <f>BC802</f>
        <v>0</v>
      </c>
      <c r="BA804" s="75">
        <f>IF(AI805&lt;AJ805,1,0)+IF(AK805&lt;AL805,1,0)+IF(AM805&lt;AN805,1,0)</f>
        <v>2</v>
      </c>
      <c r="BB804" s="75">
        <f>BC803</f>
        <v>0</v>
      </c>
      <c r="BC804" s="163"/>
      <c r="BD804" s="164"/>
      <c r="BE804" s="74">
        <f>AP802+AR802+AT802+AP803+AR803+AT803+AP805+AR805+AT805</f>
        <v>126</v>
      </c>
      <c r="BF804" s="81">
        <f>AO802+AQ802+AS802+AO803+AQ803+AS803+AO805+AQ805+AS805</f>
        <v>93</v>
      </c>
      <c r="BG804" s="74">
        <f>AW804+AY804+BA804</f>
        <v>6</v>
      </c>
      <c r="BH804" s="80">
        <f>AX804+AZ804+BB804</f>
        <v>0</v>
      </c>
      <c r="BI804" s="74">
        <f>IF(AW804&gt;AX804,1,0)+IF(AY804&gt;AZ804,1,0)+IF(BA804&gt;BB804,1,0)</f>
        <v>3</v>
      </c>
      <c r="BJ804" s="80">
        <f>IF(AX804&gt;AW804,1,0)+IF(AZ804&gt;AY804,1,0)+IF(BB804&gt;BA804,1,0)</f>
        <v>0</v>
      </c>
      <c r="BK804" s="82">
        <f>IF(BI804+BJ804=0,"",IF(BL804=MAX(BL801:BL804),1,IF(BL804=LARGE(BL801:BL804,2),2,IF(BL804=MIN(BL801:BL804),4,3))))</f>
        <v>1</v>
      </c>
      <c r="BL804" s="60">
        <f>IF(BI804+BJ804&lt;&gt;0,BI804+1+(BG804-BH804)/100+(BE804-BF804)/100000+(BE804/BF804)/1000000,0)</f>
        <v>4.0603313548387092</v>
      </c>
    </row>
    <row r="805" spans="1:64" ht="11.45" customHeight="1" x14ac:dyDescent="0.2">
      <c r="A805" s="19">
        <f t="shared" si="68"/>
        <v>131</v>
      </c>
      <c r="B805" s="19" t="str">
        <f>IF(N805="","",N805)</f>
        <v>R3535</v>
      </c>
      <c r="C805" s="19" t="str">
        <f>IF(N806="","",N806)</f>
        <v>X28</v>
      </c>
      <c r="D805" s="19" t="str">
        <f>IF(N808="","",N808)</f>
        <v>M3524</v>
      </c>
      <c r="E805" s="19" t="str">
        <f>IF(N809="","",N809)</f>
        <v>S3617</v>
      </c>
      <c r="H805" s="10"/>
      <c r="I805" s="2" t="str">
        <f>"4"&amp;O797&amp;N798</f>
        <v>41mieszana JM</v>
      </c>
      <c r="J805" s="10" t="str">
        <f>IF(AE807="","",IF(AE798=4,N799,IF(AE801=4,N802,IF(AE804=4,N805,IF(AE807=4,N808,"")))))</f>
        <v>B4388</v>
      </c>
      <c r="K805" s="10" t="str">
        <f>IF(AE807="","",IF(AE798=4,N800,IF(AE801=4,N803,IF(AE804=4,N806,IF(AE807=4,N809,"")))))</f>
        <v>B4184</v>
      </c>
      <c r="L805" s="10"/>
      <c r="M805" s="42" t="str">
        <f>N798</f>
        <v>mieszana JM</v>
      </c>
      <c r="N805" s="33" t="s">
        <v>131</v>
      </c>
      <c r="O805" s="34">
        <f>IF(O797&gt;0,(O797&amp;3)*1,"")</f>
        <v>13</v>
      </c>
      <c r="Q805" s="43" t="str">
        <f>IF(AU805&gt;0,"",IF(A805=0,"",IF(VLOOKUP(A805,'[2]plan gier'!A$1:S$65536,19,FALSE)="","",VLOOKUP(A805,'[2]plan gier'!A$1:S$65536,19,FALSE))))</f>
        <v/>
      </c>
      <c r="R805" s="44" t="s">
        <v>69</v>
      </c>
      <c r="S805" s="146">
        <v>131</v>
      </c>
      <c r="T805" s="242"/>
      <c r="U805" s="244" t="str">
        <f>IF(AND(N805&lt;&gt;"",N806=""),CONCATENATE(VLOOKUP(N805,[2]zawodnicy!$A$1:$E$65536,1,FALSE)," ",VLOOKUP(N805,[2]zawodnicy!$A$1:$E$65536,2,FALSE)," ",VLOOKUP(N805,[2]zawodnicy!$A$1:$E$65536,3,FALSE)," - ",VLOOKUP(N805,[2]zawodnicy!$A$1:$E$65536,4,FALSE)),"")</f>
        <v/>
      </c>
      <c r="V805" s="245"/>
      <c r="W805" s="246"/>
      <c r="X805" s="61" t="str">
        <f>IF(SUM(AQ801:AR801)=0,"",AR801&amp;":"&amp;AQ801)</f>
        <v>15:21</v>
      </c>
      <c r="Y805" s="36" t="str">
        <f>IF(SUM(AQ804:AR804)=0,"",AR804&amp;":"&amp;AQ804)</f>
        <v>21:9</v>
      </c>
      <c r="Z805" s="62"/>
      <c r="AA805" s="37" t="str">
        <f>IF(SUM(AQ805:AR805)=0,"",AQ805&amp;":"&amp;AR805)</f>
        <v>14:21</v>
      </c>
      <c r="AB805" s="242"/>
      <c r="AC805" s="251"/>
      <c r="AD805" s="251"/>
      <c r="AE805" s="254"/>
      <c r="AF805" s="12"/>
      <c r="AG805" s="12"/>
      <c r="AH805" s="44" t="s">
        <v>69</v>
      </c>
      <c r="AI805" s="49">
        <f>IF(ISBLANK(S805),"",VLOOKUP(S805,'[2]plan gier'!$X$1:$AN$65536,12,FALSE))</f>
        <v>18</v>
      </c>
      <c r="AJ805" s="50">
        <f>IF(ISBLANK(S805),"",VLOOKUP(S805,'[2]plan gier'!$X$1:$AN$65536,13,FALSE))</f>
        <v>21</v>
      </c>
      <c r="AK805" s="50">
        <f>IF(ISBLANK(S805),"",VLOOKUP(S805,'[2]plan gier'!$X$1:$AN$65536,14,FALSE))</f>
        <v>14</v>
      </c>
      <c r="AL805" s="50">
        <f>IF(ISBLANK(S805),"",VLOOKUP(S805,'[2]plan gier'!$X$1:$AN$65536,15,FALSE))</f>
        <v>21</v>
      </c>
      <c r="AM805" s="50">
        <f>IF(ISBLANK(S805),"",VLOOKUP(S805,'[2]plan gier'!$X$1:$AN$65536,16,FALSE))</f>
        <v>0</v>
      </c>
      <c r="AN805" s="50">
        <f>IF(ISBLANK(S805),"",VLOOKUP(S805,'[2]plan gier'!$X$1:$AN$65536,17,FALSE))</f>
        <v>0</v>
      </c>
      <c r="AO805" s="63">
        <f t="shared" si="69"/>
        <v>18</v>
      </c>
      <c r="AP805" s="64">
        <f t="shared" si="69"/>
        <v>21</v>
      </c>
      <c r="AQ805" s="64">
        <f t="shared" si="69"/>
        <v>14</v>
      </c>
      <c r="AR805" s="64">
        <f t="shared" si="69"/>
        <v>21</v>
      </c>
      <c r="AS805" s="64">
        <f t="shared" si="69"/>
        <v>0</v>
      </c>
      <c r="AT805" s="69">
        <f t="shared" si="69"/>
        <v>0</v>
      </c>
      <c r="AU805" s="149">
        <f t="shared" si="70"/>
        <v>74</v>
      </c>
      <c r="BE805" s="19">
        <f t="shared" ref="BE805:BJ805" si="71">SUM(BE801:BE804)</f>
        <v>428</v>
      </c>
      <c r="BF805" s="19">
        <f t="shared" si="71"/>
        <v>428</v>
      </c>
      <c r="BG805" s="19">
        <f t="shared" si="71"/>
        <v>12</v>
      </c>
      <c r="BH805" s="19">
        <f t="shared" si="71"/>
        <v>12</v>
      </c>
      <c r="BI805" s="19">
        <f t="shared" si="71"/>
        <v>6</v>
      </c>
      <c r="BJ805" s="19">
        <f t="shared" si="71"/>
        <v>6</v>
      </c>
      <c r="BK805" s="19"/>
      <c r="BL805" s="20"/>
    </row>
    <row r="806" spans="1:64" ht="11.45" customHeight="1" thickBot="1" x14ac:dyDescent="0.25">
      <c r="A806" s="19">
        <f t="shared" si="68"/>
        <v>132</v>
      </c>
      <c r="B806" s="19" t="str">
        <f>IF(N799="","",N799)</f>
        <v>J3436</v>
      </c>
      <c r="C806" s="19" t="str">
        <f>IF(N800="","",N800)</f>
        <v>K3437</v>
      </c>
      <c r="D806" s="19" t="str">
        <f>IF(N802="","",N802)</f>
        <v>B4388</v>
      </c>
      <c r="E806" s="19" t="str">
        <f>IF(N803="","",N803)</f>
        <v>B4184</v>
      </c>
      <c r="J806" s="28"/>
      <c r="K806" s="28"/>
      <c r="L806" s="28"/>
      <c r="M806" s="42" t="str">
        <f>N798</f>
        <v>mieszana JM</v>
      </c>
      <c r="N806" s="38" t="s">
        <v>103</v>
      </c>
      <c r="O806" s="28"/>
      <c r="P806" s="28"/>
      <c r="Q806" s="43" t="str">
        <f>IF(AU806&gt;0,"",IF(A806=0,"",IF(VLOOKUP(A806,'[2]plan gier'!A$1:S$65536,19,FALSE)="","",VLOOKUP(A806,'[2]plan gier'!A$1:S$65536,19,FALSE))))</f>
        <v/>
      </c>
      <c r="R806" s="44" t="s">
        <v>18</v>
      </c>
      <c r="S806" s="146">
        <v>132</v>
      </c>
      <c r="T806" s="261"/>
      <c r="U806" s="265" t="str">
        <f>IF(N806&lt;&gt;"",CONCATENATE(VLOOKUP(N806,[2]zawodnicy!$A$1:$E$65536,1,FALSE)," ",VLOOKUP(N806,[2]zawodnicy!$A$1:$E$65536,2,FALSE)," ",VLOOKUP(N806,[2]zawodnicy!$A$1:$E$65536,3,FALSE)," - ",VLOOKUP(N806,[2]zawodnicy!$A$1:$E$65536,4,FALSE)),"")</f>
        <v>X28 Yulia BAYAROUSKAYA - Białoruś</v>
      </c>
      <c r="V806" s="266"/>
      <c r="W806" s="267"/>
      <c r="X806" s="73" t="str">
        <f>IF(SUM(AS801:AT801)=0,"",AT801&amp;":"&amp;AS801)</f>
        <v/>
      </c>
      <c r="Y806" s="39" t="str">
        <f>IF(SUM(AS804:AT804)=0,"",AT804&amp;":"&amp;AS804)</f>
        <v/>
      </c>
      <c r="Z806" s="62"/>
      <c r="AA806" s="40" t="str">
        <f>IF(SUM(AS805:AT805)=0,"",AS805&amp;":"&amp;AT805)</f>
        <v/>
      </c>
      <c r="AB806" s="242"/>
      <c r="AC806" s="251"/>
      <c r="AD806" s="251"/>
      <c r="AE806" s="254"/>
      <c r="AF806" s="12"/>
      <c r="AG806" s="12"/>
      <c r="AH806" s="44" t="s">
        <v>18</v>
      </c>
      <c r="AI806" s="161">
        <f>IF(ISBLANK(S806),"",VLOOKUP(S806,'[2]plan gier'!$X$1:$AN$65536,12,FALSE))</f>
        <v>21</v>
      </c>
      <c r="AJ806" s="162">
        <f>IF(ISBLANK(S806),"",VLOOKUP(S806,'[2]plan gier'!$X$1:$AN$65536,13,FALSE))</f>
        <v>9</v>
      </c>
      <c r="AK806" s="162">
        <f>IF(ISBLANK(S806),"",VLOOKUP(S806,'[2]plan gier'!$X$1:$AN$65536,14,FALSE))</f>
        <v>21</v>
      </c>
      <c r="AL806" s="162">
        <f>IF(ISBLANK(S806),"",VLOOKUP(S806,'[2]plan gier'!$X$1:$AN$65536,15,FALSE))</f>
        <v>13</v>
      </c>
      <c r="AM806" s="162">
        <f>IF(ISBLANK(S806),"",VLOOKUP(S806,'[2]plan gier'!$X$1:$AN$65536,16,FALSE))</f>
        <v>0</v>
      </c>
      <c r="AN806" s="162">
        <f>IF(ISBLANK(S806),"",VLOOKUP(S806,'[2]plan gier'!$X$1:$AN$65536,17,FALSE))</f>
        <v>0</v>
      </c>
      <c r="AO806" s="74">
        <f t="shared" si="69"/>
        <v>21</v>
      </c>
      <c r="AP806" s="75">
        <f t="shared" si="69"/>
        <v>9</v>
      </c>
      <c r="AQ806" s="75">
        <f t="shared" si="69"/>
        <v>21</v>
      </c>
      <c r="AR806" s="75">
        <f t="shared" si="69"/>
        <v>13</v>
      </c>
      <c r="AS806" s="75">
        <f t="shared" si="69"/>
        <v>0</v>
      </c>
      <c r="AT806" s="80">
        <f t="shared" si="69"/>
        <v>0</v>
      </c>
      <c r="AU806" s="149">
        <f t="shared" si="70"/>
        <v>64</v>
      </c>
      <c r="BK806" s="19"/>
      <c r="BL806" s="20"/>
    </row>
    <row r="807" spans="1:64" ht="11.45" customHeight="1" x14ac:dyDescent="0.2">
      <c r="A807" s="2"/>
      <c r="J807" s="28"/>
      <c r="K807" s="28"/>
      <c r="L807" s="28"/>
      <c r="O807" s="28"/>
      <c r="P807" s="28"/>
      <c r="Q807" s="2"/>
      <c r="R807" s="2"/>
      <c r="S807" s="2"/>
      <c r="T807" s="241">
        <v>4</v>
      </c>
      <c r="U807" s="244" t="str">
        <f>IF(AND(N808&lt;&gt;"",N809&lt;&gt;""),CONCATENATE(VLOOKUP(N808,[2]zawodnicy!$A$1:$E$65536,1,FALSE)," ",VLOOKUP(N808,[2]zawodnicy!$A$1:$E$65536,2,FALSE)," ",VLOOKUP(N808,[2]zawodnicy!$A$1:$E$65536,3,FALSE)," - ",VLOOKUP(N808,[2]zawodnicy!$A$1:$E$65536,4,FALSE)),"")</f>
        <v>M3524 Dawid MAZUR - LKS Technik Głubczyce</v>
      </c>
      <c r="V807" s="245"/>
      <c r="W807" s="246"/>
      <c r="X807" s="46" t="str">
        <f>IF(SUM(AO803:AP803)=0,"",AP803&amp;":"&amp;AO803)</f>
        <v>21:15</v>
      </c>
      <c r="Y807" s="83" t="str">
        <f>IF(SUM(AO802:AP802)=0,"",AP802&amp;":"&amp;AO802)</f>
        <v>21:18</v>
      </c>
      <c r="Z807" s="83" t="str">
        <f>IF(SUM(AO805:AP805)=0,"",AP805&amp;":"&amp;AO805)</f>
        <v>21:18</v>
      </c>
      <c r="AA807" s="165"/>
      <c r="AB807" s="241" t="str">
        <f>IF(SUM(AW804:BB804)=0,"",BE804&amp;":"&amp;BF804)</f>
        <v>126:93</v>
      </c>
      <c r="AC807" s="250" t="str">
        <f>IF(SUM(AW804:BB804)=0,"",BG804&amp;":"&amp;BH804)</f>
        <v>6:0</v>
      </c>
      <c r="AD807" s="250" t="str">
        <f>IF(SUM(AW804:BB804)=0,"",BI804&amp;":"&amp;BJ804)</f>
        <v>3:0</v>
      </c>
      <c r="AE807" s="253">
        <f>IF(SUM(BI801:BI804)&gt;0,BK804,"")</f>
        <v>1</v>
      </c>
      <c r="AF807" s="12"/>
      <c r="AG807" s="12"/>
      <c r="AH807" s="2"/>
      <c r="AI807" s="2"/>
      <c r="AJ807" s="2"/>
      <c r="AK807" s="2"/>
      <c r="AL807" s="2"/>
      <c r="AM807" s="2"/>
      <c r="AN807" s="2"/>
      <c r="AO807" s="2"/>
      <c r="AP807" s="2"/>
      <c r="AQ807" s="2"/>
      <c r="AR807" s="2"/>
      <c r="AS807" s="2"/>
      <c r="AT807" s="2"/>
      <c r="AU807" s="2"/>
      <c r="BK807" s="19"/>
      <c r="BL807" s="20"/>
    </row>
    <row r="808" spans="1:64" ht="11.45" customHeight="1" x14ac:dyDescent="0.2">
      <c r="A808" s="19"/>
      <c r="B808" s="19"/>
      <c r="C808" s="19"/>
      <c r="D808" s="19"/>
      <c r="E808" s="19"/>
      <c r="H808" s="10"/>
      <c r="J808" s="19"/>
      <c r="K808" s="19"/>
      <c r="L808" s="19"/>
      <c r="N808" s="33" t="s">
        <v>122</v>
      </c>
      <c r="O808" s="34">
        <f>IF(O797&gt;0,(O797&amp;4)*1,"")</f>
        <v>14</v>
      </c>
      <c r="Q808" s="85"/>
      <c r="R808" s="85"/>
      <c r="S808" s="85"/>
      <c r="T808" s="242"/>
      <c r="U808" s="244" t="str">
        <f>IF(AND(N808&lt;&gt;"",N809=""),CONCATENATE(VLOOKUP(N808,[2]zawodnicy!$A$1:$E$65536,1,FALSE)," ",VLOOKUP(N808,[2]zawodnicy!$A$1:$E$65536,2,FALSE)," ",VLOOKUP(N808,[2]zawodnicy!$A$1:$E$65536,3,FALSE)," - ",VLOOKUP(N808,[2]zawodnicy!$A$1:$E$65536,4,FALSE)),"")</f>
        <v/>
      </c>
      <c r="V808" s="245"/>
      <c r="W808" s="246"/>
      <c r="X808" s="61" t="str">
        <f>IF(SUM(AQ803:AR803)=0,"",AR803&amp;":"&amp;AQ803)</f>
        <v>21:17</v>
      </c>
      <c r="Y808" s="36" t="str">
        <f>IF(SUM(AQ802:AR802)=0,"",AR802&amp;":"&amp;AQ802)</f>
        <v>21:11</v>
      </c>
      <c r="Z808" s="36" t="str">
        <f>IF(SUM(AQ805:AR805)=0,"",AR805&amp;":"&amp;AQ805)</f>
        <v>21:14</v>
      </c>
      <c r="AA808" s="166"/>
      <c r="AB808" s="242"/>
      <c r="AC808" s="251"/>
      <c r="AD808" s="251"/>
      <c r="AE808" s="254"/>
      <c r="AF808" s="12"/>
      <c r="AG808" s="1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row>
    <row r="809" spans="1:64" ht="11.45" customHeight="1" thickBot="1" x14ac:dyDescent="0.25">
      <c r="A809" s="2"/>
      <c r="J809" s="28"/>
      <c r="K809" s="28"/>
      <c r="L809" s="28"/>
      <c r="N809" s="38" t="s">
        <v>90</v>
      </c>
      <c r="O809" s="28"/>
      <c r="P809" s="28"/>
      <c r="Q809" s="2"/>
      <c r="R809" s="2"/>
      <c r="S809" s="2"/>
      <c r="T809" s="243"/>
      <c r="U809" s="256" t="str">
        <f>IF(N809&lt;&gt;"",CONCATENATE(VLOOKUP(N809,[2]zawodnicy!$A$1:$E$65536,1,FALSE)," ",VLOOKUP(N809,[2]zawodnicy!$A$1:$E$65536,2,FALSE)," ",VLOOKUP(N809,[2]zawodnicy!$A$1:$E$65536,3,FALSE)," - ",VLOOKUP(N809,[2]zawodnicy!$A$1:$E$65536,4,FALSE)),"")</f>
        <v>S3617 Katarzyna SŁOMBA - UKSB Volant Mielec</v>
      </c>
      <c r="V809" s="257"/>
      <c r="W809" s="258"/>
      <c r="X809" s="87" t="str">
        <f>IF(SUM(AS803:AT803)=0,"",AT803&amp;":"&amp;AS803)</f>
        <v/>
      </c>
      <c r="Y809" s="88" t="str">
        <f>IF(SUM(AS802:AT802)=0,"",AT802&amp;":"&amp;AS802)</f>
        <v/>
      </c>
      <c r="Z809" s="88" t="str">
        <f>IF(SUM(AS805:AT805)=0,"",AT805&amp;":"&amp;AS805)</f>
        <v/>
      </c>
      <c r="AA809" s="89"/>
      <c r="AB809" s="243"/>
      <c r="AC809" s="252"/>
      <c r="AD809" s="252"/>
      <c r="AE809" s="255"/>
      <c r="AF809" s="12"/>
      <c r="AG809" s="1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row>
    <row r="810" spans="1:64" ht="5.0999999999999996" customHeight="1" thickBot="1" x14ac:dyDescent="0.25">
      <c r="BK810" s="19"/>
      <c r="BL810" s="20"/>
    </row>
    <row r="811" spans="1:64" ht="11.45" customHeight="1" thickBot="1" x14ac:dyDescent="0.25">
      <c r="N811" s="11"/>
      <c r="O811" s="21">
        <v>2</v>
      </c>
      <c r="Q811" s="277" t="str">
        <f>"Grupa "&amp;O811&amp;"."</f>
        <v>Grupa 2.</v>
      </c>
      <c r="R811" s="277"/>
      <c r="S811" s="277"/>
      <c r="T811" s="22" t="s">
        <v>1</v>
      </c>
      <c r="U811" s="278" t="s">
        <v>2</v>
      </c>
      <c r="V811" s="279"/>
      <c r="W811" s="280"/>
      <c r="X811" s="22">
        <v>1</v>
      </c>
      <c r="Y811" s="23">
        <v>2</v>
      </c>
      <c r="Z811" s="24">
        <v>3</v>
      </c>
      <c r="AA811" s="25" t="s">
        <v>3</v>
      </c>
      <c r="AB811" s="26" t="s">
        <v>4</v>
      </c>
      <c r="AC811" s="26" t="s">
        <v>5</v>
      </c>
      <c r="AD811" s="27" t="s">
        <v>6</v>
      </c>
      <c r="AE811" s="2"/>
      <c r="AF811" s="12"/>
      <c r="AG811" s="12"/>
      <c r="BK811" s="19"/>
      <c r="BL811" s="20"/>
    </row>
    <row r="812" spans="1:64" ht="11.45" customHeight="1" x14ac:dyDescent="0.2">
      <c r="J812" s="28"/>
      <c r="K812" s="28"/>
      <c r="L812" s="28"/>
      <c r="N812" s="29" t="s">
        <v>152</v>
      </c>
      <c r="Q812" s="274" t="s">
        <v>7</v>
      </c>
      <c r="R812" s="274"/>
      <c r="S812" s="275" t="s">
        <v>8</v>
      </c>
      <c r="T812" s="276">
        <v>1</v>
      </c>
      <c r="U812" s="244" t="str">
        <f>IF(AND(N813&lt;&gt;"",N814&lt;&gt;""),CONCATENATE(VLOOKUP(N813,[2]zawodnicy!$A$1:$E$65536,1,FALSE)," ",VLOOKUP(N813,[2]zawodnicy!$A$1:$E$65536,2,FALSE)," ",VLOOKUP(N813,[2]zawodnicy!$A$1:$E$65536,3,FALSE)," - ",VLOOKUP(N813,[2]zawodnicy!$A$1:$E$65536,4,FALSE)),"")</f>
        <v>S4544 Paweł SZWEDA - MKB Lednik Miastko</v>
      </c>
      <c r="V812" s="245"/>
      <c r="W812" s="246"/>
      <c r="X812" s="30"/>
      <c r="Y812" s="31" t="str">
        <f>IF(SUM(AO817:AP817)=0,"",AO817&amp;":"&amp;AP817)</f>
        <v>6:21</v>
      </c>
      <c r="Z812" s="32" t="str">
        <f>IF(SUM(AO815:AP815)=0,"",AO815&amp;":"&amp;AP815)</f>
        <v>14:21</v>
      </c>
      <c r="AA812" s="270" t="str">
        <f>IF(SUM(AY815:BB815)=0,"",BE815&amp;":"&amp;BF815)</f>
        <v>34:84</v>
      </c>
      <c r="AB812" s="271" t="str">
        <f>IF(SUM(AY815:BB815)=0,"",BG815&amp;":"&amp;BH815)</f>
        <v>0:4</v>
      </c>
      <c r="AC812" s="271" t="str">
        <f>IF(SUM(AY815:BB815)=0,"",BI815&amp;":"&amp;BJ815)</f>
        <v>0:2</v>
      </c>
      <c r="AD812" s="272">
        <f>IF(SUM(BI815:BI817)&gt;0,BK815,"")</f>
        <v>3</v>
      </c>
      <c r="AE812" s="2"/>
      <c r="AF812" s="12"/>
      <c r="AG812" s="12"/>
      <c r="AH812" s="14"/>
      <c r="AI812" s="273" t="s">
        <v>9</v>
      </c>
      <c r="AJ812" s="273"/>
      <c r="AK812" s="273"/>
      <c r="AL812" s="273"/>
      <c r="AM812" s="273"/>
      <c r="AN812" s="273"/>
      <c r="AO812" s="273" t="s">
        <v>10</v>
      </c>
      <c r="AP812" s="273"/>
      <c r="AQ812" s="273"/>
      <c r="AR812" s="273"/>
      <c r="AS812" s="273"/>
      <c r="AT812" s="273"/>
      <c r="BK812" s="19"/>
      <c r="BL812" s="20"/>
    </row>
    <row r="813" spans="1:64" ht="11.45" customHeight="1" thickBot="1" x14ac:dyDescent="0.25">
      <c r="I813" s="2" t="str">
        <f>"1"&amp;O811&amp;N812</f>
        <v>12mieszana JM</v>
      </c>
      <c r="J813" s="10" t="str">
        <f>IF(AD812="","",IF(AD812=1,N813,IF(AD815=1,N816,IF(AD818=1,N819,""))))</f>
        <v>X56</v>
      </c>
      <c r="K813" s="10" t="str">
        <f>IF(AD812="","",IF(AD812=1,N814,IF(AD815=1,N817,IF(AD818=1,N820,""))))</f>
        <v>X20</v>
      </c>
      <c r="L813" s="10"/>
      <c r="N813" s="33" t="s">
        <v>108</v>
      </c>
      <c r="O813" s="34">
        <f>IF(O811&gt;0,(O811&amp;1)*1,"")</f>
        <v>21</v>
      </c>
      <c r="Q813" s="274"/>
      <c r="R813" s="274"/>
      <c r="S813" s="275"/>
      <c r="T813" s="242"/>
      <c r="U813" s="244" t="str">
        <f>IF(AND(N813&lt;&gt;"",N814=""),CONCATENATE(VLOOKUP(N813,[2]zawodnicy!$A$1:$E$65536,1,FALSE)," ",VLOOKUP(N813,[2]zawodnicy!$A$1:$E$65536,2,FALSE)," ",VLOOKUP(N813,[2]zawodnicy!$A$1:$E$65536,3,FALSE)," - ",VLOOKUP(N813,[2]zawodnicy!$A$1:$E$65536,4,FALSE)),"")</f>
        <v/>
      </c>
      <c r="V813" s="245"/>
      <c r="W813" s="246"/>
      <c r="X813" s="35"/>
      <c r="Y813" s="36" t="str">
        <f>IF(SUM(AQ817:AR817)=0,"",AQ817&amp;":"&amp;AR817)</f>
        <v>5:21</v>
      </c>
      <c r="Z813" s="37" t="str">
        <f>IF(SUM(AQ815:AR815)=0,"",AQ815&amp;":"&amp;AR815)</f>
        <v>9:21</v>
      </c>
      <c r="AA813" s="248"/>
      <c r="AB813" s="251"/>
      <c r="AC813" s="251"/>
      <c r="AD813" s="254"/>
      <c r="AE813" s="2"/>
      <c r="AF813" s="12"/>
      <c r="AG813" s="12"/>
      <c r="AH813" s="14"/>
      <c r="BE813" s="19">
        <f>SUM(BE815:BE817)</f>
        <v>196</v>
      </c>
      <c r="BF813" s="19">
        <f>SUM(BF815:BF817)</f>
        <v>196</v>
      </c>
      <c r="BG813" s="19">
        <f>SUM(BG815:BG817)</f>
        <v>6</v>
      </c>
      <c r="BH813" s="19">
        <f>SUM(BH815:BH817)</f>
        <v>6</v>
      </c>
      <c r="BK813" s="19"/>
      <c r="BL813" s="20"/>
    </row>
    <row r="814" spans="1:64" ht="11.45" customHeight="1" thickBot="1" x14ac:dyDescent="0.25">
      <c r="J814" s="10"/>
      <c r="K814" s="28"/>
      <c r="L814" s="28"/>
      <c r="N814" s="38" t="s">
        <v>104</v>
      </c>
      <c r="O814" s="28"/>
      <c r="P814" s="28"/>
      <c r="Q814" s="274"/>
      <c r="R814" s="274"/>
      <c r="S814" s="275"/>
      <c r="T814" s="261"/>
      <c r="U814" s="265" t="str">
        <f>IF(N814&lt;&gt;"",CONCATENATE(VLOOKUP(N814,[2]zawodnicy!$A$1:$E$65536,1,FALSE)," ",VLOOKUP(N814,[2]zawodnicy!$A$1:$E$65536,2,FALSE)," ",VLOOKUP(N814,[2]zawodnicy!$A$1:$E$65536,3,FALSE)," - ",VLOOKUP(N814,[2]zawodnicy!$A$1:$E$65536,4,FALSE)),"")</f>
        <v>B5199 Olivia BATKO - MKB Lednik Miastko</v>
      </c>
      <c r="V814" s="266"/>
      <c r="W814" s="267"/>
      <c r="X814" s="35"/>
      <c r="Y814" s="39" t="str">
        <f>IF(SUM(AS817:AT817)=0,"",AS817&amp;":"&amp;AT817)</f>
        <v/>
      </c>
      <c r="Z814" s="40" t="str">
        <f>IF(SUM(AS815:AT815)=0,"",AS815&amp;":"&amp;AT815)</f>
        <v/>
      </c>
      <c r="AA814" s="262"/>
      <c r="AB814" s="263"/>
      <c r="AC814" s="263"/>
      <c r="AD814" s="264"/>
      <c r="AE814" s="2"/>
      <c r="AF814" s="12"/>
      <c r="AG814" s="12"/>
      <c r="AH814" s="14"/>
      <c r="AI814" s="259" t="s">
        <v>12</v>
      </c>
      <c r="AJ814" s="269"/>
      <c r="AK814" s="268" t="s">
        <v>13</v>
      </c>
      <c r="AL814" s="269"/>
      <c r="AM814" s="268" t="s">
        <v>14</v>
      </c>
      <c r="AN814" s="260"/>
      <c r="AO814" s="259" t="s">
        <v>12</v>
      </c>
      <c r="AP814" s="269"/>
      <c r="AQ814" s="268" t="s">
        <v>13</v>
      </c>
      <c r="AR814" s="269"/>
      <c r="AS814" s="268" t="s">
        <v>14</v>
      </c>
      <c r="AT814" s="269"/>
      <c r="AU814" s="12"/>
      <c r="AV814" s="12"/>
      <c r="AW814" s="259">
        <v>1</v>
      </c>
      <c r="AX814" s="269"/>
      <c r="AY814" s="268">
        <v>2</v>
      </c>
      <c r="AZ814" s="269"/>
      <c r="BA814" s="268">
        <v>3</v>
      </c>
      <c r="BB814" s="260"/>
      <c r="BE814" s="259" t="s">
        <v>3</v>
      </c>
      <c r="BF814" s="260"/>
      <c r="BG814" s="259" t="s">
        <v>4</v>
      </c>
      <c r="BH814" s="260"/>
      <c r="BI814" s="259" t="s">
        <v>5</v>
      </c>
      <c r="BJ814" s="260"/>
      <c r="BK814" s="41" t="s">
        <v>6</v>
      </c>
      <c r="BL814" s="20"/>
    </row>
    <row r="815" spans="1:64" ht="11.45" customHeight="1" x14ac:dyDescent="0.2">
      <c r="A815" s="19">
        <f>S815</f>
        <v>3</v>
      </c>
      <c r="B815" s="2" t="str">
        <f>IF(N813="","",N813)</f>
        <v>S4544</v>
      </c>
      <c r="C815" s="2" t="str">
        <f>IF(N814="","",N814)</f>
        <v>B5199</v>
      </c>
      <c r="D815" s="2" t="str">
        <f>IF(N819="","",N819)</f>
        <v>M4225</v>
      </c>
      <c r="E815" s="2" t="str">
        <f>IF(N820="","",N820)</f>
        <v>Ś3779</v>
      </c>
      <c r="I815" s="2" t="str">
        <f>"2"&amp;O811&amp;N812</f>
        <v>22mieszana JM</v>
      </c>
      <c r="J815" s="10" t="str">
        <f>IF(AD815="","",IF(AD812=2,N813,IF(AD815=2,N816,IF(AD818=2,N819,""))))</f>
        <v>M4225</v>
      </c>
      <c r="K815" s="10" t="str">
        <f>IF(AD815="","",IF(AD812=2,N814,IF(AD815=2,N817,IF(AD818=2,N820,""))))</f>
        <v>Ś3779</v>
      </c>
      <c r="M815" s="42" t="str">
        <f>N812</f>
        <v>mieszana JM</v>
      </c>
      <c r="O815" s="28"/>
      <c r="P815" s="28"/>
      <c r="Q815" s="43" t="str">
        <f>IF(AU815&gt;0,"",IF(A815=0,"",IF(VLOOKUP(A815,'[2]plan gier'!A$1:S$65536,19,FALSE)="","",VLOOKUP(A815,'[2]plan gier'!A$1:S$65536,19,FALSE))))</f>
        <v/>
      </c>
      <c r="R815" s="44" t="s">
        <v>15</v>
      </c>
      <c r="S815" s="45">
        <v>3</v>
      </c>
      <c r="T815" s="241">
        <v>2</v>
      </c>
      <c r="U815" s="244" t="str">
        <f>IF(AND(N816&lt;&gt;"",N817&lt;&gt;""),CONCATENATE(VLOOKUP(N816,[2]zawodnicy!$A$1:$E$65536,1,FALSE)," ",VLOOKUP(N816,[2]zawodnicy!$A$1:$E$65536,2,FALSE)," ",VLOOKUP(N816,[2]zawodnicy!$A$1:$E$65536,3,FALSE)," - ",VLOOKUP(N816,[2]zawodnicy!$A$1:$E$65536,4,FALSE)),"")</f>
        <v>X56 Artem TKACHUK - Vinnica Ukraina</v>
      </c>
      <c r="V815" s="245"/>
      <c r="W815" s="246"/>
      <c r="X815" s="46" t="str">
        <f>IF(SUM(AO817:AP817)=0,"",AP817&amp;":"&amp;AO817)</f>
        <v>21:6</v>
      </c>
      <c r="Y815" s="47"/>
      <c r="Z815" s="48" t="str">
        <f>IF(SUM(AO816:AP816)=0,"",AO816&amp;":"&amp;AP816)</f>
        <v>21:19</v>
      </c>
      <c r="AA815" s="247" t="str">
        <f>IF(SUM(AW816:AX816,BA816:BB816)=0,"",BE816&amp;":"&amp;BF816)</f>
        <v>84:47</v>
      </c>
      <c r="AB815" s="250" t="str">
        <f>IF(SUM(AW816:AX816,BA816:BB816)=0,"",BG816&amp;":"&amp;BH816)</f>
        <v>4:0</v>
      </c>
      <c r="AC815" s="250" t="str">
        <f>IF(SUM(AW816:AX816,BA816:BB816)=0,"",BI816&amp;":"&amp;BJ816)</f>
        <v>2:0</v>
      </c>
      <c r="AD815" s="253">
        <f>IF(SUM(BI815:BI817)&gt;0,BK816,"")</f>
        <v>1</v>
      </c>
      <c r="AE815" s="2"/>
      <c r="AF815" s="12"/>
      <c r="AG815" s="12"/>
      <c r="AH815" s="44" t="s">
        <v>15</v>
      </c>
      <c r="AI815" s="49">
        <f>IF(ISBLANK(S815),"",VLOOKUP(S815,'[2]plan gier'!$X$1:$AN$65536,12,FALSE))</f>
        <v>14</v>
      </c>
      <c r="AJ815" s="50">
        <f>IF(ISBLANK(S815),"",VLOOKUP(S815,'[2]plan gier'!$X$1:$AN$65536,13,FALSE))</f>
        <v>21</v>
      </c>
      <c r="AK815" s="50">
        <f>IF(ISBLANK(S815),"",VLOOKUP(S815,'[2]plan gier'!$X$1:$AN$65536,14,FALSE))</f>
        <v>9</v>
      </c>
      <c r="AL815" s="50">
        <f>IF(ISBLANK(S815),"",VLOOKUP(S815,'[2]plan gier'!$X$1:$AN$65536,15,FALSE))</f>
        <v>21</v>
      </c>
      <c r="AM815" s="50">
        <f>IF(ISBLANK(S815),"",VLOOKUP(S815,'[2]plan gier'!$X$1:$AN$65536,16,FALSE))</f>
        <v>0</v>
      </c>
      <c r="AN815" s="50">
        <f>IF(ISBLANK(S815),"",VLOOKUP(S815,'[2]plan gier'!$X$1:$AN$65536,17,FALSE))</f>
        <v>0</v>
      </c>
      <c r="AO815" s="51">
        <f t="shared" ref="AO815:AT817" si="72">IF(AI815="",0,AI815)</f>
        <v>14</v>
      </c>
      <c r="AP815" s="52">
        <f t="shared" si="72"/>
        <v>21</v>
      </c>
      <c r="AQ815" s="53">
        <f t="shared" si="72"/>
        <v>9</v>
      </c>
      <c r="AR815" s="52">
        <f t="shared" si="72"/>
        <v>21</v>
      </c>
      <c r="AS815" s="53">
        <f t="shared" si="72"/>
        <v>0</v>
      </c>
      <c r="AT815" s="52">
        <f t="shared" si="72"/>
        <v>0</v>
      </c>
      <c r="AU815" s="54">
        <f>SUM(AO815:AT815)</f>
        <v>65</v>
      </c>
      <c r="AV815" s="13">
        <v>1</v>
      </c>
      <c r="AW815" s="55"/>
      <c r="AX815" s="56"/>
      <c r="AY815" s="50">
        <f>IF(AI817&gt;AJ817,1,0)+IF(AK817&gt;AL817,1,0)+IF(AM817&gt;AN817,1,0)</f>
        <v>0</v>
      </c>
      <c r="AZ815" s="50">
        <f>AW816</f>
        <v>2</v>
      </c>
      <c r="BA815" s="50">
        <f>IF(AI815&gt;AJ815,1,0)+IF(AK815&gt;AL815,1,0)+IF(AM815&gt;AN815,1,0)</f>
        <v>0</v>
      </c>
      <c r="BB815" s="57">
        <f>AW817</f>
        <v>2</v>
      </c>
      <c r="BE815" s="49">
        <f>AO815+AQ815+AS815+AO817+AQ817+AS817</f>
        <v>34</v>
      </c>
      <c r="BF815" s="57">
        <f>AP815+AR815+AT815+AP817+AR817+AT817</f>
        <v>84</v>
      </c>
      <c r="BG815" s="49">
        <f>AY815+BA815</f>
        <v>0</v>
      </c>
      <c r="BH815" s="57">
        <f>AZ815+BB815</f>
        <v>4</v>
      </c>
      <c r="BI815" s="49">
        <f>IF(AY815&gt;AZ815,1,0)+IF(BA815&gt;BB815,1,0)</f>
        <v>0</v>
      </c>
      <c r="BJ815" s="58">
        <f>IF(AZ815&gt;AY815,1,0)+IF(BB815&gt;BA815,1,0)</f>
        <v>2</v>
      </c>
      <c r="BK815" s="59">
        <f>IF(BI815+BJ815=0,"",IF(BL815=MAX(BL815:BL817),1,IF(BL815=MIN(BL815:BL817),3,2)))</f>
        <v>3</v>
      </c>
      <c r="BL815" s="60">
        <f>IF(BI815+BJ815&lt;&gt;0,BI815+1+(BG815-BH815)/100+(BE815-BF815)/100000+(BE815/BF815)/1000000,0)</f>
        <v>0.95950040476190479</v>
      </c>
    </row>
    <row r="816" spans="1:64" ht="11.45" customHeight="1" x14ac:dyDescent="0.2">
      <c r="A816" s="19">
        <f>S816</f>
        <v>68</v>
      </c>
      <c r="B816" s="2" t="str">
        <f>IF(N816="","",N816)</f>
        <v>X56</v>
      </c>
      <c r="C816" s="2" t="str">
        <f>IF(N817="","",N817)</f>
        <v>X20</v>
      </c>
      <c r="D816" s="2" t="str">
        <f>IF(N819="","",N819)</f>
        <v>M4225</v>
      </c>
      <c r="E816" s="2" t="str">
        <f>IF(N820="","",N820)</f>
        <v>Ś3779</v>
      </c>
      <c r="J816" s="10"/>
      <c r="K816" s="19"/>
      <c r="M816" s="42" t="str">
        <f>N812</f>
        <v>mieszana JM</v>
      </c>
      <c r="N816" s="33" t="s">
        <v>117</v>
      </c>
      <c r="O816" s="34">
        <f>IF(O811&gt;0,(O811&amp;2)*1,"")</f>
        <v>22</v>
      </c>
      <c r="Q816" s="43" t="str">
        <f>IF(AU816&gt;0,"",IF(A816=0,"",IF(VLOOKUP(A816,'[2]plan gier'!A$1:S$65536,19,FALSE)="","",VLOOKUP(A816,'[2]plan gier'!A$1:S$65536,19,FALSE))))</f>
        <v/>
      </c>
      <c r="R816" s="44" t="s">
        <v>17</v>
      </c>
      <c r="S816" s="45">
        <v>68</v>
      </c>
      <c r="T816" s="242"/>
      <c r="U816" s="244" t="str">
        <f>IF(AND(N816&lt;&gt;"",N817=""),CONCATENATE(VLOOKUP(N816,[2]zawodnicy!$A$1:$E$65536,1,FALSE)," ",VLOOKUP(N816,[2]zawodnicy!$A$1:$E$65536,2,FALSE)," ",VLOOKUP(N816,[2]zawodnicy!$A$1:$E$65536,3,FALSE)," - ",VLOOKUP(N816,[2]zawodnicy!$A$1:$E$65536,4,FALSE)),"")</f>
        <v/>
      </c>
      <c r="V816" s="245"/>
      <c r="W816" s="246"/>
      <c r="X816" s="61" t="str">
        <f>IF(SUM(AQ817:AR817)=0,"",AR817&amp;":"&amp;AQ817)</f>
        <v>21:5</v>
      </c>
      <c r="Y816" s="62"/>
      <c r="Z816" s="37" t="str">
        <f>IF(SUM(AQ816:AR816)=0,"",AQ816&amp;":"&amp;AR816)</f>
        <v>21:17</v>
      </c>
      <c r="AA816" s="248"/>
      <c r="AB816" s="251"/>
      <c r="AC816" s="251"/>
      <c r="AD816" s="254"/>
      <c r="AE816" s="2"/>
      <c r="AF816" s="12"/>
      <c r="AG816" s="12"/>
      <c r="AH816" s="44" t="s">
        <v>17</v>
      </c>
      <c r="AI816" s="63">
        <f>IF(ISBLANK(S816),"",VLOOKUP(S816,'[2]plan gier'!$X$1:$AN$65536,12,FALSE))</f>
        <v>21</v>
      </c>
      <c r="AJ816" s="64">
        <f>IF(ISBLANK(S816),"",VLOOKUP(S816,'[2]plan gier'!$X$1:$AN$65536,13,FALSE))</f>
        <v>19</v>
      </c>
      <c r="AK816" s="64">
        <f>IF(ISBLANK(S816),"",VLOOKUP(S816,'[2]plan gier'!$X$1:$AN$65536,14,FALSE))</f>
        <v>21</v>
      </c>
      <c r="AL816" s="64">
        <f>IF(ISBLANK(S816),"",VLOOKUP(S816,'[2]plan gier'!$X$1:$AN$65536,15,FALSE))</f>
        <v>17</v>
      </c>
      <c r="AM816" s="64">
        <f>IF(ISBLANK(S816),"",VLOOKUP(S816,'[2]plan gier'!$X$1:$AN$65536,16,FALSE))</f>
        <v>0</v>
      </c>
      <c r="AN816" s="64">
        <f>IF(ISBLANK(S816),"",VLOOKUP(S816,'[2]plan gier'!$X$1:$AN$65536,17,FALSE))</f>
        <v>0</v>
      </c>
      <c r="AO816" s="65">
        <f t="shared" si="72"/>
        <v>21</v>
      </c>
      <c r="AP816" s="64">
        <f t="shared" si="72"/>
        <v>19</v>
      </c>
      <c r="AQ816" s="66">
        <f t="shared" si="72"/>
        <v>21</v>
      </c>
      <c r="AR816" s="64">
        <f t="shared" si="72"/>
        <v>17</v>
      </c>
      <c r="AS816" s="66">
        <f t="shared" si="72"/>
        <v>0</v>
      </c>
      <c r="AT816" s="64">
        <f t="shared" si="72"/>
        <v>0</v>
      </c>
      <c r="AU816" s="54">
        <f>SUM(AO816:AT816)</f>
        <v>78</v>
      </c>
      <c r="AV816" s="13">
        <v>2</v>
      </c>
      <c r="AW816" s="63">
        <f>IF(AI817&lt;AJ817,1,0)+IF(AK817&lt;AL817,1,0)+IF(AM817&lt;AN817,1,0)</f>
        <v>2</v>
      </c>
      <c r="AX816" s="64">
        <f>AY815</f>
        <v>0</v>
      </c>
      <c r="AY816" s="67"/>
      <c r="AZ816" s="68"/>
      <c r="BA816" s="64">
        <f>IF(AI816&gt;AJ816,1,0)+IF(AK816&gt;AL816,1,0)+IF(AM816&gt;AN816,1,0)</f>
        <v>2</v>
      </c>
      <c r="BB816" s="69">
        <f>AY817</f>
        <v>0</v>
      </c>
      <c r="BE816" s="63">
        <f>AO816+AQ816+AS816+AP817+AR817+AT817</f>
        <v>84</v>
      </c>
      <c r="BF816" s="69">
        <f>AP816+AR816+AT816+AO817+AQ817+AS817</f>
        <v>47</v>
      </c>
      <c r="BG816" s="63">
        <f>AW816+BA816</f>
        <v>4</v>
      </c>
      <c r="BH816" s="69">
        <f>AX816+BB816</f>
        <v>0</v>
      </c>
      <c r="BI816" s="63">
        <f>IF(AW816&gt;AX816,1,0)+IF(BA816&gt;BB816,1,0)</f>
        <v>2</v>
      </c>
      <c r="BJ816" s="70">
        <f>IF(AX816&gt;AW816,1,0)+IF(BB816&gt;BA816,1,0)</f>
        <v>0</v>
      </c>
      <c r="BK816" s="71">
        <f>IF(BI816+BJ816=0,"",IF(BL816=MAX(BL815:BL817),1,IF(BL816=MIN(BL815:BL817),3,2)))</f>
        <v>1</v>
      </c>
      <c r="BL816" s="60">
        <f>IF(BI816+BJ816&lt;&gt;0,BI816+1+(BG816-BH816)/100+(BE816-BF816)/100000+(BE816/BF816)/1000000,0)</f>
        <v>3.0403717872340428</v>
      </c>
    </row>
    <row r="817" spans="1:64" ht="11.45" customHeight="1" thickBot="1" x14ac:dyDescent="0.25">
      <c r="A817" s="19">
        <f>S817</f>
        <v>133</v>
      </c>
      <c r="B817" s="2" t="str">
        <f>IF(N813="","",N813)</f>
        <v>S4544</v>
      </c>
      <c r="C817" s="2" t="str">
        <f>IF(N814="","",N814)</f>
        <v>B5199</v>
      </c>
      <c r="D817" s="2" t="str">
        <f>IF(N816="","",N816)</f>
        <v>X56</v>
      </c>
      <c r="E817" s="2" t="str">
        <f>IF(N817="","",N817)</f>
        <v>X20</v>
      </c>
      <c r="I817" s="2" t="str">
        <f>"3"&amp;O811&amp;N812</f>
        <v>32mieszana JM</v>
      </c>
      <c r="J817" s="10" t="str">
        <f>IF(AD818="","",IF(AD812=3,N813,IF(AD815=3,N816,IF(AD818=3,N819,""))))</f>
        <v>S4544</v>
      </c>
      <c r="K817" s="10" t="str">
        <f>IF(AD818="","",IF(AD812=3,N814,IF(AD815=3,N817,IF(AD818=3,N820,""))))</f>
        <v>B5199</v>
      </c>
      <c r="M817" s="42" t="str">
        <f>N812</f>
        <v>mieszana JM</v>
      </c>
      <c r="N817" s="38" t="s">
        <v>100</v>
      </c>
      <c r="O817" s="28"/>
      <c r="P817" s="28"/>
      <c r="Q817" s="43" t="str">
        <f>IF(AU817&gt;0,"",IF(A817=0,"",IF(VLOOKUP(A817,'[2]plan gier'!A$1:S$65536,19,FALSE)="","",VLOOKUP(A817,'[2]plan gier'!A$1:S$65536,19,FALSE))))</f>
        <v/>
      </c>
      <c r="R817" s="72" t="s">
        <v>18</v>
      </c>
      <c r="S817" s="45">
        <v>133</v>
      </c>
      <c r="T817" s="261"/>
      <c r="U817" s="265" t="str">
        <f>IF(N817&lt;&gt;"",CONCATENATE(VLOOKUP(N817,[2]zawodnicy!$A$1:$E$65536,1,FALSE)," ",VLOOKUP(N817,[2]zawodnicy!$A$1:$E$65536,2,FALSE)," ",VLOOKUP(N817,[2]zawodnicy!$A$1:$E$65536,3,FALSE)," - ",VLOOKUP(N817,[2]zawodnicy!$A$1:$E$65536,4,FALSE)),"")</f>
        <v>X20 Inna SEBOVA - Vinnica Ukraina</v>
      </c>
      <c r="V817" s="266"/>
      <c r="W817" s="267"/>
      <c r="X817" s="73" t="str">
        <f>IF(SUM(AS817:AT817)=0,"",AT817&amp;":"&amp;AS817)</f>
        <v/>
      </c>
      <c r="Y817" s="62"/>
      <c r="Z817" s="40" t="str">
        <f>IF(SUM(AS816:AT816)=0,"",AS816&amp;":"&amp;AT816)</f>
        <v/>
      </c>
      <c r="AA817" s="262"/>
      <c r="AB817" s="263"/>
      <c r="AC817" s="263"/>
      <c r="AD817" s="264"/>
      <c r="AE817" s="2"/>
      <c r="AF817" s="12"/>
      <c r="AG817" s="12"/>
      <c r="AH817" s="72" t="s">
        <v>18</v>
      </c>
      <c r="AI817" s="74">
        <f>IF(ISBLANK(S817),"",VLOOKUP(S817,'[2]plan gier'!$X$1:$AN$65536,12,FALSE))</f>
        <v>6</v>
      </c>
      <c r="AJ817" s="75">
        <f>IF(ISBLANK(S817),"",VLOOKUP(S817,'[2]plan gier'!$X$1:$AN$65536,13,FALSE))</f>
        <v>21</v>
      </c>
      <c r="AK817" s="75">
        <f>IF(ISBLANK(S817),"",VLOOKUP(S817,'[2]plan gier'!$X$1:$AN$65536,14,FALSE))</f>
        <v>5</v>
      </c>
      <c r="AL817" s="75">
        <f>IF(ISBLANK(S817),"",VLOOKUP(S817,'[2]plan gier'!$X$1:$AN$65536,15,FALSE))</f>
        <v>21</v>
      </c>
      <c r="AM817" s="75">
        <f>IF(ISBLANK(S817),"",VLOOKUP(S817,'[2]plan gier'!$X$1:$AN$65536,16,FALSE))</f>
        <v>0</v>
      </c>
      <c r="AN817" s="75">
        <f>IF(ISBLANK(S817),"",VLOOKUP(S817,'[2]plan gier'!$X$1:$AN$65536,17,FALSE))</f>
        <v>0</v>
      </c>
      <c r="AO817" s="76">
        <f t="shared" si="72"/>
        <v>6</v>
      </c>
      <c r="AP817" s="75">
        <f t="shared" si="72"/>
        <v>21</v>
      </c>
      <c r="AQ817" s="77">
        <f t="shared" si="72"/>
        <v>5</v>
      </c>
      <c r="AR817" s="75">
        <f t="shared" si="72"/>
        <v>21</v>
      </c>
      <c r="AS817" s="77">
        <f t="shared" si="72"/>
        <v>0</v>
      </c>
      <c r="AT817" s="75">
        <f t="shared" si="72"/>
        <v>0</v>
      </c>
      <c r="AU817" s="54">
        <f>SUM(AO817:AT817)</f>
        <v>53</v>
      </c>
      <c r="AV817" s="13">
        <v>3</v>
      </c>
      <c r="AW817" s="74">
        <f>IF(AI815&lt;AJ815,1,0)+IF(AK815&lt;AL815,1,0)+IF(AM815&lt;AN815,1,0)</f>
        <v>2</v>
      </c>
      <c r="AX817" s="75">
        <f>BA815</f>
        <v>0</v>
      </c>
      <c r="AY817" s="75">
        <f>IF(AI816&lt;AJ816,1,0)+IF(AK816&lt;AL816,1,0)+IF(AM816&lt;AN816,1,0)</f>
        <v>0</v>
      </c>
      <c r="AZ817" s="75">
        <f>BA816</f>
        <v>2</v>
      </c>
      <c r="BA817" s="78"/>
      <c r="BB817" s="79"/>
      <c r="BE817" s="74">
        <f>AP815+AR815+AT815+AP816+AR816+AT816</f>
        <v>78</v>
      </c>
      <c r="BF817" s="80">
        <f>AO815+AQ815+AS815+AO816+AQ816+AS816</f>
        <v>65</v>
      </c>
      <c r="BG817" s="74">
        <f>AW817+AY817</f>
        <v>2</v>
      </c>
      <c r="BH817" s="80">
        <f>AX817+AZ817</f>
        <v>2</v>
      </c>
      <c r="BI817" s="74">
        <f>IF(AW817&gt;AX817,1,0)+IF(AY817&gt;AZ817,1,0)</f>
        <v>1</v>
      </c>
      <c r="BJ817" s="81">
        <f>IF(AX817&gt;AW817,1,0)+IF(AZ817&gt;AY817,1,0)</f>
        <v>1</v>
      </c>
      <c r="BK817" s="82">
        <f>IF(BI817+BJ817=0,"",IF(BL817=MAX(BL815:BL817),1,IF(BL817=MIN(BL815:BL817),3,2)))</f>
        <v>2</v>
      </c>
      <c r="BL817" s="60">
        <f>IF(BI817+BJ817&lt;&gt;0,BI817+1+(BG817-BH817)/100+(BE817-BF817)/100000+(BE817/BF817)/1000000,0)</f>
        <v>2.0001311999999998</v>
      </c>
    </row>
    <row r="818" spans="1:64" ht="11.45" customHeight="1" x14ac:dyDescent="0.2">
      <c r="A818" s="2"/>
      <c r="J818" s="28"/>
      <c r="K818" s="28"/>
      <c r="L818" s="28"/>
      <c r="O818" s="28"/>
      <c r="P818" s="28"/>
      <c r="Q818" s="2"/>
      <c r="R818" s="2"/>
      <c r="S818" s="2"/>
      <c r="T818" s="241">
        <v>3</v>
      </c>
      <c r="U818" s="244" t="str">
        <f>IF(AND(N819&lt;&gt;"",N820&lt;&gt;""),CONCATENATE(VLOOKUP(N819,[2]zawodnicy!$A$1:$E$65536,1,FALSE)," ",VLOOKUP(N819,[2]zawodnicy!$A$1:$E$65536,2,FALSE)," ",VLOOKUP(N819,[2]zawodnicy!$A$1:$E$65536,3,FALSE)," - ",VLOOKUP(N819,[2]zawodnicy!$A$1:$E$65536,4,FALSE)),"")</f>
        <v>M4225 Bartosz MARKIEWICZ - MLKS Solec Kuj.</v>
      </c>
      <c r="V818" s="245"/>
      <c r="W818" s="246"/>
      <c r="X818" s="46" t="str">
        <f>IF(SUM(AO815:AP815)=0,"",AP815&amp;":"&amp;AO815)</f>
        <v>21:14</v>
      </c>
      <c r="Y818" s="83" t="str">
        <f>IF(SUM(AO816:AP816)=0,"",AP816&amp;":"&amp;AO816)</f>
        <v>19:21</v>
      </c>
      <c r="Z818" s="84"/>
      <c r="AA818" s="247" t="str">
        <f>IF(SUM(AW817:AZ817)=0,"",BE817&amp;":"&amp;BF817)</f>
        <v>78:65</v>
      </c>
      <c r="AB818" s="250" t="str">
        <f>IF(SUM(AW817:AZ817)=0,"",BG817&amp;":"&amp;BH817)</f>
        <v>2:2</v>
      </c>
      <c r="AC818" s="250" t="str">
        <f>IF(SUM(AW817:AZ817)=0,"",BI817&amp;":"&amp;BJ817)</f>
        <v>1:1</v>
      </c>
      <c r="AD818" s="253">
        <f>IF(SUM(BI815:BI817)&gt;0,BK817,"")</f>
        <v>2</v>
      </c>
      <c r="AE818" s="2"/>
      <c r="AF818" s="12"/>
      <c r="AG818" s="12"/>
      <c r="BE818" s="19">
        <f>SUM(BE815:BE817)</f>
        <v>196</v>
      </c>
      <c r="BF818" s="19">
        <f>SUM(BF815:BF817)</f>
        <v>196</v>
      </c>
      <c r="BG818" s="19">
        <f>SUM(BG815:BG817)</f>
        <v>6</v>
      </c>
      <c r="BH818" s="19">
        <f>SUM(BH815:BH817)</f>
        <v>6</v>
      </c>
      <c r="BK818" s="19"/>
      <c r="BL818" s="20"/>
    </row>
    <row r="819" spans="1:64" ht="11.45" customHeight="1" x14ac:dyDescent="0.2">
      <c r="A819" s="19"/>
      <c r="J819" s="19"/>
      <c r="K819" s="19"/>
      <c r="L819" s="19"/>
      <c r="N819" s="33" t="s">
        <v>115</v>
      </c>
      <c r="O819" s="34">
        <f>IF(O811&gt;0,(O811&amp;3)*1,"")</f>
        <v>23</v>
      </c>
      <c r="Q819" s="85"/>
      <c r="R819" s="85"/>
      <c r="S819" s="85"/>
      <c r="T819" s="242"/>
      <c r="U819" s="244" t="str">
        <f>IF(AND(N819&lt;&gt;"",N820=""),CONCATENATE(VLOOKUP(N819,[2]zawodnicy!$A$1:$E$65536,1,FALSE)," ",VLOOKUP(N819,[2]zawodnicy!$A$1:$E$65536,2,FALSE)," ",VLOOKUP(N819,[2]zawodnicy!$A$1:$E$65536,3,FALSE)," - ",VLOOKUP(N819,[2]zawodnicy!$A$1:$E$65536,4,FALSE)),"")</f>
        <v/>
      </c>
      <c r="V819" s="245"/>
      <c r="W819" s="246"/>
      <c r="X819" s="61" t="str">
        <f>IF(SUM(AQ815:AR815)=0,"",AR815&amp;":"&amp;AQ815)</f>
        <v>21:9</v>
      </c>
      <c r="Y819" s="36" t="str">
        <f>IF(SUM(AQ816:AR816)=0,"",AR816&amp;":"&amp;AQ816)</f>
        <v>17:21</v>
      </c>
      <c r="Z819" s="86"/>
      <c r="AA819" s="248"/>
      <c r="AB819" s="251"/>
      <c r="AC819" s="251"/>
      <c r="AD819" s="254"/>
      <c r="AE819" s="2"/>
      <c r="AF819" s="12"/>
      <c r="AG819" s="1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row>
    <row r="820" spans="1:64" ht="11.45" customHeight="1" thickBot="1" x14ac:dyDescent="0.25">
      <c r="A820" s="2"/>
      <c r="J820" s="28"/>
      <c r="K820" s="28"/>
      <c r="L820" s="28"/>
      <c r="N820" s="38" t="s">
        <v>99</v>
      </c>
      <c r="O820" s="28"/>
      <c r="P820" s="28"/>
      <c r="Q820" s="2"/>
      <c r="R820" s="2"/>
      <c r="S820" s="2"/>
      <c r="T820" s="243"/>
      <c r="U820" s="256" t="str">
        <f>IF(N820&lt;&gt;"",CONCATENATE(VLOOKUP(N820,[2]zawodnicy!$A$1:$E$65536,1,FALSE)," ",VLOOKUP(N820,[2]zawodnicy!$A$1:$E$65536,2,FALSE)," ",VLOOKUP(N820,[2]zawodnicy!$A$1:$E$65536,3,FALSE)," - ",VLOOKUP(N820,[2]zawodnicy!$A$1:$E$65536,4,FALSE)),"")</f>
        <v>Ś3779 Magdalena ŚWIERCZYŃSKA - UKS Orkan Przeźmierowo</v>
      </c>
      <c r="V820" s="257"/>
      <c r="W820" s="258"/>
      <c r="X820" s="87" t="str">
        <f>IF(SUM(AS815:AT815)=0,"",AT815&amp;":"&amp;AS815)</f>
        <v/>
      </c>
      <c r="Y820" s="88" t="str">
        <f>IF(SUM(AS816:AT816)=0,"",AT816&amp;":"&amp;AS816)</f>
        <v/>
      </c>
      <c r="Z820" s="89"/>
      <c r="AA820" s="249"/>
      <c r="AB820" s="252"/>
      <c r="AC820" s="252"/>
      <c r="AD820" s="255"/>
      <c r="AE820" s="10"/>
      <c r="AF820" s="12"/>
      <c r="AG820" s="1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row>
    <row r="821" spans="1:64" s="19" customFormat="1" ht="5.0999999999999996" customHeight="1" thickBot="1" x14ac:dyDescent="0.25">
      <c r="M821" s="90"/>
      <c r="O821" s="90"/>
      <c r="P821" s="90"/>
      <c r="Q821" s="91"/>
      <c r="R821" s="91"/>
      <c r="S821" s="91"/>
      <c r="T821" s="91"/>
      <c r="U821" s="5"/>
      <c r="V821" s="5"/>
      <c r="W821" s="5"/>
      <c r="AA821" s="92"/>
      <c r="AB821" s="91"/>
      <c r="AC821" s="91"/>
      <c r="AD821" s="91"/>
      <c r="AE821" s="91"/>
      <c r="AF821" s="91"/>
      <c r="AI821" s="93"/>
      <c r="AJ821" s="94"/>
      <c r="AK821" s="94"/>
    </row>
    <row r="822" spans="1:64" ht="11.45" customHeight="1" thickBot="1" x14ac:dyDescent="0.25">
      <c r="N822" s="11"/>
      <c r="O822" s="21">
        <v>3</v>
      </c>
      <c r="Q822" s="277" t="str">
        <f>"Grupa "&amp;O822&amp;"."</f>
        <v>Grupa 3.</v>
      </c>
      <c r="R822" s="277"/>
      <c r="S822" s="277"/>
      <c r="T822" s="22" t="s">
        <v>1</v>
      </c>
      <c r="U822" s="278" t="s">
        <v>2</v>
      </c>
      <c r="V822" s="279"/>
      <c r="W822" s="280"/>
      <c r="X822" s="22">
        <v>1</v>
      </c>
      <c r="Y822" s="23">
        <v>2</v>
      </c>
      <c r="Z822" s="24">
        <v>3</v>
      </c>
      <c r="AA822" s="25" t="s">
        <v>3</v>
      </c>
      <c r="AB822" s="26" t="s">
        <v>4</v>
      </c>
      <c r="AC822" s="26" t="s">
        <v>5</v>
      </c>
      <c r="AD822" s="27" t="s">
        <v>6</v>
      </c>
      <c r="AE822" s="2"/>
      <c r="AF822" s="12"/>
      <c r="AG822" s="12"/>
      <c r="BK822" s="19"/>
      <c r="BL822" s="20"/>
    </row>
    <row r="823" spans="1:64" ht="11.45" customHeight="1" x14ac:dyDescent="0.2">
      <c r="J823" s="28"/>
      <c r="K823" s="28"/>
      <c r="L823" s="28"/>
      <c r="N823" s="29" t="s">
        <v>152</v>
      </c>
      <c r="Q823" s="274" t="s">
        <v>7</v>
      </c>
      <c r="R823" s="274"/>
      <c r="S823" s="275" t="s">
        <v>8</v>
      </c>
      <c r="T823" s="276">
        <v>1</v>
      </c>
      <c r="U823" s="244" t="str">
        <f>IF(AND(N824&lt;&gt;"",N825&lt;&gt;""),CONCATENATE(VLOOKUP(N824,[2]zawodnicy!$A$1:$E$65536,1,FALSE)," ",VLOOKUP(N824,[2]zawodnicy!$A$1:$E$65536,2,FALSE)," ",VLOOKUP(N824,[2]zawodnicy!$A$1:$E$65536,3,FALSE)," - ",VLOOKUP(N824,[2]zawodnicy!$A$1:$E$65536,4,FALSE)),"")</f>
        <v>W4049 Kamil WUDARSKI - UKS Iskra Sarbice</v>
      </c>
      <c r="V823" s="245"/>
      <c r="W823" s="246"/>
      <c r="X823" s="30"/>
      <c r="Y823" s="31" t="str">
        <f>IF(SUM(AO828:AP828)=0,"",AO828&amp;":"&amp;AP828)</f>
        <v>21:17</v>
      </c>
      <c r="Z823" s="32" t="str">
        <f>IF(SUM(AO826:AP826)=0,"",AO826&amp;":"&amp;AP826)</f>
        <v>21:13</v>
      </c>
      <c r="AA823" s="270" t="str">
        <f>IF(SUM(AY826:BB826)=0,"",BE826&amp;":"&amp;BF826)</f>
        <v>101:77</v>
      </c>
      <c r="AB823" s="271" t="str">
        <f>IF(SUM(AY826:BB826)=0,"",BG826&amp;":"&amp;BH826)</f>
        <v>4:1</v>
      </c>
      <c r="AC823" s="271" t="str">
        <f>IF(SUM(AY826:BB826)=0,"",BI826&amp;":"&amp;BJ826)</f>
        <v>2:0</v>
      </c>
      <c r="AD823" s="272">
        <f>IF(SUM(BI826:BI828)&gt;0,BK826,"")</f>
        <v>1</v>
      </c>
      <c r="AE823" s="2"/>
      <c r="AF823" s="12"/>
      <c r="AG823" s="12"/>
      <c r="AH823" s="14"/>
      <c r="AI823" s="273" t="s">
        <v>9</v>
      </c>
      <c r="AJ823" s="273"/>
      <c r="AK823" s="273"/>
      <c r="AL823" s="273"/>
      <c r="AM823" s="273"/>
      <c r="AN823" s="273"/>
      <c r="AO823" s="273" t="s">
        <v>10</v>
      </c>
      <c r="AP823" s="273"/>
      <c r="AQ823" s="273"/>
      <c r="AR823" s="273"/>
      <c r="AS823" s="273"/>
      <c r="AT823" s="273"/>
      <c r="BK823" s="19"/>
      <c r="BL823" s="20"/>
    </row>
    <row r="824" spans="1:64" ht="11.45" customHeight="1" thickBot="1" x14ac:dyDescent="0.25">
      <c r="I824" s="2" t="str">
        <f>"1"&amp;O822&amp;N823</f>
        <v>13mieszana JM</v>
      </c>
      <c r="J824" s="10" t="str">
        <f>IF(AD823="","",IF(AD823=1,N824,IF(AD826=1,N827,IF(AD829=1,N830,""))))</f>
        <v>W4049</v>
      </c>
      <c r="K824" s="10" t="str">
        <f>IF(AD823="","",IF(AD823=1,N825,IF(AD826=1,N828,IF(AD829=1,N831,""))))</f>
        <v>C3958</v>
      </c>
      <c r="L824" s="10"/>
      <c r="N824" s="33" t="s">
        <v>150</v>
      </c>
      <c r="O824" s="34">
        <f>IF(O822&gt;0,(O822&amp;1)*1,"")</f>
        <v>31</v>
      </c>
      <c r="Q824" s="274"/>
      <c r="R824" s="274"/>
      <c r="S824" s="275"/>
      <c r="T824" s="242"/>
      <c r="U824" s="244" t="str">
        <f>IF(AND(N824&lt;&gt;"",N825=""),CONCATENATE(VLOOKUP(N824,[2]zawodnicy!$A$1:$E$65536,1,FALSE)," ",VLOOKUP(N824,[2]zawodnicy!$A$1:$E$65536,2,FALSE)," ",VLOOKUP(N824,[2]zawodnicy!$A$1:$E$65536,3,FALSE)," - ",VLOOKUP(N824,[2]zawodnicy!$A$1:$E$65536,4,FALSE)),"")</f>
        <v/>
      </c>
      <c r="V824" s="245"/>
      <c r="W824" s="246"/>
      <c r="X824" s="35"/>
      <c r="Y824" s="36" t="str">
        <f>IF(SUM(AQ828:AR828)=0,"",AQ828&amp;":"&amp;AR828)</f>
        <v>17:21</v>
      </c>
      <c r="Z824" s="37" t="str">
        <f>IF(SUM(AQ826:AR826)=0,"",AQ826&amp;":"&amp;AR826)</f>
        <v>21:13</v>
      </c>
      <c r="AA824" s="248"/>
      <c r="AB824" s="251"/>
      <c r="AC824" s="251"/>
      <c r="AD824" s="254"/>
      <c r="AE824" s="2"/>
      <c r="AF824" s="12"/>
      <c r="AG824" s="12"/>
      <c r="AH824" s="14"/>
      <c r="BE824" s="19">
        <f>SUM(BE826:BE828)</f>
        <v>262</v>
      </c>
      <c r="BF824" s="19">
        <f>SUM(BF826:BF828)</f>
        <v>262</v>
      </c>
      <c r="BG824" s="19">
        <f>SUM(BG826:BG828)</f>
        <v>7</v>
      </c>
      <c r="BH824" s="19">
        <f>SUM(BH826:BH828)</f>
        <v>7</v>
      </c>
      <c r="BK824" s="19"/>
      <c r="BL824" s="20"/>
    </row>
    <row r="825" spans="1:64" ht="11.45" customHeight="1" thickBot="1" x14ac:dyDescent="0.25">
      <c r="J825" s="10"/>
      <c r="K825" s="28"/>
      <c r="L825" s="28"/>
      <c r="N825" s="38" t="s">
        <v>143</v>
      </c>
      <c r="O825" s="28"/>
      <c r="P825" s="28"/>
      <c r="Q825" s="274"/>
      <c r="R825" s="274"/>
      <c r="S825" s="275"/>
      <c r="T825" s="261"/>
      <c r="U825" s="265" t="str">
        <f>IF(N825&lt;&gt;"",CONCATENATE(VLOOKUP(N825,[2]zawodnicy!$A$1:$E$65536,1,FALSE)," ",VLOOKUP(N825,[2]zawodnicy!$A$1:$E$65536,2,FALSE)," ",VLOOKUP(N825,[2]zawodnicy!$A$1:$E$65536,3,FALSE)," - ",VLOOKUP(N825,[2]zawodnicy!$A$1:$E$65536,4,FALSE)),"")</f>
        <v>C3958 Milena CICHOMSKA - UKS Iskra Sarbice</v>
      </c>
      <c r="V825" s="266"/>
      <c r="W825" s="267"/>
      <c r="X825" s="35"/>
      <c r="Y825" s="39" t="str">
        <f>IF(SUM(AS828:AT828)=0,"",AS828&amp;":"&amp;AT828)</f>
        <v>21:13</v>
      </c>
      <c r="Z825" s="40" t="str">
        <f>IF(SUM(AS826:AT826)=0,"",AS826&amp;":"&amp;AT826)</f>
        <v/>
      </c>
      <c r="AA825" s="262"/>
      <c r="AB825" s="263"/>
      <c r="AC825" s="263"/>
      <c r="AD825" s="264"/>
      <c r="AE825" s="2"/>
      <c r="AF825" s="12"/>
      <c r="AG825" s="12"/>
      <c r="AH825" s="14"/>
      <c r="AI825" s="259" t="s">
        <v>12</v>
      </c>
      <c r="AJ825" s="269"/>
      <c r="AK825" s="268" t="s">
        <v>13</v>
      </c>
      <c r="AL825" s="269"/>
      <c r="AM825" s="268" t="s">
        <v>14</v>
      </c>
      <c r="AN825" s="260"/>
      <c r="AO825" s="259" t="s">
        <v>12</v>
      </c>
      <c r="AP825" s="269"/>
      <c r="AQ825" s="268" t="s">
        <v>13</v>
      </c>
      <c r="AR825" s="269"/>
      <c r="AS825" s="268" t="s">
        <v>14</v>
      </c>
      <c r="AT825" s="269"/>
      <c r="AU825" s="12"/>
      <c r="AV825" s="12"/>
      <c r="AW825" s="259">
        <v>1</v>
      </c>
      <c r="AX825" s="269"/>
      <c r="AY825" s="268">
        <v>2</v>
      </c>
      <c r="AZ825" s="269"/>
      <c r="BA825" s="268">
        <v>3</v>
      </c>
      <c r="BB825" s="260"/>
      <c r="BE825" s="259" t="s">
        <v>3</v>
      </c>
      <c r="BF825" s="260"/>
      <c r="BG825" s="259" t="s">
        <v>4</v>
      </c>
      <c r="BH825" s="260"/>
      <c r="BI825" s="259" t="s">
        <v>5</v>
      </c>
      <c r="BJ825" s="260"/>
      <c r="BK825" s="41" t="s">
        <v>6</v>
      </c>
      <c r="BL825" s="20"/>
    </row>
    <row r="826" spans="1:64" ht="11.45" customHeight="1" x14ac:dyDescent="0.2">
      <c r="A826" s="19">
        <f>S826</f>
        <v>4</v>
      </c>
      <c r="B826" s="2" t="str">
        <f>IF(N824="","",N824)</f>
        <v>W4049</v>
      </c>
      <c r="C826" s="2" t="str">
        <f>IF(N825="","",N825)</f>
        <v>C3958</v>
      </c>
      <c r="D826" s="2" t="str">
        <f>IF(N830="","",N830)</f>
        <v>O2779</v>
      </c>
      <c r="E826" s="2" t="str">
        <f>IF(N831="","",N831)</f>
        <v>K4084</v>
      </c>
      <c r="I826" s="2" t="str">
        <f>"2"&amp;O822&amp;N823</f>
        <v>23mieszana JM</v>
      </c>
      <c r="J826" s="10" t="str">
        <f>IF(AD826="","",IF(AD823=2,N824,IF(AD826=2,N827,IF(AD829=2,N830,""))))</f>
        <v>F4256</v>
      </c>
      <c r="K826" s="10" t="str">
        <f>IF(AD826="","",IF(AD823=2,N825,IF(AD826=2,N828,IF(AD829=2,N831,""))))</f>
        <v>K4207</v>
      </c>
      <c r="M826" s="42" t="str">
        <f>N823</f>
        <v>mieszana JM</v>
      </c>
      <c r="O826" s="28"/>
      <c r="P826" s="28"/>
      <c r="Q826" s="43" t="str">
        <f>IF(AU826&gt;0,"",IF(A826=0,"",IF(VLOOKUP(A826,'[2]plan gier'!A$1:S$65536,19,FALSE)="","",VLOOKUP(A826,'[2]plan gier'!A$1:S$65536,19,FALSE))))</f>
        <v/>
      </c>
      <c r="R826" s="44" t="s">
        <v>15</v>
      </c>
      <c r="S826" s="45">
        <v>4</v>
      </c>
      <c r="T826" s="241">
        <v>2</v>
      </c>
      <c r="U826" s="244" t="str">
        <f>IF(AND(N827&lt;&gt;"",N828&lt;&gt;""),CONCATENATE(VLOOKUP(N827,[2]zawodnicy!$A$1:$E$65536,1,FALSE)," ",VLOOKUP(N827,[2]zawodnicy!$A$1:$E$65536,2,FALSE)," ",VLOOKUP(N827,[2]zawodnicy!$A$1:$E$65536,3,FALSE)," - ",VLOOKUP(N827,[2]zawodnicy!$A$1:$E$65536,4,FALSE)),"")</f>
        <v>F4256 Kacper FRYSZCZYN - KS Hubertus Zalesie Górne</v>
      </c>
      <c r="V826" s="245"/>
      <c r="W826" s="246"/>
      <c r="X826" s="46" t="str">
        <f>IF(SUM(AO828:AP828)=0,"",AP828&amp;":"&amp;AO828)</f>
        <v>17:21</v>
      </c>
      <c r="Y826" s="47"/>
      <c r="Z826" s="48" t="str">
        <f>IF(SUM(AO827:AP827)=0,"",AO827&amp;":"&amp;AP827)</f>
        <v>21:19</v>
      </c>
      <c r="AA826" s="247" t="str">
        <f>IF(SUM(AW827:AX827,BA827:BB827)=0,"",BE827&amp;":"&amp;BF827)</f>
        <v>95:99</v>
      </c>
      <c r="AB826" s="250" t="str">
        <f>IF(SUM(AW827:AX827,BA827:BB827)=0,"",BG827&amp;":"&amp;BH827)</f>
        <v>3:2</v>
      </c>
      <c r="AC826" s="250" t="str">
        <f>IF(SUM(AW827:AX827,BA827:BB827)=0,"",BI827&amp;":"&amp;BJ827)</f>
        <v>1:1</v>
      </c>
      <c r="AD826" s="253">
        <f>IF(SUM(BI826:BI828)&gt;0,BK827,"")</f>
        <v>2</v>
      </c>
      <c r="AE826" s="2"/>
      <c r="AF826" s="12"/>
      <c r="AG826" s="12"/>
      <c r="AH826" s="44" t="s">
        <v>15</v>
      </c>
      <c r="AI826" s="49">
        <f>IF(ISBLANK(S826),"",VLOOKUP(S826,'[2]plan gier'!$X$1:$AN$65536,12,FALSE))</f>
        <v>21</v>
      </c>
      <c r="AJ826" s="50">
        <f>IF(ISBLANK(S826),"",VLOOKUP(S826,'[2]plan gier'!$X$1:$AN$65536,13,FALSE))</f>
        <v>13</v>
      </c>
      <c r="AK826" s="50">
        <f>IF(ISBLANK(S826),"",VLOOKUP(S826,'[2]plan gier'!$X$1:$AN$65536,14,FALSE))</f>
        <v>21</v>
      </c>
      <c r="AL826" s="50">
        <f>IF(ISBLANK(S826),"",VLOOKUP(S826,'[2]plan gier'!$X$1:$AN$65536,15,FALSE))</f>
        <v>13</v>
      </c>
      <c r="AM826" s="50">
        <f>IF(ISBLANK(S826),"",VLOOKUP(S826,'[2]plan gier'!$X$1:$AN$65536,16,FALSE))</f>
        <v>0</v>
      </c>
      <c r="AN826" s="50">
        <f>IF(ISBLANK(S826),"",VLOOKUP(S826,'[2]plan gier'!$X$1:$AN$65536,17,FALSE))</f>
        <v>0</v>
      </c>
      <c r="AO826" s="51">
        <f t="shared" ref="AO826:AT828" si="73">IF(AI826="",0,AI826)</f>
        <v>21</v>
      </c>
      <c r="AP826" s="52">
        <f t="shared" si="73"/>
        <v>13</v>
      </c>
      <c r="AQ826" s="53">
        <f t="shared" si="73"/>
        <v>21</v>
      </c>
      <c r="AR826" s="52">
        <f t="shared" si="73"/>
        <v>13</v>
      </c>
      <c r="AS826" s="53">
        <f t="shared" si="73"/>
        <v>0</v>
      </c>
      <c r="AT826" s="52">
        <f t="shared" si="73"/>
        <v>0</v>
      </c>
      <c r="AU826" s="54">
        <f>SUM(AO826:AT826)</f>
        <v>68</v>
      </c>
      <c r="AV826" s="13">
        <v>1</v>
      </c>
      <c r="AW826" s="55"/>
      <c r="AX826" s="56"/>
      <c r="AY826" s="50">
        <f>IF(AI828&gt;AJ828,1,0)+IF(AK828&gt;AL828,1,0)+IF(AM828&gt;AN828,1,0)</f>
        <v>2</v>
      </c>
      <c r="AZ826" s="50">
        <f>AW827</f>
        <v>1</v>
      </c>
      <c r="BA826" s="50">
        <f>IF(AI826&gt;AJ826,1,0)+IF(AK826&gt;AL826,1,0)+IF(AM826&gt;AN826,1,0)</f>
        <v>2</v>
      </c>
      <c r="BB826" s="57">
        <f>AW828</f>
        <v>0</v>
      </c>
      <c r="BE826" s="49">
        <f>AO826+AQ826+AS826+AO828+AQ828+AS828</f>
        <v>101</v>
      </c>
      <c r="BF826" s="57">
        <f>AP826+AR826+AT826+AP828+AR828+AT828</f>
        <v>77</v>
      </c>
      <c r="BG826" s="49">
        <f>AY826+BA826</f>
        <v>4</v>
      </c>
      <c r="BH826" s="57">
        <f>AZ826+BB826</f>
        <v>1</v>
      </c>
      <c r="BI826" s="49">
        <f>IF(AY826&gt;AZ826,1,0)+IF(BA826&gt;BB826,1,0)</f>
        <v>2</v>
      </c>
      <c r="BJ826" s="58">
        <f>IF(AZ826&gt;AY826,1,0)+IF(BB826&gt;BA826,1,0)</f>
        <v>0</v>
      </c>
      <c r="BK826" s="59">
        <f>IF(BI826+BJ826=0,"",IF(BL826=MAX(BL826:BL828),1,IF(BL826=MIN(BL826:BL828),3,2)))</f>
        <v>1</v>
      </c>
      <c r="BL826" s="60">
        <f>IF(BI826+BJ826&lt;&gt;0,BI826+1+(BG826-BH826)/100+(BE826-BF826)/100000+(BE826/BF826)/1000000,0)</f>
        <v>3.0302413116883113</v>
      </c>
    </row>
    <row r="827" spans="1:64" ht="11.45" customHeight="1" x14ac:dyDescent="0.2">
      <c r="A827" s="19">
        <f>S827</f>
        <v>69</v>
      </c>
      <c r="B827" s="2" t="str">
        <f>IF(N827="","",N827)</f>
        <v>F4256</v>
      </c>
      <c r="C827" s="2" t="str">
        <f>IF(N828="","",N828)</f>
        <v>K4207</v>
      </c>
      <c r="D827" s="2" t="str">
        <f>IF(N830="","",N830)</f>
        <v>O2779</v>
      </c>
      <c r="E827" s="2" t="str">
        <f>IF(N831="","",N831)</f>
        <v>K4084</v>
      </c>
      <c r="J827" s="10"/>
      <c r="K827" s="19"/>
      <c r="M827" s="42" t="str">
        <f>N823</f>
        <v>mieszana JM</v>
      </c>
      <c r="N827" s="33" t="s">
        <v>151</v>
      </c>
      <c r="O827" s="34">
        <f>IF(O822&gt;0,(O822&amp;2)*1,"")</f>
        <v>32</v>
      </c>
      <c r="Q827" s="43" t="str">
        <f>IF(AU827&gt;0,"",IF(A827=0,"",IF(VLOOKUP(A827,'[2]plan gier'!A$1:S$65536,19,FALSE)="","",VLOOKUP(A827,'[2]plan gier'!A$1:S$65536,19,FALSE))))</f>
        <v/>
      </c>
      <c r="R827" s="44" t="s">
        <v>17</v>
      </c>
      <c r="S827" s="45">
        <v>69</v>
      </c>
      <c r="T827" s="242"/>
      <c r="U827" s="244" t="str">
        <f>IF(AND(N827&lt;&gt;"",N828=""),CONCATENATE(VLOOKUP(N827,[2]zawodnicy!$A$1:$E$65536,1,FALSE)," ",VLOOKUP(N827,[2]zawodnicy!$A$1:$E$65536,2,FALSE)," ",VLOOKUP(N827,[2]zawodnicy!$A$1:$E$65536,3,FALSE)," - ",VLOOKUP(N827,[2]zawodnicy!$A$1:$E$65536,4,FALSE)),"")</f>
        <v/>
      </c>
      <c r="V827" s="245"/>
      <c r="W827" s="246"/>
      <c r="X827" s="61" t="str">
        <f>IF(SUM(AQ828:AR828)=0,"",AR828&amp;":"&amp;AQ828)</f>
        <v>21:17</v>
      </c>
      <c r="Y827" s="62"/>
      <c r="Z827" s="37" t="str">
        <f>IF(SUM(AQ827:AR827)=0,"",AQ827&amp;":"&amp;AR827)</f>
        <v>23:21</v>
      </c>
      <c r="AA827" s="248"/>
      <c r="AB827" s="251"/>
      <c r="AC827" s="251"/>
      <c r="AD827" s="254"/>
      <c r="AE827" s="2"/>
      <c r="AF827" s="12"/>
      <c r="AG827" s="12"/>
      <c r="AH827" s="44" t="s">
        <v>17</v>
      </c>
      <c r="AI827" s="63">
        <f>IF(ISBLANK(S827),"",VLOOKUP(S827,'[2]plan gier'!$X$1:$AN$65536,12,FALSE))</f>
        <v>21</v>
      </c>
      <c r="AJ827" s="64">
        <f>IF(ISBLANK(S827),"",VLOOKUP(S827,'[2]plan gier'!$X$1:$AN$65536,13,FALSE))</f>
        <v>19</v>
      </c>
      <c r="AK827" s="64">
        <f>IF(ISBLANK(S827),"",VLOOKUP(S827,'[2]plan gier'!$X$1:$AN$65536,14,FALSE))</f>
        <v>23</v>
      </c>
      <c r="AL827" s="64">
        <f>IF(ISBLANK(S827),"",VLOOKUP(S827,'[2]plan gier'!$X$1:$AN$65536,15,FALSE))</f>
        <v>21</v>
      </c>
      <c r="AM827" s="64">
        <f>IF(ISBLANK(S827),"",VLOOKUP(S827,'[2]plan gier'!$X$1:$AN$65536,16,FALSE))</f>
        <v>0</v>
      </c>
      <c r="AN827" s="64">
        <f>IF(ISBLANK(S827),"",VLOOKUP(S827,'[2]plan gier'!$X$1:$AN$65536,17,FALSE))</f>
        <v>0</v>
      </c>
      <c r="AO827" s="65">
        <f t="shared" si="73"/>
        <v>21</v>
      </c>
      <c r="AP827" s="64">
        <f t="shared" si="73"/>
        <v>19</v>
      </c>
      <c r="AQ827" s="66">
        <f t="shared" si="73"/>
        <v>23</v>
      </c>
      <c r="AR827" s="64">
        <f t="shared" si="73"/>
        <v>21</v>
      </c>
      <c r="AS827" s="66">
        <f t="shared" si="73"/>
        <v>0</v>
      </c>
      <c r="AT827" s="64">
        <f t="shared" si="73"/>
        <v>0</v>
      </c>
      <c r="AU827" s="54">
        <f>SUM(AO827:AT827)</f>
        <v>84</v>
      </c>
      <c r="AV827" s="13">
        <v>2</v>
      </c>
      <c r="AW827" s="63">
        <f>IF(AI828&lt;AJ828,1,0)+IF(AK828&lt;AL828,1,0)+IF(AM828&lt;AN828,1,0)</f>
        <v>1</v>
      </c>
      <c r="AX827" s="64">
        <f>AY826</f>
        <v>2</v>
      </c>
      <c r="AY827" s="67"/>
      <c r="AZ827" s="68"/>
      <c r="BA827" s="64">
        <f>IF(AI827&gt;AJ827,1,0)+IF(AK827&gt;AL827,1,0)+IF(AM827&gt;AN827,1,0)</f>
        <v>2</v>
      </c>
      <c r="BB827" s="69">
        <f>AY828</f>
        <v>0</v>
      </c>
      <c r="BE827" s="63">
        <f>AO827+AQ827+AS827+AP828+AR828+AT828</f>
        <v>95</v>
      </c>
      <c r="BF827" s="69">
        <f>AP827+AR827+AT827+AO828+AQ828+AS828</f>
        <v>99</v>
      </c>
      <c r="BG827" s="63">
        <f>AW827+BA827</f>
        <v>3</v>
      </c>
      <c r="BH827" s="69">
        <f>AX827+BB827</f>
        <v>2</v>
      </c>
      <c r="BI827" s="63">
        <f>IF(AW827&gt;AX827,1,0)+IF(BA827&gt;BB827,1,0)</f>
        <v>1</v>
      </c>
      <c r="BJ827" s="70">
        <f>IF(AX827&gt;AW827,1,0)+IF(BB827&gt;BA827,1,0)</f>
        <v>1</v>
      </c>
      <c r="BK827" s="71">
        <f>IF(BI827+BJ827=0,"",IF(BL827=MAX(BL826:BL828),1,IF(BL827=MIN(BL826:BL828),3,2)))</f>
        <v>2</v>
      </c>
      <c r="BL827" s="60">
        <f>IF(BI827+BJ827&lt;&gt;0,BI827+1+(BG827-BH827)/100+(BE827-BF827)/100000+(BE827/BF827)/1000000,0)</f>
        <v>2.0099609595959596</v>
      </c>
    </row>
    <row r="828" spans="1:64" ht="11.45" customHeight="1" thickBot="1" x14ac:dyDescent="0.25">
      <c r="A828" s="19">
        <f>S828</f>
        <v>134</v>
      </c>
      <c r="B828" s="2" t="str">
        <f>IF(N824="","",N824)</f>
        <v>W4049</v>
      </c>
      <c r="C828" s="2" t="str">
        <f>IF(N825="","",N825)</f>
        <v>C3958</v>
      </c>
      <c r="D828" s="2" t="str">
        <f>IF(N827="","",N827)</f>
        <v>F4256</v>
      </c>
      <c r="E828" s="2" t="str">
        <f>IF(N828="","",N828)</f>
        <v>K4207</v>
      </c>
      <c r="I828" s="2" t="str">
        <f>"3"&amp;O822&amp;N823</f>
        <v>33mieszana JM</v>
      </c>
      <c r="J828" s="10" t="str">
        <f>IF(AD829="","",IF(AD823=3,N824,IF(AD826=3,N827,IF(AD829=3,N830,""))))</f>
        <v>O2779</v>
      </c>
      <c r="K828" s="10" t="str">
        <f>IF(AD829="","",IF(AD823=3,N825,IF(AD826=3,N828,IF(AD829=3,N831,""))))</f>
        <v>K4084</v>
      </c>
      <c r="M828" s="42" t="str">
        <f>N823</f>
        <v>mieszana JM</v>
      </c>
      <c r="N828" s="38" t="s">
        <v>96</v>
      </c>
      <c r="O828" s="28"/>
      <c r="P828" s="28"/>
      <c r="Q828" s="43" t="str">
        <f>IF(AU828&gt;0,"",IF(A828=0,"",IF(VLOOKUP(A828,'[2]plan gier'!A$1:S$65536,19,FALSE)="","",VLOOKUP(A828,'[2]plan gier'!A$1:S$65536,19,FALSE))))</f>
        <v/>
      </c>
      <c r="R828" s="72" t="s">
        <v>18</v>
      </c>
      <c r="S828" s="45">
        <v>134</v>
      </c>
      <c r="T828" s="261"/>
      <c r="U828" s="265" t="str">
        <f>IF(N828&lt;&gt;"",CONCATENATE(VLOOKUP(N828,[2]zawodnicy!$A$1:$E$65536,1,FALSE)," ",VLOOKUP(N828,[2]zawodnicy!$A$1:$E$65536,2,FALSE)," ",VLOOKUP(N828,[2]zawodnicy!$A$1:$E$65536,3,FALSE)," - ",VLOOKUP(N828,[2]zawodnicy!$A$1:$E$65536,4,FALSE)),"")</f>
        <v>K4207 Urszula KARWOWSKA - UKSB Milenium Warszawa</v>
      </c>
      <c r="V828" s="266"/>
      <c r="W828" s="267"/>
      <c r="X828" s="73" t="str">
        <f>IF(SUM(AS828:AT828)=0,"",AT828&amp;":"&amp;AS828)</f>
        <v>13:21</v>
      </c>
      <c r="Y828" s="62"/>
      <c r="Z828" s="40" t="str">
        <f>IF(SUM(AS827:AT827)=0,"",AS827&amp;":"&amp;AT827)</f>
        <v/>
      </c>
      <c r="AA828" s="262"/>
      <c r="AB828" s="263"/>
      <c r="AC828" s="263"/>
      <c r="AD828" s="264"/>
      <c r="AE828" s="2"/>
      <c r="AF828" s="12"/>
      <c r="AG828" s="12"/>
      <c r="AH828" s="72" t="s">
        <v>18</v>
      </c>
      <c r="AI828" s="74">
        <f>IF(ISBLANK(S828),"",VLOOKUP(S828,'[2]plan gier'!$X$1:$AN$65536,12,FALSE))</f>
        <v>21</v>
      </c>
      <c r="AJ828" s="75">
        <f>IF(ISBLANK(S828),"",VLOOKUP(S828,'[2]plan gier'!$X$1:$AN$65536,13,FALSE))</f>
        <v>17</v>
      </c>
      <c r="AK828" s="75">
        <f>IF(ISBLANK(S828),"",VLOOKUP(S828,'[2]plan gier'!$X$1:$AN$65536,14,FALSE))</f>
        <v>17</v>
      </c>
      <c r="AL828" s="75">
        <f>IF(ISBLANK(S828),"",VLOOKUP(S828,'[2]plan gier'!$X$1:$AN$65536,15,FALSE))</f>
        <v>21</v>
      </c>
      <c r="AM828" s="75">
        <f>IF(ISBLANK(S828),"",VLOOKUP(S828,'[2]plan gier'!$X$1:$AN$65536,16,FALSE))</f>
        <v>21</v>
      </c>
      <c r="AN828" s="75">
        <f>IF(ISBLANK(S828),"",VLOOKUP(S828,'[2]plan gier'!$X$1:$AN$65536,17,FALSE))</f>
        <v>13</v>
      </c>
      <c r="AO828" s="76">
        <f t="shared" si="73"/>
        <v>21</v>
      </c>
      <c r="AP828" s="75">
        <f t="shared" si="73"/>
        <v>17</v>
      </c>
      <c r="AQ828" s="77">
        <f t="shared" si="73"/>
        <v>17</v>
      </c>
      <c r="AR828" s="75">
        <f t="shared" si="73"/>
        <v>21</v>
      </c>
      <c r="AS828" s="77">
        <f t="shared" si="73"/>
        <v>21</v>
      </c>
      <c r="AT828" s="75">
        <f t="shared" si="73"/>
        <v>13</v>
      </c>
      <c r="AU828" s="54">
        <f>SUM(AO828:AT828)</f>
        <v>110</v>
      </c>
      <c r="AV828" s="13">
        <v>3</v>
      </c>
      <c r="AW828" s="74">
        <f>IF(AI826&lt;AJ826,1,0)+IF(AK826&lt;AL826,1,0)+IF(AM826&lt;AN826,1,0)</f>
        <v>0</v>
      </c>
      <c r="AX828" s="75">
        <f>BA826</f>
        <v>2</v>
      </c>
      <c r="AY828" s="75">
        <f>IF(AI827&lt;AJ827,1,0)+IF(AK827&lt;AL827,1,0)+IF(AM827&lt;AN827,1,0)</f>
        <v>0</v>
      </c>
      <c r="AZ828" s="75">
        <f>BA827</f>
        <v>2</v>
      </c>
      <c r="BA828" s="78"/>
      <c r="BB828" s="79"/>
      <c r="BE828" s="74">
        <f>AP826+AR826+AT826+AP827+AR827+AT827</f>
        <v>66</v>
      </c>
      <c r="BF828" s="80">
        <f>AO826+AQ826+AS826+AO827+AQ827+AS827</f>
        <v>86</v>
      </c>
      <c r="BG828" s="74">
        <f>AW828+AY828</f>
        <v>0</v>
      </c>
      <c r="BH828" s="80">
        <f>AX828+AZ828</f>
        <v>4</v>
      </c>
      <c r="BI828" s="74">
        <f>IF(AW828&gt;AX828,1,0)+IF(AY828&gt;AZ828,1,0)</f>
        <v>0</v>
      </c>
      <c r="BJ828" s="81">
        <f>IF(AX828&gt;AW828,1,0)+IF(AZ828&gt;AY828,1,0)</f>
        <v>2</v>
      </c>
      <c r="BK828" s="82">
        <f>IF(BI828+BJ828=0,"",IF(BL828=MAX(BL826:BL828),1,IF(BL828=MIN(BL826:BL828),3,2)))</f>
        <v>3</v>
      </c>
      <c r="BL828" s="60">
        <f>IF(BI828+BJ828&lt;&gt;0,BI828+1+(BG828-BH828)/100+(BE828-BF828)/100000+(BE828/BF828)/1000000,0)</f>
        <v>0.95980076744186049</v>
      </c>
    </row>
    <row r="829" spans="1:64" ht="11.45" customHeight="1" x14ac:dyDescent="0.2">
      <c r="A829" s="2"/>
      <c r="J829" s="28"/>
      <c r="K829" s="28"/>
      <c r="L829" s="28"/>
      <c r="O829" s="28"/>
      <c r="P829" s="28"/>
      <c r="Q829" s="2"/>
      <c r="R829" s="2"/>
      <c r="S829" s="2"/>
      <c r="T829" s="241">
        <v>3</v>
      </c>
      <c r="U829" s="244" t="str">
        <f>IF(AND(N830&lt;&gt;"",N831&lt;&gt;""),CONCATENATE(VLOOKUP(N830,[2]zawodnicy!$A$1:$E$65536,1,FALSE)," ",VLOOKUP(N830,[2]zawodnicy!$A$1:$E$65536,2,FALSE)," ",VLOOKUP(N830,[2]zawodnicy!$A$1:$E$65536,3,FALSE)," - ",VLOOKUP(N830,[2]zawodnicy!$A$1:$E$65536,4,FALSE)),"")</f>
        <v>O2779 Szymon OLEARCZUK - AZSWAT Warszawa</v>
      </c>
      <c r="V829" s="245"/>
      <c r="W829" s="246"/>
      <c r="X829" s="46" t="str">
        <f>IF(SUM(AO826:AP826)=0,"",AP826&amp;":"&amp;AO826)</f>
        <v>13:21</v>
      </c>
      <c r="Y829" s="83" t="str">
        <f>IF(SUM(AO827:AP827)=0,"",AP827&amp;":"&amp;AO827)</f>
        <v>19:21</v>
      </c>
      <c r="Z829" s="84"/>
      <c r="AA829" s="247" t="str">
        <f>IF(SUM(AW828:AZ828)=0,"",BE828&amp;":"&amp;BF828)</f>
        <v>66:86</v>
      </c>
      <c r="AB829" s="250" t="str">
        <f>IF(SUM(AW828:AZ828)=0,"",BG828&amp;":"&amp;BH828)</f>
        <v>0:4</v>
      </c>
      <c r="AC829" s="250" t="str">
        <f>IF(SUM(AW828:AZ828)=0,"",BI828&amp;":"&amp;BJ828)</f>
        <v>0:2</v>
      </c>
      <c r="AD829" s="253">
        <f>IF(SUM(BI826:BI828)&gt;0,BK828,"")</f>
        <v>3</v>
      </c>
      <c r="AE829" s="2"/>
      <c r="AF829" s="12"/>
      <c r="AG829" s="12"/>
      <c r="BE829" s="19">
        <f>SUM(BE826:BE828)</f>
        <v>262</v>
      </c>
      <c r="BF829" s="19">
        <f>SUM(BF826:BF828)</f>
        <v>262</v>
      </c>
      <c r="BG829" s="19">
        <f>SUM(BG826:BG828)</f>
        <v>7</v>
      </c>
      <c r="BH829" s="19">
        <f>SUM(BH826:BH828)</f>
        <v>7</v>
      </c>
      <c r="BK829" s="19"/>
      <c r="BL829" s="20"/>
    </row>
    <row r="830" spans="1:64" ht="11.45" customHeight="1" x14ac:dyDescent="0.2">
      <c r="A830" s="19"/>
      <c r="J830" s="19"/>
      <c r="K830" s="19"/>
      <c r="L830" s="19"/>
      <c r="N830" s="33" t="s">
        <v>120</v>
      </c>
      <c r="O830" s="34">
        <f>IF(O822&gt;0,(O822&amp;3)*1,"")</f>
        <v>33</v>
      </c>
      <c r="Q830" s="85"/>
      <c r="R830" s="85"/>
      <c r="S830" s="85"/>
      <c r="T830" s="242"/>
      <c r="U830" s="244" t="str">
        <f>IF(AND(N830&lt;&gt;"",N831=""),CONCATENATE(VLOOKUP(N830,[2]zawodnicy!$A$1:$E$65536,1,FALSE)," ",VLOOKUP(N830,[2]zawodnicy!$A$1:$E$65536,2,FALSE)," ",VLOOKUP(N830,[2]zawodnicy!$A$1:$E$65536,3,FALSE)," - ",VLOOKUP(N830,[2]zawodnicy!$A$1:$E$65536,4,FALSE)),"")</f>
        <v/>
      </c>
      <c r="V830" s="245"/>
      <c r="W830" s="246"/>
      <c r="X830" s="61" t="str">
        <f>IF(SUM(AQ826:AR826)=0,"",AR826&amp;":"&amp;AQ826)</f>
        <v>13:21</v>
      </c>
      <c r="Y830" s="36" t="str">
        <f>IF(SUM(AQ827:AR827)=0,"",AR827&amp;":"&amp;AQ827)</f>
        <v>21:23</v>
      </c>
      <c r="Z830" s="86"/>
      <c r="AA830" s="248"/>
      <c r="AB830" s="251"/>
      <c r="AC830" s="251"/>
      <c r="AD830" s="254"/>
      <c r="AE830" s="2"/>
      <c r="AF830" s="12"/>
      <c r="AG830" s="1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row>
    <row r="831" spans="1:64" ht="11.45" customHeight="1" thickBot="1" x14ac:dyDescent="0.25">
      <c r="A831" s="2"/>
      <c r="J831" s="28"/>
      <c r="K831" s="28"/>
      <c r="L831" s="28"/>
      <c r="N831" s="38" t="s">
        <v>91</v>
      </c>
      <c r="O831" s="28"/>
      <c r="P831" s="28"/>
      <c r="Q831" s="2"/>
      <c r="R831" s="2"/>
      <c r="S831" s="2"/>
      <c r="T831" s="243"/>
      <c r="U831" s="256" t="str">
        <f>IF(N831&lt;&gt;"",CONCATENATE(VLOOKUP(N831,[2]zawodnicy!$A$1:$E$65536,1,FALSE)," ",VLOOKUP(N831,[2]zawodnicy!$A$1:$E$65536,2,FALSE)," ",VLOOKUP(N831,[2]zawodnicy!$A$1:$E$65536,3,FALSE)," - ",VLOOKUP(N831,[2]zawodnicy!$A$1:$E$65536,4,FALSE)),"")</f>
        <v>K4084 Magdalena KOKOSZKA - AZSWAT Warszawa</v>
      </c>
      <c r="V831" s="257"/>
      <c r="W831" s="258"/>
      <c r="X831" s="87" t="str">
        <f>IF(SUM(AS826:AT826)=0,"",AT826&amp;":"&amp;AS826)</f>
        <v/>
      </c>
      <c r="Y831" s="88" t="str">
        <f>IF(SUM(AS827:AT827)=0,"",AT827&amp;":"&amp;AS827)</f>
        <v/>
      </c>
      <c r="Z831" s="89"/>
      <c r="AA831" s="249"/>
      <c r="AB831" s="252"/>
      <c r="AC831" s="252"/>
      <c r="AD831" s="255"/>
      <c r="AE831" s="10"/>
      <c r="AF831" s="12"/>
      <c r="AG831" s="1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row>
    <row r="832" spans="1:64" s="19" customFormat="1" ht="5.0999999999999996" customHeight="1" thickBot="1" x14ac:dyDescent="0.25">
      <c r="M832" s="90"/>
      <c r="O832" s="90"/>
      <c r="P832" s="90"/>
      <c r="Q832" s="91"/>
      <c r="R832" s="91"/>
      <c r="S832" s="91"/>
      <c r="T832" s="91"/>
      <c r="U832" s="5"/>
      <c r="V832" s="5"/>
      <c r="W832" s="5"/>
      <c r="AA832" s="92"/>
      <c r="AB832" s="91"/>
      <c r="AC832" s="91"/>
      <c r="AD832" s="91"/>
      <c r="AE832" s="91"/>
      <c r="AF832" s="91"/>
      <c r="AI832" s="93"/>
      <c r="AJ832" s="94"/>
      <c r="AK832" s="94"/>
    </row>
    <row r="833" spans="1:64" ht="11.45" customHeight="1" thickBot="1" x14ac:dyDescent="0.25">
      <c r="N833" s="11"/>
      <c r="O833" s="21">
        <v>4</v>
      </c>
      <c r="Q833" s="277" t="str">
        <f>"Grupa "&amp;O833&amp;"."</f>
        <v>Grupa 4.</v>
      </c>
      <c r="R833" s="277"/>
      <c r="S833" s="277"/>
      <c r="T833" s="22" t="s">
        <v>1</v>
      </c>
      <c r="U833" s="278" t="s">
        <v>2</v>
      </c>
      <c r="V833" s="279"/>
      <c r="W833" s="280"/>
      <c r="X833" s="22">
        <v>1</v>
      </c>
      <c r="Y833" s="23">
        <v>2</v>
      </c>
      <c r="Z833" s="24">
        <v>3</v>
      </c>
      <c r="AA833" s="25" t="s">
        <v>3</v>
      </c>
      <c r="AB833" s="26" t="s">
        <v>4</v>
      </c>
      <c r="AC833" s="26" t="s">
        <v>5</v>
      </c>
      <c r="AD833" s="27" t="s">
        <v>6</v>
      </c>
      <c r="AE833" s="2"/>
      <c r="AF833" s="12"/>
      <c r="AG833" s="12"/>
      <c r="BK833" s="19"/>
      <c r="BL833" s="20"/>
    </row>
    <row r="834" spans="1:64" ht="11.45" customHeight="1" x14ac:dyDescent="0.2">
      <c r="J834" s="28"/>
      <c r="K834" s="28"/>
      <c r="L834" s="28"/>
      <c r="N834" s="29" t="s">
        <v>152</v>
      </c>
      <c r="Q834" s="274" t="s">
        <v>7</v>
      </c>
      <c r="R834" s="274"/>
      <c r="S834" s="275" t="s">
        <v>8</v>
      </c>
      <c r="T834" s="276">
        <v>1</v>
      </c>
      <c r="U834" s="244" t="str">
        <f>IF(AND(N835&lt;&gt;"",N836&lt;&gt;""),CONCATENATE(VLOOKUP(N835,[2]zawodnicy!$A$1:$E$65536,1,FALSE)," ",VLOOKUP(N835,[2]zawodnicy!$A$1:$E$65536,2,FALSE)," ",VLOOKUP(N835,[2]zawodnicy!$A$1:$E$65536,3,FALSE)," - ",VLOOKUP(N835,[2]zawodnicy!$A$1:$E$65536,4,FALSE)),"")</f>
        <v>M3704 Rafał MARKOWICZ - UKS Orliki Ropica Polska</v>
      </c>
      <c r="V834" s="245"/>
      <c r="W834" s="246"/>
      <c r="X834" s="30"/>
      <c r="Y834" s="31" t="str">
        <f>IF(SUM(AO839:AP839)=0,"",AO839&amp;":"&amp;AP839)</f>
        <v>21:17</v>
      </c>
      <c r="Z834" s="32" t="str">
        <f>IF(SUM(AO837:AP837)=0,"",AO837&amp;":"&amp;AP837)</f>
        <v>13:21</v>
      </c>
      <c r="AA834" s="270" t="str">
        <f>IF(SUM(AY837:BB837)=0,"",BE837&amp;":"&amp;BF837)</f>
        <v>95:92</v>
      </c>
      <c r="AB834" s="271" t="str">
        <f>IF(SUM(AY837:BB837)=0,"",BG837&amp;":"&amp;BH837)</f>
        <v>3:2</v>
      </c>
      <c r="AC834" s="271" t="str">
        <f>IF(SUM(AY837:BB837)=0,"",BI837&amp;":"&amp;BJ837)</f>
        <v>1:1</v>
      </c>
      <c r="AD834" s="272">
        <f>IF(SUM(BI837:BI839)&gt;0,BK837,"")</f>
        <v>2</v>
      </c>
      <c r="AE834" s="2"/>
      <c r="AF834" s="12"/>
      <c r="AG834" s="12"/>
      <c r="AH834" s="14"/>
      <c r="AI834" s="273" t="s">
        <v>9</v>
      </c>
      <c r="AJ834" s="273"/>
      <c r="AK834" s="273"/>
      <c r="AL834" s="273"/>
      <c r="AM834" s="273"/>
      <c r="AN834" s="273"/>
      <c r="AO834" s="273" t="s">
        <v>10</v>
      </c>
      <c r="AP834" s="273"/>
      <c r="AQ834" s="273"/>
      <c r="AR834" s="273"/>
      <c r="AS834" s="273"/>
      <c r="AT834" s="273"/>
      <c r="BK834" s="19"/>
      <c r="BL834" s="20"/>
    </row>
    <row r="835" spans="1:64" ht="11.45" customHeight="1" thickBot="1" x14ac:dyDescent="0.25">
      <c r="I835" s="2" t="str">
        <f>"1"&amp;O833&amp;N834</f>
        <v>14mieszana JM</v>
      </c>
      <c r="J835" s="10" t="str">
        <f>IF(AD834="","",IF(AD834=1,N835,IF(AD837=1,N838,IF(AD840=1,N841,""))))</f>
        <v>X10</v>
      </c>
      <c r="K835" s="10" t="str">
        <f>IF(AD834="","",IF(AD834=1,N836,IF(AD837=1,N839,IF(AD840=1,N842,""))))</f>
        <v>X09</v>
      </c>
      <c r="L835" s="10"/>
      <c r="N835" s="33" t="s">
        <v>110</v>
      </c>
      <c r="O835" s="34">
        <f>IF(O833&gt;0,(O833&amp;1)*1,"")</f>
        <v>41</v>
      </c>
      <c r="Q835" s="274"/>
      <c r="R835" s="274"/>
      <c r="S835" s="275"/>
      <c r="T835" s="242"/>
      <c r="U835" s="244" t="str">
        <f>IF(AND(N835&lt;&gt;"",N836=""),CONCATENATE(VLOOKUP(N835,[2]zawodnicy!$A$1:$E$65536,1,FALSE)," ",VLOOKUP(N835,[2]zawodnicy!$A$1:$E$65536,2,FALSE)," ",VLOOKUP(N835,[2]zawodnicy!$A$1:$E$65536,3,FALSE)," - ",VLOOKUP(N835,[2]zawodnicy!$A$1:$E$65536,4,FALSE)),"")</f>
        <v/>
      </c>
      <c r="V835" s="245"/>
      <c r="W835" s="246"/>
      <c r="X835" s="35"/>
      <c r="Y835" s="36" t="str">
        <f>IF(SUM(AQ839:AR839)=0,"",AQ839&amp;":"&amp;AR839)</f>
        <v>21:14</v>
      </c>
      <c r="Z835" s="37" t="str">
        <f>IF(SUM(AQ837:AR837)=0,"",AQ837&amp;":"&amp;AR837)</f>
        <v>21:19</v>
      </c>
      <c r="AA835" s="248"/>
      <c r="AB835" s="251"/>
      <c r="AC835" s="251"/>
      <c r="AD835" s="254"/>
      <c r="AE835" s="2"/>
      <c r="AF835" s="12"/>
      <c r="AG835" s="12"/>
      <c r="AH835" s="14"/>
      <c r="BE835" s="19">
        <f>SUM(BE837:BE839)</f>
        <v>249</v>
      </c>
      <c r="BF835" s="19">
        <f>SUM(BF837:BF839)</f>
        <v>249</v>
      </c>
      <c r="BG835" s="19">
        <f>SUM(BG837:BG839)</f>
        <v>7</v>
      </c>
      <c r="BH835" s="19">
        <f>SUM(BH837:BH839)</f>
        <v>7</v>
      </c>
      <c r="BK835" s="19"/>
      <c r="BL835" s="20"/>
    </row>
    <row r="836" spans="1:64" ht="11.45" customHeight="1" thickBot="1" x14ac:dyDescent="0.25">
      <c r="J836" s="10"/>
      <c r="K836" s="28"/>
      <c r="L836" s="28"/>
      <c r="N836" s="38" t="s">
        <v>146</v>
      </c>
      <c r="O836" s="28"/>
      <c r="P836" s="28"/>
      <c r="Q836" s="274"/>
      <c r="R836" s="274"/>
      <c r="S836" s="275"/>
      <c r="T836" s="261"/>
      <c r="U836" s="265" t="str">
        <f>IF(N836&lt;&gt;"",CONCATENATE(VLOOKUP(N836,[2]zawodnicy!$A$1:$E$65536,1,FALSE)," ",VLOOKUP(N836,[2]zawodnicy!$A$1:$E$65536,2,FALSE)," ",VLOOKUP(N836,[2]zawodnicy!$A$1:$E$65536,3,FALSE)," - ",VLOOKUP(N836,[2]zawodnicy!$A$1:$E$65536,4,FALSE)),"")</f>
        <v>M3661 Magdalena MACHNIK - UKS Orbitek Straszęcin</v>
      </c>
      <c r="V836" s="266"/>
      <c r="W836" s="267"/>
      <c r="X836" s="35"/>
      <c r="Y836" s="39" t="str">
        <f>IF(SUM(AS839:AT839)=0,"",AS839&amp;":"&amp;AT839)</f>
        <v/>
      </c>
      <c r="Z836" s="40" t="str">
        <f>IF(SUM(AS837:AT837)=0,"",AS837&amp;":"&amp;AT837)</f>
        <v>19:21</v>
      </c>
      <c r="AA836" s="262"/>
      <c r="AB836" s="263"/>
      <c r="AC836" s="263"/>
      <c r="AD836" s="264"/>
      <c r="AE836" s="2"/>
      <c r="AF836" s="12"/>
      <c r="AG836" s="12"/>
      <c r="AH836" s="14"/>
      <c r="AI836" s="259" t="s">
        <v>12</v>
      </c>
      <c r="AJ836" s="269"/>
      <c r="AK836" s="268" t="s">
        <v>13</v>
      </c>
      <c r="AL836" s="269"/>
      <c r="AM836" s="268" t="s">
        <v>14</v>
      </c>
      <c r="AN836" s="260"/>
      <c r="AO836" s="259" t="s">
        <v>12</v>
      </c>
      <c r="AP836" s="269"/>
      <c r="AQ836" s="268" t="s">
        <v>13</v>
      </c>
      <c r="AR836" s="269"/>
      <c r="AS836" s="268" t="s">
        <v>14</v>
      </c>
      <c r="AT836" s="269"/>
      <c r="AU836" s="12"/>
      <c r="AV836" s="12"/>
      <c r="AW836" s="259">
        <v>1</v>
      </c>
      <c r="AX836" s="269"/>
      <c r="AY836" s="268">
        <v>2</v>
      </c>
      <c r="AZ836" s="269"/>
      <c r="BA836" s="268">
        <v>3</v>
      </c>
      <c r="BB836" s="260"/>
      <c r="BE836" s="259" t="s">
        <v>3</v>
      </c>
      <c r="BF836" s="260"/>
      <c r="BG836" s="259" t="s">
        <v>4</v>
      </c>
      <c r="BH836" s="260"/>
      <c r="BI836" s="259" t="s">
        <v>5</v>
      </c>
      <c r="BJ836" s="260"/>
      <c r="BK836" s="41" t="s">
        <v>6</v>
      </c>
      <c r="BL836" s="20"/>
    </row>
    <row r="837" spans="1:64" ht="11.45" customHeight="1" x14ac:dyDescent="0.2">
      <c r="A837" s="19">
        <f>S837</f>
        <v>5</v>
      </c>
      <c r="B837" s="2" t="str">
        <f>IF(N835="","",N835)</f>
        <v>M3704</v>
      </c>
      <c r="C837" s="2" t="str">
        <f>IF(N836="","",N836)</f>
        <v>M3661</v>
      </c>
      <c r="D837" s="2" t="str">
        <f>IF(N841="","",N841)</f>
        <v>X10</v>
      </c>
      <c r="E837" s="2" t="str">
        <f>IF(N842="","",N842)</f>
        <v>X09</v>
      </c>
      <c r="I837" s="2" t="str">
        <f>"2"&amp;O833&amp;N834</f>
        <v>24mieszana JM</v>
      </c>
      <c r="J837" s="10" t="str">
        <f>IF(AD837="","",IF(AD834=2,N835,IF(AD837=2,N838,IF(AD840=2,N841,""))))</f>
        <v>M3704</v>
      </c>
      <c r="K837" s="10" t="str">
        <f>IF(AD837="","",IF(AD834=2,N836,IF(AD837=2,N839,IF(AD840=2,N842,""))))</f>
        <v>M3661</v>
      </c>
      <c r="M837" s="42" t="str">
        <f>N834</f>
        <v>mieszana JM</v>
      </c>
      <c r="O837" s="28"/>
      <c r="P837" s="28"/>
      <c r="Q837" s="43" t="str">
        <f>IF(AU837&gt;0,"",IF(A837=0,"",IF(VLOOKUP(A837,'[2]plan gier'!A$1:S$65536,19,FALSE)="","",VLOOKUP(A837,'[2]plan gier'!A$1:S$65536,19,FALSE))))</f>
        <v/>
      </c>
      <c r="R837" s="44" t="s">
        <v>15</v>
      </c>
      <c r="S837" s="45">
        <v>5</v>
      </c>
      <c r="T837" s="241">
        <v>2</v>
      </c>
      <c r="U837" s="244" t="str">
        <f>IF(AND(N838&lt;&gt;"",N839&lt;&gt;""),CONCATENATE(VLOOKUP(N838,[2]zawodnicy!$A$1:$E$65536,1,FALSE)," ",VLOOKUP(N838,[2]zawodnicy!$A$1:$E$65536,2,FALSE)," ",VLOOKUP(N838,[2]zawodnicy!$A$1:$E$65536,3,FALSE)," - ",VLOOKUP(N838,[2]zawodnicy!$A$1:$E$65536,4,FALSE)),"")</f>
        <v>F4048 Konrad FRĄTCZAK - UKS Iskra Sarbice</v>
      </c>
      <c r="V837" s="245"/>
      <c r="W837" s="246"/>
      <c r="X837" s="46" t="str">
        <f>IF(SUM(AO839:AP839)=0,"",AP839&amp;":"&amp;AO839)</f>
        <v>17:21</v>
      </c>
      <c r="Y837" s="47"/>
      <c r="Z837" s="48" t="str">
        <f>IF(SUM(AO838:AP838)=0,"",AO838&amp;":"&amp;AP838)</f>
        <v>10:21</v>
      </c>
      <c r="AA837" s="247" t="str">
        <f>IF(SUM(AW838:AX838,BA838:BB838)=0,"",BE838&amp;":"&amp;BF838)</f>
        <v>51:84</v>
      </c>
      <c r="AB837" s="250" t="str">
        <f>IF(SUM(AW838:AX838,BA838:BB838)=0,"",BG838&amp;":"&amp;BH838)</f>
        <v>0:4</v>
      </c>
      <c r="AC837" s="250" t="str">
        <f>IF(SUM(AW838:AX838,BA838:BB838)=0,"",BI838&amp;":"&amp;BJ838)</f>
        <v>0:2</v>
      </c>
      <c r="AD837" s="253">
        <f>IF(SUM(BI837:BI839)&gt;0,BK838,"")</f>
        <v>3</v>
      </c>
      <c r="AE837" s="2"/>
      <c r="AF837" s="12"/>
      <c r="AG837" s="12"/>
      <c r="AH837" s="44" t="s">
        <v>15</v>
      </c>
      <c r="AI837" s="49">
        <f>IF(ISBLANK(S837),"",VLOOKUP(S837,'[2]plan gier'!$X$1:$AN$65536,12,FALSE))</f>
        <v>13</v>
      </c>
      <c r="AJ837" s="50">
        <f>IF(ISBLANK(S837),"",VLOOKUP(S837,'[2]plan gier'!$X$1:$AN$65536,13,FALSE))</f>
        <v>21</v>
      </c>
      <c r="AK837" s="50">
        <f>IF(ISBLANK(S837),"",VLOOKUP(S837,'[2]plan gier'!$X$1:$AN$65536,14,FALSE))</f>
        <v>21</v>
      </c>
      <c r="AL837" s="50">
        <f>IF(ISBLANK(S837),"",VLOOKUP(S837,'[2]plan gier'!$X$1:$AN$65536,15,FALSE))</f>
        <v>19</v>
      </c>
      <c r="AM837" s="50">
        <f>IF(ISBLANK(S837),"",VLOOKUP(S837,'[2]plan gier'!$X$1:$AN$65536,16,FALSE))</f>
        <v>19</v>
      </c>
      <c r="AN837" s="50">
        <f>IF(ISBLANK(S837),"",VLOOKUP(S837,'[2]plan gier'!$X$1:$AN$65536,17,FALSE))</f>
        <v>21</v>
      </c>
      <c r="AO837" s="51">
        <f t="shared" ref="AO837:AT839" si="74">IF(AI837="",0,AI837)</f>
        <v>13</v>
      </c>
      <c r="AP837" s="52">
        <f t="shared" si="74"/>
        <v>21</v>
      </c>
      <c r="AQ837" s="53">
        <f t="shared" si="74"/>
        <v>21</v>
      </c>
      <c r="AR837" s="52">
        <f t="shared" si="74"/>
        <v>19</v>
      </c>
      <c r="AS837" s="53">
        <f t="shared" si="74"/>
        <v>19</v>
      </c>
      <c r="AT837" s="52">
        <f t="shared" si="74"/>
        <v>21</v>
      </c>
      <c r="AU837" s="54">
        <f>SUM(AO837:AT837)</f>
        <v>114</v>
      </c>
      <c r="AV837" s="13">
        <v>1</v>
      </c>
      <c r="AW837" s="55"/>
      <c r="AX837" s="56"/>
      <c r="AY837" s="50">
        <f>IF(AI839&gt;AJ839,1,0)+IF(AK839&gt;AL839,1,0)+IF(AM839&gt;AN839,1,0)</f>
        <v>2</v>
      </c>
      <c r="AZ837" s="50">
        <f>AW838</f>
        <v>0</v>
      </c>
      <c r="BA837" s="50">
        <f>IF(AI837&gt;AJ837,1,0)+IF(AK837&gt;AL837,1,0)+IF(AM837&gt;AN837,1,0)</f>
        <v>1</v>
      </c>
      <c r="BB837" s="57">
        <f>AW839</f>
        <v>2</v>
      </c>
      <c r="BE837" s="49">
        <f>AO837+AQ837+AS837+AO839+AQ839+AS839</f>
        <v>95</v>
      </c>
      <c r="BF837" s="57">
        <f>AP837+AR837+AT837+AP839+AR839+AT839</f>
        <v>92</v>
      </c>
      <c r="BG837" s="49">
        <f>AY837+BA837</f>
        <v>3</v>
      </c>
      <c r="BH837" s="57">
        <f>AZ837+BB837</f>
        <v>2</v>
      </c>
      <c r="BI837" s="49">
        <f>IF(AY837&gt;AZ837,1,0)+IF(BA837&gt;BB837,1,0)</f>
        <v>1</v>
      </c>
      <c r="BJ837" s="58">
        <f>IF(AZ837&gt;AY837,1,0)+IF(BB837&gt;BA837,1,0)</f>
        <v>1</v>
      </c>
      <c r="BK837" s="59">
        <f>IF(BI837+BJ837=0,"",IF(BL837=MAX(BL837:BL839),1,IF(BL837=MIN(BL837:BL839),3,2)))</f>
        <v>2</v>
      </c>
      <c r="BL837" s="60">
        <f>IF(BI837+BJ837&lt;&gt;0,BI837+1+(BG837-BH837)/100+(BE837-BF837)/100000+(BE837/BF837)/1000000,0)</f>
        <v>2.0100310326086954</v>
      </c>
    </row>
    <row r="838" spans="1:64" ht="11.45" customHeight="1" x14ac:dyDescent="0.2">
      <c r="A838" s="19">
        <f>S838</f>
        <v>70</v>
      </c>
      <c r="B838" s="2" t="str">
        <f>IF(N838="","",N838)</f>
        <v>F4048</v>
      </c>
      <c r="C838" s="2" t="str">
        <f>IF(N839="","",N839)</f>
        <v>M3959</v>
      </c>
      <c r="D838" s="2" t="str">
        <f>IF(N841="","",N841)</f>
        <v>X10</v>
      </c>
      <c r="E838" s="2" t="str">
        <f>IF(N842="","",N842)</f>
        <v>X09</v>
      </c>
      <c r="J838" s="10"/>
      <c r="K838" s="19"/>
      <c r="M838" s="42" t="str">
        <f>N834</f>
        <v>mieszana JM</v>
      </c>
      <c r="N838" s="33" t="s">
        <v>149</v>
      </c>
      <c r="O838" s="34">
        <f>IF(O833&gt;0,(O833&amp;2)*1,"")</f>
        <v>42</v>
      </c>
      <c r="Q838" s="43" t="str">
        <f>IF(AU838&gt;0,"",IF(A838=0,"",IF(VLOOKUP(A838,'[2]plan gier'!A$1:S$65536,19,FALSE)="","",VLOOKUP(A838,'[2]plan gier'!A$1:S$65536,19,FALSE))))</f>
        <v/>
      </c>
      <c r="R838" s="44" t="s">
        <v>17</v>
      </c>
      <c r="S838" s="45">
        <v>70</v>
      </c>
      <c r="T838" s="242"/>
      <c r="U838" s="244" t="str">
        <f>IF(AND(N838&lt;&gt;"",N839=""),CONCATENATE(VLOOKUP(N838,[2]zawodnicy!$A$1:$E$65536,1,FALSE)," ",VLOOKUP(N838,[2]zawodnicy!$A$1:$E$65536,2,FALSE)," ",VLOOKUP(N838,[2]zawodnicy!$A$1:$E$65536,3,FALSE)," - ",VLOOKUP(N838,[2]zawodnicy!$A$1:$E$65536,4,FALSE)),"")</f>
        <v/>
      </c>
      <c r="V838" s="245"/>
      <c r="W838" s="246"/>
      <c r="X838" s="61" t="str">
        <f>IF(SUM(AQ839:AR839)=0,"",AR839&amp;":"&amp;AQ839)</f>
        <v>14:21</v>
      </c>
      <c r="Y838" s="62"/>
      <c r="Z838" s="37" t="str">
        <f>IF(SUM(AQ838:AR838)=0,"",AQ838&amp;":"&amp;AR838)</f>
        <v>10:21</v>
      </c>
      <c r="AA838" s="248"/>
      <c r="AB838" s="251"/>
      <c r="AC838" s="251"/>
      <c r="AD838" s="254"/>
      <c r="AE838" s="2"/>
      <c r="AF838" s="12"/>
      <c r="AG838" s="12"/>
      <c r="AH838" s="44" t="s">
        <v>17</v>
      </c>
      <c r="AI838" s="63">
        <f>IF(ISBLANK(S838),"",VLOOKUP(S838,'[2]plan gier'!$X$1:$AN$65536,12,FALSE))</f>
        <v>10</v>
      </c>
      <c r="AJ838" s="64">
        <f>IF(ISBLANK(S838),"",VLOOKUP(S838,'[2]plan gier'!$X$1:$AN$65536,13,FALSE))</f>
        <v>21</v>
      </c>
      <c r="AK838" s="64">
        <f>IF(ISBLANK(S838),"",VLOOKUP(S838,'[2]plan gier'!$X$1:$AN$65536,14,FALSE))</f>
        <v>10</v>
      </c>
      <c r="AL838" s="64">
        <f>IF(ISBLANK(S838),"",VLOOKUP(S838,'[2]plan gier'!$X$1:$AN$65536,15,FALSE))</f>
        <v>21</v>
      </c>
      <c r="AM838" s="64">
        <f>IF(ISBLANK(S838),"",VLOOKUP(S838,'[2]plan gier'!$X$1:$AN$65536,16,FALSE))</f>
        <v>0</v>
      </c>
      <c r="AN838" s="64">
        <f>IF(ISBLANK(S838),"",VLOOKUP(S838,'[2]plan gier'!$X$1:$AN$65536,17,FALSE))</f>
        <v>0</v>
      </c>
      <c r="AO838" s="65">
        <f t="shared" si="74"/>
        <v>10</v>
      </c>
      <c r="AP838" s="64">
        <f t="shared" si="74"/>
        <v>21</v>
      </c>
      <c r="AQ838" s="66">
        <f t="shared" si="74"/>
        <v>10</v>
      </c>
      <c r="AR838" s="64">
        <f t="shared" si="74"/>
        <v>21</v>
      </c>
      <c r="AS838" s="66">
        <f t="shared" si="74"/>
        <v>0</v>
      </c>
      <c r="AT838" s="64">
        <f t="shared" si="74"/>
        <v>0</v>
      </c>
      <c r="AU838" s="54">
        <f>SUM(AO838:AT838)</f>
        <v>62</v>
      </c>
      <c r="AV838" s="13">
        <v>2</v>
      </c>
      <c r="AW838" s="63">
        <f>IF(AI839&lt;AJ839,1,0)+IF(AK839&lt;AL839,1,0)+IF(AM839&lt;AN839,1,0)</f>
        <v>0</v>
      </c>
      <c r="AX838" s="64">
        <f>AY837</f>
        <v>2</v>
      </c>
      <c r="AY838" s="67"/>
      <c r="AZ838" s="68"/>
      <c r="BA838" s="64">
        <f>IF(AI838&gt;AJ838,1,0)+IF(AK838&gt;AL838,1,0)+IF(AM838&gt;AN838,1,0)</f>
        <v>0</v>
      </c>
      <c r="BB838" s="69">
        <f>AY839</f>
        <v>2</v>
      </c>
      <c r="BE838" s="63">
        <f>AO838+AQ838+AS838+AP839+AR839+AT839</f>
        <v>51</v>
      </c>
      <c r="BF838" s="69">
        <f>AP838+AR838+AT838+AO839+AQ839+AS839</f>
        <v>84</v>
      </c>
      <c r="BG838" s="63">
        <f>AW838+BA838</f>
        <v>0</v>
      </c>
      <c r="BH838" s="69">
        <f>AX838+BB838</f>
        <v>4</v>
      </c>
      <c r="BI838" s="63">
        <f>IF(AW838&gt;AX838,1,0)+IF(BA838&gt;BB838,1,0)</f>
        <v>0</v>
      </c>
      <c r="BJ838" s="70">
        <f>IF(AX838&gt;AW838,1,0)+IF(BB838&gt;BA838,1,0)</f>
        <v>2</v>
      </c>
      <c r="BK838" s="71">
        <f>IF(BI838+BJ838=0,"",IF(BL838=MAX(BL837:BL839),1,IF(BL838=MIN(BL837:BL839),3,2)))</f>
        <v>3</v>
      </c>
      <c r="BL838" s="60">
        <f>IF(BI838+BJ838&lt;&gt;0,BI838+1+(BG838-BH838)/100+(BE838-BF838)/100000+(BE838/BF838)/1000000,0)</f>
        <v>0.95967060714285701</v>
      </c>
    </row>
    <row r="839" spans="1:64" ht="11.45" customHeight="1" thickBot="1" x14ac:dyDescent="0.25">
      <c r="A839" s="19">
        <f>S839</f>
        <v>135</v>
      </c>
      <c r="B839" s="2" t="str">
        <f>IF(N835="","",N835)</f>
        <v>M3704</v>
      </c>
      <c r="C839" s="2" t="str">
        <f>IF(N836="","",N836)</f>
        <v>M3661</v>
      </c>
      <c r="D839" s="2" t="str">
        <f>IF(N838="","",N838)</f>
        <v>F4048</v>
      </c>
      <c r="E839" s="2" t="str">
        <f>IF(N839="","",N839)</f>
        <v>M3959</v>
      </c>
      <c r="I839" s="2" t="str">
        <f>"3"&amp;O833&amp;N834</f>
        <v>34mieszana JM</v>
      </c>
      <c r="J839" s="10" t="str">
        <f>IF(AD840="","",IF(AD834=3,N835,IF(AD837=3,N838,IF(AD840=3,N841,""))))</f>
        <v>F4048</v>
      </c>
      <c r="K839" s="10" t="str">
        <f>IF(AD840="","",IF(AD834=3,N836,IF(AD837=3,N839,IF(AD840=3,N842,""))))</f>
        <v>M3959</v>
      </c>
      <c r="M839" s="42" t="str">
        <f>N834</f>
        <v>mieszana JM</v>
      </c>
      <c r="N839" s="38" t="s">
        <v>144</v>
      </c>
      <c r="O839" s="28"/>
      <c r="P839" s="28"/>
      <c r="Q839" s="43" t="str">
        <f>IF(AU839&gt;0,"",IF(A839=0,"",IF(VLOOKUP(A839,'[2]plan gier'!A$1:S$65536,19,FALSE)="","",VLOOKUP(A839,'[2]plan gier'!A$1:S$65536,19,FALSE))))</f>
        <v/>
      </c>
      <c r="R839" s="72" t="s">
        <v>18</v>
      </c>
      <c r="S839" s="45">
        <v>135</v>
      </c>
      <c r="T839" s="261"/>
      <c r="U839" s="265" t="str">
        <f>IF(N839&lt;&gt;"",CONCATENATE(VLOOKUP(N839,[2]zawodnicy!$A$1:$E$65536,1,FALSE)," ",VLOOKUP(N839,[2]zawodnicy!$A$1:$E$65536,2,FALSE)," ",VLOOKUP(N839,[2]zawodnicy!$A$1:$E$65536,3,FALSE)," - ",VLOOKUP(N839,[2]zawodnicy!$A$1:$E$65536,4,FALSE)),"")</f>
        <v>M3959 Łucja MIGAS - UKS Iskra Sarbice</v>
      </c>
      <c r="V839" s="266"/>
      <c r="W839" s="267"/>
      <c r="X839" s="73" t="str">
        <f>IF(SUM(AS839:AT839)=0,"",AT839&amp;":"&amp;AS839)</f>
        <v/>
      </c>
      <c r="Y839" s="62"/>
      <c r="Z839" s="40" t="str">
        <f>IF(SUM(AS838:AT838)=0,"",AS838&amp;":"&amp;AT838)</f>
        <v/>
      </c>
      <c r="AA839" s="262"/>
      <c r="AB839" s="263"/>
      <c r="AC839" s="263"/>
      <c r="AD839" s="264"/>
      <c r="AE839" s="2"/>
      <c r="AF839" s="12"/>
      <c r="AG839" s="12"/>
      <c r="AH839" s="72" t="s">
        <v>18</v>
      </c>
      <c r="AI839" s="74">
        <f>IF(ISBLANK(S839),"",VLOOKUP(S839,'[2]plan gier'!$X$1:$AN$65536,12,FALSE))</f>
        <v>21</v>
      </c>
      <c r="AJ839" s="75">
        <f>IF(ISBLANK(S839),"",VLOOKUP(S839,'[2]plan gier'!$X$1:$AN$65536,13,FALSE))</f>
        <v>17</v>
      </c>
      <c r="AK839" s="75">
        <f>IF(ISBLANK(S839),"",VLOOKUP(S839,'[2]plan gier'!$X$1:$AN$65536,14,FALSE))</f>
        <v>21</v>
      </c>
      <c r="AL839" s="75">
        <f>IF(ISBLANK(S839),"",VLOOKUP(S839,'[2]plan gier'!$X$1:$AN$65536,15,FALSE))</f>
        <v>14</v>
      </c>
      <c r="AM839" s="75">
        <f>IF(ISBLANK(S839),"",VLOOKUP(S839,'[2]plan gier'!$X$1:$AN$65536,16,FALSE))</f>
        <v>0</v>
      </c>
      <c r="AN839" s="75">
        <f>IF(ISBLANK(S839),"",VLOOKUP(S839,'[2]plan gier'!$X$1:$AN$65536,17,FALSE))</f>
        <v>0</v>
      </c>
      <c r="AO839" s="76">
        <f t="shared" si="74"/>
        <v>21</v>
      </c>
      <c r="AP839" s="75">
        <f t="shared" si="74"/>
        <v>17</v>
      </c>
      <c r="AQ839" s="77">
        <f t="shared" si="74"/>
        <v>21</v>
      </c>
      <c r="AR839" s="75">
        <f t="shared" si="74"/>
        <v>14</v>
      </c>
      <c r="AS839" s="77">
        <f t="shared" si="74"/>
        <v>0</v>
      </c>
      <c r="AT839" s="75">
        <f t="shared" si="74"/>
        <v>0</v>
      </c>
      <c r="AU839" s="54">
        <f>SUM(AO839:AT839)</f>
        <v>73</v>
      </c>
      <c r="AV839" s="13">
        <v>3</v>
      </c>
      <c r="AW839" s="74">
        <f>IF(AI837&lt;AJ837,1,0)+IF(AK837&lt;AL837,1,0)+IF(AM837&lt;AN837,1,0)</f>
        <v>2</v>
      </c>
      <c r="AX839" s="75">
        <f>BA837</f>
        <v>1</v>
      </c>
      <c r="AY839" s="75">
        <f>IF(AI838&lt;AJ838,1,0)+IF(AK838&lt;AL838,1,0)+IF(AM838&lt;AN838,1,0)</f>
        <v>2</v>
      </c>
      <c r="AZ839" s="75">
        <f>BA838</f>
        <v>0</v>
      </c>
      <c r="BA839" s="78"/>
      <c r="BB839" s="79"/>
      <c r="BE839" s="74">
        <f>AP837+AR837+AT837+AP838+AR838+AT838</f>
        <v>103</v>
      </c>
      <c r="BF839" s="80">
        <f>AO837+AQ837+AS837+AO838+AQ838+AS838</f>
        <v>73</v>
      </c>
      <c r="BG839" s="74">
        <f>AW839+AY839</f>
        <v>4</v>
      </c>
      <c r="BH839" s="80">
        <f>AX839+AZ839</f>
        <v>1</v>
      </c>
      <c r="BI839" s="74">
        <f>IF(AW839&gt;AX839,1,0)+IF(AY839&gt;AZ839,1,0)</f>
        <v>2</v>
      </c>
      <c r="BJ839" s="81">
        <f>IF(AX839&gt;AW839,1,0)+IF(AZ839&gt;AY839,1,0)</f>
        <v>0</v>
      </c>
      <c r="BK839" s="82">
        <f>IF(BI839+BJ839=0,"",IF(BL839=MAX(BL837:BL839),1,IF(BL839=MIN(BL837:BL839),3,2)))</f>
        <v>1</v>
      </c>
      <c r="BL839" s="60">
        <f>IF(BI839+BJ839&lt;&gt;0,BI839+1+(BG839-BH839)/100+(BE839-BF839)/100000+(BE839/BF839)/1000000,0)</f>
        <v>3.0303014109589039</v>
      </c>
    </row>
    <row r="840" spans="1:64" ht="11.45" customHeight="1" x14ac:dyDescent="0.2">
      <c r="A840" s="2"/>
      <c r="J840" s="28"/>
      <c r="K840" s="28"/>
      <c r="L840" s="28"/>
      <c r="O840" s="28"/>
      <c r="P840" s="28"/>
      <c r="Q840" s="2"/>
      <c r="R840" s="2"/>
      <c r="S840" s="2"/>
      <c r="T840" s="241">
        <v>3</v>
      </c>
      <c r="U840" s="244" t="str">
        <f>IF(AND(N841&lt;&gt;"",N842&lt;&gt;""),CONCATENATE(VLOOKUP(N841,[2]zawodnicy!$A$1:$E$65536,1,FALSE)," ",VLOOKUP(N841,[2]zawodnicy!$A$1:$E$65536,2,FALSE)," ",VLOOKUP(N841,[2]zawodnicy!$A$1:$E$65536,3,FALSE)," - ",VLOOKUP(N841,[2]zawodnicy!$A$1:$E$65536,4,FALSE)),"")</f>
        <v>X10 Dmitry KUSIMITSKI - Brześć Białoruś</v>
      </c>
      <c r="V840" s="245"/>
      <c r="W840" s="246"/>
      <c r="X840" s="46" t="str">
        <f>IF(SUM(AO837:AP837)=0,"",AP837&amp;":"&amp;AO837)</f>
        <v>21:13</v>
      </c>
      <c r="Y840" s="83" t="str">
        <f>IF(SUM(AO838:AP838)=0,"",AP838&amp;":"&amp;AO838)</f>
        <v>21:10</v>
      </c>
      <c r="Z840" s="84"/>
      <c r="AA840" s="247" t="str">
        <f>IF(SUM(AW839:AZ839)=0,"",BE839&amp;":"&amp;BF839)</f>
        <v>103:73</v>
      </c>
      <c r="AB840" s="250" t="str">
        <f>IF(SUM(AW839:AZ839)=0,"",BG839&amp;":"&amp;BH839)</f>
        <v>4:1</v>
      </c>
      <c r="AC840" s="250" t="str">
        <f>IF(SUM(AW839:AZ839)=0,"",BI839&amp;":"&amp;BJ839)</f>
        <v>2:0</v>
      </c>
      <c r="AD840" s="253">
        <f>IF(SUM(BI837:BI839)&gt;0,BK839,"")</f>
        <v>1</v>
      </c>
      <c r="AE840" s="2"/>
      <c r="AF840" s="12"/>
      <c r="AG840" s="12"/>
      <c r="BE840" s="19">
        <f>SUM(BE837:BE839)</f>
        <v>249</v>
      </c>
      <c r="BF840" s="19">
        <f>SUM(BF837:BF839)</f>
        <v>249</v>
      </c>
      <c r="BG840" s="19">
        <f>SUM(BG837:BG839)</f>
        <v>7</v>
      </c>
      <c r="BH840" s="19">
        <f>SUM(BH837:BH839)</f>
        <v>7</v>
      </c>
      <c r="BK840" s="19"/>
      <c r="BL840" s="20"/>
    </row>
    <row r="841" spans="1:64" ht="11.45" customHeight="1" x14ac:dyDescent="0.2">
      <c r="A841" s="19"/>
      <c r="J841" s="19"/>
      <c r="K841" s="19"/>
      <c r="L841" s="19"/>
      <c r="N841" s="33" t="s">
        <v>114</v>
      </c>
      <c r="O841" s="34">
        <f>IF(O833&gt;0,(O833&amp;3)*1,"")</f>
        <v>43</v>
      </c>
      <c r="Q841" s="85"/>
      <c r="R841" s="85"/>
      <c r="S841" s="85"/>
      <c r="T841" s="242"/>
      <c r="U841" s="244" t="str">
        <f>IF(AND(N841&lt;&gt;"",N842=""),CONCATENATE(VLOOKUP(N841,[2]zawodnicy!$A$1:$E$65536,1,FALSE)," ",VLOOKUP(N841,[2]zawodnicy!$A$1:$E$65536,2,FALSE)," ",VLOOKUP(N841,[2]zawodnicy!$A$1:$E$65536,3,FALSE)," - ",VLOOKUP(N841,[2]zawodnicy!$A$1:$E$65536,4,FALSE)),"")</f>
        <v/>
      </c>
      <c r="V841" s="245"/>
      <c r="W841" s="246"/>
      <c r="X841" s="61" t="str">
        <f>IF(SUM(AQ837:AR837)=0,"",AR837&amp;":"&amp;AQ837)</f>
        <v>19:21</v>
      </c>
      <c r="Y841" s="36" t="str">
        <f>IF(SUM(AQ838:AR838)=0,"",AR838&amp;":"&amp;AQ838)</f>
        <v>21:10</v>
      </c>
      <c r="Z841" s="86"/>
      <c r="AA841" s="248"/>
      <c r="AB841" s="251"/>
      <c r="AC841" s="251"/>
      <c r="AD841" s="254"/>
      <c r="AE841" s="2"/>
      <c r="AF841" s="12"/>
      <c r="AG841" s="1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row>
    <row r="842" spans="1:64" ht="11.45" customHeight="1" thickBot="1" x14ac:dyDescent="0.25">
      <c r="A842" s="2"/>
      <c r="J842" s="28"/>
      <c r="K842" s="28"/>
      <c r="L842" s="28"/>
      <c r="N842" s="38" t="s">
        <v>89</v>
      </c>
      <c r="O842" s="28"/>
      <c r="P842" s="28"/>
      <c r="Q842" s="2"/>
      <c r="R842" s="2"/>
      <c r="S842" s="2"/>
      <c r="T842" s="243"/>
      <c r="U842" s="256" t="str">
        <f>IF(N842&lt;&gt;"",CONCATENATE(VLOOKUP(N842,[2]zawodnicy!$A$1:$E$65536,1,FALSE)," ",VLOOKUP(N842,[2]zawodnicy!$A$1:$E$65536,2,FALSE)," ",VLOOKUP(N842,[2]zawodnicy!$A$1:$E$65536,3,FALSE)," - ",VLOOKUP(N842,[2]zawodnicy!$A$1:$E$65536,4,FALSE)),"")</f>
        <v>X09 Mariana VERBITSKA - Brześć Białoruś</v>
      </c>
      <c r="V842" s="257"/>
      <c r="W842" s="258"/>
      <c r="X842" s="87" t="str">
        <f>IF(SUM(AS837:AT837)=0,"",AT837&amp;":"&amp;AS837)</f>
        <v>21:19</v>
      </c>
      <c r="Y842" s="88" t="str">
        <f>IF(SUM(AS838:AT838)=0,"",AT838&amp;":"&amp;AS838)</f>
        <v/>
      </c>
      <c r="Z842" s="89"/>
      <c r="AA842" s="249"/>
      <c r="AB842" s="252"/>
      <c r="AC842" s="252"/>
      <c r="AD842" s="255"/>
      <c r="AE842" s="10"/>
      <c r="AF842" s="12"/>
      <c r="AG842" s="1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row>
    <row r="843" spans="1:64" s="19" customFormat="1" ht="5.0999999999999996" customHeight="1" thickBot="1" x14ac:dyDescent="0.25">
      <c r="M843" s="90"/>
      <c r="O843" s="90"/>
      <c r="P843" s="90"/>
      <c r="Q843" s="91"/>
      <c r="R843" s="91"/>
      <c r="S843" s="91"/>
      <c r="T843" s="91"/>
      <c r="U843" s="5"/>
      <c r="V843" s="5"/>
      <c r="W843" s="5"/>
      <c r="AA843" s="92"/>
      <c r="AB843" s="91"/>
      <c r="AC843" s="91"/>
      <c r="AD843" s="91"/>
      <c r="AE843" s="91"/>
      <c r="AF843" s="91"/>
      <c r="AI843" s="93"/>
      <c r="AJ843" s="94"/>
      <c r="AK843" s="94"/>
    </row>
    <row r="844" spans="1:64" ht="11.45" customHeight="1" thickBot="1" x14ac:dyDescent="0.25">
      <c r="N844" s="11"/>
      <c r="O844" s="21">
        <v>5</v>
      </c>
      <c r="Q844" s="277" t="str">
        <f>"Grupa "&amp;O844&amp;"."</f>
        <v>Grupa 5.</v>
      </c>
      <c r="R844" s="277"/>
      <c r="S844" s="277"/>
      <c r="T844" s="22" t="s">
        <v>1</v>
      </c>
      <c r="U844" s="278" t="s">
        <v>2</v>
      </c>
      <c r="V844" s="279"/>
      <c r="W844" s="280"/>
      <c r="X844" s="22">
        <v>1</v>
      </c>
      <c r="Y844" s="23">
        <v>2</v>
      </c>
      <c r="Z844" s="24">
        <v>3</v>
      </c>
      <c r="AA844" s="25" t="s">
        <v>3</v>
      </c>
      <c r="AB844" s="26" t="s">
        <v>4</v>
      </c>
      <c r="AC844" s="26" t="s">
        <v>5</v>
      </c>
      <c r="AD844" s="27" t="s">
        <v>6</v>
      </c>
      <c r="AE844" s="2"/>
      <c r="AF844" s="12"/>
      <c r="AG844" s="12"/>
      <c r="BK844" s="19"/>
      <c r="BL844" s="20"/>
    </row>
    <row r="845" spans="1:64" ht="11.45" customHeight="1" x14ac:dyDescent="0.2">
      <c r="J845" s="28"/>
      <c r="K845" s="28"/>
      <c r="L845" s="28"/>
      <c r="N845" s="29" t="s">
        <v>152</v>
      </c>
      <c r="Q845" s="274" t="s">
        <v>7</v>
      </c>
      <c r="R845" s="274"/>
      <c r="S845" s="275" t="s">
        <v>8</v>
      </c>
      <c r="T845" s="276">
        <v>1</v>
      </c>
      <c r="U845" s="244" t="str">
        <f>IF(AND(N846&lt;&gt;"",N847&lt;&gt;""),CONCATENATE(VLOOKUP(N846,[2]zawodnicy!$A$1:$E$65536,1,FALSE)," ",VLOOKUP(N846,[2]zawodnicy!$A$1:$E$65536,2,FALSE)," ",VLOOKUP(N846,[2]zawodnicy!$A$1:$E$65536,3,FALSE)," - ",VLOOKUP(N846,[2]zawodnicy!$A$1:$E$65536,4,FALSE)),"")</f>
        <v>D3323 Mateusz DANIELAK - KKS Ruch Piotrków Tryb.</v>
      </c>
      <c r="V845" s="245"/>
      <c r="W845" s="246"/>
      <c r="X845" s="30"/>
      <c r="Y845" s="31" t="str">
        <f>IF(SUM(AO850:AP850)=0,"",AO850&amp;":"&amp;AP850)</f>
        <v>21:17</v>
      </c>
      <c r="Z845" s="32" t="str">
        <f>IF(SUM(AO848:AP848)=0,"",AO848&amp;":"&amp;AP848)</f>
        <v>21:17</v>
      </c>
      <c r="AA845" s="270" t="str">
        <f>IF(SUM(AY848:BB848)=0,"",BE848&amp;":"&amp;BF848)</f>
        <v>90:95</v>
      </c>
      <c r="AB845" s="271" t="str">
        <f>IF(SUM(AY848:BB848)=0,"",BG848&amp;":"&amp;BH848)</f>
        <v>3:2</v>
      </c>
      <c r="AC845" s="271" t="str">
        <f>IF(SUM(AY848:BB848)=0,"",BI848&amp;":"&amp;BJ848)</f>
        <v>1:1</v>
      </c>
      <c r="AD845" s="272">
        <f>IF(SUM(BI848:BI850)&gt;0,BK848,"")</f>
        <v>2</v>
      </c>
      <c r="AE845" s="2"/>
      <c r="AF845" s="12"/>
      <c r="AG845" s="12"/>
      <c r="AH845" s="14"/>
      <c r="AI845" s="273" t="s">
        <v>9</v>
      </c>
      <c r="AJ845" s="273"/>
      <c r="AK845" s="273"/>
      <c r="AL845" s="273"/>
      <c r="AM845" s="273"/>
      <c r="AN845" s="273"/>
      <c r="AO845" s="273" t="s">
        <v>10</v>
      </c>
      <c r="AP845" s="273"/>
      <c r="AQ845" s="273"/>
      <c r="AR845" s="273"/>
      <c r="AS845" s="273"/>
      <c r="AT845" s="273"/>
      <c r="BK845" s="19"/>
      <c r="BL845" s="20"/>
    </row>
    <row r="846" spans="1:64" ht="11.45" customHeight="1" thickBot="1" x14ac:dyDescent="0.25">
      <c r="I846" s="2" t="str">
        <f>"1"&amp;O844&amp;N845</f>
        <v>15mieszana JM</v>
      </c>
      <c r="J846" s="10" t="str">
        <f>IF(AD845="","",IF(AD845=1,N846,IF(AD848=1,N849,IF(AD851=1,N852,""))))</f>
        <v>M4193</v>
      </c>
      <c r="K846" s="10" t="str">
        <f>IF(AD845="","",IF(AD845=1,N847,IF(AD848=1,N850,IF(AD851=1,N853,""))))</f>
        <v>M3790</v>
      </c>
      <c r="L846" s="10"/>
      <c r="N846" s="33" t="s">
        <v>130</v>
      </c>
      <c r="O846" s="34">
        <f>IF(O844&gt;0,(O844&amp;1)*1,"")</f>
        <v>51</v>
      </c>
      <c r="Q846" s="274"/>
      <c r="R846" s="274"/>
      <c r="S846" s="275"/>
      <c r="T846" s="242"/>
      <c r="U846" s="244" t="str">
        <f>IF(AND(N846&lt;&gt;"",N847=""),CONCATENATE(VLOOKUP(N846,[2]zawodnicy!$A$1:$E$65536,1,FALSE)," ",VLOOKUP(N846,[2]zawodnicy!$A$1:$E$65536,2,FALSE)," ",VLOOKUP(N846,[2]zawodnicy!$A$1:$E$65536,3,FALSE)," - ",VLOOKUP(N846,[2]zawodnicy!$A$1:$E$65536,4,FALSE)),"")</f>
        <v/>
      </c>
      <c r="V846" s="245"/>
      <c r="W846" s="246"/>
      <c r="X846" s="35"/>
      <c r="Y846" s="36" t="str">
        <f>IF(SUM(AQ850:AR850)=0,"",AQ850&amp;":"&amp;AR850)</f>
        <v>14:21</v>
      </c>
      <c r="Z846" s="37" t="str">
        <f>IF(SUM(AQ848:AR848)=0,"",AQ848&amp;":"&amp;AR848)</f>
        <v>21:19</v>
      </c>
      <c r="AA846" s="248"/>
      <c r="AB846" s="251"/>
      <c r="AC846" s="251"/>
      <c r="AD846" s="254"/>
      <c r="AE846" s="2"/>
      <c r="AF846" s="12"/>
      <c r="AG846" s="12"/>
      <c r="AH846" s="14"/>
      <c r="BE846" s="19">
        <f>SUM(BE848:BE850)</f>
        <v>251</v>
      </c>
      <c r="BF846" s="19">
        <f>SUM(BF848:BF850)</f>
        <v>251</v>
      </c>
      <c r="BG846" s="19">
        <f>SUM(BG848:BG850)</f>
        <v>7</v>
      </c>
      <c r="BH846" s="19">
        <f>SUM(BH848:BH850)</f>
        <v>7</v>
      </c>
      <c r="BK846" s="19"/>
      <c r="BL846" s="20"/>
    </row>
    <row r="847" spans="1:64" ht="11.45" customHeight="1" thickBot="1" x14ac:dyDescent="0.25">
      <c r="J847" s="10"/>
      <c r="K847" s="28"/>
      <c r="L847" s="28"/>
      <c r="N847" s="38" t="s">
        <v>78</v>
      </c>
      <c r="O847" s="28"/>
      <c r="P847" s="28"/>
      <c r="Q847" s="274"/>
      <c r="R847" s="274"/>
      <c r="S847" s="275"/>
      <c r="T847" s="261"/>
      <c r="U847" s="265" t="str">
        <f>IF(N847&lt;&gt;"",CONCATENATE(VLOOKUP(N847,[2]zawodnicy!$A$1:$E$65536,1,FALSE)," ",VLOOKUP(N847,[2]zawodnicy!$A$1:$E$65536,2,FALSE)," ",VLOOKUP(N847,[2]zawodnicy!$A$1:$E$65536,3,FALSE)," - ",VLOOKUP(N847,[2]zawodnicy!$A$1:$E$65536,4,FALSE)),"")</f>
        <v>W4435 Karolina WŁADZIŃSKA - ----</v>
      </c>
      <c r="V847" s="266"/>
      <c r="W847" s="267"/>
      <c r="X847" s="35"/>
      <c r="Y847" s="39" t="str">
        <f>IF(SUM(AS850:AT850)=0,"",AS850&amp;":"&amp;AT850)</f>
        <v>13:21</v>
      </c>
      <c r="Z847" s="40" t="str">
        <f>IF(SUM(AS848:AT848)=0,"",AS848&amp;":"&amp;AT848)</f>
        <v/>
      </c>
      <c r="AA847" s="262"/>
      <c r="AB847" s="263"/>
      <c r="AC847" s="263"/>
      <c r="AD847" s="264"/>
      <c r="AE847" s="2"/>
      <c r="AF847" s="12"/>
      <c r="AG847" s="12"/>
      <c r="AH847" s="14"/>
      <c r="AI847" s="259" t="s">
        <v>12</v>
      </c>
      <c r="AJ847" s="269"/>
      <c r="AK847" s="268" t="s">
        <v>13</v>
      </c>
      <c r="AL847" s="269"/>
      <c r="AM847" s="268" t="s">
        <v>14</v>
      </c>
      <c r="AN847" s="260"/>
      <c r="AO847" s="259" t="s">
        <v>12</v>
      </c>
      <c r="AP847" s="269"/>
      <c r="AQ847" s="268" t="s">
        <v>13</v>
      </c>
      <c r="AR847" s="269"/>
      <c r="AS847" s="268" t="s">
        <v>14</v>
      </c>
      <c r="AT847" s="269"/>
      <c r="AU847" s="12"/>
      <c r="AV847" s="12"/>
      <c r="AW847" s="259">
        <v>1</v>
      </c>
      <c r="AX847" s="269"/>
      <c r="AY847" s="268">
        <v>2</v>
      </c>
      <c r="AZ847" s="269"/>
      <c r="BA847" s="268">
        <v>3</v>
      </c>
      <c r="BB847" s="260"/>
      <c r="BE847" s="259" t="s">
        <v>3</v>
      </c>
      <c r="BF847" s="260"/>
      <c r="BG847" s="259" t="s">
        <v>4</v>
      </c>
      <c r="BH847" s="260"/>
      <c r="BI847" s="259" t="s">
        <v>5</v>
      </c>
      <c r="BJ847" s="260"/>
      <c r="BK847" s="41" t="s">
        <v>6</v>
      </c>
      <c r="BL847" s="20"/>
    </row>
    <row r="848" spans="1:64" ht="11.45" customHeight="1" x14ac:dyDescent="0.2">
      <c r="A848" s="19">
        <f>S848</f>
        <v>6</v>
      </c>
      <c r="B848" s="2" t="str">
        <f>IF(N846="","",N846)</f>
        <v>D3323</v>
      </c>
      <c r="C848" s="2" t="str">
        <f>IF(N847="","",N847)</f>
        <v>W4435</v>
      </c>
      <c r="D848" s="2" t="str">
        <f>IF(N852="","",N852)</f>
        <v>N3834</v>
      </c>
      <c r="E848" s="2" t="str">
        <f>IF(N853="","",N853)</f>
        <v>S3951</v>
      </c>
      <c r="I848" s="2" t="str">
        <f>"2"&amp;O844&amp;N845</f>
        <v>25mieszana JM</v>
      </c>
      <c r="J848" s="10" t="str">
        <f>IF(AD848="","",IF(AD845=2,N846,IF(AD848=2,N849,IF(AD851=2,N852,""))))</f>
        <v>D3323</v>
      </c>
      <c r="K848" s="10" t="str">
        <f>IF(AD848="","",IF(AD845=2,N847,IF(AD848=2,N850,IF(AD851=2,N853,""))))</f>
        <v>W4435</v>
      </c>
      <c r="M848" s="42" t="str">
        <f>N845</f>
        <v>mieszana JM</v>
      </c>
      <c r="O848" s="28"/>
      <c r="P848" s="28"/>
      <c r="Q848" s="43" t="str">
        <f>IF(AU848&gt;0,"",IF(A848=0,"",IF(VLOOKUP(A848,'[2]plan gier'!A$1:S$65536,19,FALSE)="","",VLOOKUP(A848,'[2]plan gier'!A$1:S$65536,19,FALSE))))</f>
        <v/>
      </c>
      <c r="R848" s="44" t="s">
        <v>15</v>
      </c>
      <c r="S848" s="45">
        <v>6</v>
      </c>
      <c r="T848" s="241">
        <v>2</v>
      </c>
      <c r="U848" s="244" t="str">
        <f>IF(AND(N849&lt;&gt;"",N850&lt;&gt;""),CONCATENATE(VLOOKUP(N849,[2]zawodnicy!$A$1:$E$65536,1,FALSE)," ",VLOOKUP(N849,[2]zawodnicy!$A$1:$E$65536,2,FALSE)," ",VLOOKUP(N849,[2]zawodnicy!$A$1:$E$65536,3,FALSE)," - ",VLOOKUP(N849,[2]zawodnicy!$A$1:$E$65536,4,FALSE)),"")</f>
        <v>M4193 Robert MIRGA - LKS Technik Głubczyce</v>
      </c>
      <c r="V848" s="245"/>
      <c r="W848" s="246"/>
      <c r="X848" s="46" t="str">
        <f>IF(SUM(AO850:AP850)=0,"",AP850&amp;":"&amp;AO850)</f>
        <v>17:21</v>
      </c>
      <c r="Y848" s="47"/>
      <c r="Z848" s="48" t="str">
        <f>IF(SUM(AO849:AP849)=0,"",AO849&amp;":"&amp;AP849)</f>
        <v>21:12</v>
      </c>
      <c r="AA848" s="247" t="str">
        <f>IF(SUM(AW849:AX849,BA849:BB849)=0,"",BE849&amp;":"&amp;BF849)</f>
        <v>101:72</v>
      </c>
      <c r="AB848" s="250" t="str">
        <f>IF(SUM(AW849:AX849,BA849:BB849)=0,"",BG849&amp;":"&amp;BH849)</f>
        <v>4:1</v>
      </c>
      <c r="AC848" s="250" t="str">
        <f>IF(SUM(AW849:AX849,BA849:BB849)=0,"",BI849&amp;":"&amp;BJ849)</f>
        <v>2:0</v>
      </c>
      <c r="AD848" s="253">
        <f>IF(SUM(BI848:BI850)&gt;0,BK849,"")</f>
        <v>1</v>
      </c>
      <c r="AE848" s="2"/>
      <c r="AF848" s="12"/>
      <c r="AG848" s="12"/>
      <c r="AH848" s="44" t="s">
        <v>15</v>
      </c>
      <c r="AI848" s="49">
        <f>IF(ISBLANK(S848),"",VLOOKUP(S848,'[2]plan gier'!$X$1:$AN$65536,12,FALSE))</f>
        <v>21</v>
      </c>
      <c r="AJ848" s="50">
        <f>IF(ISBLANK(S848),"",VLOOKUP(S848,'[2]plan gier'!$X$1:$AN$65536,13,FALSE))</f>
        <v>17</v>
      </c>
      <c r="AK848" s="50">
        <f>IF(ISBLANK(S848),"",VLOOKUP(S848,'[2]plan gier'!$X$1:$AN$65536,14,FALSE))</f>
        <v>21</v>
      </c>
      <c r="AL848" s="50">
        <f>IF(ISBLANK(S848),"",VLOOKUP(S848,'[2]plan gier'!$X$1:$AN$65536,15,FALSE))</f>
        <v>19</v>
      </c>
      <c r="AM848" s="50">
        <f>IF(ISBLANK(S848),"",VLOOKUP(S848,'[2]plan gier'!$X$1:$AN$65536,16,FALSE))</f>
        <v>0</v>
      </c>
      <c r="AN848" s="50">
        <f>IF(ISBLANK(S848),"",VLOOKUP(S848,'[2]plan gier'!$X$1:$AN$65536,17,FALSE))</f>
        <v>0</v>
      </c>
      <c r="AO848" s="51">
        <f t="shared" ref="AO848:AT850" si="75">IF(AI848="",0,AI848)</f>
        <v>21</v>
      </c>
      <c r="AP848" s="52">
        <f t="shared" si="75"/>
        <v>17</v>
      </c>
      <c r="AQ848" s="53">
        <f t="shared" si="75"/>
        <v>21</v>
      </c>
      <c r="AR848" s="52">
        <f t="shared" si="75"/>
        <v>19</v>
      </c>
      <c r="AS848" s="53">
        <f t="shared" si="75"/>
        <v>0</v>
      </c>
      <c r="AT848" s="52">
        <f t="shared" si="75"/>
        <v>0</v>
      </c>
      <c r="AU848" s="54">
        <f>SUM(AO848:AT848)</f>
        <v>78</v>
      </c>
      <c r="AV848" s="13">
        <v>1</v>
      </c>
      <c r="AW848" s="55"/>
      <c r="AX848" s="56"/>
      <c r="AY848" s="50">
        <f>IF(AI850&gt;AJ850,1,0)+IF(AK850&gt;AL850,1,0)+IF(AM850&gt;AN850,1,0)</f>
        <v>1</v>
      </c>
      <c r="AZ848" s="50">
        <f>AW849</f>
        <v>2</v>
      </c>
      <c r="BA848" s="50">
        <f>IF(AI848&gt;AJ848,1,0)+IF(AK848&gt;AL848,1,0)+IF(AM848&gt;AN848,1,0)</f>
        <v>2</v>
      </c>
      <c r="BB848" s="57">
        <f>AW850</f>
        <v>0</v>
      </c>
      <c r="BE848" s="49">
        <f>AO848+AQ848+AS848+AO850+AQ850+AS850</f>
        <v>90</v>
      </c>
      <c r="BF848" s="57">
        <f>AP848+AR848+AT848+AP850+AR850+AT850</f>
        <v>95</v>
      </c>
      <c r="BG848" s="49">
        <f>AY848+BA848</f>
        <v>3</v>
      </c>
      <c r="BH848" s="57">
        <f>AZ848+BB848</f>
        <v>2</v>
      </c>
      <c r="BI848" s="49">
        <f>IF(AY848&gt;AZ848,1,0)+IF(BA848&gt;BB848,1,0)</f>
        <v>1</v>
      </c>
      <c r="BJ848" s="58">
        <f>IF(AZ848&gt;AY848,1,0)+IF(BB848&gt;BA848,1,0)</f>
        <v>1</v>
      </c>
      <c r="BK848" s="59">
        <f>IF(BI848+BJ848=0,"",IF(BL848=MAX(BL848:BL850),1,IF(BL848=MIN(BL848:BL850),3,2)))</f>
        <v>2</v>
      </c>
      <c r="BL848" s="60">
        <f>IF(BI848+BJ848&lt;&gt;0,BI848+1+(BG848-BH848)/100+(BE848-BF848)/100000+(BE848/BF848)/1000000,0)</f>
        <v>2.0099509473684209</v>
      </c>
    </row>
    <row r="849" spans="1:64" ht="11.45" customHeight="1" x14ac:dyDescent="0.2">
      <c r="A849" s="19">
        <f>S849</f>
        <v>71</v>
      </c>
      <c r="B849" s="2" t="str">
        <f>IF(N849="","",N849)</f>
        <v>M4193</v>
      </c>
      <c r="C849" s="2" t="str">
        <f>IF(N850="","",N850)</f>
        <v>M3790</v>
      </c>
      <c r="D849" s="2" t="str">
        <f>IF(N852="","",N852)</f>
        <v>N3834</v>
      </c>
      <c r="E849" s="2" t="str">
        <f>IF(N853="","",N853)</f>
        <v>S3951</v>
      </c>
      <c r="J849" s="10"/>
      <c r="K849" s="19"/>
      <c r="M849" s="42" t="str">
        <f>N845</f>
        <v>mieszana JM</v>
      </c>
      <c r="N849" s="33" t="s">
        <v>127</v>
      </c>
      <c r="O849" s="34">
        <f>IF(O844&gt;0,(O844&amp;2)*1,"")</f>
        <v>52</v>
      </c>
      <c r="Q849" s="43" t="str">
        <f>IF(AU849&gt;0,"",IF(A849=0,"",IF(VLOOKUP(A849,'[2]plan gier'!A$1:S$65536,19,FALSE)="","",VLOOKUP(A849,'[2]plan gier'!A$1:S$65536,19,FALSE))))</f>
        <v/>
      </c>
      <c r="R849" s="44" t="s">
        <v>17</v>
      </c>
      <c r="S849" s="45">
        <v>71</v>
      </c>
      <c r="T849" s="242"/>
      <c r="U849" s="244" t="str">
        <f>IF(AND(N849&lt;&gt;"",N850=""),CONCATENATE(VLOOKUP(N849,[2]zawodnicy!$A$1:$E$65536,1,FALSE)," ",VLOOKUP(N849,[2]zawodnicy!$A$1:$E$65536,2,FALSE)," ",VLOOKUP(N849,[2]zawodnicy!$A$1:$E$65536,3,FALSE)," - ",VLOOKUP(N849,[2]zawodnicy!$A$1:$E$65536,4,FALSE)),"")</f>
        <v/>
      </c>
      <c r="V849" s="245"/>
      <c r="W849" s="246"/>
      <c r="X849" s="61" t="str">
        <f>IF(SUM(AQ850:AR850)=0,"",AR850&amp;":"&amp;AQ850)</f>
        <v>21:14</v>
      </c>
      <c r="Y849" s="62"/>
      <c r="Z849" s="37" t="str">
        <f>IF(SUM(AQ849:AR849)=0,"",AQ849&amp;":"&amp;AR849)</f>
        <v>21:12</v>
      </c>
      <c r="AA849" s="248"/>
      <c r="AB849" s="251"/>
      <c r="AC849" s="251"/>
      <c r="AD849" s="254"/>
      <c r="AE849" s="2"/>
      <c r="AF849" s="12"/>
      <c r="AG849" s="12"/>
      <c r="AH849" s="44" t="s">
        <v>17</v>
      </c>
      <c r="AI849" s="63">
        <f>IF(ISBLANK(S849),"",VLOOKUP(S849,'[2]plan gier'!$X$1:$AN$65536,12,FALSE))</f>
        <v>21</v>
      </c>
      <c r="AJ849" s="64">
        <f>IF(ISBLANK(S849),"",VLOOKUP(S849,'[2]plan gier'!$X$1:$AN$65536,13,FALSE))</f>
        <v>12</v>
      </c>
      <c r="AK849" s="64">
        <f>IF(ISBLANK(S849),"",VLOOKUP(S849,'[2]plan gier'!$X$1:$AN$65536,14,FALSE))</f>
        <v>21</v>
      </c>
      <c r="AL849" s="64">
        <f>IF(ISBLANK(S849),"",VLOOKUP(S849,'[2]plan gier'!$X$1:$AN$65536,15,FALSE))</f>
        <v>12</v>
      </c>
      <c r="AM849" s="64">
        <f>IF(ISBLANK(S849),"",VLOOKUP(S849,'[2]plan gier'!$X$1:$AN$65536,16,FALSE))</f>
        <v>0</v>
      </c>
      <c r="AN849" s="64">
        <f>IF(ISBLANK(S849),"",VLOOKUP(S849,'[2]plan gier'!$X$1:$AN$65536,17,FALSE))</f>
        <v>0</v>
      </c>
      <c r="AO849" s="65">
        <f t="shared" si="75"/>
        <v>21</v>
      </c>
      <c r="AP849" s="64">
        <f t="shared" si="75"/>
        <v>12</v>
      </c>
      <c r="AQ849" s="66">
        <f t="shared" si="75"/>
        <v>21</v>
      </c>
      <c r="AR849" s="64">
        <f t="shared" si="75"/>
        <v>12</v>
      </c>
      <c r="AS849" s="66">
        <f t="shared" si="75"/>
        <v>0</v>
      </c>
      <c r="AT849" s="64">
        <f t="shared" si="75"/>
        <v>0</v>
      </c>
      <c r="AU849" s="54">
        <f>SUM(AO849:AT849)</f>
        <v>66</v>
      </c>
      <c r="AV849" s="13">
        <v>2</v>
      </c>
      <c r="AW849" s="63">
        <f>IF(AI850&lt;AJ850,1,0)+IF(AK850&lt;AL850,1,0)+IF(AM850&lt;AN850,1,0)</f>
        <v>2</v>
      </c>
      <c r="AX849" s="64">
        <f>AY848</f>
        <v>1</v>
      </c>
      <c r="AY849" s="67"/>
      <c r="AZ849" s="68"/>
      <c r="BA849" s="64">
        <f>IF(AI849&gt;AJ849,1,0)+IF(AK849&gt;AL849,1,0)+IF(AM849&gt;AN849,1,0)</f>
        <v>2</v>
      </c>
      <c r="BB849" s="69">
        <f>AY850</f>
        <v>0</v>
      </c>
      <c r="BE849" s="63">
        <f>AO849+AQ849+AS849+AP850+AR850+AT850</f>
        <v>101</v>
      </c>
      <c r="BF849" s="69">
        <f>AP849+AR849+AT849+AO850+AQ850+AS850</f>
        <v>72</v>
      </c>
      <c r="BG849" s="63">
        <f>AW849+BA849</f>
        <v>4</v>
      </c>
      <c r="BH849" s="69">
        <f>AX849+BB849</f>
        <v>1</v>
      </c>
      <c r="BI849" s="63">
        <f>IF(AW849&gt;AX849,1,0)+IF(BA849&gt;BB849,1,0)</f>
        <v>2</v>
      </c>
      <c r="BJ849" s="70">
        <f>IF(AX849&gt;AW849,1,0)+IF(BB849&gt;BA849,1,0)</f>
        <v>0</v>
      </c>
      <c r="BK849" s="71">
        <f>IF(BI849+BJ849=0,"",IF(BL849=MAX(BL848:BL850),1,IF(BL849=MIN(BL848:BL850),3,2)))</f>
        <v>1</v>
      </c>
      <c r="BL849" s="60">
        <f>IF(BI849+BJ849&lt;&gt;0,BI849+1+(BG849-BH849)/100+(BE849-BF849)/100000+(BE849/BF849)/1000000,0)</f>
        <v>3.0302914027777779</v>
      </c>
    </row>
    <row r="850" spans="1:64" ht="11.45" customHeight="1" thickBot="1" x14ac:dyDescent="0.25">
      <c r="A850" s="19">
        <f>S850</f>
        <v>136</v>
      </c>
      <c r="B850" s="2" t="str">
        <f>IF(N846="","",N846)</f>
        <v>D3323</v>
      </c>
      <c r="C850" s="2" t="str">
        <f>IF(N847="","",N847)</f>
        <v>W4435</v>
      </c>
      <c r="D850" s="2" t="str">
        <f>IF(N849="","",N849)</f>
        <v>M4193</v>
      </c>
      <c r="E850" s="2" t="str">
        <f>IF(N850="","",N850)</f>
        <v>M3790</v>
      </c>
      <c r="I850" s="2" t="str">
        <f>"3"&amp;O844&amp;N845</f>
        <v>35mieszana JM</v>
      </c>
      <c r="J850" s="10" t="str">
        <f>IF(AD851="","",IF(AD845=3,N846,IF(AD848=3,N849,IF(AD851=3,N852,""))))</f>
        <v>N3834</v>
      </c>
      <c r="K850" s="10" t="str">
        <f>IF(AD851="","",IF(AD845=3,N847,IF(AD848=3,N850,IF(AD851=3,N853,""))))</f>
        <v>S3951</v>
      </c>
      <c r="M850" s="42" t="str">
        <f>N845</f>
        <v>mieszana JM</v>
      </c>
      <c r="N850" s="38" t="s">
        <v>147</v>
      </c>
      <c r="O850" s="28"/>
      <c r="P850" s="28"/>
      <c r="Q850" s="43" t="str">
        <f>IF(AU850&gt;0,"",IF(A850=0,"",IF(VLOOKUP(A850,'[2]plan gier'!A$1:S$65536,19,FALSE)="","",VLOOKUP(A850,'[2]plan gier'!A$1:S$65536,19,FALSE))))</f>
        <v/>
      </c>
      <c r="R850" s="72" t="s">
        <v>18</v>
      </c>
      <c r="S850" s="45">
        <v>136</v>
      </c>
      <c r="T850" s="261"/>
      <c r="U850" s="265" t="str">
        <f>IF(N850&lt;&gt;"",CONCATENATE(VLOOKUP(N850,[2]zawodnicy!$A$1:$E$65536,1,FALSE)," ",VLOOKUP(N850,[2]zawodnicy!$A$1:$E$65536,2,FALSE)," ",VLOOKUP(N850,[2]zawodnicy!$A$1:$E$65536,3,FALSE)," - ",VLOOKUP(N850,[2]zawodnicy!$A$1:$E$65536,4,FALSE)),"")</f>
        <v>M3790 Kornelia MARCZAK - UKS Plesbad Pszczyna</v>
      </c>
      <c r="V850" s="266"/>
      <c r="W850" s="267"/>
      <c r="X850" s="73" t="str">
        <f>IF(SUM(AS850:AT850)=0,"",AT850&amp;":"&amp;AS850)</f>
        <v>21:13</v>
      </c>
      <c r="Y850" s="62"/>
      <c r="Z850" s="40" t="str">
        <f>IF(SUM(AS849:AT849)=0,"",AS849&amp;":"&amp;AT849)</f>
        <v/>
      </c>
      <c r="AA850" s="262"/>
      <c r="AB850" s="263"/>
      <c r="AC850" s="263"/>
      <c r="AD850" s="264"/>
      <c r="AE850" s="2"/>
      <c r="AF850" s="12"/>
      <c r="AG850" s="12"/>
      <c r="AH850" s="72" t="s">
        <v>18</v>
      </c>
      <c r="AI850" s="74">
        <f>IF(ISBLANK(S850),"",VLOOKUP(S850,'[2]plan gier'!$X$1:$AN$65536,12,FALSE))</f>
        <v>21</v>
      </c>
      <c r="AJ850" s="75">
        <f>IF(ISBLANK(S850),"",VLOOKUP(S850,'[2]plan gier'!$X$1:$AN$65536,13,FALSE))</f>
        <v>17</v>
      </c>
      <c r="AK850" s="75">
        <f>IF(ISBLANK(S850),"",VLOOKUP(S850,'[2]plan gier'!$X$1:$AN$65536,14,FALSE))</f>
        <v>14</v>
      </c>
      <c r="AL850" s="75">
        <f>IF(ISBLANK(S850),"",VLOOKUP(S850,'[2]plan gier'!$X$1:$AN$65536,15,FALSE))</f>
        <v>21</v>
      </c>
      <c r="AM850" s="75">
        <f>IF(ISBLANK(S850),"",VLOOKUP(S850,'[2]plan gier'!$X$1:$AN$65536,16,FALSE))</f>
        <v>13</v>
      </c>
      <c r="AN850" s="75">
        <f>IF(ISBLANK(S850),"",VLOOKUP(S850,'[2]plan gier'!$X$1:$AN$65536,17,FALSE))</f>
        <v>21</v>
      </c>
      <c r="AO850" s="76">
        <f t="shared" si="75"/>
        <v>21</v>
      </c>
      <c r="AP850" s="75">
        <f t="shared" si="75"/>
        <v>17</v>
      </c>
      <c r="AQ850" s="77">
        <f t="shared" si="75"/>
        <v>14</v>
      </c>
      <c r="AR850" s="75">
        <f t="shared" si="75"/>
        <v>21</v>
      </c>
      <c r="AS850" s="77">
        <f t="shared" si="75"/>
        <v>13</v>
      </c>
      <c r="AT850" s="75">
        <f t="shared" si="75"/>
        <v>21</v>
      </c>
      <c r="AU850" s="54">
        <f>SUM(AO850:AT850)</f>
        <v>107</v>
      </c>
      <c r="AV850" s="13">
        <v>3</v>
      </c>
      <c r="AW850" s="74">
        <f>IF(AI848&lt;AJ848,1,0)+IF(AK848&lt;AL848,1,0)+IF(AM848&lt;AN848,1,0)</f>
        <v>0</v>
      </c>
      <c r="AX850" s="75">
        <f>BA848</f>
        <v>2</v>
      </c>
      <c r="AY850" s="75">
        <f>IF(AI849&lt;AJ849,1,0)+IF(AK849&lt;AL849,1,0)+IF(AM849&lt;AN849,1,0)</f>
        <v>0</v>
      </c>
      <c r="AZ850" s="75">
        <f>BA849</f>
        <v>2</v>
      </c>
      <c r="BA850" s="78"/>
      <c r="BB850" s="79"/>
      <c r="BE850" s="74">
        <f>AP848+AR848+AT848+AP849+AR849+AT849</f>
        <v>60</v>
      </c>
      <c r="BF850" s="80">
        <f>AO848+AQ848+AS848+AO849+AQ849+AS849</f>
        <v>84</v>
      </c>
      <c r="BG850" s="74">
        <f>AW850+AY850</f>
        <v>0</v>
      </c>
      <c r="BH850" s="80">
        <f>AX850+AZ850</f>
        <v>4</v>
      </c>
      <c r="BI850" s="74">
        <f>IF(AW850&gt;AX850,1,0)+IF(AY850&gt;AZ850,1,0)</f>
        <v>0</v>
      </c>
      <c r="BJ850" s="81">
        <f>IF(AX850&gt;AW850,1,0)+IF(AZ850&gt;AY850,1,0)</f>
        <v>2</v>
      </c>
      <c r="BK850" s="82">
        <f>IF(BI850+BJ850=0,"",IF(BL850=MAX(BL848:BL850),1,IF(BL850=MIN(BL848:BL850),3,2)))</f>
        <v>3</v>
      </c>
      <c r="BL850" s="60">
        <f>IF(BI850+BJ850&lt;&gt;0,BI850+1+(BG850-BH850)/100+(BE850-BF850)/100000+(BE850/BF850)/1000000,0)</f>
        <v>0.95976071428571419</v>
      </c>
    </row>
    <row r="851" spans="1:64" ht="11.45" customHeight="1" x14ac:dyDescent="0.2">
      <c r="A851" s="2"/>
      <c r="J851" s="28"/>
      <c r="K851" s="28"/>
      <c r="L851" s="28"/>
      <c r="O851" s="28"/>
      <c r="P851" s="28"/>
      <c r="Q851" s="2"/>
      <c r="R851" s="2"/>
      <c r="S851" s="2"/>
      <c r="T851" s="241">
        <v>3</v>
      </c>
      <c r="U851" s="244" t="str">
        <f>IF(AND(N852&lt;&gt;"",N853&lt;&gt;""),CONCATENATE(VLOOKUP(N852,[2]zawodnicy!$A$1:$E$65536,1,FALSE)," ",VLOOKUP(N852,[2]zawodnicy!$A$1:$E$65536,2,FALSE)," ",VLOOKUP(N852,[2]zawodnicy!$A$1:$E$65536,3,FALSE)," - ",VLOOKUP(N852,[2]zawodnicy!$A$1:$E$65536,4,FALSE)),"")</f>
        <v>N3834 Jędrzej NOWAK - KS Chojnik Jelenia Góra</v>
      </c>
      <c r="V851" s="245"/>
      <c r="W851" s="246"/>
      <c r="X851" s="46" t="str">
        <f>IF(SUM(AO848:AP848)=0,"",AP848&amp;":"&amp;AO848)</f>
        <v>17:21</v>
      </c>
      <c r="Y851" s="83" t="str">
        <f>IF(SUM(AO849:AP849)=0,"",AP849&amp;":"&amp;AO849)</f>
        <v>12:21</v>
      </c>
      <c r="Z851" s="84"/>
      <c r="AA851" s="247" t="str">
        <f>IF(SUM(AW850:AZ850)=0,"",BE850&amp;":"&amp;BF850)</f>
        <v>60:84</v>
      </c>
      <c r="AB851" s="250" t="str">
        <f>IF(SUM(AW850:AZ850)=0,"",BG850&amp;":"&amp;BH850)</f>
        <v>0:4</v>
      </c>
      <c r="AC851" s="250" t="str">
        <f>IF(SUM(AW850:AZ850)=0,"",BI850&amp;":"&amp;BJ850)</f>
        <v>0:2</v>
      </c>
      <c r="AD851" s="253">
        <f>IF(SUM(BI848:BI850)&gt;0,BK850,"")</f>
        <v>3</v>
      </c>
      <c r="AE851" s="2"/>
      <c r="AF851" s="12"/>
      <c r="AG851" s="12"/>
      <c r="BE851" s="19">
        <f>SUM(BE848:BE850)</f>
        <v>251</v>
      </c>
      <c r="BF851" s="19">
        <f>SUM(BF848:BF850)</f>
        <v>251</v>
      </c>
      <c r="BG851" s="19">
        <f>SUM(BG848:BG850)</f>
        <v>7</v>
      </c>
      <c r="BH851" s="19">
        <f>SUM(BH848:BH850)</f>
        <v>7</v>
      </c>
      <c r="BK851" s="19"/>
      <c r="BL851" s="20"/>
    </row>
    <row r="852" spans="1:64" ht="11.45" customHeight="1" x14ac:dyDescent="0.2">
      <c r="A852" s="19"/>
      <c r="J852" s="19"/>
      <c r="K852" s="19"/>
      <c r="L852" s="19"/>
      <c r="N852" s="33" t="s">
        <v>133</v>
      </c>
      <c r="O852" s="34">
        <f>IF(O844&gt;0,(O844&amp;3)*1,"")</f>
        <v>53</v>
      </c>
      <c r="Q852" s="85"/>
      <c r="R852" s="85"/>
      <c r="S852" s="85"/>
      <c r="T852" s="242"/>
      <c r="U852" s="244" t="str">
        <f>IF(AND(N852&lt;&gt;"",N853=""),CONCATENATE(VLOOKUP(N852,[2]zawodnicy!$A$1:$E$65536,1,FALSE)," ",VLOOKUP(N852,[2]zawodnicy!$A$1:$E$65536,2,FALSE)," ",VLOOKUP(N852,[2]zawodnicy!$A$1:$E$65536,3,FALSE)," - ",VLOOKUP(N852,[2]zawodnicy!$A$1:$E$65536,4,FALSE)),"")</f>
        <v/>
      </c>
      <c r="V852" s="245"/>
      <c r="W852" s="246"/>
      <c r="X852" s="61" t="str">
        <f>IF(SUM(AQ848:AR848)=0,"",AR848&amp;":"&amp;AQ848)</f>
        <v>19:21</v>
      </c>
      <c r="Y852" s="36" t="str">
        <f>IF(SUM(AQ849:AR849)=0,"",AR849&amp;":"&amp;AQ849)</f>
        <v>12:21</v>
      </c>
      <c r="Z852" s="86"/>
      <c r="AA852" s="248"/>
      <c r="AB852" s="251"/>
      <c r="AC852" s="251"/>
      <c r="AD852" s="254"/>
      <c r="AE852" s="2"/>
      <c r="AF852" s="12"/>
      <c r="AG852" s="1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row>
    <row r="853" spans="1:64" ht="11.45" customHeight="1" thickBot="1" x14ac:dyDescent="0.25">
      <c r="A853" s="2"/>
      <c r="J853" s="28"/>
      <c r="K853" s="28"/>
      <c r="L853" s="28"/>
      <c r="N853" s="38" t="s">
        <v>85</v>
      </c>
      <c r="O853" s="28"/>
      <c r="P853" s="28"/>
      <c r="Q853" s="2"/>
      <c r="R853" s="2"/>
      <c r="S853" s="2"/>
      <c r="T853" s="243"/>
      <c r="U853" s="256" t="str">
        <f>IF(N853&lt;&gt;"",CONCATENATE(VLOOKUP(N853,[2]zawodnicy!$A$1:$E$65536,1,FALSE)," ",VLOOKUP(N853,[2]zawodnicy!$A$1:$E$65536,2,FALSE)," ",VLOOKUP(N853,[2]zawodnicy!$A$1:$E$65536,3,FALSE)," - ",VLOOKUP(N853,[2]zawodnicy!$A$1:$E$65536,4,FALSE)),"")</f>
        <v>S3951 Oliwia SOCHA - KS Chojnik Jelenia Góra</v>
      </c>
      <c r="V853" s="257"/>
      <c r="W853" s="258"/>
      <c r="X853" s="87" t="str">
        <f>IF(SUM(AS848:AT848)=0,"",AT848&amp;":"&amp;AS848)</f>
        <v/>
      </c>
      <c r="Y853" s="88" t="str">
        <f>IF(SUM(AS849:AT849)=0,"",AT849&amp;":"&amp;AS849)</f>
        <v/>
      </c>
      <c r="Z853" s="89"/>
      <c r="AA853" s="249"/>
      <c r="AB853" s="252"/>
      <c r="AC853" s="252"/>
      <c r="AD853" s="255"/>
      <c r="AE853" s="10"/>
      <c r="AF853" s="12"/>
      <c r="AG853" s="1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row>
    <row r="854" spans="1:64" s="19" customFormat="1" ht="5.0999999999999996" customHeight="1" thickBot="1" x14ac:dyDescent="0.25">
      <c r="M854" s="90"/>
      <c r="O854" s="90"/>
      <c r="P854" s="90"/>
      <c r="Q854" s="91"/>
      <c r="R854" s="91"/>
      <c r="S854" s="91"/>
      <c r="T854" s="91"/>
      <c r="U854" s="5"/>
      <c r="V854" s="5"/>
      <c r="W854" s="5"/>
      <c r="AA854" s="92"/>
      <c r="AB854" s="91"/>
      <c r="AC854" s="91"/>
      <c r="AD854" s="91"/>
      <c r="AE854" s="91"/>
      <c r="AF854" s="91"/>
      <c r="AI854" s="93"/>
      <c r="AJ854" s="94"/>
      <c r="AK854" s="94"/>
    </row>
    <row r="855" spans="1:64" ht="11.45" customHeight="1" thickBot="1" x14ac:dyDescent="0.25">
      <c r="N855" s="11"/>
      <c r="O855" s="21">
        <v>6</v>
      </c>
      <c r="Q855" s="277" t="str">
        <f>"Grupa "&amp;O855&amp;"."</f>
        <v>Grupa 6.</v>
      </c>
      <c r="R855" s="277"/>
      <c r="S855" s="277"/>
      <c r="T855" s="22" t="s">
        <v>1</v>
      </c>
      <c r="U855" s="278" t="s">
        <v>2</v>
      </c>
      <c r="V855" s="279"/>
      <c r="W855" s="280"/>
      <c r="X855" s="22">
        <v>1</v>
      </c>
      <c r="Y855" s="23">
        <v>2</v>
      </c>
      <c r="Z855" s="24">
        <v>3</v>
      </c>
      <c r="AA855" s="25" t="s">
        <v>3</v>
      </c>
      <c r="AB855" s="26" t="s">
        <v>4</v>
      </c>
      <c r="AC855" s="26" t="s">
        <v>5</v>
      </c>
      <c r="AD855" s="27" t="s">
        <v>6</v>
      </c>
      <c r="AE855" s="2"/>
      <c r="AF855" s="12"/>
      <c r="AG855" s="12"/>
      <c r="BK855" s="19"/>
      <c r="BL855" s="20"/>
    </row>
    <row r="856" spans="1:64" ht="11.45" customHeight="1" x14ac:dyDescent="0.2">
      <c r="J856" s="28"/>
      <c r="K856" s="28"/>
      <c r="L856" s="28"/>
      <c r="N856" s="29" t="s">
        <v>152</v>
      </c>
      <c r="Q856" s="274" t="s">
        <v>7</v>
      </c>
      <c r="R856" s="274"/>
      <c r="S856" s="275" t="s">
        <v>8</v>
      </c>
      <c r="T856" s="276">
        <v>1</v>
      </c>
      <c r="U856" s="244" t="str">
        <f>IF(AND(N857&lt;&gt;"",N858&lt;&gt;""),CONCATENATE(VLOOKUP(N857,[2]zawodnicy!$A$1:$E$65536,1,FALSE)," ",VLOOKUP(N857,[2]zawodnicy!$A$1:$E$65536,2,FALSE)," ",VLOOKUP(N857,[2]zawodnicy!$A$1:$E$65536,3,FALSE)," - ",VLOOKUP(N857,[2]zawodnicy!$A$1:$E$65536,4,FALSE)),"")</f>
        <v>K4248 Michał KIKOSICKI - KSR Wolant Łódź</v>
      </c>
      <c r="V856" s="245"/>
      <c r="W856" s="246"/>
      <c r="X856" s="30"/>
      <c r="Y856" s="31" t="str">
        <f>IF(SUM(AO861:AP861)=0,"",AO861&amp;":"&amp;AP861)</f>
        <v>21:17</v>
      </c>
      <c r="Z856" s="32" t="str">
        <f>IF(SUM(AO859:AP859)=0,"",AO859&amp;":"&amp;AP859)</f>
        <v>21:12</v>
      </c>
      <c r="AA856" s="270" t="str">
        <f>IF(SUM(AY859:BB859)=0,"",BE859&amp;":"&amp;BF859)</f>
        <v>102:68</v>
      </c>
      <c r="AB856" s="271" t="str">
        <f>IF(SUM(AY859:BB859)=0,"",BG859&amp;":"&amp;BH859)</f>
        <v>4:1</v>
      </c>
      <c r="AC856" s="271" t="str">
        <f>IF(SUM(AY859:BB859)=0,"",BI859&amp;":"&amp;BJ859)</f>
        <v>2:0</v>
      </c>
      <c r="AD856" s="272">
        <f>IF(SUM(BI859:BI861)&gt;0,BK859,"")</f>
        <v>1</v>
      </c>
      <c r="AE856" s="2"/>
      <c r="AF856" s="12"/>
      <c r="AG856" s="12"/>
      <c r="AH856" s="14"/>
      <c r="AI856" s="273" t="s">
        <v>9</v>
      </c>
      <c r="AJ856" s="273"/>
      <c r="AK856" s="273"/>
      <c r="AL856" s="273"/>
      <c r="AM856" s="273"/>
      <c r="AN856" s="273"/>
      <c r="AO856" s="273" t="s">
        <v>10</v>
      </c>
      <c r="AP856" s="273"/>
      <c r="AQ856" s="273"/>
      <c r="AR856" s="273"/>
      <c r="AS856" s="273"/>
      <c r="AT856" s="273"/>
      <c r="BK856" s="19"/>
      <c r="BL856" s="20"/>
    </row>
    <row r="857" spans="1:64" ht="11.45" customHeight="1" thickBot="1" x14ac:dyDescent="0.25">
      <c r="I857" s="2" t="str">
        <f>"1"&amp;O855&amp;N856</f>
        <v>16mieszana JM</v>
      </c>
      <c r="J857" s="10" t="str">
        <f>IF(AD856="","",IF(AD856=1,N857,IF(AD859=1,N860,IF(AD862=1,N863,""))))</f>
        <v>K4248</v>
      </c>
      <c r="K857" s="10" t="str">
        <f>IF(AD856="","",IF(AD856=1,N858,IF(AD859=1,N861,IF(AD862=1,N864,""))))</f>
        <v>R3686</v>
      </c>
      <c r="L857" s="10"/>
      <c r="N857" s="33" t="s">
        <v>139</v>
      </c>
      <c r="O857" s="34">
        <f>IF(O855&gt;0,(O855&amp;1)*1,"")</f>
        <v>61</v>
      </c>
      <c r="Q857" s="274"/>
      <c r="R857" s="274"/>
      <c r="S857" s="275"/>
      <c r="T857" s="242"/>
      <c r="U857" s="244" t="str">
        <f>IF(AND(N857&lt;&gt;"",N858=""),CONCATENATE(VLOOKUP(N857,[2]zawodnicy!$A$1:$E$65536,1,FALSE)," ",VLOOKUP(N857,[2]zawodnicy!$A$1:$E$65536,2,FALSE)," ",VLOOKUP(N857,[2]zawodnicy!$A$1:$E$65536,3,FALSE)," - ",VLOOKUP(N857,[2]zawodnicy!$A$1:$E$65536,4,FALSE)),"")</f>
        <v/>
      </c>
      <c r="V857" s="245"/>
      <c r="W857" s="246"/>
      <c r="X857" s="35"/>
      <c r="Y857" s="36" t="str">
        <f>IF(SUM(AQ861:AR861)=0,"",AQ861&amp;":"&amp;AR861)</f>
        <v>18:21</v>
      </c>
      <c r="Z857" s="37" t="str">
        <f>IF(SUM(AQ859:AR859)=0,"",AQ859&amp;":"&amp;AR859)</f>
        <v>21:7</v>
      </c>
      <c r="AA857" s="248"/>
      <c r="AB857" s="251"/>
      <c r="AC857" s="251"/>
      <c r="AD857" s="254"/>
      <c r="AE857" s="2"/>
      <c r="AF857" s="12"/>
      <c r="AG857" s="12"/>
      <c r="AH857" s="14"/>
      <c r="BE857" s="19">
        <f>SUM(BE859:BE861)</f>
        <v>239</v>
      </c>
      <c r="BF857" s="19">
        <f>SUM(BF859:BF861)</f>
        <v>239</v>
      </c>
      <c r="BG857" s="19">
        <f>SUM(BG859:BG861)</f>
        <v>7</v>
      </c>
      <c r="BH857" s="19">
        <f>SUM(BH859:BH861)</f>
        <v>7</v>
      </c>
      <c r="BK857" s="19"/>
      <c r="BL857" s="20"/>
    </row>
    <row r="858" spans="1:64" ht="11.45" customHeight="1" thickBot="1" x14ac:dyDescent="0.25">
      <c r="J858" s="10"/>
      <c r="K858" s="28"/>
      <c r="L858" s="28"/>
      <c r="N858" s="38" t="s">
        <v>88</v>
      </c>
      <c r="O858" s="28"/>
      <c r="P858" s="28"/>
      <c r="Q858" s="274"/>
      <c r="R858" s="274"/>
      <c r="S858" s="275"/>
      <c r="T858" s="261"/>
      <c r="U858" s="265" t="str">
        <f>IF(N858&lt;&gt;"",CONCATENATE(VLOOKUP(N858,[2]zawodnicy!$A$1:$E$65536,1,FALSE)," ",VLOOKUP(N858,[2]zawodnicy!$A$1:$E$65536,2,FALSE)," ",VLOOKUP(N858,[2]zawodnicy!$A$1:$E$65536,3,FALSE)," - ",VLOOKUP(N858,[2]zawodnicy!$A$1:$E$65536,4,FALSE)),"")</f>
        <v>R3686 Julita RYBAŁT - UKS Hubal Białystok</v>
      </c>
      <c r="V858" s="266"/>
      <c r="W858" s="267"/>
      <c r="X858" s="35"/>
      <c r="Y858" s="39" t="str">
        <f>IF(SUM(AS861:AT861)=0,"",AS861&amp;":"&amp;AT861)</f>
        <v>21:11</v>
      </c>
      <c r="Z858" s="40" t="str">
        <f>IF(SUM(AS859:AT859)=0,"",AS859&amp;":"&amp;AT859)</f>
        <v/>
      </c>
      <c r="AA858" s="262"/>
      <c r="AB858" s="263"/>
      <c r="AC858" s="263"/>
      <c r="AD858" s="264"/>
      <c r="AE858" s="2"/>
      <c r="AF858" s="12"/>
      <c r="AG858" s="12"/>
      <c r="AH858" s="14"/>
      <c r="AI858" s="259" t="s">
        <v>12</v>
      </c>
      <c r="AJ858" s="269"/>
      <c r="AK858" s="268" t="s">
        <v>13</v>
      </c>
      <c r="AL858" s="269"/>
      <c r="AM858" s="268" t="s">
        <v>14</v>
      </c>
      <c r="AN858" s="260"/>
      <c r="AO858" s="259" t="s">
        <v>12</v>
      </c>
      <c r="AP858" s="269"/>
      <c r="AQ858" s="268" t="s">
        <v>13</v>
      </c>
      <c r="AR858" s="269"/>
      <c r="AS858" s="268" t="s">
        <v>14</v>
      </c>
      <c r="AT858" s="269"/>
      <c r="AU858" s="12"/>
      <c r="AV858" s="12"/>
      <c r="AW858" s="259">
        <v>1</v>
      </c>
      <c r="AX858" s="269"/>
      <c r="AY858" s="268">
        <v>2</v>
      </c>
      <c r="AZ858" s="269"/>
      <c r="BA858" s="268">
        <v>3</v>
      </c>
      <c r="BB858" s="260"/>
      <c r="BE858" s="259" t="s">
        <v>3</v>
      </c>
      <c r="BF858" s="260"/>
      <c r="BG858" s="259" t="s">
        <v>4</v>
      </c>
      <c r="BH858" s="260"/>
      <c r="BI858" s="259" t="s">
        <v>5</v>
      </c>
      <c r="BJ858" s="260"/>
      <c r="BK858" s="41" t="s">
        <v>6</v>
      </c>
      <c r="BL858" s="20"/>
    </row>
    <row r="859" spans="1:64" ht="11.45" customHeight="1" x14ac:dyDescent="0.2">
      <c r="A859" s="19">
        <f>S859</f>
        <v>7</v>
      </c>
      <c r="B859" s="2" t="str">
        <f>IF(N857="","",N857)</f>
        <v>K4248</v>
      </c>
      <c r="C859" s="2" t="str">
        <f>IF(N858="","",N858)</f>
        <v>R3686</v>
      </c>
      <c r="D859" s="2" t="str">
        <f>IF(N863="","",N863)</f>
        <v>Z4433</v>
      </c>
      <c r="E859" s="2" t="str">
        <f>IF(N864="","",N864)</f>
        <v>G4721</v>
      </c>
      <c r="I859" s="2" t="str">
        <f>"2"&amp;O855&amp;N856</f>
        <v>26mieszana JM</v>
      </c>
      <c r="J859" s="10" t="str">
        <f>IF(AD859="","",IF(AD856=2,N857,IF(AD859=2,N860,IF(AD862=2,N863,""))))</f>
        <v>P4202</v>
      </c>
      <c r="K859" s="10" t="str">
        <f>IF(AD859="","",IF(AD856=2,N858,IF(AD859=2,N861,IF(AD862=2,N864,""))))</f>
        <v>B4205</v>
      </c>
      <c r="M859" s="42" t="str">
        <f>N856</f>
        <v>mieszana JM</v>
      </c>
      <c r="O859" s="28"/>
      <c r="P859" s="28"/>
      <c r="Q859" s="43" t="str">
        <f>IF(AU859&gt;0,"",IF(A859=0,"",IF(VLOOKUP(A859,'[2]plan gier'!A$1:S$65536,19,FALSE)="","",VLOOKUP(A859,'[2]plan gier'!A$1:S$65536,19,FALSE))))</f>
        <v/>
      </c>
      <c r="R859" s="44" t="s">
        <v>15</v>
      </c>
      <c r="S859" s="45">
        <v>7</v>
      </c>
      <c r="T859" s="241">
        <v>2</v>
      </c>
      <c r="U859" s="244" t="str">
        <f>IF(AND(N860&lt;&gt;"",N861&lt;&gt;""),CONCATENATE(VLOOKUP(N860,[2]zawodnicy!$A$1:$E$65536,1,FALSE)," ",VLOOKUP(N860,[2]zawodnicy!$A$1:$E$65536,2,FALSE)," ",VLOOKUP(N860,[2]zawodnicy!$A$1:$E$65536,3,FALSE)," - ",VLOOKUP(N860,[2]zawodnicy!$A$1:$E$65536,4,FALSE)),"")</f>
        <v>P4202 Bartłomiej PARYSZ - UKS Unia Bieruń</v>
      </c>
      <c r="V859" s="245"/>
      <c r="W859" s="246"/>
      <c r="X859" s="46" t="str">
        <f>IF(SUM(AO861:AP861)=0,"",AP861&amp;":"&amp;AO861)</f>
        <v>17:21</v>
      </c>
      <c r="Y859" s="47"/>
      <c r="Z859" s="48" t="str">
        <f>IF(SUM(AO860:AP860)=0,"",AO860&amp;":"&amp;AP860)</f>
        <v>21:11</v>
      </c>
      <c r="AA859" s="247" t="str">
        <f>IF(SUM(AW860:AX860,BA860:BB860)=0,"",BE860&amp;":"&amp;BF860)</f>
        <v>91:87</v>
      </c>
      <c r="AB859" s="250" t="str">
        <f>IF(SUM(AW860:AX860,BA860:BB860)=0,"",BG860&amp;":"&amp;BH860)</f>
        <v>3:2</v>
      </c>
      <c r="AC859" s="250" t="str">
        <f>IF(SUM(AW860:AX860,BA860:BB860)=0,"",BI860&amp;":"&amp;BJ860)</f>
        <v>1:1</v>
      </c>
      <c r="AD859" s="253">
        <f>IF(SUM(BI859:BI861)&gt;0,BK860,"")</f>
        <v>2</v>
      </c>
      <c r="AE859" s="2"/>
      <c r="AF859" s="12"/>
      <c r="AG859" s="12"/>
      <c r="AH859" s="44" t="s">
        <v>15</v>
      </c>
      <c r="AI859" s="49">
        <f>IF(ISBLANK(S859),"",VLOOKUP(S859,'[2]plan gier'!$X$1:$AN$65536,12,FALSE))</f>
        <v>21</v>
      </c>
      <c r="AJ859" s="50">
        <f>IF(ISBLANK(S859),"",VLOOKUP(S859,'[2]plan gier'!$X$1:$AN$65536,13,FALSE))</f>
        <v>12</v>
      </c>
      <c r="AK859" s="50">
        <f>IF(ISBLANK(S859),"",VLOOKUP(S859,'[2]plan gier'!$X$1:$AN$65536,14,FALSE))</f>
        <v>21</v>
      </c>
      <c r="AL859" s="50">
        <f>IF(ISBLANK(S859),"",VLOOKUP(S859,'[2]plan gier'!$X$1:$AN$65536,15,FALSE))</f>
        <v>7</v>
      </c>
      <c r="AM859" s="50">
        <f>IF(ISBLANK(S859),"",VLOOKUP(S859,'[2]plan gier'!$X$1:$AN$65536,16,FALSE))</f>
        <v>0</v>
      </c>
      <c r="AN859" s="50">
        <f>IF(ISBLANK(S859),"",VLOOKUP(S859,'[2]plan gier'!$X$1:$AN$65536,17,FALSE))</f>
        <v>0</v>
      </c>
      <c r="AO859" s="51">
        <f t="shared" ref="AO859:AT861" si="76">IF(AI859="",0,AI859)</f>
        <v>21</v>
      </c>
      <c r="AP859" s="52">
        <f t="shared" si="76"/>
        <v>12</v>
      </c>
      <c r="AQ859" s="53">
        <f t="shared" si="76"/>
        <v>21</v>
      </c>
      <c r="AR859" s="52">
        <f t="shared" si="76"/>
        <v>7</v>
      </c>
      <c r="AS859" s="53">
        <f t="shared" si="76"/>
        <v>0</v>
      </c>
      <c r="AT859" s="52">
        <f t="shared" si="76"/>
        <v>0</v>
      </c>
      <c r="AU859" s="54">
        <f>SUM(AO859:AT859)</f>
        <v>61</v>
      </c>
      <c r="AV859" s="13">
        <v>1</v>
      </c>
      <c r="AW859" s="55"/>
      <c r="AX859" s="56"/>
      <c r="AY859" s="50">
        <f>IF(AI861&gt;AJ861,1,0)+IF(AK861&gt;AL861,1,0)+IF(AM861&gt;AN861,1,0)</f>
        <v>2</v>
      </c>
      <c r="AZ859" s="50">
        <f>AW860</f>
        <v>1</v>
      </c>
      <c r="BA859" s="50">
        <f>IF(AI859&gt;AJ859,1,0)+IF(AK859&gt;AL859,1,0)+IF(AM859&gt;AN859,1,0)</f>
        <v>2</v>
      </c>
      <c r="BB859" s="57">
        <f>AW861</f>
        <v>0</v>
      </c>
      <c r="BE859" s="49">
        <f>AO859+AQ859+AS859+AO861+AQ861+AS861</f>
        <v>102</v>
      </c>
      <c r="BF859" s="57">
        <f>AP859+AR859+AT859+AP861+AR861+AT861</f>
        <v>68</v>
      </c>
      <c r="BG859" s="49">
        <f>AY859+BA859</f>
        <v>4</v>
      </c>
      <c r="BH859" s="57">
        <f>AZ859+BB859</f>
        <v>1</v>
      </c>
      <c r="BI859" s="49">
        <f>IF(AY859&gt;AZ859,1,0)+IF(BA859&gt;BB859,1,0)</f>
        <v>2</v>
      </c>
      <c r="BJ859" s="58">
        <f>IF(AZ859&gt;AY859,1,0)+IF(BB859&gt;BA859,1,0)</f>
        <v>0</v>
      </c>
      <c r="BK859" s="59">
        <f>IF(BI859+BJ859=0,"",IF(BL859=MAX(BL859:BL861),1,IF(BL859=MIN(BL859:BL861),3,2)))</f>
        <v>1</v>
      </c>
      <c r="BL859" s="60">
        <f>IF(BI859+BJ859&lt;&gt;0,BI859+1+(BG859-BH859)/100+(BE859-BF859)/100000+(BE859/BF859)/1000000,0)</f>
        <v>3.0303415</v>
      </c>
    </row>
    <row r="860" spans="1:64" ht="11.45" customHeight="1" x14ac:dyDescent="0.2">
      <c r="A860" s="19">
        <f>S860</f>
        <v>72</v>
      </c>
      <c r="B860" s="2" t="str">
        <f>IF(N860="","",N860)</f>
        <v>P4202</v>
      </c>
      <c r="C860" s="2" t="str">
        <f>IF(N861="","",N861)</f>
        <v>B4205</v>
      </c>
      <c r="D860" s="2" t="str">
        <f>IF(N863="","",N863)</f>
        <v>Z4433</v>
      </c>
      <c r="E860" s="2" t="str">
        <f>IF(N864="","",N864)</f>
        <v>G4721</v>
      </c>
      <c r="J860" s="10"/>
      <c r="K860" s="19"/>
      <c r="M860" s="42" t="str">
        <f>N856</f>
        <v>mieszana JM</v>
      </c>
      <c r="N860" s="33" t="s">
        <v>124</v>
      </c>
      <c r="O860" s="34">
        <f>IF(O855&gt;0,(O855&amp;2)*1,"")</f>
        <v>62</v>
      </c>
      <c r="Q860" s="43" t="str">
        <f>IF(AU860&gt;0,"",IF(A860=0,"",IF(VLOOKUP(A860,'[2]plan gier'!A$1:S$65536,19,FALSE)="","",VLOOKUP(A860,'[2]plan gier'!A$1:S$65536,19,FALSE))))</f>
        <v/>
      </c>
      <c r="R860" s="44" t="s">
        <v>17</v>
      </c>
      <c r="S860" s="45">
        <v>72</v>
      </c>
      <c r="T860" s="242"/>
      <c r="U860" s="244" t="str">
        <f>IF(AND(N860&lt;&gt;"",N861=""),CONCATENATE(VLOOKUP(N860,[2]zawodnicy!$A$1:$E$65536,1,FALSE)," ",VLOOKUP(N860,[2]zawodnicy!$A$1:$E$65536,2,FALSE)," ",VLOOKUP(N860,[2]zawodnicy!$A$1:$E$65536,3,FALSE)," - ",VLOOKUP(N860,[2]zawodnicy!$A$1:$E$65536,4,FALSE)),"")</f>
        <v/>
      </c>
      <c r="V860" s="245"/>
      <c r="W860" s="246"/>
      <c r="X860" s="61" t="str">
        <f>IF(SUM(AQ861:AR861)=0,"",AR861&amp;":"&amp;AQ861)</f>
        <v>21:18</v>
      </c>
      <c r="Y860" s="62"/>
      <c r="Z860" s="37" t="str">
        <f>IF(SUM(AQ860:AR860)=0,"",AQ860&amp;":"&amp;AR860)</f>
        <v>21:16</v>
      </c>
      <c r="AA860" s="248"/>
      <c r="AB860" s="251"/>
      <c r="AC860" s="251"/>
      <c r="AD860" s="254"/>
      <c r="AE860" s="2"/>
      <c r="AF860" s="12"/>
      <c r="AG860" s="12"/>
      <c r="AH860" s="44" t="s">
        <v>17</v>
      </c>
      <c r="AI860" s="63">
        <f>IF(ISBLANK(S860),"",VLOOKUP(S860,'[2]plan gier'!$X$1:$AN$65536,12,FALSE))</f>
        <v>21</v>
      </c>
      <c r="AJ860" s="64">
        <f>IF(ISBLANK(S860),"",VLOOKUP(S860,'[2]plan gier'!$X$1:$AN$65536,13,FALSE))</f>
        <v>11</v>
      </c>
      <c r="AK860" s="64">
        <f>IF(ISBLANK(S860),"",VLOOKUP(S860,'[2]plan gier'!$X$1:$AN$65536,14,FALSE))</f>
        <v>21</v>
      </c>
      <c r="AL860" s="64">
        <f>IF(ISBLANK(S860),"",VLOOKUP(S860,'[2]plan gier'!$X$1:$AN$65536,15,FALSE))</f>
        <v>16</v>
      </c>
      <c r="AM860" s="64">
        <f>IF(ISBLANK(S860),"",VLOOKUP(S860,'[2]plan gier'!$X$1:$AN$65536,16,FALSE))</f>
        <v>0</v>
      </c>
      <c r="AN860" s="64">
        <f>IF(ISBLANK(S860),"",VLOOKUP(S860,'[2]plan gier'!$X$1:$AN$65536,17,FALSE))</f>
        <v>0</v>
      </c>
      <c r="AO860" s="65">
        <f t="shared" si="76"/>
        <v>21</v>
      </c>
      <c r="AP860" s="64">
        <f t="shared" si="76"/>
        <v>11</v>
      </c>
      <c r="AQ860" s="66">
        <f t="shared" si="76"/>
        <v>21</v>
      </c>
      <c r="AR860" s="64">
        <f t="shared" si="76"/>
        <v>16</v>
      </c>
      <c r="AS860" s="66">
        <f t="shared" si="76"/>
        <v>0</v>
      </c>
      <c r="AT860" s="64">
        <f t="shared" si="76"/>
        <v>0</v>
      </c>
      <c r="AU860" s="54">
        <f>SUM(AO860:AT860)</f>
        <v>69</v>
      </c>
      <c r="AV860" s="13">
        <v>2</v>
      </c>
      <c r="AW860" s="63">
        <f>IF(AI861&lt;AJ861,1,0)+IF(AK861&lt;AL861,1,0)+IF(AM861&lt;AN861,1,0)</f>
        <v>1</v>
      </c>
      <c r="AX860" s="64">
        <f>AY859</f>
        <v>2</v>
      </c>
      <c r="AY860" s="67"/>
      <c r="AZ860" s="68"/>
      <c r="BA860" s="64">
        <f>IF(AI860&gt;AJ860,1,0)+IF(AK860&gt;AL860,1,0)+IF(AM860&gt;AN860,1,0)</f>
        <v>2</v>
      </c>
      <c r="BB860" s="69">
        <f>AY861</f>
        <v>0</v>
      </c>
      <c r="BE860" s="63">
        <f>AO860+AQ860+AS860+AP861+AR861+AT861</f>
        <v>91</v>
      </c>
      <c r="BF860" s="69">
        <f>AP860+AR860+AT860+AO861+AQ861+AS861</f>
        <v>87</v>
      </c>
      <c r="BG860" s="63">
        <f>AW860+BA860</f>
        <v>3</v>
      </c>
      <c r="BH860" s="69">
        <f>AX860+BB860</f>
        <v>2</v>
      </c>
      <c r="BI860" s="63">
        <f>IF(AW860&gt;AX860,1,0)+IF(BA860&gt;BB860,1,0)</f>
        <v>1</v>
      </c>
      <c r="BJ860" s="70">
        <f>IF(AX860&gt;AW860,1,0)+IF(BB860&gt;BA860,1,0)</f>
        <v>1</v>
      </c>
      <c r="BK860" s="71">
        <f>IF(BI860+BJ860=0,"",IF(BL860=MAX(BL859:BL861),1,IF(BL860=MIN(BL859:BL861),3,2)))</f>
        <v>2</v>
      </c>
      <c r="BL860" s="60">
        <f>IF(BI860+BJ860&lt;&gt;0,BI860+1+(BG860-BH860)/100+(BE860-BF860)/100000+(BE860/BF860)/1000000,0)</f>
        <v>2.0100410459770113</v>
      </c>
    </row>
    <row r="861" spans="1:64" ht="11.45" customHeight="1" thickBot="1" x14ac:dyDescent="0.25">
      <c r="A861" s="19">
        <f>S861</f>
        <v>137</v>
      </c>
      <c r="B861" s="2" t="str">
        <f>IF(N857="","",N857)</f>
        <v>K4248</v>
      </c>
      <c r="C861" s="2" t="str">
        <f>IF(N858="","",N858)</f>
        <v>R3686</v>
      </c>
      <c r="D861" s="2" t="str">
        <f>IF(N860="","",N860)</f>
        <v>P4202</v>
      </c>
      <c r="E861" s="2" t="str">
        <f>IF(N861="","",N861)</f>
        <v>B4205</v>
      </c>
      <c r="I861" s="2" t="str">
        <f>"3"&amp;O855&amp;N856</f>
        <v>36mieszana JM</v>
      </c>
      <c r="J861" s="10" t="str">
        <f>IF(AD862="","",IF(AD856=3,N857,IF(AD859=3,N860,IF(AD862=3,N863,""))))</f>
        <v>Z4433</v>
      </c>
      <c r="K861" s="10" t="str">
        <f>IF(AD862="","",IF(AD856=3,N858,IF(AD859=3,N861,IF(AD862=3,N864,""))))</f>
        <v>G4721</v>
      </c>
      <c r="M861" s="42" t="str">
        <f>N856</f>
        <v>mieszana JM</v>
      </c>
      <c r="N861" s="38" t="s">
        <v>94</v>
      </c>
      <c r="O861" s="28"/>
      <c r="P861" s="28"/>
      <c r="Q861" s="43" t="str">
        <f>IF(AU861&gt;0,"",IF(A861=0,"",IF(VLOOKUP(A861,'[2]plan gier'!A$1:S$65536,19,FALSE)="","",VLOOKUP(A861,'[2]plan gier'!A$1:S$65536,19,FALSE))))</f>
        <v/>
      </c>
      <c r="R861" s="72" t="s">
        <v>18</v>
      </c>
      <c r="S861" s="45">
        <v>137</v>
      </c>
      <c r="T861" s="261"/>
      <c r="U861" s="265" t="str">
        <f>IF(N861&lt;&gt;"",CONCATENATE(VLOOKUP(N861,[2]zawodnicy!$A$1:$E$65536,1,FALSE)," ",VLOOKUP(N861,[2]zawodnicy!$A$1:$E$65536,2,FALSE)," ",VLOOKUP(N861,[2]zawodnicy!$A$1:$E$65536,3,FALSE)," - ",VLOOKUP(N861,[2]zawodnicy!$A$1:$E$65536,4,FALSE)),"")</f>
        <v>B4205 Daniela BIELIŃSKA - UKS Unia Bieruń</v>
      </c>
      <c r="V861" s="266"/>
      <c r="W861" s="267"/>
      <c r="X861" s="73" t="str">
        <f>IF(SUM(AS861:AT861)=0,"",AT861&amp;":"&amp;AS861)</f>
        <v>11:21</v>
      </c>
      <c r="Y861" s="62"/>
      <c r="Z861" s="40" t="str">
        <f>IF(SUM(AS860:AT860)=0,"",AS860&amp;":"&amp;AT860)</f>
        <v/>
      </c>
      <c r="AA861" s="262"/>
      <c r="AB861" s="263"/>
      <c r="AC861" s="263"/>
      <c r="AD861" s="264"/>
      <c r="AE861" s="2"/>
      <c r="AF861" s="12"/>
      <c r="AG861" s="12"/>
      <c r="AH861" s="72" t="s">
        <v>18</v>
      </c>
      <c r="AI861" s="74">
        <f>IF(ISBLANK(S861),"",VLOOKUP(S861,'[2]plan gier'!$X$1:$AN$65536,12,FALSE))</f>
        <v>21</v>
      </c>
      <c r="AJ861" s="75">
        <f>IF(ISBLANK(S861),"",VLOOKUP(S861,'[2]plan gier'!$X$1:$AN$65536,13,FALSE))</f>
        <v>17</v>
      </c>
      <c r="AK861" s="75">
        <f>IF(ISBLANK(S861),"",VLOOKUP(S861,'[2]plan gier'!$X$1:$AN$65536,14,FALSE))</f>
        <v>18</v>
      </c>
      <c r="AL861" s="75">
        <f>IF(ISBLANK(S861),"",VLOOKUP(S861,'[2]plan gier'!$X$1:$AN$65536,15,FALSE))</f>
        <v>21</v>
      </c>
      <c r="AM861" s="75">
        <f>IF(ISBLANK(S861),"",VLOOKUP(S861,'[2]plan gier'!$X$1:$AN$65536,16,FALSE))</f>
        <v>21</v>
      </c>
      <c r="AN861" s="75">
        <f>IF(ISBLANK(S861),"",VLOOKUP(S861,'[2]plan gier'!$X$1:$AN$65536,17,FALSE))</f>
        <v>11</v>
      </c>
      <c r="AO861" s="76">
        <f t="shared" si="76"/>
        <v>21</v>
      </c>
      <c r="AP861" s="75">
        <f t="shared" si="76"/>
        <v>17</v>
      </c>
      <c r="AQ861" s="77">
        <f t="shared" si="76"/>
        <v>18</v>
      </c>
      <c r="AR861" s="75">
        <f t="shared" si="76"/>
        <v>21</v>
      </c>
      <c r="AS861" s="77">
        <f t="shared" si="76"/>
        <v>21</v>
      </c>
      <c r="AT861" s="75">
        <f t="shared" si="76"/>
        <v>11</v>
      </c>
      <c r="AU861" s="54">
        <f>SUM(AO861:AT861)</f>
        <v>109</v>
      </c>
      <c r="AV861" s="13">
        <v>3</v>
      </c>
      <c r="AW861" s="74">
        <f>IF(AI859&lt;AJ859,1,0)+IF(AK859&lt;AL859,1,0)+IF(AM859&lt;AN859,1,0)</f>
        <v>0</v>
      </c>
      <c r="AX861" s="75">
        <f>BA859</f>
        <v>2</v>
      </c>
      <c r="AY861" s="75">
        <f>IF(AI860&lt;AJ860,1,0)+IF(AK860&lt;AL860,1,0)+IF(AM860&lt;AN860,1,0)</f>
        <v>0</v>
      </c>
      <c r="AZ861" s="75">
        <f>BA860</f>
        <v>2</v>
      </c>
      <c r="BA861" s="78"/>
      <c r="BB861" s="79"/>
      <c r="BE861" s="74">
        <f>AP859+AR859+AT859+AP860+AR860+AT860</f>
        <v>46</v>
      </c>
      <c r="BF861" s="80">
        <f>AO859+AQ859+AS859+AO860+AQ860+AS860</f>
        <v>84</v>
      </c>
      <c r="BG861" s="74">
        <f>AW861+AY861</f>
        <v>0</v>
      </c>
      <c r="BH861" s="80">
        <f>AX861+AZ861</f>
        <v>4</v>
      </c>
      <c r="BI861" s="74">
        <f>IF(AW861&gt;AX861,1,0)+IF(AY861&gt;AZ861,1,0)</f>
        <v>0</v>
      </c>
      <c r="BJ861" s="81">
        <f>IF(AX861&gt;AW861,1,0)+IF(AZ861&gt;AY861,1,0)</f>
        <v>2</v>
      </c>
      <c r="BK861" s="82">
        <f>IF(BI861+BJ861=0,"",IF(BL861=MAX(BL859:BL861),1,IF(BL861=MIN(BL859:BL861),3,2)))</f>
        <v>3</v>
      </c>
      <c r="BL861" s="60">
        <f>IF(BI861+BJ861&lt;&gt;0,BI861+1+(BG861-BH861)/100+(BE861-BF861)/100000+(BE861/BF861)/1000000,0)</f>
        <v>0.95962054761904758</v>
      </c>
    </row>
    <row r="862" spans="1:64" ht="11.45" customHeight="1" x14ac:dyDescent="0.2">
      <c r="A862" s="2"/>
      <c r="J862" s="28"/>
      <c r="K862" s="28"/>
      <c r="L862" s="28"/>
      <c r="O862" s="28"/>
      <c r="P862" s="28"/>
      <c r="Q862" s="2"/>
      <c r="R862" s="2"/>
      <c r="S862" s="2"/>
      <c r="T862" s="241">
        <v>3</v>
      </c>
      <c r="U862" s="244" t="str">
        <f>IF(AND(N863&lt;&gt;"",N864&lt;&gt;""),CONCATENATE(VLOOKUP(N863,[2]zawodnicy!$A$1:$E$65536,1,FALSE)," ",VLOOKUP(N863,[2]zawodnicy!$A$1:$E$65536,2,FALSE)," ",VLOOKUP(N863,[2]zawodnicy!$A$1:$E$65536,3,FALSE)," - ",VLOOKUP(N863,[2]zawodnicy!$A$1:$E$65536,4,FALSE)),"")</f>
        <v>Z4433 Karol ZAWALSKI - UKS Aktywna Piątka Przemyśl</v>
      </c>
      <c r="V862" s="245"/>
      <c r="W862" s="246"/>
      <c r="X862" s="46" t="str">
        <f>IF(SUM(AO859:AP859)=0,"",AP859&amp;":"&amp;AO859)</f>
        <v>12:21</v>
      </c>
      <c r="Y862" s="83" t="str">
        <f>IF(SUM(AO860:AP860)=0,"",AP860&amp;":"&amp;AO860)</f>
        <v>11:21</v>
      </c>
      <c r="Z862" s="84"/>
      <c r="AA862" s="247" t="str">
        <f>IF(SUM(AW861:AZ861)=0,"",BE861&amp;":"&amp;BF861)</f>
        <v>46:84</v>
      </c>
      <c r="AB862" s="250" t="str">
        <f>IF(SUM(AW861:AZ861)=0,"",BG861&amp;":"&amp;BH861)</f>
        <v>0:4</v>
      </c>
      <c r="AC862" s="250" t="str">
        <f>IF(SUM(AW861:AZ861)=0,"",BI861&amp;":"&amp;BJ861)</f>
        <v>0:2</v>
      </c>
      <c r="AD862" s="253">
        <f>IF(SUM(BI859:BI861)&gt;0,BK861,"")</f>
        <v>3</v>
      </c>
      <c r="AE862" s="2"/>
      <c r="AF862" s="12"/>
      <c r="AG862" s="12"/>
      <c r="BE862" s="19">
        <f>SUM(BE859:BE861)</f>
        <v>239</v>
      </c>
      <c r="BF862" s="19">
        <f>SUM(BF859:BF861)</f>
        <v>239</v>
      </c>
      <c r="BG862" s="19">
        <f>SUM(BG859:BG861)</f>
        <v>7</v>
      </c>
      <c r="BH862" s="19">
        <f>SUM(BH859:BH861)</f>
        <v>7</v>
      </c>
      <c r="BK862" s="19"/>
      <c r="BL862" s="20"/>
    </row>
    <row r="863" spans="1:64" ht="11.45" customHeight="1" x14ac:dyDescent="0.2">
      <c r="A863" s="19"/>
      <c r="J863" s="19"/>
      <c r="K863" s="19"/>
      <c r="L863" s="19"/>
      <c r="N863" s="33" t="s">
        <v>141</v>
      </c>
      <c r="O863" s="34">
        <f>IF(O855&gt;0,(O855&amp;3)*1,"")</f>
        <v>63</v>
      </c>
      <c r="Q863" s="85"/>
      <c r="R863" s="85"/>
      <c r="S863" s="85"/>
      <c r="T863" s="242"/>
      <c r="U863" s="244" t="str">
        <f>IF(AND(N863&lt;&gt;"",N864=""),CONCATENATE(VLOOKUP(N863,[2]zawodnicy!$A$1:$E$65536,1,FALSE)," ",VLOOKUP(N863,[2]zawodnicy!$A$1:$E$65536,2,FALSE)," ",VLOOKUP(N863,[2]zawodnicy!$A$1:$E$65536,3,FALSE)," - ",VLOOKUP(N863,[2]zawodnicy!$A$1:$E$65536,4,FALSE)),"")</f>
        <v/>
      </c>
      <c r="V863" s="245"/>
      <c r="W863" s="246"/>
      <c r="X863" s="61" t="str">
        <f>IF(SUM(AQ859:AR859)=0,"",AR859&amp;":"&amp;AQ859)</f>
        <v>7:21</v>
      </c>
      <c r="Y863" s="36" t="str">
        <f>IF(SUM(AQ860:AR860)=0,"",AR860&amp;":"&amp;AQ860)</f>
        <v>16:21</v>
      </c>
      <c r="Z863" s="86"/>
      <c r="AA863" s="248"/>
      <c r="AB863" s="251"/>
      <c r="AC863" s="251"/>
      <c r="AD863" s="254"/>
      <c r="AE863" s="2"/>
      <c r="AF863" s="12"/>
      <c r="AG863" s="1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row>
    <row r="864" spans="1:64" ht="11.45" customHeight="1" thickBot="1" x14ac:dyDescent="0.25">
      <c r="A864" s="2"/>
      <c r="J864" s="28"/>
      <c r="K864" s="28"/>
      <c r="L864" s="28"/>
      <c r="N864" s="38" t="s">
        <v>101</v>
      </c>
      <c r="O864" s="28"/>
      <c r="P864" s="28"/>
      <c r="Q864" s="2"/>
      <c r="R864" s="2"/>
      <c r="S864" s="2"/>
      <c r="T864" s="243"/>
      <c r="U864" s="256" t="str">
        <f>IF(N864&lt;&gt;"",CONCATENATE(VLOOKUP(N864,[2]zawodnicy!$A$1:$E$65536,1,FALSE)," ",VLOOKUP(N864,[2]zawodnicy!$A$1:$E$65536,2,FALSE)," ",VLOOKUP(N864,[2]zawodnicy!$A$1:$E$65536,3,FALSE)," - ",VLOOKUP(N864,[2]zawodnicy!$A$1:$E$65536,4,FALSE)),"")</f>
        <v>G4721 Kinga GURZ - UKS Sokół Ropczyce</v>
      </c>
      <c r="V864" s="257"/>
      <c r="W864" s="258"/>
      <c r="X864" s="87" t="str">
        <f>IF(SUM(AS859:AT859)=0,"",AT859&amp;":"&amp;AS859)</f>
        <v/>
      </c>
      <c r="Y864" s="88" t="str">
        <f>IF(SUM(AS860:AT860)=0,"",AT860&amp;":"&amp;AS860)</f>
        <v/>
      </c>
      <c r="Z864" s="89"/>
      <c r="AA864" s="249"/>
      <c r="AB864" s="252"/>
      <c r="AC864" s="252"/>
      <c r="AD864" s="255"/>
      <c r="AE864" s="10"/>
      <c r="AF864" s="12"/>
      <c r="AG864" s="1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row>
    <row r="865" spans="1:63" s="19" customFormat="1" ht="5.0999999999999996" customHeight="1" x14ac:dyDescent="0.2">
      <c r="M865" s="90"/>
      <c r="O865" s="90"/>
      <c r="P865" s="90"/>
      <c r="Q865" s="91"/>
      <c r="R865" s="91"/>
      <c r="S865" s="91"/>
      <c r="T865" s="91"/>
      <c r="U865" s="5"/>
      <c r="V865" s="5"/>
      <c r="W865" s="5"/>
      <c r="AA865" s="92"/>
      <c r="AB865" s="91"/>
      <c r="AC865" s="91"/>
      <c r="AD865" s="91"/>
      <c r="AE865" s="91"/>
      <c r="AF865" s="91"/>
      <c r="AI865" s="93"/>
      <c r="AJ865" s="94"/>
      <c r="AK865" s="94"/>
    </row>
    <row r="867" spans="1:63" ht="12.75" x14ac:dyDescent="0.2">
      <c r="J867" s="2"/>
      <c r="K867" s="2"/>
      <c r="L867" s="2"/>
      <c r="M867" s="95"/>
      <c r="N867" s="96">
        <v>1</v>
      </c>
      <c r="O867" s="97">
        <v>6</v>
      </c>
      <c r="P867" s="98"/>
      <c r="Q867" s="1"/>
      <c r="R867" s="1"/>
      <c r="S867" s="1"/>
      <c r="T867" s="229"/>
      <c r="U867" s="229"/>
      <c r="V867" s="229"/>
      <c r="W867" s="229"/>
      <c r="X867" s="229"/>
      <c r="Y867" s="229"/>
      <c r="Z867" s="229"/>
      <c r="AA867" s="229"/>
      <c r="AB867" s="229"/>
      <c r="AC867" s="229"/>
      <c r="AD867" s="229"/>
      <c r="AE867" s="229"/>
      <c r="AF867" s="229"/>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row>
    <row r="868" spans="1:63" ht="12.75" x14ac:dyDescent="0.2">
      <c r="J868" s="2"/>
      <c r="K868" s="2"/>
      <c r="L868" s="2"/>
      <c r="N868" s="99" t="s">
        <v>152</v>
      </c>
      <c r="P868" s="98"/>
      <c r="Q868" s="1"/>
      <c r="R868" s="1"/>
      <c r="S868" s="1"/>
      <c r="T868" s="1"/>
      <c r="U868" s="1"/>
      <c r="V868" s="101"/>
      <c r="W868" s="101"/>
      <c r="X868" s="101"/>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row>
    <row r="869" spans="1:63" ht="12.75" x14ac:dyDescent="0.2">
      <c r="J869" s="2"/>
      <c r="K869" s="2"/>
      <c r="L869" s="2"/>
      <c r="M869" s="95"/>
      <c r="N869" s="119"/>
      <c r="O869" s="120">
        <f>IF(P869="","",1)</f>
        <v>1</v>
      </c>
      <c r="P869" s="121">
        <f>IF(O867&gt;4,1,"")</f>
        <v>1</v>
      </c>
      <c r="Q869" s="113">
        <f>O869</f>
        <v>1</v>
      </c>
      <c r="R869" s="113"/>
      <c r="S869" s="113"/>
      <c r="T869" s="234" t="str">
        <f>UPPER(IF(O869="","",IF(ISTEXT(N869),N869,IF(AND(N867&gt;0,O869&gt;0),VLOOKUP(N867&amp;O869&amp;N868,I:K,2,FALSE),""))))</f>
        <v>M3524</v>
      </c>
      <c r="U869" s="235"/>
      <c r="V869" s="122" t="str">
        <f>IF(T869&lt;&gt;"",CONCATENATE(VLOOKUP(T869,[2]zawodnicy!$A$1:$E$65536,2,FALSE)," ",VLOOKUP(T869,[2]zawodnicy!$A$1:$E$65536,3,FALSE)," - ",VLOOKUP(T869,[2]zawodnicy!$A$1:$E$65536,4,FALSE)),"")</f>
        <v>Dawid MAZUR - LKS Technik Głubczyce</v>
      </c>
      <c r="W869" s="123"/>
      <c r="X869" s="228" t="str">
        <f>IF(ISBLANK(W870),IF(AND(LEN(T869)&gt;0,LEN(T871)=0),VLOOKUP(T869,[2]zawodnicy!$A$1:$E$65536,3,FALSE),IF(AND(LEN(T871)&gt;0,LEN(T869)=0),VLOOKUP(T871,[2]zawodnicy!$A$1:$E$65536,3,FALSE),"")),IF((VLOOKUP(W870,'[2]plan gier'!$X$1:$AF$65536,7,FALSE))="","",VLOOKUP(VLOOKUP(W870,'[2]plan gier'!$X$1:$AF$65536,7,FALSE),[2]zawodnicy!$A$1:$E$65536,3,FALSE)))</f>
        <v>MAZUR</v>
      </c>
      <c r="Y869" s="229"/>
      <c r="Z869" s="229"/>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row>
    <row r="870" spans="1:63" ht="12.75" x14ac:dyDescent="0.2">
      <c r="A870" s="102">
        <f>W870</f>
        <v>0</v>
      </c>
      <c r="B870" s="2" t="str">
        <f>IF(TYPE(T869)=16,"",T869)</f>
        <v>M3524</v>
      </c>
      <c r="C870" s="2" t="str">
        <f>IF(TYPE(T870)=16,"",T870)</f>
        <v>S3617</v>
      </c>
      <c r="D870" s="2" t="str">
        <f>IF(TYPE(T871)=16,"",T871)</f>
        <v/>
      </c>
      <c r="E870" s="2" t="str">
        <f>IF(TYPE(T872)=16,"",T872)</f>
        <v/>
      </c>
      <c r="F870" s="2" t="str">
        <f>IF(A870=0,IF(AND(LEN(B870)&gt;1,LEN(D870)=0),VLOOKUP(B870,[2]zawodnicy!$A$1:$E$65536,1,FALSE),IF(AND(LEN(D870)&gt;1,LEN(B870)=0),VLOOKUP(D870,[2]zawodnicy!$A$1:$E$65536,1,FALSE),"")),IF((VLOOKUP(A870,'[2]plan gier'!$X$1:$AF$65536,7,FALSE))="","",VLOOKUP(VLOOKUP(A870,'[2]plan gier'!$X$1:$AF$65536,7,FALSE),[2]zawodnicy!$A$1:$E$65536,1,FALSE)))</f>
        <v>M3524</v>
      </c>
      <c r="G870" s="2" t="str">
        <f>IF(A870=0,IF(AND(LEN(C870)&gt;1,LEN(E870)=0),VLOOKUP(C870,[2]zawodnicy!$A$1:$E$65536,1,FALSE),IF(AND(LEN(E870)&gt;1,LEN(C870)=0),VLOOKUP(E870,[2]zawodnicy!$A$1:$E$65536,1,FALSE),"")),IF((VLOOKUP(A870,'[2]plan gier'!$X$1:$AF$65536,8,FALSE))="","",VLOOKUP(VLOOKUP(A870,'[2]plan gier'!$X$1:$AF$65536,8,FALSE),[2]zawodnicy!$A$1:$E$65536,1,FALSE)))</f>
        <v>S3617</v>
      </c>
      <c r="H870" s="2" t="str">
        <f>IF(A870=0,"",IF((VLOOKUP(A870,'[2]plan gier'!$X$1:$AF$65536,7,FALSE))="","",VLOOKUP(A870,'[2]plan gier'!$X$1:$AF$65536,9,FALSE)))</f>
        <v/>
      </c>
      <c r="L870" s="124" t="str">
        <f>IF(A870=0,"",IF(VLOOKUP(A870,'[2]plan gier'!A$1:S$65536,19,FALSE)="","",VLOOKUP(A870,'[2]plan gier'!A$1:S$65536,19,FALSE)))</f>
        <v/>
      </c>
      <c r="M870" s="2" t="str">
        <f>N868</f>
        <v>mieszana JM</v>
      </c>
      <c r="N870" s="125"/>
      <c r="O870" s="121"/>
      <c r="P870" s="121"/>
      <c r="Q870" s="114"/>
      <c r="R870" s="114"/>
      <c r="S870" s="114"/>
      <c r="T870" s="224" t="str">
        <f>UPPER(IF(O869="","",IF(ISTEXT(N870),N870,IF(AND(N867&gt;0,O869&gt;0),VLOOKUP(N867&amp;O869&amp;N868,I:K,3,FALSE),""))))</f>
        <v>S3617</v>
      </c>
      <c r="U870" s="225"/>
      <c r="V870" s="126" t="str">
        <f>IF(T870&lt;&gt;"",CONCATENATE(VLOOKUP(T870,[2]zawodnicy!$A$1:$E$65536,2,FALSE)," ",VLOOKUP(T870,[2]zawodnicy!$A$1:$E$65536,3,FALSE)," - ",VLOOKUP(T870,[2]zawodnicy!$A$1:$E$65536,4,FALSE)),"")</f>
        <v>Katarzyna SŁOMBA - UKSB Volant Mielec</v>
      </c>
      <c r="W870" s="127"/>
      <c r="X870" s="231" t="str">
        <f>IF(ISBLANK(W870),IF(AND(LEN(T870)&gt;0,LEN(T872)=0),VLOOKUP(T870,[2]zawodnicy!$A$1:$E$65536,3,FALSE),IF(AND(LEN(T872)&gt;0,LEN(T870)=0),VLOOKUP(T872,[2]zawodnicy!$A$1:$E$65536,3,FALSE),"")),IF((VLOOKUP(W870,'[2]plan gier'!$X$1:$AF$65536,8,FALSE))="","",VLOOKUP(VLOOKUP(W870,'[2]plan gier'!$X$1:$AF$65536,8,FALSE),[2]zawodnicy!$A$1:$E$65536,3,FALSE)))</f>
        <v>SŁOMBA</v>
      </c>
      <c r="Y870" s="232"/>
      <c r="Z870" s="23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row>
    <row r="871" spans="1:63" ht="12.75" x14ac:dyDescent="0.2">
      <c r="J871" s="2"/>
      <c r="K871" s="2"/>
      <c r="L871" s="2"/>
      <c r="M871" s="95"/>
      <c r="N871" s="125"/>
      <c r="O871" s="120" t="str">
        <f>IF(P871="","",MAX(O869:O870)+1)</f>
        <v/>
      </c>
      <c r="P871" s="121" t="str">
        <f>IF(O867&gt;7,5,"")</f>
        <v/>
      </c>
      <c r="Q871" s="113" t="str">
        <f>O871</f>
        <v/>
      </c>
      <c r="R871" s="113"/>
      <c r="S871" s="113"/>
      <c r="T871" s="234" t="str">
        <f>UPPER(IF(O871="","",IF(ISTEXT(N871),N871,IF(AND(N867&gt;0,O871&gt;0),VLOOKUP(N867&amp;O871&amp;N868,I:K,2,FALSE),""))))</f>
        <v/>
      </c>
      <c r="U871" s="235"/>
      <c r="V871" s="122" t="str">
        <f>IF(T871&lt;&gt;"",CONCATENATE(VLOOKUP(T871,[2]zawodnicy!$A$1:$E$65536,2,FALSE)," ",VLOOKUP(T871,[2]zawodnicy!$A$1:$E$65536,3,FALSE)," - ",VLOOKUP(T871,[2]zawodnicy!$A$1:$E$65536,4,FALSE)),"")</f>
        <v/>
      </c>
      <c r="W871" s="128"/>
      <c r="X871" s="237" t="str">
        <f>IF(ISBLANK(W870),"",IF((VLOOKUP(W870,'[2]plan gier'!$X$1:$AF$65536,7,FALSE))="",L870,VLOOKUP(W870,'[2]plan gier'!$X$1:$AF$65536,9,FALSE)))</f>
        <v/>
      </c>
      <c r="Y871" s="237"/>
      <c r="Z871" s="240"/>
      <c r="AA871" s="229" t="str">
        <f>IF(ISBLANK(Z872),IF(AND(LEN(X869)&gt;0,LEN(X873)=0),X869,IF(AND(LEN(X873)&gt;0,LEN(X869)=0),X873,"")),IF((VLOOKUP(Z872,'[2]plan gier'!$X$1:$AF$65536,7,FALSE))="","",VLOOKUP(VLOOKUP(Z872,'[2]plan gier'!$X$1:$AF$65536,7,FALSE),[2]zawodnicy!$A$1:$E$65536,3,FALSE)))</f>
        <v>TKACHUK</v>
      </c>
      <c r="AB871" s="229"/>
      <c r="AC871" s="229"/>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row>
    <row r="872" spans="1:63" ht="13.5" thickBot="1" x14ac:dyDescent="0.25">
      <c r="A872" s="111">
        <f>Z872</f>
        <v>220</v>
      </c>
      <c r="B872" s="2" t="str">
        <f>F870</f>
        <v>M3524</v>
      </c>
      <c r="C872" s="2" t="str">
        <f>G870</f>
        <v>S3617</v>
      </c>
      <c r="D872" s="2" t="str">
        <f>F874</f>
        <v>X56</v>
      </c>
      <c r="E872" s="2" t="str">
        <f>G874</f>
        <v>X20</v>
      </c>
      <c r="F872" s="2" t="str">
        <f>IF(A872=0,IF(AND(LEN(B872)&gt;0,LEN(D872)=0),B872,IF(AND(LEN(D872)&gt;0,LEN(B872)=0),D872,"")),IF((VLOOKUP(A872,'[2]plan gier'!$X$1:$AF$65536,7,FALSE))="","",VLOOKUP(VLOOKUP(A872,'[2]plan gier'!$X$1:$AF$65536,7,FALSE),[2]zawodnicy!$A$1:$E$65536,1,FALSE)))</f>
        <v>X56</v>
      </c>
      <c r="G872" s="2" t="str">
        <f>IF(A872=0,IF(AND(LEN(C872)&gt;0,LEN(E872)=0),C872,IF(AND(LEN(E872)&gt;0,LEN(C872)=0),E872,"")),IF((VLOOKUP(A872,'[2]plan gier'!$X$1:$AF$65536,8,FALSE))="","",VLOOKUP(VLOOKUP(A872,'[2]plan gier'!$X$1:$AF$65536,8,FALSE),[2]zawodnicy!$A$1:$E$65536,1,FALSE)))</f>
        <v>X20</v>
      </c>
      <c r="H872" s="2" t="str">
        <f>IF(A872=0,"",IF((VLOOKUP(A872,'[2]plan gier'!$X$1:$AF$65536,7,FALSE))="","",VLOOKUP(A872,'[2]plan gier'!$X$1:$AF$65536,9,FALSE)))</f>
        <v>21:15,21:17</v>
      </c>
      <c r="L872" s="124" t="str">
        <f>IF(A872=0,"",IF(VLOOKUP(A872,'[2]plan gier'!A$1:S$65536,19,FALSE)="","",VLOOKUP(A872,'[2]plan gier'!A$1:S$65536,19,FALSE)))</f>
        <v>sob 17:00</v>
      </c>
      <c r="M872" s="2" t="str">
        <f>N868</f>
        <v>mieszana JM</v>
      </c>
      <c r="N872" s="129"/>
      <c r="O872" s="121"/>
      <c r="P872" s="121"/>
      <c r="Q872" s="114"/>
      <c r="R872" s="114"/>
      <c r="S872" s="114"/>
      <c r="T872" s="238" t="str">
        <f>UPPER(IF(O871="","",IF(ISTEXT(N872),N872,IF(AND(N867&gt;0,O871&gt;0),VLOOKUP(N867&amp;O871&amp;N868,I:K,3,FALSE),""))))</f>
        <v/>
      </c>
      <c r="U872" s="239"/>
      <c r="V872" s="130" t="str">
        <f>IF(T872&lt;&gt;"",CONCATENATE(VLOOKUP(T872,[2]zawodnicy!$A$1:$E$65536,2,FALSE)," ",VLOOKUP(T872,[2]zawodnicy!$A$1:$E$65536,3,FALSE)," - ",VLOOKUP(T872,[2]zawodnicy!$A$1:$E$65536,4,FALSE)),"")</f>
        <v/>
      </c>
      <c r="W872" s="131"/>
      <c r="X872" s="114"/>
      <c r="Y872" s="10"/>
      <c r="Z872" s="115">
        <v>220</v>
      </c>
      <c r="AA872" s="231" t="str">
        <f>IF(ISBLANK(Z872),IF(AND(LEN(X870)&gt;0,LEN(X874)=0),X870,IF(AND(LEN(X874)&gt;0,LEN(X870)=0),X874,"")),IF((VLOOKUP(Z872,'[2]plan gier'!$X$1:$AF$65536,8,FALSE))="","",VLOOKUP(VLOOKUP(Z872,'[2]plan gier'!$X$1:$AF$65536,8,FALSE),[2]zawodnicy!$A$1:$E$65536,3,FALSE)))</f>
        <v>SEBOVA</v>
      </c>
      <c r="AB872" s="232"/>
      <c r="AC872" s="23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row>
    <row r="873" spans="1:63" ht="13.5" thickTop="1" x14ac:dyDescent="0.2">
      <c r="J873" s="2"/>
      <c r="K873" s="2"/>
      <c r="L873" s="2"/>
      <c r="M873" s="95"/>
      <c r="N873" s="132"/>
      <c r="O873" s="120">
        <f>IF(P873="","",MAX(O869:O872)+1)</f>
        <v>2</v>
      </c>
      <c r="P873" s="121">
        <f>IF(O867&gt;4,9,"")</f>
        <v>9</v>
      </c>
      <c r="Q873" s="113">
        <f>O873</f>
        <v>2</v>
      </c>
      <c r="R873" s="113"/>
      <c r="S873" s="113"/>
      <c r="T873" s="226" t="str">
        <f>UPPER(IF(O873="","",IF(ISTEXT(N873),N873,IF(AND(N867&gt;0,O873&gt;0),VLOOKUP(N867&amp;O873&amp;N868,I:K,2,FALSE),""))))</f>
        <v>X56</v>
      </c>
      <c r="U873" s="227"/>
      <c r="V873" s="133" t="str">
        <f>IF(T873&lt;&gt;"",CONCATENATE(VLOOKUP(T873,[2]zawodnicy!$A$1:$E$65536,2,FALSE)," ",VLOOKUP(T873,[2]zawodnicy!$A$1:$E$65536,3,FALSE)," - ",VLOOKUP(T873,[2]zawodnicy!$A$1:$E$65536,4,FALSE)),"")</f>
        <v>Artem TKACHUK - Vinnica Ukraina</v>
      </c>
      <c r="W873" s="134"/>
      <c r="X873" s="228" t="str">
        <f>IF(ISBLANK(W874),IF(AND(LEN(T873)&gt;0,LEN(T875)=0),VLOOKUP(T873,[2]zawodnicy!$A$1:$E$65536,3,FALSE),IF(AND(LEN(T875)&gt;0,LEN(T873)=0),VLOOKUP(T875,[2]zawodnicy!$A$1:$E$65536,3,FALSE),"")),IF((VLOOKUP(W874,'[2]plan gier'!$X$1:$AF$65536,7,FALSE))="","",VLOOKUP(VLOOKUP(W874,'[2]plan gier'!$X$1:$AF$65536,7,FALSE),[2]zawodnicy!$A$1:$E$65536,3,FALSE)))</f>
        <v>TKACHUK</v>
      </c>
      <c r="Y873" s="229"/>
      <c r="Z873" s="230"/>
      <c r="AA873" s="229" t="str">
        <f>IF(ISBLANK(Z872),"",IF((VLOOKUP(Z872,'[2]plan gier'!$X$1:$AF$65536,7,FALSE))="",L872,VLOOKUP(Z872,'[2]plan gier'!$X$1:$AF$65536,9,FALSE)))</f>
        <v>21:15,21:17</v>
      </c>
      <c r="AB873" s="229"/>
      <c r="AC873" s="230"/>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row>
    <row r="874" spans="1:63" ht="12.75" x14ac:dyDescent="0.2">
      <c r="A874" s="102">
        <f>W874</f>
        <v>207</v>
      </c>
      <c r="B874" s="2" t="str">
        <f>IF(TYPE(T873)=16,"",T873)</f>
        <v>X56</v>
      </c>
      <c r="C874" s="2" t="str">
        <f>IF(TYPE(T874)=16,"",T874)</f>
        <v>X20</v>
      </c>
      <c r="D874" s="2" t="str">
        <f>IF(TYPE(T875)=16,"",T875)</f>
        <v>W4049</v>
      </c>
      <c r="E874" s="2" t="str">
        <f>IF(TYPE(T876)=16,"",T876)</f>
        <v>C3958</v>
      </c>
      <c r="F874" s="2" t="str">
        <f>IF(A874=0,IF(AND(LEN(B874)&gt;1,LEN(D874)=0),VLOOKUP(B874,[2]zawodnicy!$A$1:$E$65536,1,FALSE),IF(AND(LEN(D874)&gt;1,LEN(B874)=0),VLOOKUP(D874,[2]zawodnicy!$A$1:$E$65536,1,FALSE),"")),IF((VLOOKUP(A874,'[2]plan gier'!$X$1:$AF$65536,7,FALSE))="","",VLOOKUP(VLOOKUP(A874,'[2]plan gier'!$X$1:$AF$65536,7,FALSE),[2]zawodnicy!$A$1:$E$65536,1,FALSE)))</f>
        <v>X56</v>
      </c>
      <c r="G874" s="2" t="str">
        <f>IF(A874=0,IF(AND(LEN(C874)&gt;1,LEN(E874)=0),VLOOKUP(C874,[2]zawodnicy!$A$1:$E$65536,1,FALSE),IF(AND(LEN(E874)&gt;1,LEN(C874)=0),VLOOKUP(E874,[2]zawodnicy!$A$1:$E$65536,1,FALSE),"")),IF((VLOOKUP(A874,'[2]plan gier'!$X$1:$AF$65536,8,FALSE))="","",VLOOKUP(VLOOKUP(A874,'[2]plan gier'!$X$1:$AF$65536,8,FALSE),[2]zawodnicy!$A$1:$E$65536,1,FALSE)))</f>
        <v>X20</v>
      </c>
      <c r="H874" s="2" t="str">
        <f>IF(A874=0,"",IF((VLOOKUP(A874,'[2]plan gier'!$X$1:$AF$65536,7,FALSE))="","",VLOOKUP(A874,'[2]plan gier'!$X$1:$AF$65536,9,FALSE)))</f>
        <v>21:15,21:17</v>
      </c>
      <c r="L874" s="124" t="str">
        <f>IF(A874=0,"",IF(VLOOKUP(A874,'[2]plan gier'!A$1:S$65536,19,FALSE)="","",VLOOKUP(A874,'[2]plan gier'!A$1:S$65536,19,FALSE)))</f>
        <v>sob 16:00</v>
      </c>
      <c r="M874" s="2" t="str">
        <f>N868</f>
        <v>mieszana JM</v>
      </c>
      <c r="N874" s="125"/>
      <c r="O874" s="121"/>
      <c r="P874" s="121"/>
      <c r="Q874" s="114"/>
      <c r="R874" s="114"/>
      <c r="S874" s="114"/>
      <c r="T874" s="224" t="str">
        <f>UPPER(IF(O873="","",IF(ISTEXT(N874),N874,IF(AND(N867&gt;0,O873&gt;0),VLOOKUP(N867&amp;O873&amp;N868,I:K,3,FALSE),""))))</f>
        <v>X20</v>
      </c>
      <c r="U874" s="225"/>
      <c r="V874" s="126" t="str">
        <f>IF(T874&lt;&gt;"",CONCATENATE(VLOOKUP(T874,[2]zawodnicy!$A$1:$E$65536,2,FALSE)," ",VLOOKUP(T874,[2]zawodnicy!$A$1:$E$65536,3,FALSE)," - ",VLOOKUP(T874,[2]zawodnicy!$A$1:$E$65536,4,FALSE)),"")</f>
        <v>Inna SEBOVA - Vinnica Ukraina</v>
      </c>
      <c r="W874" s="127">
        <v>207</v>
      </c>
      <c r="X874" s="231" t="str">
        <f>IF(ISBLANK(W874),IF(AND(LEN(T874)&gt;0,LEN(T876)=0),VLOOKUP(T874,[2]zawodnicy!$A$1:$E$65536,3,FALSE),IF(AND(LEN(T876)&gt;0,LEN(T874)=0),VLOOKUP(T876,[2]zawodnicy!$A$1:$E$65536,3,FALSE),"")),IF((VLOOKUP(W874,'[2]plan gier'!$X$1:$AF$65536,8,FALSE))="","",VLOOKUP(VLOOKUP(W874,'[2]plan gier'!$X$1:$AF$65536,8,FALSE),[2]zawodnicy!$A$1:$E$65536,3,FALSE)))</f>
        <v>SEBOVA</v>
      </c>
      <c r="Y874" s="232"/>
      <c r="Z874" s="233"/>
      <c r="AA874" s="10"/>
      <c r="AB874" s="10"/>
      <c r="AC874" s="117"/>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row>
    <row r="875" spans="1:63" ht="12.75" x14ac:dyDescent="0.2">
      <c r="J875" s="2"/>
      <c r="K875" s="2"/>
      <c r="L875" s="2"/>
      <c r="M875" s="95"/>
      <c r="N875" s="125"/>
      <c r="O875" s="120">
        <f>IF(P875="","",MAX(O869:O874)+1)</f>
        <v>3</v>
      </c>
      <c r="P875" s="121">
        <f>IF(O867&gt;5,13,"")</f>
        <v>13</v>
      </c>
      <c r="Q875" s="113">
        <f>O875</f>
        <v>3</v>
      </c>
      <c r="R875" s="113"/>
      <c r="S875" s="113"/>
      <c r="T875" s="234" t="str">
        <f>UPPER(IF(O875="","",IF(ISTEXT(N875),N875,IF(AND(N867&gt;0,O875&gt;0),VLOOKUP(N867&amp;O875&amp;N868,I:K,2,FALSE),""))))</f>
        <v>W4049</v>
      </c>
      <c r="U875" s="235"/>
      <c r="V875" s="122" t="str">
        <f>IF(T875&lt;&gt;"",CONCATENATE(VLOOKUP(T875,[2]zawodnicy!$A$1:$E$65536,2,FALSE)," ",VLOOKUP(T875,[2]zawodnicy!$A$1:$E$65536,3,FALSE)," - ",VLOOKUP(T875,[2]zawodnicy!$A$1:$E$65536,4,FALSE)),"")</f>
        <v>Kamil WUDARSKI - UKS Iskra Sarbice</v>
      </c>
      <c r="W875" s="128"/>
      <c r="X875" s="236" t="str">
        <f>IF(ISBLANK(W874),"",IF((VLOOKUP(W874,'[2]plan gier'!$X$1:$AF$65536,7,FALSE))="",L874,VLOOKUP(W874,'[2]plan gier'!$X$1:$AF$65536,9,FALSE)))</f>
        <v>21:15,21:17</v>
      </c>
      <c r="Y875" s="237"/>
      <c r="Z875" s="237"/>
      <c r="AA875" s="10"/>
      <c r="AB875" s="10"/>
      <c r="AC875" s="116"/>
      <c r="AD875" s="229" t="str">
        <f>IF(ISBLANK(AC876),IF(AND(LEN(AA871)&gt;0,LEN(AA879)=0),AA871,IF(AND(LEN(AA879)&gt;0,LEN(AA871)=0),AA879,"")),IF((VLOOKUP(AC876,'[2]plan gier'!$X$1:$AF$65536,7,FALSE))="","",VLOOKUP(VLOOKUP(AC876,'[2]plan gier'!$X$1:$AF$65536,7,FALSE),[2]zawodnicy!$A$1:$E$65536,3,FALSE)))</f>
        <v>TKACHUK</v>
      </c>
      <c r="AE875" s="229"/>
      <c r="AF875" s="229"/>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row>
    <row r="876" spans="1:63" ht="13.5" thickBot="1" x14ac:dyDescent="0.25">
      <c r="A876" s="171">
        <f>AC876</f>
        <v>236</v>
      </c>
      <c r="B876" s="2" t="str">
        <f>F872</f>
        <v>X56</v>
      </c>
      <c r="C876" s="2" t="str">
        <f>G872</f>
        <v>X20</v>
      </c>
      <c r="D876" s="2" t="str">
        <f>F880</f>
        <v>M4193</v>
      </c>
      <c r="E876" s="2" t="str">
        <f>G880</f>
        <v>M3790</v>
      </c>
      <c r="F876" s="2" t="str">
        <f>IF(A876=0,IF(AND(LEN(B876)&gt;0,LEN(D876)=0),B876,IF(AND(LEN(D876)&gt;0,LEN(B876)=0),D876,"")),IF((VLOOKUP(A876,'[2]plan gier'!$X$1:$AF$65536,7,FALSE))="","",VLOOKUP(VLOOKUP(A876,'[2]plan gier'!$X$1:$AF$65536,7,FALSE),[2]zawodnicy!$A$1:$E$65536,1,FALSE)))</f>
        <v>X56</v>
      </c>
      <c r="G876" s="2" t="str">
        <f>IF(A876=0,IF(AND(LEN(C876)&gt;0,LEN(E876)=0),C876,IF(AND(LEN(E876)&gt;0,LEN(C876)=0),E876,"")),IF((VLOOKUP(A876,'[2]plan gier'!$X$1:$AF$65536,8,FALSE))="","",VLOOKUP(VLOOKUP(A876,'[2]plan gier'!$X$1:$AF$65536,8,FALSE),[2]zawodnicy!$A$1:$E$65536,1,FALSE)))</f>
        <v>X20</v>
      </c>
      <c r="H876" s="2" t="str">
        <f>IF(A876=0,"",IF((VLOOKUP(A876,'[2]plan gier'!$X$1:$AF$65536,7,FALSE))="","",VLOOKUP(A876,'[2]plan gier'!$X$1:$AF$65536,9,FALSE)))</f>
        <v>21:17,21:11</v>
      </c>
      <c r="L876" s="124" t="str">
        <f>IF(A876=0,"",IF(VLOOKUP(A876,'[2]plan gier'!A$1:S$65536,19,FALSE)="","",VLOOKUP(A876,'[2]plan gier'!A$1:S$65536,19,FALSE)))</f>
        <v>nie 11:30</v>
      </c>
      <c r="M876" s="2" t="str">
        <f>N868</f>
        <v>mieszana JM</v>
      </c>
      <c r="N876" s="129"/>
      <c r="O876" s="121"/>
      <c r="P876" s="121"/>
      <c r="Q876" s="114"/>
      <c r="R876" s="114"/>
      <c r="S876" s="114"/>
      <c r="T876" s="238" t="str">
        <f>UPPER(IF(O875="","",IF(ISTEXT(N876),N876,IF(AND(N867&gt;0,O875&gt;0),VLOOKUP(N867&amp;O875&amp;N868,I:K,3,FALSE),""))))</f>
        <v>C3958</v>
      </c>
      <c r="U876" s="239"/>
      <c r="V876" s="130" t="str">
        <f>IF(T876&lt;&gt;"",CONCATENATE(VLOOKUP(T876,[2]zawodnicy!$A$1:$E$65536,2,FALSE)," ",VLOOKUP(T876,[2]zawodnicy!$A$1:$E$65536,3,FALSE)," - ",VLOOKUP(T876,[2]zawodnicy!$A$1:$E$65536,4,FALSE)),"")</f>
        <v>Milena CICHOMSKA - UKS Iskra Sarbice</v>
      </c>
      <c r="W876" s="131"/>
      <c r="X876" s="10"/>
      <c r="Y876" s="10"/>
      <c r="Z876" s="10"/>
      <c r="AA876" s="10"/>
      <c r="AB876" s="10"/>
      <c r="AC876" s="115">
        <v>236</v>
      </c>
      <c r="AD876" s="231" t="str">
        <f>IF(ISBLANK(AC876),IF(AND(LEN(AA872)&gt;0,LEN(AA880)=0),AA872,IF(AND(LEN(AA880)&gt;0,LEN(AA872)=0),AA880,"")),IF((VLOOKUP(AC876,'[2]plan gier'!$X$1:$AF$65536,8,FALSE))="","",VLOOKUP(VLOOKUP(AC876,'[2]plan gier'!$X$1:$AF$65536,8,FALSE),[2]zawodnicy!$A$1:$E$65536,3,FALSE)))</f>
        <v>SEBOVA</v>
      </c>
      <c r="AE876" s="232"/>
      <c r="AF876" s="23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row>
    <row r="877" spans="1:63" ht="13.5" thickTop="1" x14ac:dyDescent="0.2">
      <c r="J877" s="2"/>
      <c r="K877" s="2"/>
      <c r="L877" s="2"/>
      <c r="M877" s="95"/>
      <c r="N877" s="132"/>
      <c r="O877" s="120">
        <f>IF(P877="","",MAX(O869:O876)+1)</f>
        <v>4</v>
      </c>
      <c r="P877" s="121">
        <f>IF(O867&gt;4,20,"")</f>
        <v>20</v>
      </c>
      <c r="Q877" s="113">
        <f>O877</f>
        <v>4</v>
      </c>
      <c r="R877" s="113"/>
      <c r="S877" s="113"/>
      <c r="T877" s="226" t="str">
        <f>UPPER(IF(O877="","",IF(ISTEXT(N877),N877,IF(AND(N867&gt;0,O877&gt;0),VLOOKUP(N867&amp;O877&amp;N868,I:K,2,FALSE),""))))</f>
        <v>X10</v>
      </c>
      <c r="U877" s="227"/>
      <c r="V877" s="133" t="str">
        <f>IF(T877&lt;&gt;"",CONCATENATE(VLOOKUP(T877,[2]zawodnicy!$A$1:$E$65536,2,FALSE)," ",VLOOKUP(T877,[2]zawodnicy!$A$1:$E$65536,3,FALSE)," - ",VLOOKUP(T877,[2]zawodnicy!$A$1:$E$65536,4,FALSE)),"")</f>
        <v>Dmitry KUSIMITSKI - Brześć Białoruś</v>
      </c>
      <c r="W877" s="134"/>
      <c r="X877" s="228" t="str">
        <f>IF(ISBLANK(W878),IF(AND(LEN(T877)&gt;0,LEN(T879)=0),VLOOKUP(T877,[2]zawodnicy!$A$1:$E$65536,3,FALSE),IF(AND(LEN(T879)&gt;0,LEN(T877)=0),VLOOKUP(T879,[2]zawodnicy!$A$1:$E$65536,3,FALSE),"")),IF((VLOOKUP(W878,'[2]plan gier'!$X$1:$AF$65536,7,FALSE))="","",VLOOKUP(VLOOKUP(W878,'[2]plan gier'!$X$1:$AF$65536,7,FALSE),[2]zawodnicy!$A$1:$E$65536,3,FALSE)))</f>
        <v>MIRGA</v>
      </c>
      <c r="Y877" s="229"/>
      <c r="Z877" s="229"/>
      <c r="AA877" s="10"/>
      <c r="AB877" s="10"/>
      <c r="AC877" s="116"/>
      <c r="AD877" s="229" t="str">
        <f>IF(ISBLANK(AC876),"",IF((VLOOKUP(AC876,'[2]plan gier'!$X$1:$AF$65536,7,FALSE))="",L876,VLOOKUP(AC876,'[2]plan gier'!$X$1:$AF$65536,9,FALSE)))</f>
        <v>21:17,21:11</v>
      </c>
      <c r="AE877" s="229"/>
      <c r="AF877" s="229"/>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row>
    <row r="878" spans="1:63" ht="12.75" x14ac:dyDescent="0.2">
      <c r="A878" s="102">
        <f>W878</f>
        <v>208</v>
      </c>
      <c r="B878" s="2" t="str">
        <f>IF(TYPE(T877)=16,"",T877)</f>
        <v>X10</v>
      </c>
      <c r="C878" s="2" t="str">
        <f>IF(TYPE(T878)=16,"",T878)</f>
        <v>X09</v>
      </c>
      <c r="D878" s="2" t="str">
        <f>IF(TYPE(T879)=16,"",T879)</f>
        <v>M4193</v>
      </c>
      <c r="E878" s="2" t="str">
        <f>IF(TYPE(T880)=16,"",T880)</f>
        <v>M3790</v>
      </c>
      <c r="F878" s="2" t="str">
        <f>IF(A878=0,IF(AND(LEN(B878)&gt;1,LEN(D878)=0),VLOOKUP(B878,[2]zawodnicy!$A$1:$E$65536,1,FALSE),IF(AND(LEN(D878)&gt;1,LEN(B878)=0),VLOOKUP(D878,[2]zawodnicy!$A$1:$E$65536,1,FALSE),"")),IF((VLOOKUP(A878,'[2]plan gier'!$X$1:$AF$65536,7,FALSE))="","",VLOOKUP(VLOOKUP(A878,'[2]plan gier'!$X$1:$AF$65536,7,FALSE),[2]zawodnicy!$A$1:$E$65536,1,FALSE)))</f>
        <v>M4193</v>
      </c>
      <c r="G878" s="2" t="str">
        <f>IF(A878=0,IF(AND(LEN(C878)&gt;1,LEN(E878)=0),VLOOKUP(C878,[2]zawodnicy!$A$1:$E$65536,1,FALSE),IF(AND(LEN(E878)&gt;1,LEN(C878)=0),VLOOKUP(E878,[2]zawodnicy!$A$1:$E$65536,1,FALSE),"")),IF((VLOOKUP(A878,'[2]plan gier'!$X$1:$AF$65536,8,FALSE))="","",VLOOKUP(VLOOKUP(A878,'[2]plan gier'!$X$1:$AF$65536,8,FALSE),[2]zawodnicy!$A$1:$E$65536,1,FALSE)))</f>
        <v>M3790</v>
      </c>
      <c r="H878" s="2" t="str">
        <f>IF(A878=0,"",IF((VLOOKUP(A878,'[2]plan gier'!$X$1:$AF$65536,7,FALSE))="","",VLOOKUP(A878,'[2]plan gier'!$X$1:$AF$65536,9,FALSE)))</f>
        <v>21:13,21:10</v>
      </c>
      <c r="L878" s="124" t="str">
        <f>IF(A878=0,"",IF(VLOOKUP(A878,'[2]plan gier'!A$1:S$65536,19,FALSE)="","",VLOOKUP(A878,'[2]plan gier'!A$1:S$65536,19,FALSE)))</f>
        <v>sob 16:00</v>
      </c>
      <c r="M878" s="2" t="str">
        <f>N868</f>
        <v>mieszana JM</v>
      </c>
      <c r="N878" s="125"/>
      <c r="O878" s="121"/>
      <c r="P878" s="121"/>
      <c r="Q878" s="114"/>
      <c r="R878" s="114"/>
      <c r="S878" s="114"/>
      <c r="T878" s="224" t="str">
        <f>UPPER(IF(O877="","",IF(ISTEXT(N878),N878,IF(AND(N867&gt;0,O877&gt;0),VLOOKUP(N867&amp;O877&amp;N868,I:K,3,FALSE),""))))</f>
        <v>X09</v>
      </c>
      <c r="U878" s="225"/>
      <c r="V878" s="126" t="str">
        <f>IF(T878&lt;&gt;"",CONCATENATE(VLOOKUP(T878,[2]zawodnicy!$A$1:$E$65536,2,FALSE)," ",VLOOKUP(T878,[2]zawodnicy!$A$1:$E$65536,3,FALSE)," - ",VLOOKUP(T878,[2]zawodnicy!$A$1:$E$65536,4,FALSE)),"")</f>
        <v>Mariana VERBITSKA - Brześć Białoruś</v>
      </c>
      <c r="W878" s="127">
        <v>208</v>
      </c>
      <c r="X878" s="231" t="str">
        <f>IF(ISBLANK(W878),IF(AND(LEN(T878)&gt;0,LEN(T880)=0),VLOOKUP(T878,[2]zawodnicy!$A$1:$E$65536,3,FALSE),IF(AND(LEN(T880)&gt;0,LEN(T878)=0),VLOOKUP(T880,[2]zawodnicy!$A$1:$E$65536,3,FALSE),"")),IF((VLOOKUP(W878,'[2]plan gier'!$X$1:$AF$65536,8,FALSE))="","",VLOOKUP(VLOOKUP(W878,'[2]plan gier'!$X$1:$AF$65536,8,FALSE),[2]zawodnicy!$A$1:$E$65536,3,FALSE)))</f>
        <v>MARCZAK</v>
      </c>
      <c r="Y878" s="232"/>
      <c r="Z878" s="232"/>
      <c r="AA878" s="10"/>
      <c r="AB878" s="10"/>
      <c r="AC878" s="117"/>
      <c r="AD878" s="10"/>
      <c r="AE878" s="10"/>
      <c r="AF878" s="10"/>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row>
    <row r="879" spans="1:63" ht="12.75" x14ac:dyDescent="0.2">
      <c r="J879" s="2"/>
      <c r="K879" s="2"/>
      <c r="L879" s="2"/>
      <c r="M879" s="95"/>
      <c r="N879" s="125"/>
      <c r="O879" s="120">
        <f>IF(P879="","",MAX(O869:O878)+1)</f>
        <v>5</v>
      </c>
      <c r="P879" s="121">
        <f>IF(O867&gt;4,24,"")</f>
        <v>24</v>
      </c>
      <c r="Q879" s="113">
        <f>O879</f>
        <v>5</v>
      </c>
      <c r="R879" s="113"/>
      <c r="S879" s="113"/>
      <c r="T879" s="234" t="str">
        <f>UPPER(IF(O879="","",IF(ISTEXT(N879),N879,IF(AND(N867&gt;0,O879&gt;0),VLOOKUP(N867&amp;O879&amp;N868,I:K,2,FALSE),""))))</f>
        <v>M4193</v>
      </c>
      <c r="U879" s="235"/>
      <c r="V879" s="122" t="str">
        <f>IF(T879&lt;&gt;"",CONCATENATE(VLOOKUP(T879,[2]zawodnicy!$A$1:$E$65536,2,FALSE)," ",VLOOKUP(T879,[2]zawodnicy!$A$1:$E$65536,3,FALSE)," - ",VLOOKUP(T879,[2]zawodnicy!$A$1:$E$65536,4,FALSE)),"")</f>
        <v>Robert MIRGA - LKS Technik Głubczyce</v>
      </c>
      <c r="W879" s="128"/>
      <c r="X879" s="237" t="str">
        <f>IF(ISBLANK(W878),"",IF((VLOOKUP(W878,'[2]plan gier'!$X$1:$AF$65536,7,FALSE))="",L878,VLOOKUP(W878,'[2]plan gier'!$X$1:$AF$65536,9,FALSE)))</f>
        <v>21:13,21:10</v>
      </c>
      <c r="Y879" s="237"/>
      <c r="Z879" s="240"/>
      <c r="AA879" s="229" t="str">
        <f>IF(ISBLANK(Z880),IF(AND(LEN(X877)&gt;0,LEN(X881)=0),X877,IF(AND(LEN(X881)&gt;0,LEN(X877)=0),X881,"")),IF((VLOOKUP(Z880,'[2]plan gier'!$X$1:$AF$65536,7,FALSE))="","",VLOOKUP(VLOOKUP(Z880,'[2]plan gier'!$X$1:$AF$65536,7,FALSE),[2]zawodnicy!$A$1:$E$65536,3,FALSE)))</f>
        <v>MIRGA</v>
      </c>
      <c r="AB879" s="229"/>
      <c r="AC879" s="230"/>
      <c r="AD879" s="10"/>
      <c r="AE879" s="10"/>
      <c r="AF879" s="10"/>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row>
    <row r="880" spans="1:63" ht="13.5" thickBot="1" x14ac:dyDescent="0.25">
      <c r="A880" s="111">
        <f>Z880</f>
        <v>221</v>
      </c>
      <c r="B880" s="2" t="str">
        <f>F878</f>
        <v>M4193</v>
      </c>
      <c r="C880" s="2" t="str">
        <f>G878</f>
        <v>M3790</v>
      </c>
      <c r="D880" s="2" t="str">
        <f>F882</f>
        <v>K4248</v>
      </c>
      <c r="E880" s="2" t="str">
        <f>G882</f>
        <v>R3686</v>
      </c>
      <c r="F880" s="2" t="str">
        <f>IF(A880=0,IF(AND(LEN(B880)&gt;0,LEN(D880)=0),B880,IF(AND(LEN(D880)&gt;0,LEN(B880)=0),D880,"")),IF((VLOOKUP(A880,'[2]plan gier'!$X$1:$AF$65536,7,FALSE))="","",VLOOKUP(VLOOKUP(A880,'[2]plan gier'!$X$1:$AF$65536,7,FALSE),[2]zawodnicy!$A$1:$E$65536,1,FALSE)))</f>
        <v>M4193</v>
      </c>
      <c r="G880" s="2" t="str">
        <f>IF(A880=0,IF(AND(LEN(C880)&gt;0,LEN(E880)=0),C880,IF(AND(LEN(E880)&gt;0,LEN(C880)=0),E880,"")),IF((VLOOKUP(A880,'[2]plan gier'!$X$1:$AF$65536,8,FALSE))="","",VLOOKUP(VLOOKUP(A880,'[2]plan gier'!$X$1:$AF$65536,8,FALSE),[2]zawodnicy!$A$1:$E$65536,1,FALSE)))</f>
        <v>M3790</v>
      </c>
      <c r="H880" s="2" t="str">
        <f>IF(A880=0,"",IF((VLOOKUP(A880,'[2]plan gier'!$X$1:$AF$65536,7,FALSE))="","",VLOOKUP(A880,'[2]plan gier'!$X$1:$AF$65536,9,FALSE)))</f>
        <v>21:15,21:19</v>
      </c>
      <c r="L880" s="124" t="str">
        <f>IF(A880=0,"",IF(VLOOKUP(A880,'[2]plan gier'!A$1:S$65536,19,FALSE)="","",VLOOKUP(A880,'[2]plan gier'!A$1:S$65536,19,FALSE)))</f>
        <v>sob 17:00</v>
      </c>
      <c r="M880" s="2" t="str">
        <f>N868</f>
        <v>mieszana JM</v>
      </c>
      <c r="N880" s="129"/>
      <c r="O880" s="121"/>
      <c r="P880" s="121"/>
      <c r="Q880" s="114"/>
      <c r="R880" s="114"/>
      <c r="S880" s="114"/>
      <c r="T880" s="238" t="str">
        <f>UPPER(IF(O879="","",IF(ISTEXT(N880),N880,IF(AND(N867&gt;0,O879&gt;0),VLOOKUP(N867&amp;O879&amp;N868,I:K,3,FALSE),""))))</f>
        <v>M3790</v>
      </c>
      <c r="U880" s="239"/>
      <c r="V880" s="130" t="str">
        <f>IF(T880&lt;&gt;"",CONCATENATE(VLOOKUP(T880,[2]zawodnicy!$A$1:$E$65536,2,FALSE)," ",VLOOKUP(T880,[2]zawodnicy!$A$1:$E$65536,3,FALSE)," - ",VLOOKUP(T880,[2]zawodnicy!$A$1:$E$65536,4,FALSE)),"")</f>
        <v>Kornelia MARCZAK - UKS Plesbad Pszczyna</v>
      </c>
      <c r="W880" s="131"/>
      <c r="X880" s="114"/>
      <c r="Y880" s="10"/>
      <c r="Z880" s="115">
        <v>221</v>
      </c>
      <c r="AA880" s="231" t="str">
        <f>IF(ISBLANK(Z880),IF(AND(LEN(X878)&gt;0,LEN(X882)=0),X878,IF(AND(LEN(X882)&gt;0,LEN(X878)=0),X882,"")),IF((VLOOKUP(Z880,'[2]plan gier'!$X$1:$AF$65536,8,FALSE))="","",VLOOKUP(VLOOKUP(Z880,'[2]plan gier'!$X$1:$AF$65536,8,FALSE),[2]zawodnicy!$A$1:$E$65536,3,FALSE)))</f>
        <v>MARCZAK</v>
      </c>
      <c r="AB880" s="232"/>
      <c r="AC880" s="233"/>
      <c r="AD880" s="10"/>
      <c r="AE880" s="10"/>
      <c r="AF880" s="10"/>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row>
    <row r="881" spans="1:63" ht="13.5" thickTop="1" x14ac:dyDescent="0.2">
      <c r="J881" s="2"/>
      <c r="K881" s="2"/>
      <c r="L881" s="2"/>
      <c r="M881" s="95"/>
      <c r="N881" s="132"/>
      <c r="O881" s="120" t="str">
        <f>IF(P881="","",MAX(O869:O880)+1)</f>
        <v/>
      </c>
      <c r="P881" s="121" t="str">
        <f>IF(O867&gt;6,28,"")</f>
        <v/>
      </c>
      <c r="Q881" s="113" t="str">
        <f>O881</f>
        <v/>
      </c>
      <c r="R881" s="113"/>
      <c r="S881" s="113"/>
      <c r="T881" s="226" t="str">
        <f>UPPER(IF(O881="","",IF(ISTEXT(N881),N881,IF(AND(N867&gt;0,O881&gt;0),VLOOKUP(N867&amp;O881&amp;N868,I:K,2,FALSE),""))))</f>
        <v/>
      </c>
      <c r="U881" s="227"/>
      <c r="V881" s="133" t="str">
        <f>IF(T881&lt;&gt;"",CONCATENATE(VLOOKUP(T881,[2]zawodnicy!$A$1:$E$65536,2,FALSE)," ",VLOOKUP(T881,[2]zawodnicy!$A$1:$E$65536,3,FALSE)," - ",VLOOKUP(T881,[2]zawodnicy!$A$1:$E$65536,4,FALSE)),"")</f>
        <v/>
      </c>
      <c r="W881" s="134"/>
      <c r="X881" s="228" t="str">
        <f>IF(ISBLANK(W882),IF(AND(LEN(T881)&gt;0,LEN(T883)=0),VLOOKUP(T881,[2]zawodnicy!$A$1:$E$65536,3,FALSE),IF(AND(LEN(T883)&gt;0,LEN(T881)=0),VLOOKUP(T883,[2]zawodnicy!$A$1:$E$65536,3,FALSE),"")),IF((VLOOKUP(W882,'[2]plan gier'!$X$1:$AF$65536,7,FALSE))="","",VLOOKUP(VLOOKUP(W882,'[2]plan gier'!$X$1:$AF$65536,7,FALSE),[2]zawodnicy!$A$1:$E$65536,3,FALSE)))</f>
        <v>KIKOSICKI</v>
      </c>
      <c r="Y881" s="229"/>
      <c r="Z881" s="230"/>
      <c r="AA881" s="229" t="str">
        <f>IF(ISBLANK(Z880),"",IF((VLOOKUP(Z880,'[2]plan gier'!$X$1:$AF$65536,7,FALSE))="",L880,VLOOKUP(Z880,'[2]plan gier'!$X$1:$AF$65536,9,FALSE)))</f>
        <v>21:15,21:19</v>
      </c>
      <c r="AB881" s="229"/>
      <c r="AC881" s="229"/>
      <c r="AD881" s="114"/>
      <c r="AE881" s="114"/>
      <c r="AF881" s="114"/>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row>
    <row r="882" spans="1:63" ht="12.75" x14ac:dyDescent="0.2">
      <c r="A882" s="102">
        <f>W882</f>
        <v>0</v>
      </c>
      <c r="B882" s="2" t="str">
        <f>IF(TYPE(T881)=16,"",T881)</f>
        <v/>
      </c>
      <c r="C882" s="2" t="str">
        <f>IF(TYPE(T882)=16,"",T882)</f>
        <v/>
      </c>
      <c r="D882" s="2" t="str">
        <f>IF(TYPE(T883)=16,"",T883)</f>
        <v>K4248</v>
      </c>
      <c r="E882" s="2" t="str">
        <f>IF(TYPE(T884)=16,"",T884)</f>
        <v>R3686</v>
      </c>
      <c r="F882" s="2" t="str">
        <f>IF(A882=0,IF(AND(LEN(B882)&gt;1,LEN(D882)=0),VLOOKUP(B882,[2]zawodnicy!$A$1:$E$65536,1,FALSE),IF(AND(LEN(D882)&gt;1,LEN(B882)=0),VLOOKUP(D882,[2]zawodnicy!$A$1:$E$65536,1,FALSE),"")),IF((VLOOKUP(A882,'[2]plan gier'!$X$1:$AF$65536,7,FALSE))="","",VLOOKUP(VLOOKUP(A882,'[2]plan gier'!$X$1:$AF$65536,7,FALSE),[2]zawodnicy!$A$1:$E$65536,1,FALSE)))</f>
        <v>K4248</v>
      </c>
      <c r="G882" s="2" t="str">
        <f>IF(A882=0,IF(AND(LEN(C882)&gt;1,LEN(E882)=0),VLOOKUP(C882,[2]zawodnicy!$A$1:$E$65536,1,FALSE),IF(AND(LEN(E882)&gt;1,LEN(C882)=0),VLOOKUP(E882,[2]zawodnicy!$A$1:$E$65536,1,FALSE),"")),IF((VLOOKUP(A882,'[2]plan gier'!$X$1:$AF$65536,8,FALSE))="","",VLOOKUP(VLOOKUP(A882,'[2]plan gier'!$X$1:$AF$65536,8,FALSE),[2]zawodnicy!$A$1:$E$65536,1,FALSE)))</f>
        <v>R3686</v>
      </c>
      <c r="H882" s="2" t="str">
        <f>IF(A882=0,"",IF((VLOOKUP(A882,'[2]plan gier'!$X$1:$AF$65536,7,FALSE))="","",VLOOKUP(A882,'[2]plan gier'!$X$1:$AF$65536,9,FALSE)))</f>
        <v/>
      </c>
      <c r="L882" s="124" t="str">
        <f>IF(A882=0,"",IF(VLOOKUP(A882,'[2]plan gier'!A$1:S$65536,19,FALSE)="","",VLOOKUP(A882,'[2]plan gier'!A$1:S$65536,19,FALSE)))</f>
        <v/>
      </c>
      <c r="M882" s="2" t="str">
        <f>N868</f>
        <v>mieszana JM</v>
      </c>
      <c r="N882" s="125"/>
      <c r="O882" s="121"/>
      <c r="P882" s="121"/>
      <c r="Q882" s="114"/>
      <c r="R882" s="114"/>
      <c r="S882" s="114"/>
      <c r="T882" s="224" t="str">
        <f>UPPER(IF(O881="","",IF(ISTEXT(N882),N882,IF(AND(N867&gt;0,O881&gt;0),VLOOKUP(N867&amp;O881&amp;N868,I:K,3,FALSE),""))))</f>
        <v/>
      </c>
      <c r="U882" s="225"/>
      <c r="V882" s="126" t="str">
        <f>IF(T882&lt;&gt;"",CONCATENATE(VLOOKUP(T882,[2]zawodnicy!$A$1:$E$65536,2,FALSE)," ",VLOOKUP(T882,[2]zawodnicy!$A$1:$E$65536,3,FALSE)," - ",VLOOKUP(T882,[2]zawodnicy!$A$1:$E$65536,4,FALSE)),"")</f>
        <v/>
      </c>
      <c r="W882" s="127"/>
      <c r="X882" s="231" t="str">
        <f>IF(ISBLANK(W882),IF(AND(LEN(T882)&gt;0,LEN(T884)=0),VLOOKUP(T882,[2]zawodnicy!$A$1:$E$65536,3,FALSE),IF(AND(LEN(T884)&gt;0,LEN(T882)=0),VLOOKUP(T884,[2]zawodnicy!$A$1:$E$65536,3,FALSE),"")),IF((VLOOKUP(W882,'[2]plan gier'!$X$1:$AF$65536,8,FALSE))="","",VLOOKUP(VLOOKUP(W882,'[2]plan gier'!$X$1:$AF$65536,8,FALSE),[2]zawodnicy!$A$1:$E$65536,3,FALSE)))</f>
        <v>RYBAŁT</v>
      </c>
      <c r="Y882" s="232"/>
      <c r="Z882" s="233"/>
      <c r="AA882" s="2"/>
      <c r="AB882" s="2"/>
      <c r="AC882" s="2"/>
      <c r="AD882" s="10"/>
      <c r="AE882" s="10"/>
      <c r="AF882" s="10"/>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row>
    <row r="883" spans="1:63" ht="12.75" x14ac:dyDescent="0.2">
      <c r="J883" s="2"/>
      <c r="K883" s="2"/>
      <c r="L883" s="2"/>
      <c r="M883" s="95"/>
      <c r="N883" s="125"/>
      <c r="O883" s="120">
        <f>IF(P883="","",MAX(O869:O882)+1)</f>
        <v>6</v>
      </c>
      <c r="P883" s="121">
        <f>IF(O867&gt;4,32,"")</f>
        <v>32</v>
      </c>
      <c r="Q883" s="113">
        <f>O883</f>
        <v>6</v>
      </c>
      <c r="R883" s="113"/>
      <c r="S883" s="113"/>
      <c r="T883" s="234" t="str">
        <f>UPPER(IF(O883="","",IF(ISTEXT(N883),N883,IF(AND(N867&gt;0,O883&gt;0),VLOOKUP(N867&amp;O883&amp;N868,I:K,2,FALSE),""))))</f>
        <v>K4248</v>
      </c>
      <c r="U883" s="235"/>
      <c r="V883" s="122" t="str">
        <f>IF(T883&lt;&gt;"",CONCATENATE(VLOOKUP(T883,[2]zawodnicy!$A$1:$E$65536,2,FALSE)," ",VLOOKUP(T883,[2]zawodnicy!$A$1:$E$65536,3,FALSE)," - ",VLOOKUP(T883,[2]zawodnicy!$A$1:$E$65536,4,FALSE)),"")</f>
        <v>Michał KIKOSICKI - KSR Wolant Łódź</v>
      </c>
      <c r="W883" s="128"/>
      <c r="X883" s="236" t="str">
        <f>IF(ISBLANK(W882),"",IF((VLOOKUP(W882,'[2]plan gier'!$X$1:$AF$65536,7,FALSE))="",L882,VLOOKUP(W882,'[2]plan gier'!$X$1:$AF$65536,9,FALSE)))</f>
        <v/>
      </c>
      <c r="Y883" s="237"/>
      <c r="Z883" s="237"/>
      <c r="AA883" s="2"/>
      <c r="AB883" s="2"/>
      <c r="AC883" s="114"/>
      <c r="AD883" s="114"/>
      <c r="AE883" s="114"/>
      <c r="AF883" s="114"/>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row>
    <row r="884" spans="1:63" ht="12.75" x14ac:dyDescent="0.2">
      <c r="A884" s="135"/>
      <c r="B884" s="16"/>
      <c r="C884" s="16"/>
      <c r="D884" s="16"/>
      <c r="E884" s="16"/>
      <c r="F884" s="16"/>
      <c r="G884" s="16"/>
      <c r="H884" s="16"/>
      <c r="I884" s="16"/>
      <c r="M884" s="16"/>
      <c r="N884" s="125"/>
      <c r="O884" s="121"/>
      <c r="P884" s="121"/>
      <c r="Q884" s="114"/>
      <c r="R884" s="114"/>
      <c r="S884" s="114"/>
      <c r="T884" s="224" t="str">
        <f>UPPER(IF(O883="","",IF(ISTEXT(N884),N884,IF(AND(N867&gt;0,O883&gt;0),VLOOKUP(N867&amp;O883&amp;N868,I:K,3,FALSE),""))))</f>
        <v>R3686</v>
      </c>
      <c r="U884" s="225"/>
      <c r="V884" s="126" t="str">
        <f>IF(T884&lt;&gt;"",CONCATENATE(VLOOKUP(T884,[2]zawodnicy!$A$1:$E$65536,2,FALSE)," ",VLOOKUP(T884,[2]zawodnicy!$A$1:$E$65536,3,FALSE)," - ",VLOOKUP(T884,[2]zawodnicy!$A$1:$E$65536,4,FALSE)),"")</f>
        <v>Julita RYBAŁT - UKS Hubal Białystok</v>
      </c>
      <c r="W884" s="136"/>
      <c r="X884" s="10"/>
      <c r="Y884" s="10"/>
      <c r="Z884" s="10"/>
      <c r="AA884" s="2"/>
      <c r="AB884" s="2"/>
      <c r="AC884" s="137"/>
      <c r="AD884" s="114"/>
      <c r="AE884" s="114"/>
      <c r="AF884" s="114"/>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row>
  </sheetData>
  <mergeCells count="2878">
    <mergeCell ref="BA9:BB9"/>
    <mergeCell ref="AB7:AB9"/>
    <mergeCell ref="AC7:AC9"/>
    <mergeCell ref="AD7:AD9"/>
    <mergeCell ref="AI7:AN7"/>
    <mergeCell ref="AO7:AT7"/>
    <mergeCell ref="AQ9:AR9"/>
    <mergeCell ref="AS9:AT9"/>
    <mergeCell ref="AW9:AX9"/>
    <mergeCell ref="AY9:AZ9"/>
    <mergeCell ref="U7:W7"/>
    <mergeCell ref="U8:W8"/>
    <mergeCell ref="AB13:AB15"/>
    <mergeCell ref="AC13:AC15"/>
    <mergeCell ref="T1:AD1"/>
    <mergeCell ref="T2:AD2"/>
    <mergeCell ref="T4:AD4"/>
    <mergeCell ref="AA7:AA9"/>
    <mergeCell ref="T10:T12"/>
    <mergeCell ref="U10:W10"/>
    <mergeCell ref="AC10:AC12"/>
    <mergeCell ref="AD10:AD12"/>
    <mergeCell ref="U11:W11"/>
    <mergeCell ref="AO9:AP9"/>
    <mergeCell ref="U9:W9"/>
    <mergeCell ref="Q6:S6"/>
    <mergeCell ref="U6:W6"/>
    <mergeCell ref="Q7:R9"/>
    <mergeCell ref="S7:S9"/>
    <mergeCell ref="T7:T9"/>
    <mergeCell ref="AI20:AJ20"/>
    <mergeCell ref="AK20:AL20"/>
    <mergeCell ref="AA18:AA20"/>
    <mergeCell ref="Q18:R20"/>
    <mergeCell ref="S18:S20"/>
    <mergeCell ref="T18:T20"/>
    <mergeCell ref="U18:W18"/>
    <mergeCell ref="U14:W14"/>
    <mergeCell ref="U15:W15"/>
    <mergeCell ref="Q17:S17"/>
    <mergeCell ref="U17:W17"/>
    <mergeCell ref="AA10:AA12"/>
    <mergeCell ref="AB10:AB12"/>
    <mergeCell ref="U12:W12"/>
    <mergeCell ref="T13:T15"/>
    <mergeCell ref="U13:W13"/>
    <mergeCell ref="AA13:AA15"/>
    <mergeCell ref="T21:T23"/>
    <mergeCell ref="U21:W21"/>
    <mergeCell ref="AA21:AA23"/>
    <mergeCell ref="BE20:BF20"/>
    <mergeCell ref="BE9:BF9"/>
    <mergeCell ref="BG20:BH20"/>
    <mergeCell ref="BI20:BJ20"/>
    <mergeCell ref="BG9:BH9"/>
    <mergeCell ref="BI9:BJ9"/>
    <mergeCell ref="AS20:AT20"/>
    <mergeCell ref="AW20:AX20"/>
    <mergeCell ref="AB21:AB23"/>
    <mergeCell ref="AC21:AC23"/>
    <mergeCell ref="AD21:AD23"/>
    <mergeCell ref="U22:W22"/>
    <mergeCell ref="U23:W23"/>
    <mergeCell ref="AY20:AZ20"/>
    <mergeCell ref="BA20:BB20"/>
    <mergeCell ref="AB18:AB20"/>
    <mergeCell ref="AC18:AC20"/>
    <mergeCell ref="AD18:AD20"/>
    <mergeCell ref="AI18:AN18"/>
    <mergeCell ref="AO18:AT18"/>
    <mergeCell ref="AM20:AN20"/>
    <mergeCell ref="AO20:AP20"/>
    <mergeCell ref="AQ20:AR20"/>
    <mergeCell ref="AI9:AJ9"/>
    <mergeCell ref="AK9:AL9"/>
    <mergeCell ref="AM9:AN9"/>
    <mergeCell ref="AD13:AD15"/>
    <mergeCell ref="U19:W19"/>
    <mergeCell ref="U20:W20"/>
    <mergeCell ref="AC24:AC26"/>
    <mergeCell ref="U30:W30"/>
    <mergeCell ref="U31:W31"/>
    <mergeCell ref="AI31:AJ31"/>
    <mergeCell ref="AK31:AL31"/>
    <mergeCell ref="AA29:AA31"/>
    <mergeCell ref="Q29:R31"/>
    <mergeCell ref="S29:S31"/>
    <mergeCell ref="T29:T31"/>
    <mergeCell ref="U29:W29"/>
    <mergeCell ref="AD24:AD26"/>
    <mergeCell ref="U25:W25"/>
    <mergeCell ref="U26:W26"/>
    <mergeCell ref="Q28:S28"/>
    <mergeCell ref="U28:W28"/>
    <mergeCell ref="AB24:AB26"/>
    <mergeCell ref="T24:T26"/>
    <mergeCell ref="U24:W24"/>
    <mergeCell ref="AA24:AA26"/>
    <mergeCell ref="AS31:AT31"/>
    <mergeCell ref="AW31:AX31"/>
    <mergeCell ref="BE31:BF31"/>
    <mergeCell ref="BG31:BH31"/>
    <mergeCell ref="BI31:BJ31"/>
    <mergeCell ref="T32:T34"/>
    <mergeCell ref="U32:W32"/>
    <mergeCell ref="AA32:AA34"/>
    <mergeCell ref="AB32:AB34"/>
    <mergeCell ref="AC32:AC34"/>
    <mergeCell ref="AY31:AZ31"/>
    <mergeCell ref="BA31:BB31"/>
    <mergeCell ref="AB29:AB31"/>
    <mergeCell ref="AC29:AC31"/>
    <mergeCell ref="AD29:AD31"/>
    <mergeCell ref="AI29:AN29"/>
    <mergeCell ref="AO29:AT29"/>
    <mergeCell ref="AM31:AN31"/>
    <mergeCell ref="AO31:AP31"/>
    <mergeCell ref="AQ31:AR31"/>
    <mergeCell ref="Q40:R42"/>
    <mergeCell ref="S40:S42"/>
    <mergeCell ref="T40:T42"/>
    <mergeCell ref="U40:W40"/>
    <mergeCell ref="AD35:AD37"/>
    <mergeCell ref="U36:W36"/>
    <mergeCell ref="U37:W37"/>
    <mergeCell ref="Q39:S39"/>
    <mergeCell ref="U39:W39"/>
    <mergeCell ref="AB35:AB37"/>
    <mergeCell ref="AD32:AD34"/>
    <mergeCell ref="U33:W33"/>
    <mergeCell ref="U34:W34"/>
    <mergeCell ref="T35:T37"/>
    <mergeCell ref="U35:W35"/>
    <mergeCell ref="AA35:AA37"/>
    <mergeCell ref="AC35:AC37"/>
    <mergeCell ref="BE42:BF42"/>
    <mergeCell ref="BG42:BH42"/>
    <mergeCell ref="BI42:BJ42"/>
    <mergeCell ref="T43:T45"/>
    <mergeCell ref="U43:W43"/>
    <mergeCell ref="AA43:AA45"/>
    <mergeCell ref="AB43:AB45"/>
    <mergeCell ref="AC43:AC45"/>
    <mergeCell ref="AD43:AD45"/>
    <mergeCell ref="U44:W44"/>
    <mergeCell ref="BA42:BB42"/>
    <mergeCell ref="AB40:AB42"/>
    <mergeCell ref="AC40:AC42"/>
    <mergeCell ref="AD40:AD42"/>
    <mergeCell ref="AI40:AN40"/>
    <mergeCell ref="AO40:AT40"/>
    <mergeCell ref="AM42:AN42"/>
    <mergeCell ref="AO42:AP42"/>
    <mergeCell ref="AQ42:AR42"/>
    <mergeCell ref="AS42:AT42"/>
    <mergeCell ref="U41:W41"/>
    <mergeCell ref="U42:W42"/>
    <mergeCell ref="AI42:AJ42"/>
    <mergeCell ref="AK42:AL42"/>
    <mergeCell ref="AA40:AA42"/>
    <mergeCell ref="AY42:AZ42"/>
    <mergeCell ref="AW42:AX42"/>
    <mergeCell ref="AD46:AD48"/>
    <mergeCell ref="U47:W47"/>
    <mergeCell ref="U48:W48"/>
    <mergeCell ref="Q50:S50"/>
    <mergeCell ref="U50:W50"/>
    <mergeCell ref="AB46:AB48"/>
    <mergeCell ref="AC46:AC48"/>
    <mergeCell ref="U45:W45"/>
    <mergeCell ref="T46:T48"/>
    <mergeCell ref="U46:W46"/>
    <mergeCell ref="AA46:AA48"/>
    <mergeCell ref="Q51:R53"/>
    <mergeCell ref="S51:S53"/>
    <mergeCell ref="T51:T53"/>
    <mergeCell ref="U51:W51"/>
    <mergeCell ref="U52:W52"/>
    <mergeCell ref="U53:W53"/>
    <mergeCell ref="BE53:BF53"/>
    <mergeCell ref="BE64:BF64"/>
    <mergeCell ref="BG53:BH53"/>
    <mergeCell ref="BI53:BJ53"/>
    <mergeCell ref="U56:W56"/>
    <mergeCell ref="AC57:AC59"/>
    <mergeCell ref="U63:W63"/>
    <mergeCell ref="U64:W64"/>
    <mergeCell ref="AI64:AJ64"/>
    <mergeCell ref="AM53:AN53"/>
    <mergeCell ref="AO53:AP53"/>
    <mergeCell ref="AQ53:AR53"/>
    <mergeCell ref="AS53:AT53"/>
    <mergeCell ref="AW53:AX53"/>
    <mergeCell ref="AB54:AB56"/>
    <mergeCell ref="AC54:AC56"/>
    <mergeCell ref="AD54:AD56"/>
    <mergeCell ref="AI53:AJ53"/>
    <mergeCell ref="AK53:AL53"/>
    <mergeCell ref="AA51:AA53"/>
    <mergeCell ref="AY53:AZ53"/>
    <mergeCell ref="BA53:BB53"/>
    <mergeCell ref="AB51:AB53"/>
    <mergeCell ref="AC51:AC53"/>
    <mergeCell ref="AD51:AD53"/>
    <mergeCell ref="AI51:AN51"/>
    <mergeCell ref="AO51:AT51"/>
    <mergeCell ref="Q62:R64"/>
    <mergeCell ref="S62:S64"/>
    <mergeCell ref="T62:T64"/>
    <mergeCell ref="U62:W62"/>
    <mergeCell ref="AD57:AD59"/>
    <mergeCell ref="U58:W58"/>
    <mergeCell ref="U59:W59"/>
    <mergeCell ref="Q61:S61"/>
    <mergeCell ref="U61:W61"/>
    <mergeCell ref="AB57:AB59"/>
    <mergeCell ref="T57:T59"/>
    <mergeCell ref="U57:W57"/>
    <mergeCell ref="AA57:AA59"/>
    <mergeCell ref="T54:T56"/>
    <mergeCell ref="U54:W54"/>
    <mergeCell ref="AA54:AA56"/>
    <mergeCell ref="U55:W55"/>
    <mergeCell ref="AW64:AX64"/>
    <mergeCell ref="AY64:AZ64"/>
    <mergeCell ref="BG64:BH64"/>
    <mergeCell ref="BI64:BJ64"/>
    <mergeCell ref="T65:T67"/>
    <mergeCell ref="U65:W65"/>
    <mergeCell ref="AA65:AA67"/>
    <mergeCell ref="AB65:AB67"/>
    <mergeCell ref="AC65:AC67"/>
    <mergeCell ref="AK64:AL64"/>
    <mergeCell ref="AA62:AA64"/>
    <mergeCell ref="BA64:BB64"/>
    <mergeCell ref="AB62:AB64"/>
    <mergeCell ref="AC62:AC64"/>
    <mergeCell ref="AD62:AD64"/>
    <mergeCell ref="AI62:AN62"/>
    <mergeCell ref="AO62:AT62"/>
    <mergeCell ref="AM64:AN64"/>
    <mergeCell ref="AQ64:AR64"/>
    <mergeCell ref="T73:W73"/>
    <mergeCell ref="X73:Z73"/>
    <mergeCell ref="AA73:AC73"/>
    <mergeCell ref="AD73:AF73"/>
    <mergeCell ref="AB68:AB70"/>
    <mergeCell ref="AC68:AC70"/>
    <mergeCell ref="AD65:AD67"/>
    <mergeCell ref="U66:W66"/>
    <mergeCell ref="AO64:AP64"/>
    <mergeCell ref="U67:W67"/>
    <mergeCell ref="T68:T70"/>
    <mergeCell ref="U68:W68"/>
    <mergeCell ref="AA68:AA70"/>
    <mergeCell ref="AD68:AD70"/>
    <mergeCell ref="U69:W69"/>
    <mergeCell ref="U70:W70"/>
    <mergeCell ref="AS64:AT64"/>
    <mergeCell ref="T80:U80"/>
    <mergeCell ref="X80:Z80"/>
    <mergeCell ref="T90:AD90"/>
    <mergeCell ref="Q92:S92"/>
    <mergeCell ref="U92:W92"/>
    <mergeCell ref="T83:U83"/>
    <mergeCell ref="X83:Z83"/>
    <mergeCell ref="T84:U84"/>
    <mergeCell ref="X84:Z84"/>
    <mergeCell ref="AA85:AC85"/>
    <mergeCell ref="AD81:AF81"/>
    <mergeCell ref="AD82:AF82"/>
    <mergeCell ref="T75:U75"/>
    <mergeCell ref="X75:Z75"/>
    <mergeCell ref="T76:U76"/>
    <mergeCell ref="X76:Z76"/>
    <mergeCell ref="AA77:AC77"/>
    <mergeCell ref="AA78:AC78"/>
    <mergeCell ref="T79:U79"/>
    <mergeCell ref="X79:Z79"/>
    <mergeCell ref="AO95:AP95"/>
    <mergeCell ref="AC96:AC98"/>
    <mergeCell ref="AD96:AD98"/>
    <mergeCell ref="U97:W97"/>
    <mergeCell ref="U98:W98"/>
    <mergeCell ref="U95:W95"/>
    <mergeCell ref="AI95:AJ95"/>
    <mergeCell ref="AK95:AL95"/>
    <mergeCell ref="AC93:AC95"/>
    <mergeCell ref="AD93:AD95"/>
    <mergeCell ref="AI93:AN93"/>
    <mergeCell ref="AA86:AC86"/>
    <mergeCell ref="T87:U87"/>
    <mergeCell ref="X87:Z87"/>
    <mergeCell ref="T88:U88"/>
    <mergeCell ref="X88:Z88"/>
    <mergeCell ref="T93:T95"/>
    <mergeCell ref="U93:W93"/>
    <mergeCell ref="AA93:AA95"/>
    <mergeCell ref="AB93:AB95"/>
    <mergeCell ref="U94:W94"/>
    <mergeCell ref="Q103:S103"/>
    <mergeCell ref="U103:W103"/>
    <mergeCell ref="Q104:R106"/>
    <mergeCell ref="S104:S106"/>
    <mergeCell ref="T104:T106"/>
    <mergeCell ref="U104:W104"/>
    <mergeCell ref="U105:W105"/>
    <mergeCell ref="U106:W106"/>
    <mergeCell ref="AC99:AC101"/>
    <mergeCell ref="AD99:AD101"/>
    <mergeCell ref="U100:W100"/>
    <mergeCell ref="U101:W101"/>
    <mergeCell ref="T99:T101"/>
    <mergeCell ref="U99:W99"/>
    <mergeCell ref="AA99:AA101"/>
    <mergeCell ref="AB99:AB101"/>
    <mergeCell ref="BI95:BJ95"/>
    <mergeCell ref="AQ95:AR95"/>
    <mergeCell ref="AS95:AT95"/>
    <mergeCell ref="AW95:AX95"/>
    <mergeCell ref="AY95:AZ95"/>
    <mergeCell ref="BA95:BB95"/>
    <mergeCell ref="BE95:BF95"/>
    <mergeCell ref="T96:T98"/>
    <mergeCell ref="U96:W96"/>
    <mergeCell ref="AA96:AA98"/>
    <mergeCell ref="AB96:AB98"/>
    <mergeCell ref="BG95:BH95"/>
    <mergeCell ref="Q93:R95"/>
    <mergeCell ref="S93:S95"/>
    <mergeCell ref="AO93:AT93"/>
    <mergeCell ref="AM95:AN95"/>
    <mergeCell ref="AQ106:AR106"/>
    <mergeCell ref="AS106:AT106"/>
    <mergeCell ref="AW106:AX106"/>
    <mergeCell ref="AY106:AZ106"/>
    <mergeCell ref="BG106:BH106"/>
    <mergeCell ref="BI106:BJ106"/>
    <mergeCell ref="BA106:BB106"/>
    <mergeCell ref="BE106:BF106"/>
    <mergeCell ref="AA104:AA106"/>
    <mergeCell ref="AB104:AB106"/>
    <mergeCell ref="AC104:AC106"/>
    <mergeCell ref="AD104:AD106"/>
    <mergeCell ref="AI104:AN104"/>
    <mergeCell ref="AO104:AT104"/>
    <mergeCell ref="AI106:AJ106"/>
    <mergeCell ref="AK106:AL106"/>
    <mergeCell ref="AM106:AN106"/>
    <mergeCell ref="AO106:AP106"/>
    <mergeCell ref="Q114:S114"/>
    <mergeCell ref="U114:W114"/>
    <mergeCell ref="Q115:R117"/>
    <mergeCell ref="S115:S117"/>
    <mergeCell ref="T115:T117"/>
    <mergeCell ref="U115:W115"/>
    <mergeCell ref="U116:W116"/>
    <mergeCell ref="U117:W117"/>
    <mergeCell ref="AC110:AC112"/>
    <mergeCell ref="AD110:AD112"/>
    <mergeCell ref="U111:W111"/>
    <mergeCell ref="U112:W112"/>
    <mergeCell ref="T110:T112"/>
    <mergeCell ref="U110:W110"/>
    <mergeCell ref="AA110:AA112"/>
    <mergeCell ref="AB110:AB112"/>
    <mergeCell ref="T107:T109"/>
    <mergeCell ref="U107:W107"/>
    <mergeCell ref="AA107:AA109"/>
    <mergeCell ref="AB107:AB109"/>
    <mergeCell ref="AC107:AC109"/>
    <mergeCell ref="AD107:AD109"/>
    <mergeCell ref="U108:W108"/>
    <mergeCell ref="U109:W109"/>
    <mergeCell ref="AQ117:AR117"/>
    <mergeCell ref="AS117:AT117"/>
    <mergeCell ref="AW117:AX117"/>
    <mergeCell ref="AY117:AZ117"/>
    <mergeCell ref="BG117:BH117"/>
    <mergeCell ref="BI117:BJ117"/>
    <mergeCell ref="BA117:BB117"/>
    <mergeCell ref="BE117:BF117"/>
    <mergeCell ref="AA115:AA117"/>
    <mergeCell ref="AB115:AB117"/>
    <mergeCell ref="AC115:AC117"/>
    <mergeCell ref="AD115:AD117"/>
    <mergeCell ref="AI115:AN115"/>
    <mergeCell ref="AO115:AT115"/>
    <mergeCell ref="AI117:AJ117"/>
    <mergeCell ref="AK117:AL117"/>
    <mergeCell ref="AM117:AN117"/>
    <mergeCell ref="AO117:AP117"/>
    <mergeCell ref="Q125:S125"/>
    <mergeCell ref="U125:W125"/>
    <mergeCell ref="Q126:R128"/>
    <mergeCell ref="S126:S128"/>
    <mergeCell ref="T126:T128"/>
    <mergeCell ref="U126:W126"/>
    <mergeCell ref="U127:W127"/>
    <mergeCell ref="U128:W128"/>
    <mergeCell ref="AC121:AC123"/>
    <mergeCell ref="AD121:AD123"/>
    <mergeCell ref="U122:W122"/>
    <mergeCell ref="U123:W123"/>
    <mergeCell ref="T121:T123"/>
    <mergeCell ref="U121:W121"/>
    <mergeCell ref="AA121:AA123"/>
    <mergeCell ref="AB121:AB123"/>
    <mergeCell ref="T118:T120"/>
    <mergeCell ref="U118:W118"/>
    <mergeCell ref="AA118:AA120"/>
    <mergeCell ref="AB118:AB120"/>
    <mergeCell ref="AC118:AC120"/>
    <mergeCell ref="AD118:AD120"/>
    <mergeCell ref="U119:W119"/>
    <mergeCell ref="U120:W120"/>
    <mergeCell ref="AQ128:AR128"/>
    <mergeCell ref="AS128:AT128"/>
    <mergeCell ref="AW128:AX128"/>
    <mergeCell ref="AY128:AZ128"/>
    <mergeCell ref="BG128:BH128"/>
    <mergeCell ref="BI128:BJ128"/>
    <mergeCell ref="BA128:BB128"/>
    <mergeCell ref="BE128:BF128"/>
    <mergeCell ref="AA126:AA128"/>
    <mergeCell ref="AB126:AB128"/>
    <mergeCell ref="AC126:AC128"/>
    <mergeCell ref="AD126:AD128"/>
    <mergeCell ref="AI126:AN126"/>
    <mergeCell ref="AO126:AT126"/>
    <mergeCell ref="AI128:AJ128"/>
    <mergeCell ref="AK128:AL128"/>
    <mergeCell ref="AM128:AN128"/>
    <mergeCell ref="AO128:AP128"/>
    <mergeCell ref="Q136:S136"/>
    <mergeCell ref="U136:W136"/>
    <mergeCell ref="Q137:R139"/>
    <mergeCell ref="S137:S139"/>
    <mergeCell ref="T137:T139"/>
    <mergeCell ref="U137:W137"/>
    <mergeCell ref="U138:W138"/>
    <mergeCell ref="U139:W139"/>
    <mergeCell ref="AC132:AC134"/>
    <mergeCell ref="AD132:AD134"/>
    <mergeCell ref="U133:W133"/>
    <mergeCell ref="U134:W134"/>
    <mergeCell ref="T132:T134"/>
    <mergeCell ref="U132:W132"/>
    <mergeCell ref="AA132:AA134"/>
    <mergeCell ref="AB132:AB134"/>
    <mergeCell ref="T129:T131"/>
    <mergeCell ref="U129:W129"/>
    <mergeCell ref="AA129:AA131"/>
    <mergeCell ref="AB129:AB131"/>
    <mergeCell ref="AC129:AC131"/>
    <mergeCell ref="AD129:AD131"/>
    <mergeCell ref="U130:W130"/>
    <mergeCell ref="U131:W131"/>
    <mergeCell ref="BI139:BJ139"/>
    <mergeCell ref="T140:T142"/>
    <mergeCell ref="U140:W140"/>
    <mergeCell ref="AA140:AA142"/>
    <mergeCell ref="AB140:AB142"/>
    <mergeCell ref="AC140:AC142"/>
    <mergeCell ref="AD140:AD142"/>
    <mergeCell ref="U141:W141"/>
    <mergeCell ref="U142:W142"/>
    <mergeCell ref="AQ139:AR139"/>
    <mergeCell ref="AS139:AT139"/>
    <mergeCell ref="AW139:AX139"/>
    <mergeCell ref="AK139:AL139"/>
    <mergeCell ref="AM139:AN139"/>
    <mergeCell ref="AO139:AP139"/>
    <mergeCell ref="AY139:AZ139"/>
    <mergeCell ref="BA139:BB139"/>
    <mergeCell ref="BE139:BF139"/>
    <mergeCell ref="AA137:AA139"/>
    <mergeCell ref="AB137:AB139"/>
    <mergeCell ref="AC137:AC139"/>
    <mergeCell ref="AD137:AD139"/>
    <mergeCell ref="AI137:AN137"/>
    <mergeCell ref="AO137:AT137"/>
    <mergeCell ref="AI139:AJ139"/>
    <mergeCell ref="Q147:S147"/>
    <mergeCell ref="U147:W147"/>
    <mergeCell ref="Q148:R150"/>
    <mergeCell ref="S148:S150"/>
    <mergeCell ref="T148:T150"/>
    <mergeCell ref="U148:W148"/>
    <mergeCell ref="U149:W149"/>
    <mergeCell ref="U150:W150"/>
    <mergeCell ref="AC143:AC145"/>
    <mergeCell ref="AD143:AD145"/>
    <mergeCell ref="U144:W144"/>
    <mergeCell ref="U145:W145"/>
    <mergeCell ref="T143:T145"/>
    <mergeCell ref="U143:W143"/>
    <mergeCell ref="AA143:AA145"/>
    <mergeCell ref="AB143:AB145"/>
    <mergeCell ref="BG139:BH139"/>
    <mergeCell ref="BG150:BH150"/>
    <mergeCell ref="AQ150:AR150"/>
    <mergeCell ref="AC154:AC156"/>
    <mergeCell ref="AD154:AD156"/>
    <mergeCell ref="U155:W155"/>
    <mergeCell ref="U156:W156"/>
    <mergeCell ref="AS150:AT150"/>
    <mergeCell ref="AW150:AX150"/>
    <mergeCell ref="AY150:AZ150"/>
    <mergeCell ref="BA150:BB150"/>
    <mergeCell ref="BI150:BJ150"/>
    <mergeCell ref="T151:T153"/>
    <mergeCell ref="U151:W151"/>
    <mergeCell ref="AA151:AA153"/>
    <mergeCell ref="AB151:AB153"/>
    <mergeCell ref="AC151:AC153"/>
    <mergeCell ref="BE150:BF150"/>
    <mergeCell ref="AA148:AA150"/>
    <mergeCell ref="AB148:AB150"/>
    <mergeCell ref="AC148:AC150"/>
    <mergeCell ref="AD148:AD150"/>
    <mergeCell ref="AI148:AN148"/>
    <mergeCell ref="AO148:AT148"/>
    <mergeCell ref="AI150:AJ150"/>
    <mergeCell ref="AK150:AL150"/>
    <mergeCell ref="AM150:AN150"/>
    <mergeCell ref="AO150:AP150"/>
    <mergeCell ref="T161:U161"/>
    <mergeCell ref="X161:Z161"/>
    <mergeCell ref="T165:U165"/>
    <mergeCell ref="X165:Z165"/>
    <mergeCell ref="T159:W159"/>
    <mergeCell ref="X159:Z159"/>
    <mergeCell ref="T162:U162"/>
    <mergeCell ref="X162:Z162"/>
    <mergeCell ref="T154:T156"/>
    <mergeCell ref="U154:W154"/>
    <mergeCell ref="AA154:AA156"/>
    <mergeCell ref="AB154:AB156"/>
    <mergeCell ref="AA159:AC159"/>
    <mergeCell ref="AD159:AF159"/>
    <mergeCell ref="AD151:AD153"/>
    <mergeCell ref="U152:W152"/>
    <mergeCell ref="U153:W153"/>
    <mergeCell ref="AA171:AC171"/>
    <mergeCell ref="AA172:AC172"/>
    <mergeCell ref="Q179:R181"/>
    <mergeCell ref="S179:S181"/>
    <mergeCell ref="T179:T181"/>
    <mergeCell ref="U179:W179"/>
    <mergeCell ref="T174:U174"/>
    <mergeCell ref="X174:Z174"/>
    <mergeCell ref="T176:AD176"/>
    <mergeCell ref="Q178:S178"/>
    <mergeCell ref="T173:U173"/>
    <mergeCell ref="X173:Z173"/>
    <mergeCell ref="T166:U166"/>
    <mergeCell ref="X166:Z166"/>
    <mergeCell ref="T170:U170"/>
    <mergeCell ref="X170:Z170"/>
    <mergeCell ref="AA163:AC163"/>
    <mergeCell ref="AA164:AC164"/>
    <mergeCell ref="AD167:AF167"/>
    <mergeCell ref="AD168:AF168"/>
    <mergeCell ref="T169:U169"/>
    <mergeCell ref="X169:Z169"/>
    <mergeCell ref="BI181:BJ181"/>
    <mergeCell ref="T182:T184"/>
    <mergeCell ref="U182:W182"/>
    <mergeCell ref="AA182:AA184"/>
    <mergeCell ref="AB182:AB184"/>
    <mergeCell ref="AC182:AC184"/>
    <mergeCell ref="AY181:AZ181"/>
    <mergeCell ref="BA181:BB181"/>
    <mergeCell ref="AB179:AB181"/>
    <mergeCell ref="AC179:AC181"/>
    <mergeCell ref="AD179:AD181"/>
    <mergeCell ref="AI179:AN179"/>
    <mergeCell ref="AO179:AT179"/>
    <mergeCell ref="AM181:AN181"/>
    <mergeCell ref="AO181:AP181"/>
    <mergeCell ref="AQ181:AR181"/>
    <mergeCell ref="U178:W178"/>
    <mergeCell ref="U180:W180"/>
    <mergeCell ref="U181:W181"/>
    <mergeCell ref="AI181:AJ181"/>
    <mergeCell ref="AK181:AL181"/>
    <mergeCell ref="AA179:AA181"/>
    <mergeCell ref="AD185:AD187"/>
    <mergeCell ref="U186:W186"/>
    <mergeCell ref="U187:W187"/>
    <mergeCell ref="Q189:S189"/>
    <mergeCell ref="U189:W189"/>
    <mergeCell ref="AB185:AB187"/>
    <mergeCell ref="AD182:AD184"/>
    <mergeCell ref="U183:W183"/>
    <mergeCell ref="U184:W184"/>
    <mergeCell ref="T185:T187"/>
    <mergeCell ref="U185:W185"/>
    <mergeCell ref="AA185:AA187"/>
    <mergeCell ref="AC185:AC187"/>
    <mergeCell ref="AS181:AT181"/>
    <mergeCell ref="AW181:AX181"/>
    <mergeCell ref="BE181:BF181"/>
    <mergeCell ref="BG181:BH181"/>
    <mergeCell ref="AC190:AC192"/>
    <mergeCell ref="AD190:AD192"/>
    <mergeCell ref="AI190:AN190"/>
    <mergeCell ref="AO190:AT190"/>
    <mergeCell ref="AM192:AN192"/>
    <mergeCell ref="AO192:AP192"/>
    <mergeCell ref="AQ192:AR192"/>
    <mergeCell ref="AS192:AT192"/>
    <mergeCell ref="U191:W191"/>
    <mergeCell ref="U192:W192"/>
    <mergeCell ref="AI192:AJ192"/>
    <mergeCell ref="AK192:AL192"/>
    <mergeCell ref="AA190:AA192"/>
    <mergeCell ref="AY192:AZ192"/>
    <mergeCell ref="AW192:AX192"/>
    <mergeCell ref="Q190:R192"/>
    <mergeCell ref="S190:S192"/>
    <mergeCell ref="T190:T192"/>
    <mergeCell ref="U190:W190"/>
    <mergeCell ref="Q201:R203"/>
    <mergeCell ref="S201:S203"/>
    <mergeCell ref="T201:T203"/>
    <mergeCell ref="U201:W201"/>
    <mergeCell ref="AD196:AD198"/>
    <mergeCell ref="U197:W197"/>
    <mergeCell ref="U198:W198"/>
    <mergeCell ref="Q200:S200"/>
    <mergeCell ref="U200:W200"/>
    <mergeCell ref="AB196:AB198"/>
    <mergeCell ref="BG192:BH192"/>
    <mergeCell ref="BI192:BJ192"/>
    <mergeCell ref="U195:W195"/>
    <mergeCell ref="T196:T198"/>
    <mergeCell ref="U196:W196"/>
    <mergeCell ref="AA196:AA198"/>
    <mergeCell ref="T193:T195"/>
    <mergeCell ref="U193:W193"/>
    <mergeCell ref="AA193:AA195"/>
    <mergeCell ref="AC196:AC198"/>
    <mergeCell ref="AB193:AB195"/>
    <mergeCell ref="AC193:AC195"/>
    <mergeCell ref="AD193:AD195"/>
    <mergeCell ref="U194:W194"/>
    <mergeCell ref="BE192:BF192"/>
    <mergeCell ref="BE203:BF203"/>
    <mergeCell ref="U202:W202"/>
    <mergeCell ref="U203:W203"/>
    <mergeCell ref="AI203:AJ203"/>
    <mergeCell ref="AK203:AL203"/>
    <mergeCell ref="BA192:BB192"/>
    <mergeCell ref="AB190:AB192"/>
    <mergeCell ref="U205:W205"/>
    <mergeCell ref="AO203:AP203"/>
    <mergeCell ref="U206:W206"/>
    <mergeCell ref="T207:T209"/>
    <mergeCell ref="U207:W207"/>
    <mergeCell ref="AA207:AA209"/>
    <mergeCell ref="AD207:AD209"/>
    <mergeCell ref="U208:W208"/>
    <mergeCell ref="U209:W209"/>
    <mergeCell ref="AW203:AX203"/>
    <mergeCell ref="AY203:AZ203"/>
    <mergeCell ref="BG203:BH203"/>
    <mergeCell ref="BI203:BJ203"/>
    <mergeCell ref="T204:T206"/>
    <mergeCell ref="U204:W204"/>
    <mergeCell ref="AA204:AA206"/>
    <mergeCell ref="AB204:AB206"/>
    <mergeCell ref="AC204:AC206"/>
    <mergeCell ref="AD204:AD206"/>
    <mergeCell ref="AA201:AA203"/>
    <mergeCell ref="BA203:BB203"/>
    <mergeCell ref="AB201:AB203"/>
    <mergeCell ref="AC201:AC203"/>
    <mergeCell ref="AD201:AD203"/>
    <mergeCell ref="AI201:AN201"/>
    <mergeCell ref="AO201:AT201"/>
    <mergeCell ref="AM203:AN203"/>
    <mergeCell ref="AQ203:AR203"/>
    <mergeCell ref="AS203:AT203"/>
    <mergeCell ref="T214:U214"/>
    <mergeCell ref="X214:Z214"/>
    <mergeCell ref="T220:U220"/>
    <mergeCell ref="T222:AD222"/>
    <mergeCell ref="AA215:AC215"/>
    <mergeCell ref="T216:U216"/>
    <mergeCell ref="AA216:AC216"/>
    <mergeCell ref="T217:U217"/>
    <mergeCell ref="X217:Z217"/>
    <mergeCell ref="AA217:AC217"/>
    <mergeCell ref="T211:W211"/>
    <mergeCell ref="X211:Z211"/>
    <mergeCell ref="AA211:AC211"/>
    <mergeCell ref="AB207:AB209"/>
    <mergeCell ref="AC207:AC209"/>
    <mergeCell ref="T213:U213"/>
    <mergeCell ref="X213:Z213"/>
    <mergeCell ref="AI224:AN224"/>
    <mergeCell ref="AO224:AT224"/>
    <mergeCell ref="U226:W226"/>
    <mergeCell ref="U227:W227"/>
    <mergeCell ref="AI227:AJ227"/>
    <mergeCell ref="AK227:AL227"/>
    <mergeCell ref="AB225:AB227"/>
    <mergeCell ref="AC225:AC227"/>
    <mergeCell ref="AM227:AN227"/>
    <mergeCell ref="AO227:AP227"/>
    <mergeCell ref="Q225:R227"/>
    <mergeCell ref="S225:S227"/>
    <mergeCell ref="T225:T227"/>
    <mergeCell ref="U225:W225"/>
    <mergeCell ref="Q224:S224"/>
    <mergeCell ref="U224:W224"/>
    <mergeCell ref="T215:U215"/>
    <mergeCell ref="X215:Z215"/>
    <mergeCell ref="T218:U218"/>
    <mergeCell ref="X218:Z218"/>
    <mergeCell ref="T219:U219"/>
    <mergeCell ref="X219:Z219"/>
    <mergeCell ref="AW228:AX228"/>
    <mergeCell ref="AQ227:AR227"/>
    <mergeCell ref="AS227:AT227"/>
    <mergeCell ref="BA227:BB227"/>
    <mergeCell ref="BC227:BD227"/>
    <mergeCell ref="BE227:BF227"/>
    <mergeCell ref="BG227:BH227"/>
    <mergeCell ref="AW227:AX227"/>
    <mergeCell ref="AY227:AZ227"/>
    <mergeCell ref="AD225:AD227"/>
    <mergeCell ref="AE225:AE227"/>
    <mergeCell ref="BI227:BJ227"/>
    <mergeCell ref="T228:T230"/>
    <mergeCell ref="U228:W228"/>
    <mergeCell ref="AB228:AB230"/>
    <mergeCell ref="AC228:AC230"/>
    <mergeCell ref="AD228:AD230"/>
    <mergeCell ref="AD234:AD236"/>
    <mergeCell ref="AE234:AE236"/>
    <mergeCell ref="U235:W235"/>
    <mergeCell ref="U236:W236"/>
    <mergeCell ref="AB234:AB236"/>
    <mergeCell ref="AC234:AC236"/>
    <mergeCell ref="U229:W229"/>
    <mergeCell ref="U230:W230"/>
    <mergeCell ref="Q238:S238"/>
    <mergeCell ref="U238:W238"/>
    <mergeCell ref="U232:W232"/>
    <mergeCell ref="U233:W233"/>
    <mergeCell ref="T234:T236"/>
    <mergeCell ref="U234:W234"/>
    <mergeCell ref="T231:T233"/>
    <mergeCell ref="U231:W231"/>
    <mergeCell ref="AB231:AB233"/>
    <mergeCell ref="AC231:AC233"/>
    <mergeCell ref="AD231:AD233"/>
    <mergeCell ref="AE231:AE233"/>
    <mergeCell ref="AE228:AE230"/>
    <mergeCell ref="U240:W240"/>
    <mergeCell ref="U241:W241"/>
    <mergeCell ref="AI241:AJ241"/>
    <mergeCell ref="AK241:AL241"/>
    <mergeCell ref="AM241:AN241"/>
    <mergeCell ref="AO241:AP241"/>
    <mergeCell ref="AQ241:AR241"/>
    <mergeCell ref="AS241:AT241"/>
    <mergeCell ref="AI238:AN238"/>
    <mergeCell ref="AO238:AT238"/>
    <mergeCell ref="Q239:R241"/>
    <mergeCell ref="S239:S241"/>
    <mergeCell ref="T239:T241"/>
    <mergeCell ref="U239:W239"/>
    <mergeCell ref="AB239:AB241"/>
    <mergeCell ref="AC239:AC241"/>
    <mergeCell ref="AD239:AD241"/>
    <mergeCell ref="AE239:AE241"/>
    <mergeCell ref="AW242:AX242"/>
    <mergeCell ref="U243:W243"/>
    <mergeCell ref="U244:W244"/>
    <mergeCell ref="T245:T247"/>
    <mergeCell ref="U245:W245"/>
    <mergeCell ref="U246:W246"/>
    <mergeCell ref="U247:W247"/>
    <mergeCell ref="AW241:AX241"/>
    <mergeCell ref="AY241:AZ241"/>
    <mergeCell ref="BE241:BF241"/>
    <mergeCell ref="BG241:BH241"/>
    <mergeCell ref="BI241:BJ241"/>
    <mergeCell ref="T242:T244"/>
    <mergeCell ref="U242:W242"/>
    <mergeCell ref="AB242:AB244"/>
    <mergeCell ref="AC242:AC244"/>
    <mergeCell ref="AD242:AD244"/>
    <mergeCell ref="BA241:BB241"/>
    <mergeCell ref="BC241:BD241"/>
    <mergeCell ref="U249:W249"/>
    <mergeCell ref="U250:W250"/>
    <mergeCell ref="T253:W253"/>
    <mergeCell ref="X253:Z253"/>
    <mergeCell ref="T255:U255"/>
    <mergeCell ref="X255:Z255"/>
    <mergeCell ref="T248:T250"/>
    <mergeCell ref="U248:W248"/>
    <mergeCell ref="AB248:AB250"/>
    <mergeCell ref="AC248:AC250"/>
    <mergeCell ref="AD248:AD250"/>
    <mergeCell ref="AE248:AE250"/>
    <mergeCell ref="AD245:AD247"/>
    <mergeCell ref="AE245:AE247"/>
    <mergeCell ref="AB245:AB247"/>
    <mergeCell ref="AC245:AC247"/>
    <mergeCell ref="AE242:AE244"/>
    <mergeCell ref="AI262:AN262"/>
    <mergeCell ref="AO262:AT262"/>
    <mergeCell ref="U264:W264"/>
    <mergeCell ref="U265:W265"/>
    <mergeCell ref="AI265:AJ265"/>
    <mergeCell ref="AK265:AL265"/>
    <mergeCell ref="AB263:AB265"/>
    <mergeCell ref="AC263:AC265"/>
    <mergeCell ref="AM265:AN265"/>
    <mergeCell ref="AO265:AP265"/>
    <mergeCell ref="T256:U256"/>
    <mergeCell ref="X256:Z256"/>
    <mergeCell ref="T257:U257"/>
    <mergeCell ref="X257:Z257"/>
    <mergeCell ref="Q263:R265"/>
    <mergeCell ref="S263:S265"/>
    <mergeCell ref="T263:T265"/>
    <mergeCell ref="U263:W263"/>
    <mergeCell ref="Q262:S262"/>
    <mergeCell ref="U262:W262"/>
    <mergeCell ref="T258:U258"/>
    <mergeCell ref="T260:AD260"/>
    <mergeCell ref="AW266:AX266"/>
    <mergeCell ref="AQ265:AR265"/>
    <mergeCell ref="AS265:AT265"/>
    <mergeCell ref="BA265:BB265"/>
    <mergeCell ref="BC265:BD265"/>
    <mergeCell ref="BE265:BF265"/>
    <mergeCell ref="BG265:BH265"/>
    <mergeCell ref="AW265:AX265"/>
    <mergeCell ref="AY265:AZ265"/>
    <mergeCell ref="AD263:AD265"/>
    <mergeCell ref="AE263:AE265"/>
    <mergeCell ref="BI265:BJ265"/>
    <mergeCell ref="T266:T268"/>
    <mergeCell ref="U266:W266"/>
    <mergeCell ref="AB266:AB268"/>
    <mergeCell ref="AC266:AC268"/>
    <mergeCell ref="AD266:AD268"/>
    <mergeCell ref="AD272:AD274"/>
    <mergeCell ref="AE272:AE274"/>
    <mergeCell ref="U273:W273"/>
    <mergeCell ref="U274:W274"/>
    <mergeCell ref="AB272:AB274"/>
    <mergeCell ref="AC272:AC274"/>
    <mergeCell ref="U267:W267"/>
    <mergeCell ref="U268:W268"/>
    <mergeCell ref="Q276:S276"/>
    <mergeCell ref="U276:W276"/>
    <mergeCell ref="U270:W270"/>
    <mergeCell ref="U271:W271"/>
    <mergeCell ref="T272:T274"/>
    <mergeCell ref="U272:W272"/>
    <mergeCell ref="T269:T271"/>
    <mergeCell ref="U269:W269"/>
    <mergeCell ref="AB269:AB271"/>
    <mergeCell ref="AC269:AC271"/>
    <mergeCell ref="AD269:AD271"/>
    <mergeCell ref="AE269:AE271"/>
    <mergeCell ref="AE266:AE268"/>
    <mergeCell ref="BI279:BJ279"/>
    <mergeCell ref="AQ279:AR279"/>
    <mergeCell ref="AS279:AT279"/>
    <mergeCell ref="AW279:AX279"/>
    <mergeCell ref="AY279:AZ279"/>
    <mergeCell ref="BA279:BB279"/>
    <mergeCell ref="BE279:BF279"/>
    <mergeCell ref="AC280:AC282"/>
    <mergeCell ref="AD280:AD282"/>
    <mergeCell ref="U281:W281"/>
    <mergeCell ref="U282:W282"/>
    <mergeCell ref="T280:T282"/>
    <mergeCell ref="U280:W280"/>
    <mergeCell ref="AA280:AA282"/>
    <mergeCell ref="AB280:AB282"/>
    <mergeCell ref="AI279:AJ279"/>
    <mergeCell ref="AK279:AL279"/>
    <mergeCell ref="AC277:AC279"/>
    <mergeCell ref="AD277:AD279"/>
    <mergeCell ref="AI277:AN277"/>
    <mergeCell ref="AO277:AT277"/>
    <mergeCell ref="AM279:AN279"/>
    <mergeCell ref="AO279:AP279"/>
    <mergeCell ref="T277:T279"/>
    <mergeCell ref="U277:W277"/>
    <mergeCell ref="AA277:AA279"/>
    <mergeCell ref="AB277:AB279"/>
    <mergeCell ref="U278:W278"/>
    <mergeCell ref="U279:W279"/>
    <mergeCell ref="Q287:S287"/>
    <mergeCell ref="U287:W287"/>
    <mergeCell ref="Q288:R290"/>
    <mergeCell ref="S288:S290"/>
    <mergeCell ref="T288:T290"/>
    <mergeCell ref="U288:W288"/>
    <mergeCell ref="U289:W289"/>
    <mergeCell ref="U290:W290"/>
    <mergeCell ref="AC283:AC285"/>
    <mergeCell ref="AD283:AD285"/>
    <mergeCell ref="U284:W284"/>
    <mergeCell ref="U285:W285"/>
    <mergeCell ref="T283:T285"/>
    <mergeCell ref="U283:W283"/>
    <mergeCell ref="AA283:AA285"/>
    <mergeCell ref="AB283:AB285"/>
    <mergeCell ref="BG279:BH279"/>
    <mergeCell ref="Q277:R279"/>
    <mergeCell ref="S277:S279"/>
    <mergeCell ref="AQ290:AR290"/>
    <mergeCell ref="AS290:AT290"/>
    <mergeCell ref="AW290:AX290"/>
    <mergeCell ref="AY290:AZ290"/>
    <mergeCell ref="BG290:BH290"/>
    <mergeCell ref="BI290:BJ290"/>
    <mergeCell ref="BA290:BB290"/>
    <mergeCell ref="BE290:BF290"/>
    <mergeCell ref="AA288:AA290"/>
    <mergeCell ref="AB288:AB290"/>
    <mergeCell ref="AC288:AC290"/>
    <mergeCell ref="AD288:AD290"/>
    <mergeCell ref="AI288:AN288"/>
    <mergeCell ref="AO288:AT288"/>
    <mergeCell ref="AI290:AJ290"/>
    <mergeCell ref="AK290:AL290"/>
    <mergeCell ref="AM290:AN290"/>
    <mergeCell ref="AO290:AP290"/>
    <mergeCell ref="Q298:S298"/>
    <mergeCell ref="U298:W298"/>
    <mergeCell ref="Q299:R301"/>
    <mergeCell ref="S299:S301"/>
    <mergeCell ref="T299:T301"/>
    <mergeCell ref="U299:W299"/>
    <mergeCell ref="U300:W300"/>
    <mergeCell ref="U301:W301"/>
    <mergeCell ref="AC294:AC296"/>
    <mergeCell ref="AD294:AD296"/>
    <mergeCell ref="U295:W295"/>
    <mergeCell ref="U296:W296"/>
    <mergeCell ref="T294:T296"/>
    <mergeCell ref="U294:W294"/>
    <mergeCell ref="AA294:AA296"/>
    <mergeCell ref="AB294:AB296"/>
    <mergeCell ref="T291:T293"/>
    <mergeCell ref="U291:W291"/>
    <mergeCell ref="AA291:AA293"/>
    <mergeCell ref="AB291:AB293"/>
    <mergeCell ref="AC291:AC293"/>
    <mergeCell ref="AD291:AD293"/>
    <mergeCell ref="U292:W292"/>
    <mergeCell ref="U293:W293"/>
    <mergeCell ref="BI301:BJ301"/>
    <mergeCell ref="T302:T304"/>
    <mergeCell ref="U302:W302"/>
    <mergeCell ref="AA302:AA304"/>
    <mergeCell ref="AB302:AB304"/>
    <mergeCell ref="AC302:AC304"/>
    <mergeCell ref="AD302:AD304"/>
    <mergeCell ref="U303:W303"/>
    <mergeCell ref="U304:W304"/>
    <mergeCell ref="AQ301:AR301"/>
    <mergeCell ref="AS301:AT301"/>
    <mergeCell ref="AW301:AX301"/>
    <mergeCell ref="AK301:AL301"/>
    <mergeCell ref="AM301:AN301"/>
    <mergeCell ref="AO301:AP301"/>
    <mergeCell ref="AY301:AZ301"/>
    <mergeCell ref="BA301:BB301"/>
    <mergeCell ref="BE301:BF301"/>
    <mergeCell ref="AA299:AA301"/>
    <mergeCell ref="AB299:AB301"/>
    <mergeCell ref="AC299:AC301"/>
    <mergeCell ref="AD299:AD301"/>
    <mergeCell ref="AI299:AN299"/>
    <mergeCell ref="AO299:AT299"/>
    <mergeCell ref="AI301:AJ301"/>
    <mergeCell ref="Q309:S309"/>
    <mergeCell ref="U309:W309"/>
    <mergeCell ref="Q310:R312"/>
    <mergeCell ref="S310:S312"/>
    <mergeCell ref="T310:T312"/>
    <mergeCell ref="U310:W310"/>
    <mergeCell ref="U311:W311"/>
    <mergeCell ref="U312:W312"/>
    <mergeCell ref="AC305:AC307"/>
    <mergeCell ref="AD305:AD307"/>
    <mergeCell ref="U306:W306"/>
    <mergeCell ref="U307:W307"/>
    <mergeCell ref="T305:T307"/>
    <mergeCell ref="U305:W305"/>
    <mergeCell ref="AA305:AA307"/>
    <mergeCell ref="AB305:AB307"/>
    <mergeCell ref="BG301:BH301"/>
    <mergeCell ref="BG312:BH312"/>
    <mergeCell ref="AS312:AT312"/>
    <mergeCell ref="AW312:AX312"/>
    <mergeCell ref="AY312:AZ312"/>
    <mergeCell ref="BA312:BB312"/>
    <mergeCell ref="BI312:BJ312"/>
    <mergeCell ref="T313:T315"/>
    <mergeCell ref="U313:W313"/>
    <mergeCell ref="AA313:AA315"/>
    <mergeCell ref="AB313:AB315"/>
    <mergeCell ref="AC313:AC315"/>
    <mergeCell ref="BE312:BF312"/>
    <mergeCell ref="AA310:AA312"/>
    <mergeCell ref="AB310:AB312"/>
    <mergeCell ref="AC310:AC312"/>
    <mergeCell ref="AD310:AD312"/>
    <mergeCell ref="AI310:AN310"/>
    <mergeCell ref="AO310:AT310"/>
    <mergeCell ref="AI312:AJ312"/>
    <mergeCell ref="AK312:AL312"/>
    <mergeCell ref="AM312:AN312"/>
    <mergeCell ref="AO312:AP312"/>
    <mergeCell ref="T316:T318"/>
    <mergeCell ref="U316:W316"/>
    <mergeCell ref="AA316:AA318"/>
    <mergeCell ref="AB316:AB318"/>
    <mergeCell ref="Q321:R323"/>
    <mergeCell ref="S321:S323"/>
    <mergeCell ref="T321:T323"/>
    <mergeCell ref="U321:W321"/>
    <mergeCell ref="Q320:S320"/>
    <mergeCell ref="U320:W320"/>
    <mergeCell ref="AD313:AD315"/>
    <mergeCell ref="U314:W314"/>
    <mergeCell ref="U315:W315"/>
    <mergeCell ref="AQ312:AR312"/>
    <mergeCell ref="AC316:AC318"/>
    <mergeCell ref="AD316:AD318"/>
    <mergeCell ref="U317:W317"/>
    <mergeCell ref="U318:W318"/>
    <mergeCell ref="AQ323:AR323"/>
    <mergeCell ref="AS323:AT323"/>
    <mergeCell ref="BA323:BB323"/>
    <mergeCell ref="BC323:BD323"/>
    <mergeCell ref="BE323:BF323"/>
    <mergeCell ref="BG323:BH323"/>
    <mergeCell ref="AW323:AX323"/>
    <mergeCell ref="AY323:AZ323"/>
    <mergeCell ref="AD321:AD323"/>
    <mergeCell ref="AE321:AE323"/>
    <mergeCell ref="BI323:BJ323"/>
    <mergeCell ref="T324:T326"/>
    <mergeCell ref="U324:W324"/>
    <mergeCell ref="AB324:AB326"/>
    <mergeCell ref="AC324:AC326"/>
    <mergeCell ref="AD324:AD326"/>
    <mergeCell ref="AI320:AN320"/>
    <mergeCell ref="AO320:AT320"/>
    <mergeCell ref="U322:W322"/>
    <mergeCell ref="U323:W323"/>
    <mergeCell ref="AI323:AJ323"/>
    <mergeCell ref="AK323:AL323"/>
    <mergeCell ref="AB321:AB323"/>
    <mergeCell ref="AC321:AC323"/>
    <mergeCell ref="AM323:AN323"/>
    <mergeCell ref="AO323:AP323"/>
    <mergeCell ref="U328:W328"/>
    <mergeCell ref="U329:W329"/>
    <mergeCell ref="T330:T332"/>
    <mergeCell ref="U330:W330"/>
    <mergeCell ref="T327:T329"/>
    <mergeCell ref="X339:Z339"/>
    <mergeCell ref="T337:U337"/>
    <mergeCell ref="X337:Z337"/>
    <mergeCell ref="T338:U338"/>
    <mergeCell ref="X338:Z338"/>
    <mergeCell ref="AC330:AC332"/>
    <mergeCell ref="AE324:AE326"/>
    <mergeCell ref="AW324:AX324"/>
    <mergeCell ref="U325:W325"/>
    <mergeCell ref="U326:W326"/>
    <mergeCell ref="U327:W327"/>
    <mergeCell ref="AB327:AB329"/>
    <mergeCell ref="AC327:AC329"/>
    <mergeCell ref="AD327:AD329"/>
    <mergeCell ref="AE327:AE329"/>
    <mergeCell ref="T342:U342"/>
    <mergeCell ref="X342:Z342"/>
    <mergeCell ref="T343:U343"/>
    <mergeCell ref="X343:Z343"/>
    <mergeCell ref="T345:U345"/>
    <mergeCell ref="X345:Z345"/>
    <mergeCell ref="AD343:AF343"/>
    <mergeCell ref="T344:U344"/>
    <mergeCell ref="AD344:AF344"/>
    <mergeCell ref="AA339:AC339"/>
    <mergeCell ref="T340:U340"/>
    <mergeCell ref="AA340:AC340"/>
    <mergeCell ref="T341:U341"/>
    <mergeCell ref="X341:Z341"/>
    <mergeCell ref="AA341:AC341"/>
    <mergeCell ref="T339:U339"/>
    <mergeCell ref="AD330:AD332"/>
    <mergeCell ref="AE330:AE332"/>
    <mergeCell ref="U331:W331"/>
    <mergeCell ref="U332:W332"/>
    <mergeCell ref="T335:W335"/>
    <mergeCell ref="X335:Z335"/>
    <mergeCell ref="AA335:AC335"/>
    <mergeCell ref="AD335:AF335"/>
    <mergeCell ref="AB330:AB332"/>
    <mergeCell ref="T350:U350"/>
    <mergeCell ref="X350:Z350"/>
    <mergeCell ref="T351:U351"/>
    <mergeCell ref="X351:Z351"/>
    <mergeCell ref="T352:U352"/>
    <mergeCell ref="T354:AD354"/>
    <mergeCell ref="AD345:AF345"/>
    <mergeCell ref="T346:U346"/>
    <mergeCell ref="X346:Z346"/>
    <mergeCell ref="Q356:S356"/>
    <mergeCell ref="U356:W356"/>
    <mergeCell ref="T348:U348"/>
    <mergeCell ref="AA348:AC348"/>
    <mergeCell ref="T349:U349"/>
    <mergeCell ref="X349:Z349"/>
    <mergeCell ref="AA349:AC349"/>
    <mergeCell ref="T347:U347"/>
    <mergeCell ref="X347:Z347"/>
    <mergeCell ref="AA347:AC347"/>
    <mergeCell ref="BI359:BJ359"/>
    <mergeCell ref="AQ359:AR359"/>
    <mergeCell ref="AS359:AT359"/>
    <mergeCell ref="AW359:AX359"/>
    <mergeCell ref="AY359:AZ359"/>
    <mergeCell ref="BA359:BB359"/>
    <mergeCell ref="BE359:BF359"/>
    <mergeCell ref="AC360:AC362"/>
    <mergeCell ref="AD360:AD362"/>
    <mergeCell ref="U361:W361"/>
    <mergeCell ref="U362:W362"/>
    <mergeCell ref="T360:T362"/>
    <mergeCell ref="U360:W360"/>
    <mergeCell ref="AA360:AA362"/>
    <mergeCell ref="AB360:AB362"/>
    <mergeCell ref="AI359:AJ359"/>
    <mergeCell ref="AK359:AL359"/>
    <mergeCell ref="AC357:AC359"/>
    <mergeCell ref="AD357:AD359"/>
    <mergeCell ref="AI357:AN357"/>
    <mergeCell ref="AO357:AT357"/>
    <mergeCell ref="AM359:AN359"/>
    <mergeCell ref="AO359:AP359"/>
    <mergeCell ref="T357:T359"/>
    <mergeCell ref="U357:W357"/>
    <mergeCell ref="AA357:AA359"/>
    <mergeCell ref="AB357:AB359"/>
    <mergeCell ref="U358:W358"/>
    <mergeCell ref="U359:W359"/>
    <mergeCell ref="Q367:S367"/>
    <mergeCell ref="U367:W367"/>
    <mergeCell ref="Q368:R370"/>
    <mergeCell ref="S368:S370"/>
    <mergeCell ref="T368:T370"/>
    <mergeCell ref="U368:W368"/>
    <mergeCell ref="U369:W369"/>
    <mergeCell ref="U370:W370"/>
    <mergeCell ref="AC363:AC365"/>
    <mergeCell ref="AD363:AD365"/>
    <mergeCell ref="U364:W364"/>
    <mergeCell ref="U365:W365"/>
    <mergeCell ref="T363:T365"/>
    <mergeCell ref="U363:W363"/>
    <mergeCell ref="AA363:AA365"/>
    <mergeCell ref="AB363:AB365"/>
    <mergeCell ref="BG359:BH359"/>
    <mergeCell ref="Q357:R359"/>
    <mergeCell ref="S357:S359"/>
    <mergeCell ref="AQ370:AR370"/>
    <mergeCell ref="AS370:AT370"/>
    <mergeCell ref="AW370:AX370"/>
    <mergeCell ref="AY370:AZ370"/>
    <mergeCell ref="BG370:BH370"/>
    <mergeCell ref="BI370:BJ370"/>
    <mergeCell ref="BA370:BB370"/>
    <mergeCell ref="BE370:BF370"/>
    <mergeCell ref="AA368:AA370"/>
    <mergeCell ref="AB368:AB370"/>
    <mergeCell ref="AC368:AC370"/>
    <mergeCell ref="AD368:AD370"/>
    <mergeCell ref="AI368:AN368"/>
    <mergeCell ref="AO368:AT368"/>
    <mergeCell ref="AI370:AJ370"/>
    <mergeCell ref="AK370:AL370"/>
    <mergeCell ref="AM370:AN370"/>
    <mergeCell ref="AO370:AP370"/>
    <mergeCell ref="Q378:S378"/>
    <mergeCell ref="U378:W378"/>
    <mergeCell ref="Q379:R381"/>
    <mergeCell ref="S379:S381"/>
    <mergeCell ref="T379:T381"/>
    <mergeCell ref="U379:W379"/>
    <mergeCell ref="U380:W380"/>
    <mergeCell ref="U381:W381"/>
    <mergeCell ref="AC374:AC376"/>
    <mergeCell ref="AD374:AD376"/>
    <mergeCell ref="U375:W375"/>
    <mergeCell ref="U376:W376"/>
    <mergeCell ref="T374:T376"/>
    <mergeCell ref="U374:W374"/>
    <mergeCell ref="AA374:AA376"/>
    <mergeCell ref="AB374:AB376"/>
    <mergeCell ref="T371:T373"/>
    <mergeCell ref="U371:W371"/>
    <mergeCell ref="AA371:AA373"/>
    <mergeCell ref="AB371:AB373"/>
    <mergeCell ref="AC371:AC373"/>
    <mergeCell ref="AD371:AD373"/>
    <mergeCell ref="U372:W372"/>
    <mergeCell ref="U373:W373"/>
    <mergeCell ref="AQ381:AR381"/>
    <mergeCell ref="AS381:AT381"/>
    <mergeCell ref="AW381:AX381"/>
    <mergeCell ref="AY381:AZ381"/>
    <mergeCell ref="BG381:BH381"/>
    <mergeCell ref="BI381:BJ381"/>
    <mergeCell ref="BA381:BB381"/>
    <mergeCell ref="BE381:BF381"/>
    <mergeCell ref="AA379:AA381"/>
    <mergeCell ref="AB379:AB381"/>
    <mergeCell ref="AC379:AC381"/>
    <mergeCell ref="AD379:AD381"/>
    <mergeCell ref="AI379:AN379"/>
    <mergeCell ref="AO379:AT379"/>
    <mergeCell ref="AI381:AJ381"/>
    <mergeCell ref="AK381:AL381"/>
    <mergeCell ref="AM381:AN381"/>
    <mergeCell ref="AO381:AP381"/>
    <mergeCell ref="Q389:S389"/>
    <mergeCell ref="U389:W389"/>
    <mergeCell ref="Q390:R392"/>
    <mergeCell ref="S390:S392"/>
    <mergeCell ref="T390:T392"/>
    <mergeCell ref="U390:W390"/>
    <mergeCell ref="U391:W391"/>
    <mergeCell ref="U392:W392"/>
    <mergeCell ref="AC385:AC387"/>
    <mergeCell ref="AD385:AD387"/>
    <mergeCell ref="U386:W386"/>
    <mergeCell ref="U387:W387"/>
    <mergeCell ref="T385:T387"/>
    <mergeCell ref="U385:W385"/>
    <mergeCell ref="AA385:AA387"/>
    <mergeCell ref="AB385:AB387"/>
    <mergeCell ref="T382:T384"/>
    <mergeCell ref="U382:W382"/>
    <mergeCell ref="AA382:AA384"/>
    <mergeCell ref="AB382:AB384"/>
    <mergeCell ref="AC382:AC384"/>
    <mergeCell ref="AD382:AD384"/>
    <mergeCell ref="U383:W383"/>
    <mergeCell ref="U384:W384"/>
    <mergeCell ref="AQ392:AR392"/>
    <mergeCell ref="AS392:AT392"/>
    <mergeCell ref="AW392:AX392"/>
    <mergeCell ref="AY392:AZ392"/>
    <mergeCell ref="BG392:BH392"/>
    <mergeCell ref="BI392:BJ392"/>
    <mergeCell ref="BA392:BB392"/>
    <mergeCell ref="BE392:BF392"/>
    <mergeCell ref="AA390:AA392"/>
    <mergeCell ref="AB390:AB392"/>
    <mergeCell ref="AC390:AC392"/>
    <mergeCell ref="AD390:AD392"/>
    <mergeCell ref="AI390:AN390"/>
    <mergeCell ref="AO390:AT390"/>
    <mergeCell ref="AI392:AJ392"/>
    <mergeCell ref="AK392:AL392"/>
    <mergeCell ref="AM392:AN392"/>
    <mergeCell ref="AO392:AP392"/>
    <mergeCell ref="Q400:S400"/>
    <mergeCell ref="U400:W400"/>
    <mergeCell ref="Q401:R403"/>
    <mergeCell ref="S401:S403"/>
    <mergeCell ref="T401:T403"/>
    <mergeCell ref="U401:W401"/>
    <mergeCell ref="U402:W402"/>
    <mergeCell ref="U403:W403"/>
    <mergeCell ref="AC396:AC398"/>
    <mergeCell ref="AD396:AD398"/>
    <mergeCell ref="U397:W397"/>
    <mergeCell ref="U398:W398"/>
    <mergeCell ref="T396:T398"/>
    <mergeCell ref="U396:W396"/>
    <mergeCell ref="AA396:AA398"/>
    <mergeCell ref="AB396:AB398"/>
    <mergeCell ref="T393:T395"/>
    <mergeCell ref="U393:W393"/>
    <mergeCell ref="AA393:AA395"/>
    <mergeCell ref="AB393:AB395"/>
    <mergeCell ref="AC393:AC395"/>
    <mergeCell ref="AD393:AD395"/>
    <mergeCell ref="U394:W394"/>
    <mergeCell ref="U395:W395"/>
    <mergeCell ref="AQ403:AR403"/>
    <mergeCell ref="AS403:AT403"/>
    <mergeCell ref="AW403:AX403"/>
    <mergeCell ref="AY403:AZ403"/>
    <mergeCell ref="BG403:BH403"/>
    <mergeCell ref="BI403:BJ403"/>
    <mergeCell ref="BA403:BB403"/>
    <mergeCell ref="BE403:BF403"/>
    <mergeCell ref="AA401:AA403"/>
    <mergeCell ref="AB401:AB403"/>
    <mergeCell ref="AC401:AC403"/>
    <mergeCell ref="AD401:AD403"/>
    <mergeCell ref="AI401:AN401"/>
    <mergeCell ref="AO401:AT401"/>
    <mergeCell ref="AI403:AJ403"/>
    <mergeCell ref="AK403:AL403"/>
    <mergeCell ref="AM403:AN403"/>
    <mergeCell ref="AO403:AP403"/>
    <mergeCell ref="Q411:S411"/>
    <mergeCell ref="U411:W411"/>
    <mergeCell ref="Q412:R414"/>
    <mergeCell ref="S412:S414"/>
    <mergeCell ref="T412:T414"/>
    <mergeCell ref="U412:W412"/>
    <mergeCell ref="U413:W413"/>
    <mergeCell ref="U414:W414"/>
    <mergeCell ref="AC407:AC409"/>
    <mergeCell ref="AD407:AD409"/>
    <mergeCell ref="U408:W408"/>
    <mergeCell ref="U409:W409"/>
    <mergeCell ref="T407:T409"/>
    <mergeCell ref="U407:W407"/>
    <mergeCell ref="AA407:AA409"/>
    <mergeCell ref="AB407:AB409"/>
    <mergeCell ref="T404:T406"/>
    <mergeCell ref="U404:W404"/>
    <mergeCell ref="AA404:AA406"/>
    <mergeCell ref="AB404:AB406"/>
    <mergeCell ref="AC404:AC406"/>
    <mergeCell ref="AD404:AD406"/>
    <mergeCell ref="U405:W405"/>
    <mergeCell ref="U406:W406"/>
    <mergeCell ref="AQ414:AR414"/>
    <mergeCell ref="AS414:AT414"/>
    <mergeCell ref="AW414:AX414"/>
    <mergeCell ref="AY414:AZ414"/>
    <mergeCell ref="BG414:BH414"/>
    <mergeCell ref="BI414:BJ414"/>
    <mergeCell ref="BA414:BB414"/>
    <mergeCell ref="BE414:BF414"/>
    <mergeCell ref="AA412:AA414"/>
    <mergeCell ref="AB412:AB414"/>
    <mergeCell ref="AC412:AC414"/>
    <mergeCell ref="AD412:AD414"/>
    <mergeCell ref="AI412:AN412"/>
    <mergeCell ref="AO412:AT412"/>
    <mergeCell ref="AI414:AJ414"/>
    <mergeCell ref="AK414:AL414"/>
    <mergeCell ref="AM414:AN414"/>
    <mergeCell ref="AO414:AP414"/>
    <mergeCell ref="Q422:S422"/>
    <mergeCell ref="U422:W422"/>
    <mergeCell ref="Q423:R425"/>
    <mergeCell ref="S423:S425"/>
    <mergeCell ref="T423:T425"/>
    <mergeCell ref="U423:W423"/>
    <mergeCell ref="U424:W424"/>
    <mergeCell ref="U425:W425"/>
    <mergeCell ref="AC418:AC420"/>
    <mergeCell ref="AD418:AD420"/>
    <mergeCell ref="U419:W419"/>
    <mergeCell ref="U420:W420"/>
    <mergeCell ref="T418:T420"/>
    <mergeCell ref="U418:W418"/>
    <mergeCell ref="AA418:AA420"/>
    <mergeCell ref="AB418:AB420"/>
    <mergeCell ref="T415:T417"/>
    <mergeCell ref="U415:W415"/>
    <mergeCell ref="AA415:AA417"/>
    <mergeCell ref="AB415:AB417"/>
    <mergeCell ref="AC415:AC417"/>
    <mergeCell ref="AD415:AD417"/>
    <mergeCell ref="U416:W416"/>
    <mergeCell ref="U417:W417"/>
    <mergeCell ref="BI425:BJ425"/>
    <mergeCell ref="T426:T428"/>
    <mergeCell ref="U426:W426"/>
    <mergeCell ref="AA426:AA428"/>
    <mergeCell ref="AB426:AB428"/>
    <mergeCell ref="AC426:AC428"/>
    <mergeCell ref="AD426:AD428"/>
    <mergeCell ref="U427:W427"/>
    <mergeCell ref="U428:W428"/>
    <mergeCell ref="AQ425:AR425"/>
    <mergeCell ref="AS425:AT425"/>
    <mergeCell ref="AW425:AX425"/>
    <mergeCell ref="AK425:AL425"/>
    <mergeCell ref="AM425:AN425"/>
    <mergeCell ref="AO425:AP425"/>
    <mergeCell ref="AY425:AZ425"/>
    <mergeCell ref="BA425:BB425"/>
    <mergeCell ref="BE425:BF425"/>
    <mergeCell ref="AA423:AA425"/>
    <mergeCell ref="AB423:AB425"/>
    <mergeCell ref="AC423:AC425"/>
    <mergeCell ref="AD423:AD425"/>
    <mergeCell ref="AI423:AN423"/>
    <mergeCell ref="AO423:AT423"/>
    <mergeCell ref="AI425:AJ425"/>
    <mergeCell ref="Q433:S433"/>
    <mergeCell ref="U433:W433"/>
    <mergeCell ref="Q434:R436"/>
    <mergeCell ref="S434:S436"/>
    <mergeCell ref="T434:T436"/>
    <mergeCell ref="U434:W434"/>
    <mergeCell ref="U435:W435"/>
    <mergeCell ref="U436:W436"/>
    <mergeCell ref="AC429:AC431"/>
    <mergeCell ref="AD429:AD431"/>
    <mergeCell ref="U430:W430"/>
    <mergeCell ref="U431:W431"/>
    <mergeCell ref="T429:T431"/>
    <mergeCell ref="U429:W429"/>
    <mergeCell ref="AA429:AA431"/>
    <mergeCell ref="AB429:AB431"/>
    <mergeCell ref="BG425:BH425"/>
    <mergeCell ref="BG436:BH436"/>
    <mergeCell ref="BA436:BB436"/>
    <mergeCell ref="BI436:BJ436"/>
    <mergeCell ref="T437:T439"/>
    <mergeCell ref="U437:W437"/>
    <mergeCell ref="AA437:AA439"/>
    <mergeCell ref="AB437:AB439"/>
    <mergeCell ref="AC437:AC439"/>
    <mergeCell ref="BE436:BF436"/>
    <mergeCell ref="AA434:AA436"/>
    <mergeCell ref="AB434:AB436"/>
    <mergeCell ref="AC434:AC436"/>
    <mergeCell ref="AD434:AD436"/>
    <mergeCell ref="AI434:AN434"/>
    <mergeCell ref="AO434:AT434"/>
    <mergeCell ref="AI436:AJ436"/>
    <mergeCell ref="AK436:AL436"/>
    <mergeCell ref="AM436:AN436"/>
    <mergeCell ref="AO436:AP436"/>
    <mergeCell ref="T440:T442"/>
    <mergeCell ref="U440:W440"/>
    <mergeCell ref="AA440:AA442"/>
    <mergeCell ref="AB440:AB442"/>
    <mergeCell ref="AM447:AN447"/>
    <mergeCell ref="AO447:AP447"/>
    <mergeCell ref="AD437:AD439"/>
    <mergeCell ref="U438:W438"/>
    <mergeCell ref="U439:W439"/>
    <mergeCell ref="AQ436:AR436"/>
    <mergeCell ref="AC440:AC442"/>
    <mergeCell ref="AD440:AD442"/>
    <mergeCell ref="U441:W441"/>
    <mergeCell ref="U442:W442"/>
    <mergeCell ref="AS436:AT436"/>
    <mergeCell ref="AW436:AX436"/>
    <mergeCell ref="AY436:AZ436"/>
    <mergeCell ref="AS447:AT447"/>
    <mergeCell ref="AW447:AX447"/>
    <mergeCell ref="AY447:AZ447"/>
    <mergeCell ref="BG447:BH447"/>
    <mergeCell ref="BI447:BJ447"/>
    <mergeCell ref="BA447:BB447"/>
    <mergeCell ref="BE447:BF447"/>
    <mergeCell ref="AA445:AA447"/>
    <mergeCell ref="AB445:AB447"/>
    <mergeCell ref="AC445:AC447"/>
    <mergeCell ref="AD445:AD447"/>
    <mergeCell ref="AI445:AN445"/>
    <mergeCell ref="AO445:AT445"/>
    <mergeCell ref="AI447:AJ447"/>
    <mergeCell ref="AK447:AL447"/>
    <mergeCell ref="Q444:S444"/>
    <mergeCell ref="U444:W444"/>
    <mergeCell ref="Q445:R447"/>
    <mergeCell ref="S445:S447"/>
    <mergeCell ref="T445:T447"/>
    <mergeCell ref="U445:W445"/>
    <mergeCell ref="U446:W446"/>
    <mergeCell ref="U447:W447"/>
    <mergeCell ref="AC451:AC453"/>
    <mergeCell ref="AD451:AD453"/>
    <mergeCell ref="U452:W452"/>
    <mergeCell ref="U453:W453"/>
    <mergeCell ref="T451:T453"/>
    <mergeCell ref="U451:W451"/>
    <mergeCell ref="AA451:AA453"/>
    <mergeCell ref="AB451:AB453"/>
    <mergeCell ref="T448:T450"/>
    <mergeCell ref="U448:W448"/>
    <mergeCell ref="AA448:AA450"/>
    <mergeCell ref="AB448:AB450"/>
    <mergeCell ref="AC448:AC450"/>
    <mergeCell ref="AD448:AD450"/>
    <mergeCell ref="U449:W449"/>
    <mergeCell ref="U450:W450"/>
    <mergeCell ref="AQ447:AR447"/>
    <mergeCell ref="AA460:AC460"/>
    <mergeCell ref="AA461:AC461"/>
    <mergeCell ref="X470:Z470"/>
    <mergeCell ref="T463:U463"/>
    <mergeCell ref="X463:Z463"/>
    <mergeCell ref="AD464:AF464"/>
    <mergeCell ref="AD465:AF465"/>
    <mergeCell ref="T466:U466"/>
    <mergeCell ref="X466:Z466"/>
    <mergeCell ref="T467:U467"/>
    <mergeCell ref="AA456:AC456"/>
    <mergeCell ref="AD456:AF456"/>
    <mergeCell ref="T458:U458"/>
    <mergeCell ref="X458:Z458"/>
    <mergeCell ref="T462:U462"/>
    <mergeCell ref="X462:Z462"/>
    <mergeCell ref="T456:W456"/>
    <mergeCell ref="X456:Z456"/>
    <mergeCell ref="T459:U459"/>
    <mergeCell ref="X459:Z459"/>
    <mergeCell ref="AA477:AC477"/>
    <mergeCell ref="AD485:AF485"/>
    <mergeCell ref="T486:U486"/>
    <mergeCell ref="X486:Z486"/>
    <mergeCell ref="T479:U479"/>
    <mergeCell ref="X479:Z479"/>
    <mergeCell ref="AD480:AF480"/>
    <mergeCell ref="AD481:AF481"/>
    <mergeCell ref="T482:U482"/>
    <mergeCell ref="X482:Z482"/>
    <mergeCell ref="T474:U474"/>
    <mergeCell ref="X474:Z474"/>
    <mergeCell ref="T470:U470"/>
    <mergeCell ref="T475:U475"/>
    <mergeCell ref="X475:Z475"/>
    <mergeCell ref="AA476:AC476"/>
    <mergeCell ref="X467:Z467"/>
    <mergeCell ref="AA468:AC468"/>
    <mergeCell ref="AA469:AC469"/>
    <mergeCell ref="T478:U478"/>
    <mergeCell ref="X478:Z478"/>
    <mergeCell ref="AD470:AF470"/>
    <mergeCell ref="T471:U471"/>
    <mergeCell ref="X471:Z471"/>
    <mergeCell ref="AD472:AF472"/>
    <mergeCell ref="AD473:AF473"/>
    <mergeCell ref="AA492:AA494"/>
    <mergeCell ref="AY494:AZ494"/>
    <mergeCell ref="BA494:BB494"/>
    <mergeCell ref="AB492:AB494"/>
    <mergeCell ref="AC492:AC494"/>
    <mergeCell ref="AD492:AD494"/>
    <mergeCell ref="AI492:AN492"/>
    <mergeCell ref="AO492:AT492"/>
    <mergeCell ref="AM494:AN494"/>
    <mergeCell ref="T489:AD489"/>
    <mergeCell ref="Q491:S491"/>
    <mergeCell ref="U491:W491"/>
    <mergeCell ref="U493:W493"/>
    <mergeCell ref="U494:W494"/>
    <mergeCell ref="AI494:AJ494"/>
    <mergeCell ref="T483:U483"/>
    <mergeCell ref="X483:Z483"/>
    <mergeCell ref="AA484:AC484"/>
    <mergeCell ref="AA485:AC485"/>
    <mergeCell ref="Q492:R494"/>
    <mergeCell ref="S492:S494"/>
    <mergeCell ref="T492:T494"/>
    <mergeCell ref="U492:W492"/>
    <mergeCell ref="T487:U487"/>
    <mergeCell ref="X487:Z487"/>
    <mergeCell ref="AD498:AD500"/>
    <mergeCell ref="U499:W499"/>
    <mergeCell ref="U500:W500"/>
    <mergeCell ref="Q502:S502"/>
    <mergeCell ref="U502:W502"/>
    <mergeCell ref="AB498:AB500"/>
    <mergeCell ref="AC498:AC500"/>
    <mergeCell ref="T498:T500"/>
    <mergeCell ref="U498:W498"/>
    <mergeCell ref="AA498:AA500"/>
    <mergeCell ref="Q503:R505"/>
    <mergeCell ref="S503:S505"/>
    <mergeCell ref="T503:T505"/>
    <mergeCell ref="U503:W503"/>
    <mergeCell ref="U504:W504"/>
    <mergeCell ref="U505:W505"/>
    <mergeCell ref="BI494:BJ494"/>
    <mergeCell ref="T495:T497"/>
    <mergeCell ref="U495:W495"/>
    <mergeCell ref="AA495:AA497"/>
    <mergeCell ref="AB495:AB497"/>
    <mergeCell ref="AC495:AC497"/>
    <mergeCell ref="AD495:AD497"/>
    <mergeCell ref="U496:W496"/>
    <mergeCell ref="U497:W497"/>
    <mergeCell ref="AO494:AP494"/>
    <mergeCell ref="AQ494:AR494"/>
    <mergeCell ref="AS494:AT494"/>
    <mergeCell ref="AW494:AX494"/>
    <mergeCell ref="BE494:BF494"/>
    <mergeCell ref="BG494:BH494"/>
    <mergeCell ref="AK494:AL494"/>
    <mergeCell ref="BI505:BJ505"/>
    <mergeCell ref="T506:T508"/>
    <mergeCell ref="U506:W506"/>
    <mergeCell ref="AA506:AA508"/>
    <mergeCell ref="AB506:AB508"/>
    <mergeCell ref="AC506:AC508"/>
    <mergeCell ref="AD506:AD508"/>
    <mergeCell ref="U507:W507"/>
    <mergeCell ref="U508:W508"/>
    <mergeCell ref="AM505:AN505"/>
    <mergeCell ref="AO505:AP505"/>
    <mergeCell ref="AQ505:AR505"/>
    <mergeCell ref="AS505:AT505"/>
    <mergeCell ref="AW505:AX505"/>
    <mergeCell ref="BE505:BF505"/>
    <mergeCell ref="AI505:AJ505"/>
    <mergeCell ref="AK505:AL505"/>
    <mergeCell ref="AA503:AA505"/>
    <mergeCell ref="AY505:AZ505"/>
    <mergeCell ref="BA505:BB505"/>
    <mergeCell ref="AB503:AB505"/>
    <mergeCell ref="AC503:AC505"/>
    <mergeCell ref="AD503:AD505"/>
    <mergeCell ref="AI503:AN503"/>
    <mergeCell ref="AO503:AT503"/>
    <mergeCell ref="AD509:AD511"/>
    <mergeCell ref="U510:W510"/>
    <mergeCell ref="U511:W511"/>
    <mergeCell ref="Q513:S513"/>
    <mergeCell ref="U513:W513"/>
    <mergeCell ref="AB509:AB511"/>
    <mergeCell ref="AC509:AC511"/>
    <mergeCell ref="T509:T511"/>
    <mergeCell ref="U509:W509"/>
    <mergeCell ref="AA509:AA511"/>
    <mergeCell ref="Q514:R516"/>
    <mergeCell ref="S514:S516"/>
    <mergeCell ref="T514:T516"/>
    <mergeCell ref="U514:W514"/>
    <mergeCell ref="U515:W515"/>
    <mergeCell ref="U516:W516"/>
    <mergeCell ref="BG505:BH505"/>
    <mergeCell ref="BI516:BJ516"/>
    <mergeCell ref="T517:T519"/>
    <mergeCell ref="U517:W517"/>
    <mergeCell ref="AA517:AA519"/>
    <mergeCell ref="AB517:AB519"/>
    <mergeCell ref="AC517:AC519"/>
    <mergeCell ref="AD517:AD519"/>
    <mergeCell ref="U518:W518"/>
    <mergeCell ref="U519:W519"/>
    <mergeCell ref="AM516:AN516"/>
    <mergeCell ref="AO516:AP516"/>
    <mergeCell ref="AQ516:AR516"/>
    <mergeCell ref="AS516:AT516"/>
    <mergeCell ref="AW516:AX516"/>
    <mergeCell ref="BE516:BF516"/>
    <mergeCell ref="AI516:AJ516"/>
    <mergeCell ref="AK516:AL516"/>
    <mergeCell ref="AA514:AA516"/>
    <mergeCell ref="AY516:AZ516"/>
    <mergeCell ref="BA516:BB516"/>
    <mergeCell ref="AB514:AB516"/>
    <mergeCell ref="AC514:AC516"/>
    <mergeCell ref="AD514:AD516"/>
    <mergeCell ref="AI514:AN514"/>
    <mergeCell ref="AO514:AT514"/>
    <mergeCell ref="AD520:AD522"/>
    <mergeCell ref="U521:W521"/>
    <mergeCell ref="U522:W522"/>
    <mergeCell ref="Q524:S524"/>
    <mergeCell ref="U524:W524"/>
    <mergeCell ref="AB520:AB522"/>
    <mergeCell ref="AC520:AC522"/>
    <mergeCell ref="T520:T522"/>
    <mergeCell ref="U520:W520"/>
    <mergeCell ref="AA520:AA522"/>
    <mergeCell ref="Q525:R527"/>
    <mergeCell ref="S525:S527"/>
    <mergeCell ref="T525:T527"/>
    <mergeCell ref="U525:W525"/>
    <mergeCell ref="U526:W526"/>
    <mergeCell ref="U527:W527"/>
    <mergeCell ref="BG516:BH516"/>
    <mergeCell ref="BI527:BJ527"/>
    <mergeCell ref="T528:T530"/>
    <mergeCell ref="U528:W528"/>
    <mergeCell ref="AA528:AA530"/>
    <mergeCell ref="AB528:AB530"/>
    <mergeCell ref="AC528:AC530"/>
    <mergeCell ref="AD528:AD530"/>
    <mergeCell ref="U529:W529"/>
    <mergeCell ref="U530:W530"/>
    <mergeCell ref="AM527:AN527"/>
    <mergeCell ref="AO527:AP527"/>
    <mergeCell ref="AQ527:AR527"/>
    <mergeCell ref="AS527:AT527"/>
    <mergeCell ref="AW527:AX527"/>
    <mergeCell ref="BE527:BF527"/>
    <mergeCell ref="AI527:AJ527"/>
    <mergeCell ref="AK527:AL527"/>
    <mergeCell ref="AA525:AA527"/>
    <mergeCell ref="AY527:AZ527"/>
    <mergeCell ref="BA527:BB527"/>
    <mergeCell ref="AB525:AB527"/>
    <mergeCell ref="AC525:AC527"/>
    <mergeCell ref="AD525:AD527"/>
    <mergeCell ref="AI525:AN525"/>
    <mergeCell ref="AO525:AT525"/>
    <mergeCell ref="AD531:AD533"/>
    <mergeCell ref="U532:W532"/>
    <mergeCell ref="U533:W533"/>
    <mergeCell ref="Q535:S535"/>
    <mergeCell ref="U535:W535"/>
    <mergeCell ref="AB531:AB533"/>
    <mergeCell ref="AC531:AC533"/>
    <mergeCell ref="T531:T533"/>
    <mergeCell ref="U531:W531"/>
    <mergeCell ref="AA531:AA533"/>
    <mergeCell ref="Q536:R538"/>
    <mergeCell ref="S536:S538"/>
    <mergeCell ref="T536:T538"/>
    <mergeCell ref="U536:W536"/>
    <mergeCell ref="U537:W537"/>
    <mergeCell ref="U538:W538"/>
    <mergeCell ref="BG527:BH527"/>
    <mergeCell ref="BI538:BJ538"/>
    <mergeCell ref="T539:T541"/>
    <mergeCell ref="U539:W539"/>
    <mergeCell ref="AA539:AA541"/>
    <mergeCell ref="AB539:AB541"/>
    <mergeCell ref="AC539:AC541"/>
    <mergeCell ref="AD539:AD541"/>
    <mergeCell ref="U540:W540"/>
    <mergeCell ref="U541:W541"/>
    <mergeCell ref="AM538:AN538"/>
    <mergeCell ref="AO538:AP538"/>
    <mergeCell ref="AQ538:AR538"/>
    <mergeCell ref="AS538:AT538"/>
    <mergeCell ref="AW538:AX538"/>
    <mergeCell ref="BE538:BF538"/>
    <mergeCell ref="AI538:AJ538"/>
    <mergeCell ref="AK538:AL538"/>
    <mergeCell ref="AA536:AA538"/>
    <mergeCell ref="AY538:AZ538"/>
    <mergeCell ref="BA538:BB538"/>
    <mergeCell ref="AB536:AB538"/>
    <mergeCell ref="AC536:AC538"/>
    <mergeCell ref="AD536:AD538"/>
    <mergeCell ref="AI536:AN536"/>
    <mergeCell ref="AO536:AT536"/>
    <mergeCell ref="AD542:AD544"/>
    <mergeCell ref="U543:W543"/>
    <mergeCell ref="U544:W544"/>
    <mergeCell ref="Q546:S546"/>
    <mergeCell ref="U546:W546"/>
    <mergeCell ref="AB542:AB544"/>
    <mergeCell ref="AC542:AC544"/>
    <mergeCell ref="T542:T544"/>
    <mergeCell ref="U542:W542"/>
    <mergeCell ref="AA542:AA544"/>
    <mergeCell ref="Q547:R549"/>
    <mergeCell ref="S547:S549"/>
    <mergeCell ref="T547:T549"/>
    <mergeCell ref="U547:W547"/>
    <mergeCell ref="U548:W548"/>
    <mergeCell ref="U549:W549"/>
    <mergeCell ref="BG538:BH538"/>
    <mergeCell ref="BI549:BJ549"/>
    <mergeCell ref="T550:T552"/>
    <mergeCell ref="U550:W550"/>
    <mergeCell ref="AA550:AA552"/>
    <mergeCell ref="AB550:AB552"/>
    <mergeCell ref="AC550:AC552"/>
    <mergeCell ref="AD550:AD552"/>
    <mergeCell ref="U551:W551"/>
    <mergeCell ref="U552:W552"/>
    <mergeCell ref="AM549:AN549"/>
    <mergeCell ref="AO549:AP549"/>
    <mergeCell ref="AQ549:AR549"/>
    <mergeCell ref="AS549:AT549"/>
    <mergeCell ref="AW549:AX549"/>
    <mergeCell ref="BE549:BF549"/>
    <mergeCell ref="AI549:AJ549"/>
    <mergeCell ref="AK549:AL549"/>
    <mergeCell ref="AA547:AA549"/>
    <mergeCell ref="AY549:AZ549"/>
    <mergeCell ref="BA549:BB549"/>
    <mergeCell ref="AB547:AB549"/>
    <mergeCell ref="AC547:AC549"/>
    <mergeCell ref="AD547:AD549"/>
    <mergeCell ref="AI547:AN547"/>
    <mergeCell ref="AO547:AT547"/>
    <mergeCell ref="AD553:AD555"/>
    <mergeCell ref="U554:W554"/>
    <mergeCell ref="U555:W555"/>
    <mergeCell ref="Q557:S557"/>
    <mergeCell ref="U557:W557"/>
    <mergeCell ref="AB553:AB555"/>
    <mergeCell ref="AC553:AC555"/>
    <mergeCell ref="T553:T555"/>
    <mergeCell ref="U553:W553"/>
    <mergeCell ref="AA553:AA555"/>
    <mergeCell ref="Q558:R560"/>
    <mergeCell ref="S558:S560"/>
    <mergeCell ref="T558:T560"/>
    <mergeCell ref="U558:W558"/>
    <mergeCell ref="U559:W559"/>
    <mergeCell ref="U560:W560"/>
    <mergeCell ref="BG549:BH549"/>
    <mergeCell ref="BI560:BJ560"/>
    <mergeCell ref="T561:T563"/>
    <mergeCell ref="U561:W561"/>
    <mergeCell ref="AA561:AA563"/>
    <mergeCell ref="AB561:AB563"/>
    <mergeCell ref="AC561:AC563"/>
    <mergeCell ref="AD561:AD563"/>
    <mergeCell ref="U562:W562"/>
    <mergeCell ref="U563:W563"/>
    <mergeCell ref="AM560:AN560"/>
    <mergeCell ref="AO560:AP560"/>
    <mergeCell ref="AQ560:AR560"/>
    <mergeCell ref="AS560:AT560"/>
    <mergeCell ref="AW560:AX560"/>
    <mergeCell ref="BE560:BF560"/>
    <mergeCell ref="AI560:AJ560"/>
    <mergeCell ref="AK560:AL560"/>
    <mergeCell ref="AA558:AA560"/>
    <mergeCell ref="AY560:AZ560"/>
    <mergeCell ref="BA560:BB560"/>
    <mergeCell ref="AB558:AB560"/>
    <mergeCell ref="AC558:AC560"/>
    <mergeCell ref="AD558:AD560"/>
    <mergeCell ref="AI558:AN558"/>
    <mergeCell ref="AO558:AT558"/>
    <mergeCell ref="AD564:AD566"/>
    <mergeCell ref="U565:W565"/>
    <mergeCell ref="U566:W566"/>
    <mergeCell ref="Q568:S568"/>
    <mergeCell ref="U568:W568"/>
    <mergeCell ref="AB564:AB566"/>
    <mergeCell ref="AC564:AC566"/>
    <mergeCell ref="T564:T566"/>
    <mergeCell ref="U564:W564"/>
    <mergeCell ref="AA564:AA566"/>
    <mergeCell ref="Q569:R571"/>
    <mergeCell ref="S569:S571"/>
    <mergeCell ref="T569:T571"/>
    <mergeCell ref="U569:W569"/>
    <mergeCell ref="U570:W570"/>
    <mergeCell ref="U571:W571"/>
    <mergeCell ref="BG560:BH560"/>
    <mergeCell ref="BI571:BJ571"/>
    <mergeCell ref="T572:T574"/>
    <mergeCell ref="U572:W572"/>
    <mergeCell ref="AA572:AA574"/>
    <mergeCell ref="AB572:AB574"/>
    <mergeCell ref="AC572:AC574"/>
    <mergeCell ref="AD572:AD574"/>
    <mergeCell ref="U573:W573"/>
    <mergeCell ref="U574:W574"/>
    <mergeCell ref="AM571:AN571"/>
    <mergeCell ref="AO571:AP571"/>
    <mergeCell ref="AQ571:AR571"/>
    <mergeCell ref="AS571:AT571"/>
    <mergeCell ref="AW571:AX571"/>
    <mergeCell ref="BE571:BF571"/>
    <mergeCell ref="AI571:AJ571"/>
    <mergeCell ref="AK571:AL571"/>
    <mergeCell ref="AA569:AA571"/>
    <mergeCell ref="AY571:AZ571"/>
    <mergeCell ref="BA571:BB571"/>
    <mergeCell ref="AB569:AB571"/>
    <mergeCell ref="AC569:AC571"/>
    <mergeCell ref="AD569:AD571"/>
    <mergeCell ref="AI569:AN569"/>
    <mergeCell ref="AO569:AT569"/>
    <mergeCell ref="AD575:AD577"/>
    <mergeCell ref="U576:W576"/>
    <mergeCell ref="U577:W577"/>
    <mergeCell ref="Q579:S579"/>
    <mergeCell ref="U579:W579"/>
    <mergeCell ref="AB575:AB577"/>
    <mergeCell ref="AC575:AC577"/>
    <mergeCell ref="T575:T577"/>
    <mergeCell ref="U575:W575"/>
    <mergeCell ref="AA575:AA577"/>
    <mergeCell ref="Q580:R582"/>
    <mergeCell ref="S580:S582"/>
    <mergeCell ref="T580:T582"/>
    <mergeCell ref="U580:W580"/>
    <mergeCell ref="U581:W581"/>
    <mergeCell ref="U582:W582"/>
    <mergeCell ref="BG571:BH571"/>
    <mergeCell ref="BI582:BJ582"/>
    <mergeCell ref="T583:T585"/>
    <mergeCell ref="U583:W583"/>
    <mergeCell ref="AA583:AA585"/>
    <mergeCell ref="AB583:AB585"/>
    <mergeCell ref="AC583:AC585"/>
    <mergeCell ref="AD583:AD585"/>
    <mergeCell ref="U584:W584"/>
    <mergeCell ref="U585:W585"/>
    <mergeCell ref="AM582:AN582"/>
    <mergeCell ref="AO582:AP582"/>
    <mergeCell ref="AQ582:AR582"/>
    <mergeCell ref="AS582:AT582"/>
    <mergeCell ref="AW582:AX582"/>
    <mergeCell ref="BE582:BF582"/>
    <mergeCell ref="AI582:AJ582"/>
    <mergeCell ref="AK582:AL582"/>
    <mergeCell ref="AA580:AA582"/>
    <mergeCell ref="AY582:AZ582"/>
    <mergeCell ref="BA582:BB582"/>
    <mergeCell ref="AB580:AB582"/>
    <mergeCell ref="AC580:AC582"/>
    <mergeCell ref="AD580:AD582"/>
    <mergeCell ref="AI580:AN580"/>
    <mergeCell ref="AO580:AT580"/>
    <mergeCell ref="AD586:AD588"/>
    <mergeCell ref="U587:W587"/>
    <mergeCell ref="U588:W588"/>
    <mergeCell ref="Q590:S590"/>
    <mergeCell ref="U590:W590"/>
    <mergeCell ref="AB586:AB588"/>
    <mergeCell ref="AC586:AC588"/>
    <mergeCell ref="T586:T588"/>
    <mergeCell ref="U586:W586"/>
    <mergeCell ref="AA586:AA588"/>
    <mergeCell ref="Q591:R593"/>
    <mergeCell ref="S591:S593"/>
    <mergeCell ref="T591:T593"/>
    <mergeCell ref="U591:W591"/>
    <mergeCell ref="U592:W592"/>
    <mergeCell ref="U593:W593"/>
    <mergeCell ref="BG582:BH582"/>
    <mergeCell ref="BI593:BJ593"/>
    <mergeCell ref="T594:T596"/>
    <mergeCell ref="U594:W594"/>
    <mergeCell ref="AA594:AA596"/>
    <mergeCell ref="AB594:AB596"/>
    <mergeCell ref="AC594:AC596"/>
    <mergeCell ref="AD594:AD596"/>
    <mergeCell ref="U595:W595"/>
    <mergeCell ref="U596:W596"/>
    <mergeCell ref="AM593:AN593"/>
    <mergeCell ref="AO593:AP593"/>
    <mergeCell ref="AQ593:AR593"/>
    <mergeCell ref="AS593:AT593"/>
    <mergeCell ref="AW593:AX593"/>
    <mergeCell ref="BE593:BF593"/>
    <mergeCell ref="AI593:AJ593"/>
    <mergeCell ref="AK593:AL593"/>
    <mergeCell ref="AA591:AA593"/>
    <mergeCell ref="AY593:AZ593"/>
    <mergeCell ref="BA593:BB593"/>
    <mergeCell ref="AB591:AB593"/>
    <mergeCell ref="AC591:AC593"/>
    <mergeCell ref="AD591:AD593"/>
    <mergeCell ref="AI591:AN591"/>
    <mergeCell ref="AO591:AT591"/>
    <mergeCell ref="AD597:AD599"/>
    <mergeCell ref="U598:W598"/>
    <mergeCell ref="U599:W599"/>
    <mergeCell ref="Q601:S601"/>
    <mergeCell ref="U601:W601"/>
    <mergeCell ref="AB597:AB599"/>
    <mergeCell ref="AC597:AC599"/>
    <mergeCell ref="T597:T599"/>
    <mergeCell ref="U597:W597"/>
    <mergeCell ref="AA597:AA599"/>
    <mergeCell ref="Q602:R604"/>
    <mergeCell ref="S602:S604"/>
    <mergeCell ref="T602:T604"/>
    <mergeCell ref="U602:W602"/>
    <mergeCell ref="U603:W603"/>
    <mergeCell ref="U604:W604"/>
    <mergeCell ref="BG593:BH593"/>
    <mergeCell ref="BI604:BJ604"/>
    <mergeCell ref="T605:T607"/>
    <mergeCell ref="U605:W605"/>
    <mergeCell ref="AA605:AA607"/>
    <mergeCell ref="AB605:AB607"/>
    <mergeCell ref="AC605:AC607"/>
    <mergeCell ref="AD605:AD607"/>
    <mergeCell ref="U606:W606"/>
    <mergeCell ref="U607:W607"/>
    <mergeCell ref="AM604:AN604"/>
    <mergeCell ref="AO604:AP604"/>
    <mergeCell ref="AQ604:AR604"/>
    <mergeCell ref="AS604:AT604"/>
    <mergeCell ref="AW604:AX604"/>
    <mergeCell ref="BE604:BF604"/>
    <mergeCell ref="AI604:AJ604"/>
    <mergeCell ref="AK604:AL604"/>
    <mergeCell ref="AA602:AA604"/>
    <mergeCell ref="AY604:AZ604"/>
    <mergeCell ref="BA604:BB604"/>
    <mergeCell ref="AB602:AB604"/>
    <mergeCell ref="AC602:AC604"/>
    <mergeCell ref="AD602:AD604"/>
    <mergeCell ref="AI602:AN602"/>
    <mergeCell ref="AO602:AT602"/>
    <mergeCell ref="AD608:AD610"/>
    <mergeCell ref="U609:W609"/>
    <mergeCell ref="U610:W610"/>
    <mergeCell ref="Q612:S612"/>
    <mergeCell ref="U612:W612"/>
    <mergeCell ref="AB608:AB610"/>
    <mergeCell ref="AC608:AC610"/>
    <mergeCell ref="T608:T610"/>
    <mergeCell ref="U608:W608"/>
    <mergeCell ref="AA608:AA610"/>
    <mergeCell ref="Q613:R615"/>
    <mergeCell ref="S613:S615"/>
    <mergeCell ref="T613:T615"/>
    <mergeCell ref="U613:W613"/>
    <mergeCell ref="U614:W614"/>
    <mergeCell ref="U615:W615"/>
    <mergeCell ref="BG604:BH604"/>
    <mergeCell ref="BG615:BH615"/>
    <mergeCell ref="BI615:BJ615"/>
    <mergeCell ref="T616:T618"/>
    <mergeCell ref="U616:W616"/>
    <mergeCell ref="AA616:AA618"/>
    <mergeCell ref="AB616:AB618"/>
    <mergeCell ref="AC616:AC618"/>
    <mergeCell ref="AD616:AD618"/>
    <mergeCell ref="U617:W617"/>
    <mergeCell ref="U618:W618"/>
    <mergeCell ref="AM615:AN615"/>
    <mergeCell ref="AO615:AP615"/>
    <mergeCell ref="AQ615:AR615"/>
    <mergeCell ref="AS615:AT615"/>
    <mergeCell ref="AW615:AX615"/>
    <mergeCell ref="BE615:BF615"/>
    <mergeCell ref="AI615:AJ615"/>
    <mergeCell ref="AK615:AL615"/>
    <mergeCell ref="AA613:AA615"/>
    <mergeCell ref="AY615:AZ615"/>
    <mergeCell ref="BA615:BB615"/>
    <mergeCell ref="AB613:AB615"/>
    <mergeCell ref="AC613:AC615"/>
    <mergeCell ref="AD613:AD615"/>
    <mergeCell ref="AI613:AN613"/>
    <mergeCell ref="AO613:AT613"/>
    <mergeCell ref="T626:U626"/>
    <mergeCell ref="X626:Z626"/>
    <mergeCell ref="T627:U627"/>
    <mergeCell ref="X627:Z627"/>
    <mergeCell ref="AA628:AC628"/>
    <mergeCell ref="AA629:AC629"/>
    <mergeCell ref="T630:U630"/>
    <mergeCell ref="X630:Z630"/>
    <mergeCell ref="T624:W624"/>
    <mergeCell ref="X624:Z624"/>
    <mergeCell ref="AA624:AC624"/>
    <mergeCell ref="AD624:AF624"/>
    <mergeCell ref="AB619:AB621"/>
    <mergeCell ref="AC619:AC621"/>
    <mergeCell ref="T619:T621"/>
    <mergeCell ref="U619:W619"/>
    <mergeCell ref="AA619:AA621"/>
    <mergeCell ref="AD619:AD621"/>
    <mergeCell ref="U620:W620"/>
    <mergeCell ref="U621:W621"/>
    <mergeCell ref="AA644:AC644"/>
    <mergeCell ref="AA645:AC645"/>
    <mergeCell ref="T646:U646"/>
    <mergeCell ref="X646:Z646"/>
    <mergeCell ref="T647:U647"/>
    <mergeCell ref="X647:Z647"/>
    <mergeCell ref="X638:Z638"/>
    <mergeCell ref="AD638:AF638"/>
    <mergeCell ref="T639:U639"/>
    <mergeCell ref="X639:Z639"/>
    <mergeCell ref="AD648:AF648"/>
    <mergeCell ref="AD641:AF641"/>
    <mergeCell ref="T642:U642"/>
    <mergeCell ref="X642:Z642"/>
    <mergeCell ref="T643:U643"/>
    <mergeCell ref="X643:Z643"/>
    <mergeCell ref="T631:U631"/>
    <mergeCell ref="X631:Z631"/>
    <mergeCell ref="AD640:AF640"/>
    <mergeCell ref="T634:U634"/>
    <mergeCell ref="X634:Z634"/>
    <mergeCell ref="T635:U635"/>
    <mergeCell ref="X635:Z635"/>
    <mergeCell ref="AA636:AC636"/>
    <mergeCell ref="AA637:AC637"/>
    <mergeCell ref="T638:U638"/>
    <mergeCell ref="AD632:AF632"/>
    <mergeCell ref="AD633:AF633"/>
    <mergeCell ref="T654:U654"/>
    <mergeCell ref="X654:Z654"/>
    <mergeCell ref="AO659:AT659"/>
    <mergeCell ref="Q660:R662"/>
    <mergeCell ref="S660:S662"/>
    <mergeCell ref="T660:T662"/>
    <mergeCell ref="U660:W660"/>
    <mergeCell ref="AB660:AB662"/>
    <mergeCell ref="AI662:AJ662"/>
    <mergeCell ref="T657:AD657"/>
    <mergeCell ref="T655:U655"/>
    <mergeCell ref="X655:Z655"/>
    <mergeCell ref="AD649:AF649"/>
    <mergeCell ref="T650:U650"/>
    <mergeCell ref="X650:Z650"/>
    <mergeCell ref="T651:U651"/>
    <mergeCell ref="X651:Z651"/>
    <mergeCell ref="AA652:AC652"/>
    <mergeCell ref="AA653:AC653"/>
    <mergeCell ref="AD653:AF653"/>
    <mergeCell ref="BE662:BF662"/>
    <mergeCell ref="BG662:BH662"/>
    <mergeCell ref="BI662:BJ662"/>
    <mergeCell ref="AD663:AD665"/>
    <mergeCell ref="AE663:AE665"/>
    <mergeCell ref="AY662:AZ662"/>
    <mergeCell ref="BA662:BB662"/>
    <mergeCell ref="AK662:AL662"/>
    <mergeCell ref="AM662:AN662"/>
    <mergeCell ref="Q659:S659"/>
    <mergeCell ref="U659:W659"/>
    <mergeCell ref="AI659:AN659"/>
    <mergeCell ref="AC660:AC662"/>
    <mergeCell ref="AD660:AD662"/>
    <mergeCell ref="AE660:AE662"/>
    <mergeCell ref="U661:W661"/>
    <mergeCell ref="U662:W662"/>
    <mergeCell ref="U665:W665"/>
    <mergeCell ref="T666:T668"/>
    <mergeCell ref="U666:W666"/>
    <mergeCell ref="AB666:AB668"/>
    <mergeCell ref="AC666:AC668"/>
    <mergeCell ref="AD666:AD668"/>
    <mergeCell ref="AO662:AP662"/>
    <mergeCell ref="AQ662:AR662"/>
    <mergeCell ref="AS662:AT662"/>
    <mergeCell ref="AW662:AX662"/>
    <mergeCell ref="T663:T665"/>
    <mergeCell ref="U663:W663"/>
    <mergeCell ref="AB663:AB665"/>
    <mergeCell ref="AC663:AC665"/>
    <mergeCell ref="AW663:AX663"/>
    <mergeCell ref="U664:W664"/>
    <mergeCell ref="BC662:BD662"/>
    <mergeCell ref="Q674:R676"/>
    <mergeCell ref="S674:S676"/>
    <mergeCell ref="T674:T676"/>
    <mergeCell ref="U674:W674"/>
    <mergeCell ref="AE669:AE671"/>
    <mergeCell ref="U670:W670"/>
    <mergeCell ref="U671:W671"/>
    <mergeCell ref="Q673:S673"/>
    <mergeCell ref="U673:W673"/>
    <mergeCell ref="AC669:AC671"/>
    <mergeCell ref="AE666:AE668"/>
    <mergeCell ref="U667:W667"/>
    <mergeCell ref="U668:W668"/>
    <mergeCell ref="T669:T671"/>
    <mergeCell ref="U669:W669"/>
    <mergeCell ref="AB669:AB671"/>
    <mergeCell ref="AD669:AD671"/>
    <mergeCell ref="BE676:BF676"/>
    <mergeCell ref="BG676:BH676"/>
    <mergeCell ref="BI676:BJ676"/>
    <mergeCell ref="T677:T679"/>
    <mergeCell ref="U677:W677"/>
    <mergeCell ref="AA677:AA679"/>
    <mergeCell ref="AB677:AB679"/>
    <mergeCell ref="AC677:AC679"/>
    <mergeCell ref="AD677:AD679"/>
    <mergeCell ref="U678:W678"/>
    <mergeCell ref="BA676:BB676"/>
    <mergeCell ref="AB674:AB676"/>
    <mergeCell ref="AC674:AC676"/>
    <mergeCell ref="AD674:AD676"/>
    <mergeCell ref="AI674:AN674"/>
    <mergeCell ref="AO674:AT674"/>
    <mergeCell ref="AM676:AN676"/>
    <mergeCell ref="AO676:AP676"/>
    <mergeCell ref="AQ676:AR676"/>
    <mergeCell ref="AS676:AT676"/>
    <mergeCell ref="U675:W675"/>
    <mergeCell ref="U676:W676"/>
    <mergeCell ref="AI676:AJ676"/>
    <mergeCell ref="AK676:AL676"/>
    <mergeCell ref="AA674:AA676"/>
    <mergeCell ref="AY676:AZ676"/>
    <mergeCell ref="AW676:AX676"/>
    <mergeCell ref="AD680:AD682"/>
    <mergeCell ref="U681:W681"/>
    <mergeCell ref="U682:W682"/>
    <mergeCell ref="Q684:S684"/>
    <mergeCell ref="U684:W684"/>
    <mergeCell ref="AB680:AB682"/>
    <mergeCell ref="AC680:AC682"/>
    <mergeCell ref="U679:W679"/>
    <mergeCell ref="T680:T682"/>
    <mergeCell ref="U680:W680"/>
    <mergeCell ref="AA680:AA682"/>
    <mergeCell ref="Q685:R687"/>
    <mergeCell ref="S685:S687"/>
    <mergeCell ref="T685:T687"/>
    <mergeCell ref="U685:W685"/>
    <mergeCell ref="U686:W686"/>
    <mergeCell ref="U687:W687"/>
    <mergeCell ref="BE687:BF687"/>
    <mergeCell ref="BE698:BF698"/>
    <mergeCell ref="BG687:BH687"/>
    <mergeCell ref="BI687:BJ687"/>
    <mergeCell ref="U690:W690"/>
    <mergeCell ref="AC691:AC693"/>
    <mergeCell ref="U697:W697"/>
    <mergeCell ref="U698:W698"/>
    <mergeCell ref="AI698:AJ698"/>
    <mergeCell ref="AM687:AN687"/>
    <mergeCell ref="AO687:AP687"/>
    <mergeCell ref="AQ687:AR687"/>
    <mergeCell ref="AS687:AT687"/>
    <mergeCell ref="AW687:AX687"/>
    <mergeCell ref="AB688:AB690"/>
    <mergeCell ref="AC688:AC690"/>
    <mergeCell ref="AD688:AD690"/>
    <mergeCell ref="AI687:AJ687"/>
    <mergeCell ref="AK687:AL687"/>
    <mergeCell ref="AA685:AA687"/>
    <mergeCell ref="AY687:AZ687"/>
    <mergeCell ref="BA687:BB687"/>
    <mergeCell ref="AB685:AB687"/>
    <mergeCell ref="AC685:AC687"/>
    <mergeCell ref="AD685:AD687"/>
    <mergeCell ref="AI685:AN685"/>
    <mergeCell ref="AO685:AT685"/>
    <mergeCell ref="Q696:R698"/>
    <mergeCell ref="S696:S698"/>
    <mergeCell ref="T696:T698"/>
    <mergeCell ref="U696:W696"/>
    <mergeCell ref="AD691:AD693"/>
    <mergeCell ref="U692:W692"/>
    <mergeCell ref="U693:W693"/>
    <mergeCell ref="Q695:S695"/>
    <mergeCell ref="U695:W695"/>
    <mergeCell ref="AB691:AB693"/>
    <mergeCell ref="T691:T693"/>
    <mergeCell ref="U691:W691"/>
    <mergeCell ref="AA691:AA693"/>
    <mergeCell ref="T688:T690"/>
    <mergeCell ref="U688:W688"/>
    <mergeCell ref="AA688:AA690"/>
    <mergeCell ref="U689:W689"/>
    <mergeCell ref="AS698:AT698"/>
    <mergeCell ref="AW698:AX698"/>
    <mergeCell ref="AY698:AZ698"/>
    <mergeCell ref="BG698:BH698"/>
    <mergeCell ref="BI698:BJ698"/>
    <mergeCell ref="T699:T701"/>
    <mergeCell ref="U699:W699"/>
    <mergeCell ref="AA699:AA701"/>
    <mergeCell ref="AB699:AB701"/>
    <mergeCell ref="AC699:AC701"/>
    <mergeCell ref="AK698:AL698"/>
    <mergeCell ref="AA696:AA698"/>
    <mergeCell ref="BA698:BB698"/>
    <mergeCell ref="AB696:AB698"/>
    <mergeCell ref="AC696:AC698"/>
    <mergeCell ref="AD696:AD698"/>
    <mergeCell ref="AI696:AN696"/>
    <mergeCell ref="AO696:AT696"/>
    <mergeCell ref="AM698:AN698"/>
    <mergeCell ref="AQ698:AR698"/>
    <mergeCell ref="T707:W707"/>
    <mergeCell ref="X707:Z707"/>
    <mergeCell ref="AA707:AC707"/>
    <mergeCell ref="AB702:AB704"/>
    <mergeCell ref="AC702:AC704"/>
    <mergeCell ref="T709:U709"/>
    <mergeCell ref="X709:Z709"/>
    <mergeCell ref="AD699:AD701"/>
    <mergeCell ref="U700:W700"/>
    <mergeCell ref="AO698:AP698"/>
    <mergeCell ref="U701:W701"/>
    <mergeCell ref="T702:T704"/>
    <mergeCell ref="U702:W702"/>
    <mergeCell ref="AA702:AA704"/>
    <mergeCell ref="AD702:AD704"/>
    <mergeCell ref="U703:W703"/>
    <mergeCell ref="U704:W704"/>
    <mergeCell ref="Q720:S720"/>
    <mergeCell ref="U720:W720"/>
    <mergeCell ref="Q721:R723"/>
    <mergeCell ref="S721:S723"/>
    <mergeCell ref="T721:T723"/>
    <mergeCell ref="U721:W721"/>
    <mergeCell ref="U722:W722"/>
    <mergeCell ref="U723:W723"/>
    <mergeCell ref="T711:U711"/>
    <mergeCell ref="X711:Z711"/>
    <mergeCell ref="T714:U714"/>
    <mergeCell ref="X714:Z714"/>
    <mergeCell ref="T715:U715"/>
    <mergeCell ref="X715:Z715"/>
    <mergeCell ref="T710:U710"/>
    <mergeCell ref="X710:Z710"/>
    <mergeCell ref="T716:U716"/>
    <mergeCell ref="T718:AD718"/>
    <mergeCell ref="AA711:AC711"/>
    <mergeCell ref="T712:U712"/>
    <mergeCell ref="AA712:AC712"/>
    <mergeCell ref="T713:U713"/>
    <mergeCell ref="X713:Z713"/>
    <mergeCell ref="AA713:AC713"/>
    <mergeCell ref="AQ723:AR723"/>
    <mergeCell ref="AS723:AT723"/>
    <mergeCell ref="AW723:AX723"/>
    <mergeCell ref="AY723:AZ723"/>
    <mergeCell ref="BG723:BH723"/>
    <mergeCell ref="BI723:BJ723"/>
    <mergeCell ref="BA723:BB723"/>
    <mergeCell ref="BE723:BF723"/>
    <mergeCell ref="AA721:AA723"/>
    <mergeCell ref="AB721:AB723"/>
    <mergeCell ref="AC721:AC723"/>
    <mergeCell ref="AD721:AD723"/>
    <mergeCell ref="AI721:AN721"/>
    <mergeCell ref="AO721:AT721"/>
    <mergeCell ref="AI723:AJ723"/>
    <mergeCell ref="AK723:AL723"/>
    <mergeCell ref="AM723:AN723"/>
    <mergeCell ref="AO723:AP723"/>
    <mergeCell ref="Q731:S731"/>
    <mergeCell ref="U731:W731"/>
    <mergeCell ref="Q732:R734"/>
    <mergeCell ref="S732:S734"/>
    <mergeCell ref="T732:T734"/>
    <mergeCell ref="U732:W732"/>
    <mergeCell ref="U733:W733"/>
    <mergeCell ref="U734:W734"/>
    <mergeCell ref="AC727:AC729"/>
    <mergeCell ref="AD727:AD729"/>
    <mergeCell ref="U728:W728"/>
    <mergeCell ref="U729:W729"/>
    <mergeCell ref="T727:T729"/>
    <mergeCell ref="U727:W727"/>
    <mergeCell ref="AA727:AA729"/>
    <mergeCell ref="AB727:AB729"/>
    <mergeCell ref="T724:T726"/>
    <mergeCell ref="U724:W724"/>
    <mergeCell ref="AA724:AA726"/>
    <mergeCell ref="AB724:AB726"/>
    <mergeCell ref="AC724:AC726"/>
    <mergeCell ref="AD724:AD726"/>
    <mergeCell ref="U725:W725"/>
    <mergeCell ref="U726:W726"/>
    <mergeCell ref="AQ734:AR734"/>
    <mergeCell ref="AS734:AT734"/>
    <mergeCell ref="AW734:AX734"/>
    <mergeCell ref="AY734:AZ734"/>
    <mergeCell ref="BG734:BH734"/>
    <mergeCell ref="BI734:BJ734"/>
    <mergeCell ref="BA734:BB734"/>
    <mergeCell ref="BE734:BF734"/>
    <mergeCell ref="AA732:AA734"/>
    <mergeCell ref="AB732:AB734"/>
    <mergeCell ref="AC732:AC734"/>
    <mergeCell ref="AD732:AD734"/>
    <mergeCell ref="AI732:AN732"/>
    <mergeCell ref="AO732:AT732"/>
    <mergeCell ref="AI734:AJ734"/>
    <mergeCell ref="AK734:AL734"/>
    <mergeCell ref="AM734:AN734"/>
    <mergeCell ref="AO734:AP734"/>
    <mergeCell ref="Q742:S742"/>
    <mergeCell ref="U742:W742"/>
    <mergeCell ref="Q743:R745"/>
    <mergeCell ref="S743:S745"/>
    <mergeCell ref="T743:T745"/>
    <mergeCell ref="U743:W743"/>
    <mergeCell ref="U744:W744"/>
    <mergeCell ref="U745:W745"/>
    <mergeCell ref="AC738:AC740"/>
    <mergeCell ref="AD738:AD740"/>
    <mergeCell ref="U739:W739"/>
    <mergeCell ref="U740:W740"/>
    <mergeCell ref="T738:T740"/>
    <mergeCell ref="U738:W738"/>
    <mergeCell ref="AA738:AA740"/>
    <mergeCell ref="AB738:AB740"/>
    <mergeCell ref="T735:T737"/>
    <mergeCell ref="U735:W735"/>
    <mergeCell ref="AA735:AA737"/>
    <mergeCell ref="AB735:AB737"/>
    <mergeCell ref="AC735:AC737"/>
    <mergeCell ref="AD735:AD737"/>
    <mergeCell ref="U736:W736"/>
    <mergeCell ref="U737:W737"/>
    <mergeCell ref="AQ745:AR745"/>
    <mergeCell ref="AS745:AT745"/>
    <mergeCell ref="AW745:AX745"/>
    <mergeCell ref="AY745:AZ745"/>
    <mergeCell ref="BG745:BH745"/>
    <mergeCell ref="BI745:BJ745"/>
    <mergeCell ref="BA745:BB745"/>
    <mergeCell ref="BE745:BF745"/>
    <mergeCell ref="AA743:AA745"/>
    <mergeCell ref="AB743:AB745"/>
    <mergeCell ref="AC743:AC745"/>
    <mergeCell ref="AD743:AD745"/>
    <mergeCell ref="AI743:AN743"/>
    <mergeCell ref="AO743:AT743"/>
    <mergeCell ref="AI745:AJ745"/>
    <mergeCell ref="AK745:AL745"/>
    <mergeCell ref="AM745:AN745"/>
    <mergeCell ref="AO745:AP745"/>
    <mergeCell ref="Q753:S753"/>
    <mergeCell ref="U753:W753"/>
    <mergeCell ref="Q754:R756"/>
    <mergeCell ref="S754:S756"/>
    <mergeCell ref="T754:T756"/>
    <mergeCell ref="U754:W754"/>
    <mergeCell ref="U755:W755"/>
    <mergeCell ref="U756:W756"/>
    <mergeCell ref="AC749:AC751"/>
    <mergeCell ref="AD749:AD751"/>
    <mergeCell ref="U750:W750"/>
    <mergeCell ref="U751:W751"/>
    <mergeCell ref="T749:T751"/>
    <mergeCell ref="U749:W749"/>
    <mergeCell ref="AA749:AA751"/>
    <mergeCell ref="AB749:AB751"/>
    <mergeCell ref="T746:T748"/>
    <mergeCell ref="U746:W746"/>
    <mergeCell ref="AA746:AA748"/>
    <mergeCell ref="AB746:AB748"/>
    <mergeCell ref="AC746:AC748"/>
    <mergeCell ref="AD746:AD748"/>
    <mergeCell ref="U747:W747"/>
    <mergeCell ref="U748:W748"/>
    <mergeCell ref="BI756:BJ756"/>
    <mergeCell ref="T757:T759"/>
    <mergeCell ref="U757:W757"/>
    <mergeCell ref="AA757:AA759"/>
    <mergeCell ref="AB757:AB759"/>
    <mergeCell ref="AC757:AC759"/>
    <mergeCell ref="AD757:AD759"/>
    <mergeCell ref="U758:W758"/>
    <mergeCell ref="U759:W759"/>
    <mergeCell ref="AQ756:AR756"/>
    <mergeCell ref="AS756:AT756"/>
    <mergeCell ref="AW756:AX756"/>
    <mergeCell ref="AK756:AL756"/>
    <mergeCell ref="AM756:AN756"/>
    <mergeCell ref="AO756:AP756"/>
    <mergeCell ref="AY756:AZ756"/>
    <mergeCell ref="BA756:BB756"/>
    <mergeCell ref="BE756:BF756"/>
    <mergeCell ref="AA754:AA756"/>
    <mergeCell ref="AB754:AB756"/>
    <mergeCell ref="AC754:AC756"/>
    <mergeCell ref="AD754:AD756"/>
    <mergeCell ref="AI754:AN754"/>
    <mergeCell ref="AO754:AT754"/>
    <mergeCell ref="AI756:AJ756"/>
    <mergeCell ref="Q764:S764"/>
    <mergeCell ref="U764:W764"/>
    <mergeCell ref="Q765:R767"/>
    <mergeCell ref="S765:S767"/>
    <mergeCell ref="T765:T767"/>
    <mergeCell ref="U765:W765"/>
    <mergeCell ref="U766:W766"/>
    <mergeCell ref="U767:W767"/>
    <mergeCell ref="AC760:AC762"/>
    <mergeCell ref="AD760:AD762"/>
    <mergeCell ref="U761:W761"/>
    <mergeCell ref="U762:W762"/>
    <mergeCell ref="T760:T762"/>
    <mergeCell ref="U760:W760"/>
    <mergeCell ref="AA760:AA762"/>
    <mergeCell ref="AB760:AB762"/>
    <mergeCell ref="BG756:BH756"/>
    <mergeCell ref="BG767:BH767"/>
    <mergeCell ref="T768:T770"/>
    <mergeCell ref="U768:W768"/>
    <mergeCell ref="AA768:AA770"/>
    <mergeCell ref="AB768:AB770"/>
    <mergeCell ref="AC768:AC770"/>
    <mergeCell ref="AD768:AD770"/>
    <mergeCell ref="U769:W769"/>
    <mergeCell ref="U770:W770"/>
    <mergeCell ref="AQ767:AR767"/>
    <mergeCell ref="AS767:AT767"/>
    <mergeCell ref="AW767:AX767"/>
    <mergeCell ref="AY767:AZ767"/>
    <mergeCell ref="U773:W773"/>
    <mergeCell ref="BI767:BJ767"/>
    <mergeCell ref="BA767:BB767"/>
    <mergeCell ref="BE767:BF767"/>
    <mergeCell ref="AA765:AA767"/>
    <mergeCell ref="AB765:AB767"/>
    <mergeCell ref="AC765:AC767"/>
    <mergeCell ref="AD765:AD767"/>
    <mergeCell ref="AI765:AN765"/>
    <mergeCell ref="AO765:AT765"/>
    <mergeCell ref="AI767:AJ767"/>
    <mergeCell ref="AK767:AL767"/>
    <mergeCell ref="AM767:AN767"/>
    <mergeCell ref="AO767:AP767"/>
    <mergeCell ref="T779:U779"/>
    <mergeCell ref="X779:Z779"/>
    <mergeCell ref="T780:U780"/>
    <mergeCell ref="X780:Z780"/>
    <mergeCell ref="T782:U782"/>
    <mergeCell ref="X782:Z782"/>
    <mergeCell ref="AA780:AC780"/>
    <mergeCell ref="T781:U781"/>
    <mergeCell ref="AA781:AC781"/>
    <mergeCell ref="T776:W776"/>
    <mergeCell ref="X776:Z776"/>
    <mergeCell ref="AA776:AC776"/>
    <mergeCell ref="AD776:AF776"/>
    <mergeCell ref="T778:U778"/>
    <mergeCell ref="X778:Z778"/>
    <mergeCell ref="T771:T773"/>
    <mergeCell ref="U771:W771"/>
    <mergeCell ref="AA771:AA773"/>
    <mergeCell ref="AB771:AB773"/>
    <mergeCell ref="AC771:AC773"/>
    <mergeCell ref="AD771:AD773"/>
    <mergeCell ref="U772:W772"/>
    <mergeCell ref="AD784:AF784"/>
    <mergeCell ref="T785:U785"/>
    <mergeCell ref="AD785:AF785"/>
    <mergeCell ref="T786:U786"/>
    <mergeCell ref="X786:Z786"/>
    <mergeCell ref="AD786:AF786"/>
    <mergeCell ref="T784:U784"/>
    <mergeCell ref="AA782:AC782"/>
    <mergeCell ref="T783:U783"/>
    <mergeCell ref="X783:Z783"/>
    <mergeCell ref="AA788:AC788"/>
    <mergeCell ref="T789:U789"/>
    <mergeCell ref="AA789:AC789"/>
    <mergeCell ref="T787:U787"/>
    <mergeCell ref="X787:Z787"/>
    <mergeCell ref="T788:U788"/>
    <mergeCell ref="X788:Z788"/>
    <mergeCell ref="X784:Z784"/>
    <mergeCell ref="T795:AD795"/>
    <mergeCell ref="Q797:S797"/>
    <mergeCell ref="U797:W797"/>
    <mergeCell ref="Q798:R800"/>
    <mergeCell ref="S798:S800"/>
    <mergeCell ref="T798:T800"/>
    <mergeCell ref="U798:W798"/>
    <mergeCell ref="U799:W799"/>
    <mergeCell ref="U800:W800"/>
    <mergeCell ref="AI797:AN797"/>
    <mergeCell ref="AO797:AT797"/>
    <mergeCell ref="T790:U790"/>
    <mergeCell ref="X790:Z790"/>
    <mergeCell ref="AA790:AC790"/>
    <mergeCell ref="T791:U791"/>
    <mergeCell ref="X791:Z791"/>
    <mergeCell ref="T792:U792"/>
    <mergeCell ref="X792:Z792"/>
    <mergeCell ref="T793:U793"/>
    <mergeCell ref="BC800:BD800"/>
    <mergeCell ref="BE800:BF800"/>
    <mergeCell ref="BG800:BH800"/>
    <mergeCell ref="AB804:AB806"/>
    <mergeCell ref="AC804:AC806"/>
    <mergeCell ref="AD804:AD806"/>
    <mergeCell ref="AE804:AE806"/>
    <mergeCell ref="AE801:AE803"/>
    <mergeCell ref="AW801:AX801"/>
    <mergeCell ref="BI800:BJ800"/>
    <mergeCell ref="T801:T803"/>
    <mergeCell ref="U801:W801"/>
    <mergeCell ref="AB801:AB803"/>
    <mergeCell ref="AC801:AC803"/>
    <mergeCell ref="AD801:AD803"/>
    <mergeCell ref="AM800:AN800"/>
    <mergeCell ref="AO800:AP800"/>
    <mergeCell ref="AQ800:AR800"/>
    <mergeCell ref="AS800:AT800"/>
    <mergeCell ref="AI800:AJ800"/>
    <mergeCell ref="AK800:AL800"/>
    <mergeCell ref="AB798:AB800"/>
    <mergeCell ref="AC798:AC800"/>
    <mergeCell ref="AW800:AX800"/>
    <mergeCell ref="AY800:AZ800"/>
    <mergeCell ref="AD798:AD800"/>
    <mergeCell ref="AE798:AE800"/>
    <mergeCell ref="AD807:AD809"/>
    <mergeCell ref="AE807:AE809"/>
    <mergeCell ref="U808:W808"/>
    <mergeCell ref="U809:W809"/>
    <mergeCell ref="AB807:AB809"/>
    <mergeCell ref="AC807:AC809"/>
    <mergeCell ref="U802:W802"/>
    <mergeCell ref="U803:W803"/>
    <mergeCell ref="Q811:S811"/>
    <mergeCell ref="U811:W811"/>
    <mergeCell ref="U805:W805"/>
    <mergeCell ref="U806:W806"/>
    <mergeCell ref="T807:T809"/>
    <mergeCell ref="U807:W807"/>
    <mergeCell ref="T804:T806"/>
    <mergeCell ref="U804:W804"/>
    <mergeCell ref="BA800:BB800"/>
    <mergeCell ref="BI814:BJ814"/>
    <mergeCell ref="AQ814:AR814"/>
    <mergeCell ref="AS814:AT814"/>
    <mergeCell ref="AW814:AX814"/>
    <mergeCell ref="AY814:AZ814"/>
    <mergeCell ref="BA814:BB814"/>
    <mergeCell ref="BE814:BF814"/>
    <mergeCell ref="AC815:AC817"/>
    <mergeCell ref="AD815:AD817"/>
    <mergeCell ref="U816:W816"/>
    <mergeCell ref="U817:W817"/>
    <mergeCell ref="T815:T817"/>
    <mergeCell ref="U815:W815"/>
    <mergeCell ref="AA815:AA817"/>
    <mergeCell ref="AB815:AB817"/>
    <mergeCell ref="AI814:AJ814"/>
    <mergeCell ref="AK814:AL814"/>
    <mergeCell ref="AC812:AC814"/>
    <mergeCell ref="AD812:AD814"/>
    <mergeCell ref="AI812:AN812"/>
    <mergeCell ref="AO812:AT812"/>
    <mergeCell ref="AM814:AN814"/>
    <mergeCell ref="AO814:AP814"/>
    <mergeCell ref="T812:T814"/>
    <mergeCell ref="U812:W812"/>
    <mergeCell ref="AA812:AA814"/>
    <mergeCell ref="AB812:AB814"/>
    <mergeCell ref="U813:W813"/>
    <mergeCell ref="U814:W814"/>
    <mergeCell ref="Q822:S822"/>
    <mergeCell ref="U822:W822"/>
    <mergeCell ref="Q823:R825"/>
    <mergeCell ref="S823:S825"/>
    <mergeCell ref="T823:T825"/>
    <mergeCell ref="U823:W823"/>
    <mergeCell ref="U824:W824"/>
    <mergeCell ref="U825:W825"/>
    <mergeCell ref="AC818:AC820"/>
    <mergeCell ref="AD818:AD820"/>
    <mergeCell ref="U819:W819"/>
    <mergeCell ref="U820:W820"/>
    <mergeCell ref="T818:T820"/>
    <mergeCell ref="U818:W818"/>
    <mergeCell ref="AA818:AA820"/>
    <mergeCell ref="AB818:AB820"/>
    <mergeCell ref="BG814:BH814"/>
    <mergeCell ref="Q812:R814"/>
    <mergeCell ref="S812:S814"/>
    <mergeCell ref="AQ825:AR825"/>
    <mergeCell ref="AS825:AT825"/>
    <mergeCell ref="AW825:AX825"/>
    <mergeCell ref="AY825:AZ825"/>
    <mergeCell ref="BG825:BH825"/>
    <mergeCell ref="BI825:BJ825"/>
    <mergeCell ref="BA825:BB825"/>
    <mergeCell ref="BE825:BF825"/>
    <mergeCell ref="AA823:AA825"/>
    <mergeCell ref="AB823:AB825"/>
    <mergeCell ref="AC823:AC825"/>
    <mergeCell ref="AD823:AD825"/>
    <mergeCell ref="AI823:AN823"/>
    <mergeCell ref="AO823:AT823"/>
    <mergeCell ref="AI825:AJ825"/>
    <mergeCell ref="AK825:AL825"/>
    <mergeCell ref="AM825:AN825"/>
    <mergeCell ref="AO825:AP825"/>
    <mergeCell ref="Q833:S833"/>
    <mergeCell ref="U833:W833"/>
    <mergeCell ref="Q834:R836"/>
    <mergeCell ref="S834:S836"/>
    <mergeCell ref="T834:T836"/>
    <mergeCell ref="U834:W834"/>
    <mergeCell ref="U835:W835"/>
    <mergeCell ref="U836:W836"/>
    <mergeCell ref="AC829:AC831"/>
    <mergeCell ref="AD829:AD831"/>
    <mergeCell ref="U830:W830"/>
    <mergeCell ref="U831:W831"/>
    <mergeCell ref="T829:T831"/>
    <mergeCell ref="U829:W829"/>
    <mergeCell ref="AA829:AA831"/>
    <mergeCell ref="AB829:AB831"/>
    <mergeCell ref="T826:T828"/>
    <mergeCell ref="U826:W826"/>
    <mergeCell ref="AA826:AA828"/>
    <mergeCell ref="AB826:AB828"/>
    <mergeCell ref="AC826:AC828"/>
    <mergeCell ref="AD826:AD828"/>
    <mergeCell ref="U827:W827"/>
    <mergeCell ref="U828:W828"/>
    <mergeCell ref="BI836:BJ836"/>
    <mergeCell ref="T837:T839"/>
    <mergeCell ref="U837:W837"/>
    <mergeCell ref="AA837:AA839"/>
    <mergeCell ref="AB837:AB839"/>
    <mergeCell ref="AC837:AC839"/>
    <mergeCell ref="AD837:AD839"/>
    <mergeCell ref="U838:W838"/>
    <mergeCell ref="U839:W839"/>
    <mergeCell ref="AQ836:AR836"/>
    <mergeCell ref="AS836:AT836"/>
    <mergeCell ref="AW836:AX836"/>
    <mergeCell ref="AK836:AL836"/>
    <mergeCell ref="AM836:AN836"/>
    <mergeCell ref="AO836:AP836"/>
    <mergeCell ref="AY836:AZ836"/>
    <mergeCell ref="BA836:BB836"/>
    <mergeCell ref="BE836:BF836"/>
    <mergeCell ref="AA834:AA836"/>
    <mergeCell ref="AB834:AB836"/>
    <mergeCell ref="AC834:AC836"/>
    <mergeCell ref="AD834:AD836"/>
    <mergeCell ref="AI834:AN834"/>
    <mergeCell ref="AO834:AT834"/>
    <mergeCell ref="AI836:AJ836"/>
    <mergeCell ref="Q844:S844"/>
    <mergeCell ref="U844:W844"/>
    <mergeCell ref="Q845:R847"/>
    <mergeCell ref="S845:S847"/>
    <mergeCell ref="T845:T847"/>
    <mergeCell ref="U845:W845"/>
    <mergeCell ref="U846:W846"/>
    <mergeCell ref="U847:W847"/>
    <mergeCell ref="AC840:AC842"/>
    <mergeCell ref="AD840:AD842"/>
    <mergeCell ref="U841:W841"/>
    <mergeCell ref="U842:W842"/>
    <mergeCell ref="T840:T842"/>
    <mergeCell ref="U840:W840"/>
    <mergeCell ref="AA840:AA842"/>
    <mergeCell ref="AB840:AB842"/>
    <mergeCell ref="BG836:BH836"/>
    <mergeCell ref="BG847:BH847"/>
    <mergeCell ref="AS847:AT847"/>
    <mergeCell ref="AW847:AX847"/>
    <mergeCell ref="AY847:AZ847"/>
    <mergeCell ref="BA847:BB847"/>
    <mergeCell ref="BI847:BJ847"/>
    <mergeCell ref="T848:T850"/>
    <mergeCell ref="U848:W848"/>
    <mergeCell ref="AA848:AA850"/>
    <mergeCell ref="AB848:AB850"/>
    <mergeCell ref="AC848:AC850"/>
    <mergeCell ref="BE847:BF847"/>
    <mergeCell ref="AA845:AA847"/>
    <mergeCell ref="AB845:AB847"/>
    <mergeCell ref="AC845:AC847"/>
    <mergeCell ref="AD845:AD847"/>
    <mergeCell ref="AI845:AN845"/>
    <mergeCell ref="AO845:AT845"/>
    <mergeCell ref="AI847:AJ847"/>
    <mergeCell ref="AK847:AL847"/>
    <mergeCell ref="AM847:AN847"/>
    <mergeCell ref="AO847:AP847"/>
    <mergeCell ref="Q856:R858"/>
    <mergeCell ref="S856:S858"/>
    <mergeCell ref="T856:T858"/>
    <mergeCell ref="U856:W856"/>
    <mergeCell ref="U857:W857"/>
    <mergeCell ref="U858:W858"/>
    <mergeCell ref="T851:T853"/>
    <mergeCell ref="U851:W851"/>
    <mergeCell ref="AA851:AA853"/>
    <mergeCell ref="AB851:AB853"/>
    <mergeCell ref="Q855:S855"/>
    <mergeCell ref="U855:W855"/>
    <mergeCell ref="AD848:AD850"/>
    <mergeCell ref="U849:W849"/>
    <mergeCell ref="U850:W850"/>
    <mergeCell ref="AQ847:AR847"/>
    <mergeCell ref="AC851:AC853"/>
    <mergeCell ref="AD851:AD853"/>
    <mergeCell ref="U852:W852"/>
    <mergeCell ref="U853:W853"/>
    <mergeCell ref="BG858:BH858"/>
    <mergeCell ref="BI858:BJ858"/>
    <mergeCell ref="T859:T861"/>
    <mergeCell ref="U859:W859"/>
    <mergeCell ref="AA859:AA861"/>
    <mergeCell ref="AB859:AB861"/>
    <mergeCell ref="AC859:AC861"/>
    <mergeCell ref="AD859:AD861"/>
    <mergeCell ref="U860:W860"/>
    <mergeCell ref="U861:W861"/>
    <mergeCell ref="AQ858:AR858"/>
    <mergeCell ref="AS858:AT858"/>
    <mergeCell ref="AW858:AX858"/>
    <mergeCell ref="AK858:AL858"/>
    <mergeCell ref="AM858:AN858"/>
    <mergeCell ref="AO858:AP858"/>
    <mergeCell ref="AY858:AZ858"/>
    <mergeCell ref="BA858:BB858"/>
    <mergeCell ref="BE858:BF858"/>
    <mergeCell ref="AA856:AA858"/>
    <mergeCell ref="AB856:AB858"/>
    <mergeCell ref="AC856:AC858"/>
    <mergeCell ref="AD856:AD858"/>
    <mergeCell ref="AI856:AN856"/>
    <mergeCell ref="AO856:AT856"/>
    <mergeCell ref="AI858:AJ858"/>
    <mergeCell ref="T870:U870"/>
    <mergeCell ref="X870:Z870"/>
    <mergeCell ref="T871:U871"/>
    <mergeCell ref="X871:Z871"/>
    <mergeCell ref="T873:U873"/>
    <mergeCell ref="X873:Z873"/>
    <mergeCell ref="AA871:AC871"/>
    <mergeCell ref="T872:U872"/>
    <mergeCell ref="AA872:AC872"/>
    <mergeCell ref="T867:W867"/>
    <mergeCell ref="X867:Z867"/>
    <mergeCell ref="AA867:AC867"/>
    <mergeCell ref="AD867:AF867"/>
    <mergeCell ref="T869:U869"/>
    <mergeCell ref="X869:Z869"/>
    <mergeCell ref="T862:T864"/>
    <mergeCell ref="U862:W862"/>
    <mergeCell ref="AA862:AA864"/>
    <mergeCell ref="AB862:AB864"/>
    <mergeCell ref="AC862:AC864"/>
    <mergeCell ref="AD862:AD864"/>
    <mergeCell ref="U863:W863"/>
    <mergeCell ref="U864:W864"/>
    <mergeCell ref="T884:U884"/>
    <mergeCell ref="T881:U881"/>
    <mergeCell ref="X881:Z881"/>
    <mergeCell ref="AA881:AC881"/>
    <mergeCell ref="T882:U882"/>
    <mergeCell ref="X882:Z882"/>
    <mergeCell ref="T883:U883"/>
    <mergeCell ref="X883:Z883"/>
    <mergeCell ref="AD875:AF875"/>
    <mergeCell ref="T876:U876"/>
    <mergeCell ref="AD876:AF876"/>
    <mergeCell ref="T877:U877"/>
    <mergeCell ref="X877:Z877"/>
    <mergeCell ref="AD877:AF877"/>
    <mergeCell ref="T875:U875"/>
    <mergeCell ref="AA873:AC873"/>
    <mergeCell ref="T874:U874"/>
    <mergeCell ref="X874:Z874"/>
    <mergeCell ref="AA879:AC879"/>
    <mergeCell ref="T880:U880"/>
    <mergeCell ref="AA880:AC880"/>
    <mergeCell ref="T878:U878"/>
    <mergeCell ref="X878:Z878"/>
    <mergeCell ref="T879:U879"/>
    <mergeCell ref="X879:Z879"/>
    <mergeCell ref="X875:Z875"/>
  </mergeCells>
  <phoneticPr fontId="0" type="noConversion"/>
  <dataValidations count="4">
    <dataValidation type="list" allowBlank="1" showInputMessage="1" showErrorMessage="1" sqref="N212 N254 N336 N708 N777 N868">
      <formula1>Podw</formula1>
    </dataValidation>
    <dataValidation type="list" allowBlank="1" showInputMessage="1" showErrorMessage="1" sqref="N74 N160 N457 N625">
      <formula1>Poj</formula1>
    </dataValidation>
    <dataValidation type="list" allowBlank="1" showInputMessage="1" showErrorMessage="1" sqref="N7 N18 N29 N40 N51 N62 N93 N104 N115 N126 N137 N148 N179 N190 N201 N225 N239 N263 N277 N288 N299 N310 N321 N357 N368 N379 N390 N401 N412 N423 N434 N445 N492 N503 N514 N525 N536 N547 N558 N569 N580 N591 N602 N613 N660 N674 N685 N696 N721 N732 N743 N754 N765 N798 N812 N823 N834 N845 N856">
      <formula1>Gry</formula1>
    </dataValidation>
    <dataValidation type="list" allowBlank="1" showInputMessage="1" showErrorMessage="1" error="Niewłściwe dane, wybierz dane z rowijanej listy" prompt="Wybierz z rozwijanej listy rodzaj gry" sqref="N4 N90 N176 N222 N260 N354 N489 N657 N718 N795">
      <formula1>Gry</formula1>
    </dataValidation>
  </dataValidations>
  <printOptions horizontalCentered="1"/>
  <pageMargins left="0.19685039370078741" right="0.19685039370078741" top="0.19685039370078741" bottom="0.59055118110236227" header="0" footer="0.59055118110236227"/>
  <pageSetup paperSize="9" scale="72" fitToHeight="0" orientation="portrait" r:id="rId1"/>
  <headerFooter alignWithMargins="0">
    <oddHeader>&amp;L&amp;G</oddHeader>
  </headerFooter>
  <rowBreaks count="10" manualBreakCount="10">
    <brk id="89" min="16" max="31" man="1"/>
    <brk id="175" min="16" max="31" man="1"/>
    <brk id="259" min="16" max="31" man="1"/>
    <brk id="353" min="16" max="31" man="1"/>
    <brk id="443" min="16" max="31" man="1"/>
    <brk id="488" min="16" max="31" man="1"/>
    <brk id="578" min="16" max="31" man="1"/>
    <brk id="656" min="16" max="31" man="1"/>
    <brk id="717" min="16" max="31" man="1"/>
    <brk id="794" min="16" max="31" man="1"/>
  </rowBreaks>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6">
    <pageSetUpPr fitToPage="1"/>
  </sheetPr>
  <dimension ref="A1:BL1004"/>
  <sheetViews>
    <sheetView topLeftCell="N1" workbookViewId="0">
      <selection activeCell="AE7" sqref="AE7:AE9"/>
    </sheetView>
  </sheetViews>
  <sheetFormatPr defaultRowHeight="11.45" customHeight="1" x14ac:dyDescent="0.2"/>
  <cols>
    <col min="1" max="1" width="2.33203125" style="1" customWidth="1"/>
    <col min="2" max="2" width="6.83203125" style="2" customWidth="1"/>
    <col min="3" max="3" width="9.33203125" style="2"/>
    <col min="4" max="4" width="7.33203125" style="2" customWidth="1"/>
    <col min="5" max="5" width="9.33203125" style="2"/>
    <col min="6" max="6" width="6.83203125" style="2" customWidth="1"/>
    <col min="7" max="7" width="9.33203125" style="2"/>
    <col min="8" max="8" width="15.33203125" style="2" customWidth="1"/>
    <col min="9" max="9" width="19.6640625" style="2" customWidth="1"/>
    <col min="10" max="11" width="6.6640625" style="11" customWidth="1"/>
    <col min="12" max="12" width="10.83203125" style="11" customWidth="1"/>
    <col min="13" max="13" width="20.83203125" style="2" customWidth="1"/>
    <col min="14" max="14" width="23" style="14" customWidth="1"/>
    <col min="15" max="15" width="4.1640625" style="11" bestFit="1" customWidth="1"/>
    <col min="16" max="16" width="3.1640625" style="11" customWidth="1"/>
    <col min="17" max="17" width="10.5" style="5" bestFit="1" customWidth="1"/>
    <col min="18" max="18" width="6" style="5" customWidth="1"/>
    <col min="19" max="19" width="4.6640625" style="5" customWidth="1"/>
    <col min="20" max="21" width="3.5" style="5" bestFit="1" customWidth="1"/>
    <col min="22" max="22" width="55.83203125" style="5" customWidth="1"/>
    <col min="23" max="23" width="4.33203125" style="5" customWidth="1"/>
    <col min="24" max="29" width="6.83203125" style="5" customWidth="1"/>
    <col min="30" max="30" width="7.83203125" style="5" bestFit="1" customWidth="1"/>
    <col min="31" max="31" width="7.83203125" style="5" customWidth="1"/>
    <col min="32" max="32" width="7.83203125" style="19" customWidth="1"/>
    <col min="33" max="33" width="4.1640625" style="19" customWidth="1"/>
    <col min="34" max="45" width="2.1640625" style="19" customWidth="1"/>
    <col min="46" max="47" width="2.33203125" style="19" customWidth="1"/>
    <col min="48" max="53" width="2.1640625" style="19" customWidth="1"/>
    <col min="54" max="55" width="3.83203125" style="19" customWidth="1"/>
    <col min="56" max="61" width="2.1640625" style="19" customWidth="1"/>
    <col min="62" max="62" width="8.1640625" style="19" customWidth="1"/>
    <col min="63" max="63" width="11.33203125" style="20" customWidth="1"/>
    <col min="64" max="64" width="9.33203125" style="2"/>
    <col min="65" max="65" width="15.33203125" style="2" customWidth="1"/>
    <col min="66" max="16384" width="9.33203125" style="2"/>
  </cols>
  <sheetData>
    <row r="1" spans="1:64" ht="12" customHeight="1" x14ac:dyDescent="0.2">
      <c r="J1" s="3"/>
      <c r="K1" s="3"/>
      <c r="L1" s="3"/>
      <c r="N1" s="4"/>
      <c r="O1" s="3"/>
      <c r="P1" s="3"/>
      <c r="R1" s="6"/>
      <c r="S1" s="6"/>
      <c r="T1" s="289" t="str">
        <f>IF(ISBLANK([1]dane!$D$2),"",[1]dane!$D$2)</f>
        <v>XIII MAZOVIA JUNIOR CUP</v>
      </c>
      <c r="U1" s="289"/>
      <c r="V1" s="289"/>
      <c r="W1" s="289"/>
      <c r="X1" s="289"/>
      <c r="Y1" s="289"/>
      <c r="Z1" s="289"/>
      <c r="AA1" s="289"/>
      <c r="AB1" s="289"/>
      <c r="AC1" s="289"/>
      <c r="AD1" s="289"/>
      <c r="AE1" s="6"/>
      <c r="AF1" s="6"/>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8"/>
    </row>
    <row r="2" spans="1:64" ht="12" customHeight="1" x14ac:dyDescent="0.2">
      <c r="J2" s="3"/>
      <c r="K2" s="3"/>
      <c r="L2" s="3"/>
      <c r="N2" s="4"/>
      <c r="O2" s="3"/>
      <c r="P2" s="3"/>
      <c r="R2" s="6"/>
      <c r="S2" s="6"/>
      <c r="T2" s="289" t="str">
        <f>IF(ISBLANK([1]dane!$D$3),"",[1]dane!$D$3)</f>
        <v>Sochocin, 25-26.10.2013</v>
      </c>
      <c r="U2" s="289"/>
      <c r="V2" s="289"/>
      <c r="W2" s="289"/>
      <c r="X2" s="289"/>
      <c r="Y2" s="289"/>
      <c r="Z2" s="289"/>
      <c r="AA2" s="289"/>
      <c r="AB2" s="289"/>
      <c r="AC2" s="289"/>
      <c r="AD2" s="289"/>
      <c r="AE2" s="6"/>
      <c r="AF2" s="6"/>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8"/>
    </row>
    <row r="3" spans="1:64" s="10" customFormat="1" ht="11.45" customHeight="1" x14ac:dyDescent="0.2">
      <c r="A3" s="9"/>
      <c r="J3" s="11"/>
      <c r="K3" s="11"/>
      <c r="L3" s="11"/>
      <c r="N3" s="12"/>
      <c r="O3" s="11"/>
      <c r="P3" s="11"/>
      <c r="R3" s="13"/>
      <c r="S3" s="13"/>
      <c r="T3" s="6"/>
      <c r="U3" s="6"/>
      <c r="V3" s="6"/>
      <c r="W3" s="6"/>
      <c r="X3" s="6"/>
      <c r="Y3" s="6"/>
      <c r="Z3" s="6"/>
      <c r="AA3" s="6"/>
      <c r="AB3" s="6"/>
      <c r="AC3" s="6"/>
      <c r="AD3" s="6"/>
      <c r="AE3" s="6"/>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5"/>
    </row>
    <row r="4" spans="1:64" ht="11.45" customHeight="1" x14ac:dyDescent="0.2">
      <c r="M4" s="16"/>
      <c r="N4" s="17" t="s">
        <v>153</v>
      </c>
      <c r="R4" s="18"/>
      <c r="S4" s="18"/>
      <c r="T4" s="277" t="str">
        <f>"Gra "&amp;N4</f>
        <v>Gra podwójna dziewcząt M</v>
      </c>
      <c r="U4" s="277"/>
      <c r="V4" s="277"/>
      <c r="W4" s="277"/>
      <c r="X4" s="277"/>
      <c r="Y4" s="277"/>
      <c r="Z4" s="277"/>
      <c r="AA4" s="277"/>
      <c r="AB4" s="277"/>
      <c r="AC4" s="277"/>
      <c r="AD4" s="277"/>
      <c r="AE4" s="18"/>
    </row>
    <row r="5" spans="1:64" ht="11.45" customHeight="1" thickBot="1" x14ac:dyDescent="0.25"/>
    <row r="6" spans="1:64" ht="11.45" customHeight="1" thickBot="1" x14ac:dyDescent="0.25">
      <c r="B6" s="2" t="s">
        <v>63</v>
      </c>
      <c r="N6" s="138"/>
      <c r="O6" s="21">
        <v>1</v>
      </c>
      <c r="Q6" s="277" t="str">
        <f>"Grupa "&amp;O6&amp;"."</f>
        <v>Grupa 1.</v>
      </c>
      <c r="R6" s="277"/>
      <c r="S6" s="277"/>
      <c r="T6" s="22" t="s">
        <v>1</v>
      </c>
      <c r="U6" s="278" t="s">
        <v>2</v>
      </c>
      <c r="V6" s="279"/>
      <c r="W6" s="280"/>
      <c r="X6" s="22">
        <v>1</v>
      </c>
      <c r="Y6" s="139">
        <v>2</v>
      </c>
      <c r="Z6" s="23">
        <v>3</v>
      </c>
      <c r="AA6" s="140">
        <v>4</v>
      </c>
      <c r="AB6" s="141" t="s">
        <v>3</v>
      </c>
      <c r="AC6" s="142" t="s">
        <v>4</v>
      </c>
      <c r="AD6" s="26" t="s">
        <v>5</v>
      </c>
      <c r="AE6" s="143" t="s">
        <v>6</v>
      </c>
      <c r="AF6" s="12"/>
      <c r="AG6" s="12"/>
      <c r="AI6" s="273" t="s">
        <v>9</v>
      </c>
      <c r="AJ6" s="273"/>
      <c r="AK6" s="273"/>
      <c r="AL6" s="273"/>
      <c r="AM6" s="273"/>
      <c r="AN6" s="273"/>
      <c r="AO6" s="273" t="s">
        <v>10</v>
      </c>
      <c r="AP6" s="273"/>
      <c r="AQ6" s="273"/>
      <c r="AR6" s="273"/>
      <c r="AS6" s="273"/>
      <c r="AT6" s="273"/>
      <c r="BK6" s="19"/>
      <c r="BL6" s="20"/>
    </row>
    <row r="7" spans="1:64" ht="11.45" customHeight="1" x14ac:dyDescent="0.2">
      <c r="N7" s="29" t="s">
        <v>153</v>
      </c>
      <c r="Q7" s="274" t="s">
        <v>7</v>
      </c>
      <c r="R7" s="274"/>
      <c r="S7" s="275" t="s">
        <v>8</v>
      </c>
      <c r="T7" s="242">
        <v>1</v>
      </c>
      <c r="U7" s="244" t="str">
        <f>IF(AND(N8&lt;&gt;"",N9&lt;&gt;""),CONCATENATE(VLOOKUP(N8,[1]zawodnicy!$A$1:$E$65536,1,FALSE)," ",VLOOKUP(N8,[1]zawodnicy!$A$1:$E$65536,2,FALSE)," ",VLOOKUP(N8,[1]zawodnicy!$A$1:$E$65536,3,FALSE)," - ",VLOOKUP(N8,[1]zawodnicy!$A$1:$E$65536,4,FALSE)),"")</f>
        <v>B4737 Wiktoria BUDZISZEWSKA - UKS Kiko Zamość</v>
      </c>
      <c r="V7" s="245"/>
      <c r="W7" s="246"/>
      <c r="X7" s="35"/>
      <c r="Y7" s="36" t="str">
        <f>IF(SUM(AO15:AP15)=0,"",AO15&amp;":"&amp;AP15)</f>
        <v>13:21</v>
      </c>
      <c r="Z7" s="36" t="str">
        <f>IF(SUM(AO10:AP10)=0,"",AO10&amp;":"&amp;AP10)</f>
        <v>11:21</v>
      </c>
      <c r="AA7" s="144" t="str">
        <f>IF(SUM(AO12:AP12)=0,"",AO12&amp;":"&amp;AP12)</f>
        <v>17:21</v>
      </c>
      <c r="AB7" s="242" t="str">
        <f>IF(SUM(AY10:BD10)=0,"",BE10&amp;":"&amp;BF10)</f>
        <v>112:143</v>
      </c>
      <c r="AC7" s="251" t="str">
        <f>IF(SUM(AY10:BD10)=0,"",BG10&amp;":"&amp;BH10)</f>
        <v>1:6</v>
      </c>
      <c r="AD7" s="251" t="str">
        <f>IF(SUM(AY10:BD10)=0,"",BI10&amp;":"&amp;BJ10)</f>
        <v>0:3</v>
      </c>
      <c r="AE7" s="254">
        <f>IF(SUM(BI10:BI13)&gt;0,BK10,"")</f>
        <v>4</v>
      </c>
      <c r="AF7" s="12"/>
      <c r="AG7" s="12"/>
      <c r="BK7" s="19"/>
      <c r="BL7" s="20"/>
    </row>
    <row r="8" spans="1:64" ht="11.45" customHeight="1" thickBot="1" x14ac:dyDescent="0.25">
      <c r="H8" s="10"/>
      <c r="I8" s="2" t="str">
        <f>"1"&amp;O6&amp;N7</f>
        <v>11podwójna dziewcząt M</v>
      </c>
      <c r="J8" s="10" t="str">
        <f>IF(AE7="","",IF(AE7=1,N8,IF(AE10=1,N11,IF(AE13=1,N14,IF(AE16=1,N17,"")))))</f>
        <v>J4505</v>
      </c>
      <c r="K8" s="10" t="str">
        <f>IF(AE7="","",IF(AE7=1,N9,IF(AE10=1,N12,IF(AE13=1,N15,IF(AE16=1,N18,"")))))</f>
        <v>K5041</v>
      </c>
      <c r="L8" s="10"/>
      <c r="N8" s="33" t="s">
        <v>154</v>
      </c>
      <c r="O8" s="34">
        <f>IF(O6&gt;0,(O6&amp;1)*1,"")</f>
        <v>11</v>
      </c>
      <c r="Q8" s="274"/>
      <c r="R8" s="274"/>
      <c r="S8" s="275"/>
      <c r="T8" s="242"/>
      <c r="U8" s="244" t="str">
        <f>IF(AND(N8&lt;&gt;"",N9=""),CONCATENATE(VLOOKUP(N8,[1]zawodnicy!$A$1:$E$65536,1,FALSE)," ",VLOOKUP(N8,[1]zawodnicy!$A$1:$E$65536,2,FALSE)," ",VLOOKUP(N8,[1]zawodnicy!$A$1:$E$65536,3,FALSE)," - ",VLOOKUP(N8,[1]zawodnicy!$A$1:$E$65536,4,FALSE)),"")</f>
        <v/>
      </c>
      <c r="V8" s="245"/>
      <c r="W8" s="246"/>
      <c r="X8" s="35"/>
      <c r="Y8" s="36" t="str">
        <f>IF(SUM(AQ15:AR15)=0,"",AQ15&amp;":"&amp;AR15)</f>
        <v>21:16</v>
      </c>
      <c r="Z8" s="36" t="str">
        <f>IF(SUM(AQ10:AR10)=0,"",AQ10&amp;":"&amp;AR10)</f>
        <v>17:21</v>
      </c>
      <c r="AA8" s="144" t="str">
        <f>IF(SUM(AQ12:AR12)=0,"",AQ12&amp;":"&amp;AR12)</f>
        <v>13:21</v>
      </c>
      <c r="AB8" s="242"/>
      <c r="AC8" s="251"/>
      <c r="AD8" s="251"/>
      <c r="AE8" s="254"/>
      <c r="AF8" s="12"/>
      <c r="AG8" s="12"/>
      <c r="BK8" s="19"/>
      <c r="BL8" s="20"/>
    </row>
    <row r="9" spans="1:64" ht="11.45" customHeight="1" thickBot="1" x14ac:dyDescent="0.25">
      <c r="J9" s="10"/>
      <c r="K9" s="28"/>
      <c r="L9" s="28"/>
      <c r="N9" s="38" t="s">
        <v>155</v>
      </c>
      <c r="O9" s="28"/>
      <c r="P9" s="28"/>
      <c r="Q9" s="274"/>
      <c r="R9" s="274"/>
      <c r="S9" s="275"/>
      <c r="T9" s="261"/>
      <c r="U9" s="265" t="str">
        <f>IF(N9&lt;&gt;"",CONCATENATE(VLOOKUP(N9,[1]zawodnicy!$A$1:$E$65536,1,FALSE)," ",VLOOKUP(N9,[1]zawodnicy!$A$1:$E$65536,2,FALSE)," ",VLOOKUP(N9,[1]zawodnicy!$A$1:$E$65536,3,FALSE)," - ",VLOOKUP(N9,[1]zawodnicy!$A$1:$E$65536,4,FALSE)),"")</f>
        <v>T4823 Sandra TATARELIS - UKS Kiko Zamość</v>
      </c>
      <c r="V9" s="266"/>
      <c r="W9" s="267"/>
      <c r="X9" s="35"/>
      <c r="Y9" s="39" t="str">
        <f>IF(SUM(AS15:AT15)=0,"",AS15&amp;":"&amp;AT15)</f>
        <v>20:22</v>
      </c>
      <c r="Z9" s="39" t="str">
        <f>IF(SUM(AS10:AT10)=0,"",AS10&amp;":"&amp;AT10)</f>
        <v/>
      </c>
      <c r="AA9" s="145" t="str">
        <f>IF(SUM(AS12:AT12)=0,"",AS12&amp;":"&amp;AT12)</f>
        <v/>
      </c>
      <c r="AB9" s="242"/>
      <c r="AC9" s="251"/>
      <c r="AD9" s="251"/>
      <c r="AE9" s="254"/>
      <c r="AF9" s="12"/>
      <c r="AG9" s="12"/>
      <c r="AI9" s="283" t="s">
        <v>12</v>
      </c>
      <c r="AJ9" s="281"/>
      <c r="AK9" s="281" t="s">
        <v>13</v>
      </c>
      <c r="AL9" s="281"/>
      <c r="AM9" s="281" t="s">
        <v>14</v>
      </c>
      <c r="AN9" s="281"/>
      <c r="AO9" s="283" t="s">
        <v>12</v>
      </c>
      <c r="AP9" s="281"/>
      <c r="AQ9" s="281" t="s">
        <v>13</v>
      </c>
      <c r="AR9" s="281"/>
      <c r="AS9" s="281" t="s">
        <v>14</v>
      </c>
      <c r="AT9" s="282"/>
      <c r="AW9" s="283">
        <v>1</v>
      </c>
      <c r="AX9" s="281"/>
      <c r="AY9" s="281">
        <v>2</v>
      </c>
      <c r="AZ9" s="281"/>
      <c r="BA9" s="281">
        <v>3</v>
      </c>
      <c r="BB9" s="281"/>
      <c r="BC9" s="281">
        <v>4</v>
      </c>
      <c r="BD9" s="282"/>
      <c r="BE9" s="283" t="s">
        <v>3</v>
      </c>
      <c r="BF9" s="282"/>
      <c r="BG9" s="283" t="s">
        <v>4</v>
      </c>
      <c r="BH9" s="282"/>
      <c r="BI9" s="283" t="s">
        <v>5</v>
      </c>
      <c r="BJ9" s="268"/>
      <c r="BK9" s="41" t="s">
        <v>6</v>
      </c>
      <c r="BL9" s="20"/>
    </row>
    <row r="10" spans="1:64" ht="11.45" customHeight="1" x14ac:dyDescent="0.2">
      <c r="A10" s="19">
        <f t="shared" ref="A10:A15" si="0">S10</f>
        <v>58</v>
      </c>
      <c r="B10" s="19" t="str">
        <f>IF(N8="","",N8)</f>
        <v>B4737</v>
      </c>
      <c r="C10" s="19" t="str">
        <f>IF(N9="","",N9)</f>
        <v>t4823</v>
      </c>
      <c r="D10" s="19" t="str">
        <f>IF(N14="","",N14)</f>
        <v>J4505</v>
      </c>
      <c r="E10" s="19" t="str">
        <f>IF(N15="","",N15)</f>
        <v>K5041</v>
      </c>
      <c r="H10" s="10"/>
      <c r="I10" s="2" t="str">
        <f>"2"&amp;O6&amp;N7</f>
        <v>21podwójna dziewcząt M</v>
      </c>
      <c r="J10" s="10" t="str">
        <f>IF(AE10="","",IF(AE7=2,N8,IF(AE10=2,N11,IF(AE13=2,N14,IF(AE16=2,N17,"")))))</f>
        <v>B4564</v>
      </c>
      <c r="K10" s="10" t="str">
        <f>IF(AE10="","",IF(AE7=2,N9,IF(AE10=2,N12,IF(AE13=2,N15,IF(AE16=2,N18,"")))))</f>
        <v>K4136</v>
      </c>
      <c r="L10" s="10"/>
      <c r="M10" s="42" t="str">
        <f>N7</f>
        <v>podwójna dziewcząt M</v>
      </c>
      <c r="O10" s="28"/>
      <c r="P10" s="28"/>
      <c r="Q10" s="43" t="str">
        <f>IF(AU10&gt;0,"",IF(A10=0,"",IF(VLOOKUP(A10,'[1]plan gier'!A$1:S$65536,19,FALSE)="","",VLOOKUP(A10,'[1]plan gier'!A$1:S$65536,19,FALSE))))</f>
        <v/>
      </c>
      <c r="R10" s="44" t="s">
        <v>15</v>
      </c>
      <c r="S10" s="146">
        <v>58</v>
      </c>
      <c r="T10" s="241">
        <v>2</v>
      </c>
      <c r="U10" s="244" t="str">
        <f>IF(AND(N11&lt;&gt;"",N12&lt;&gt;""),CONCATENATE(VLOOKUP(N11,[1]zawodnicy!$A$1:$E$65536,1,FALSE)," ",VLOOKUP(N11,[1]zawodnicy!$A$1:$E$65536,2,FALSE)," ",VLOOKUP(N11,[1]zawodnicy!$A$1:$E$65536,3,FALSE)," - ",VLOOKUP(N11,[1]zawodnicy!$A$1:$E$65536,4,FALSE)),"")</f>
        <v>F4339 Martyna FILIPIAK - MLKS Solec Kuj.</v>
      </c>
      <c r="V10" s="245"/>
      <c r="W10" s="246"/>
      <c r="X10" s="46" t="str">
        <f>IF(SUM(AO15:AP15)=0,"",AP15&amp;":"&amp;AO15)</f>
        <v>21:13</v>
      </c>
      <c r="Y10" s="147"/>
      <c r="Z10" s="83" t="str">
        <f>IF(SUM(AO13:AP13)=0,"",AO13&amp;":"&amp;AP13)</f>
        <v>15:21</v>
      </c>
      <c r="AA10" s="48" t="str">
        <f>IF(SUM(AO11:AP11)=0,"",AO11&amp;":"&amp;AP11)</f>
        <v>19:21</v>
      </c>
      <c r="AB10" s="241" t="str">
        <f>IF(SUM(AW11:AX11,BA11:BD11)=0,"",BE11&amp;":"&amp;BF11)</f>
        <v>131:138</v>
      </c>
      <c r="AC10" s="250" t="str">
        <f>IF(SUM(AW11:AX11,BA11:BD11)=0,"",BG11&amp;":"&amp;BH11)</f>
        <v>2:5</v>
      </c>
      <c r="AD10" s="250" t="str">
        <f>IF(SUM(AW11:AX11,BA11:BD11)=0,"",BI11&amp;":"&amp;BJ11)</f>
        <v>1:2</v>
      </c>
      <c r="AE10" s="253">
        <f>IF(SUM(BI10:BI13)&gt;0,BK11,"")</f>
        <v>3</v>
      </c>
      <c r="AF10" s="12"/>
      <c r="AG10" s="12"/>
      <c r="AH10" s="44" t="s">
        <v>15</v>
      </c>
      <c r="AI10" s="148">
        <f>IF(ISBLANK(S10),"",VLOOKUP(S10,'[1]plan gier'!$X$1:$AN$65536,12,FALSE))</f>
        <v>11</v>
      </c>
      <c r="AJ10" s="52">
        <f>IF(ISBLANK(S10),"",VLOOKUP(S10,'[1]plan gier'!$X$1:$AN$65536,13,FALSE))</f>
        <v>21</v>
      </c>
      <c r="AK10" s="52">
        <f>IF(ISBLANK(S10),"",VLOOKUP(S10,'[1]plan gier'!$X$1:$AN$65536,14,FALSE))</f>
        <v>17</v>
      </c>
      <c r="AL10" s="52">
        <f>IF(ISBLANK(S10),"",VLOOKUP(S10,'[1]plan gier'!$X$1:$AN$65536,15,FALSE))</f>
        <v>21</v>
      </c>
      <c r="AM10" s="52">
        <f>IF(ISBLANK(S10),"",VLOOKUP(S10,'[1]plan gier'!$X$1:$AN$65536,16,FALSE))</f>
        <v>0</v>
      </c>
      <c r="AN10" s="52">
        <f>IF(ISBLANK(S10),"",VLOOKUP(S10,'[1]plan gier'!$X$1:$AN$65536,17,FALSE))</f>
        <v>0</v>
      </c>
      <c r="AO10" s="49">
        <f t="shared" ref="AO10:AT15" si="1">IF(AI10="",0,AI10)</f>
        <v>11</v>
      </c>
      <c r="AP10" s="50">
        <f t="shared" si="1"/>
        <v>21</v>
      </c>
      <c r="AQ10" s="50">
        <f t="shared" si="1"/>
        <v>17</v>
      </c>
      <c r="AR10" s="50">
        <f t="shared" si="1"/>
        <v>21</v>
      </c>
      <c r="AS10" s="50">
        <f t="shared" si="1"/>
        <v>0</v>
      </c>
      <c r="AT10" s="57">
        <f t="shared" si="1"/>
        <v>0</v>
      </c>
      <c r="AU10" s="149">
        <f t="shared" ref="AU10:AU15" si="2">SUM(AO10:AT10)</f>
        <v>70</v>
      </c>
      <c r="AV10" s="5">
        <v>1</v>
      </c>
      <c r="AW10" s="284"/>
      <c r="AX10" s="285"/>
      <c r="AY10" s="50">
        <f>IF(AI15&gt;AJ15,1,0)+IF(AK15&gt;AL15,1,0)+IF(AM15&gt;AN15,1,0)</f>
        <v>1</v>
      </c>
      <c r="AZ10" s="50">
        <f>AW11</f>
        <v>2</v>
      </c>
      <c r="BA10" s="50">
        <f>IF(AI10&gt;AJ10,1,0)+IF(AK10&gt;AL10,1,0)+IF(AM10&gt;AN10,1,0)</f>
        <v>0</v>
      </c>
      <c r="BB10" s="52">
        <f>AW12</f>
        <v>2</v>
      </c>
      <c r="BC10" s="150">
        <f>IF(AI12&gt;AJ12,1,0)+IF(AK12&gt;AL12,1,0)+IF(AM12&gt;AN12,1,0)</f>
        <v>0</v>
      </c>
      <c r="BD10" s="58">
        <f>AW13</f>
        <v>2</v>
      </c>
      <c r="BE10" s="148">
        <f>AO10+AQ10+AS10+AO12+AQ12+AS12+AO15+AQ15+AS15</f>
        <v>112</v>
      </c>
      <c r="BF10" s="151">
        <f>AP10+AR10+AT10+AP12+AR12+AT12+AP15+AR15+AT15</f>
        <v>143</v>
      </c>
      <c r="BG10" s="148">
        <f>AY10+BA10+BC10</f>
        <v>1</v>
      </c>
      <c r="BH10" s="152">
        <f>AZ10+BB10+BD10</f>
        <v>6</v>
      </c>
      <c r="BI10" s="148">
        <f>IF(AY10&gt;AZ10,1,0)+IF(BA10&gt;BB10,1,0)+IF(BC10&gt;BD10,1,0)</f>
        <v>0</v>
      </c>
      <c r="BJ10" s="152">
        <f>IF(AZ10&gt;AY10,1,0)+IF(BB10&gt;BA10,1,0)+IF(BD10&gt;BC10,1,0)</f>
        <v>3</v>
      </c>
      <c r="BK10" s="153">
        <f>IF(BI10+BJ10=0,"",IF(BL10=MAX(BL10:BL13),1,IF(BL10=LARGE(BL10:BL13,2),2,IF(BL10=MIN(BL10:BL13),4,3))))</f>
        <v>4</v>
      </c>
      <c r="BL10" s="60">
        <f>IF(BI10+BJ10&lt;&gt;0,BI10+1+(BG10-BH10)/100+(BE10-BF10)/100000+(BE10/BF10)/1000000,0)</f>
        <v>0.94969078321678313</v>
      </c>
    </row>
    <row r="11" spans="1:64" ht="11.45" customHeight="1" x14ac:dyDescent="0.2">
      <c r="A11" s="19">
        <f t="shared" si="0"/>
        <v>59</v>
      </c>
      <c r="B11" s="19" t="str">
        <f>IF(N11="","",N11)</f>
        <v>F4339</v>
      </c>
      <c r="C11" s="19" t="str">
        <f>IF(N12="","",N12)</f>
        <v>P4758</v>
      </c>
      <c r="D11" s="19" t="str">
        <f>IF(N17="","",N17)</f>
        <v>B4564</v>
      </c>
      <c r="E11" s="19" t="str">
        <f>IF(N18="","",N18)</f>
        <v>K4136</v>
      </c>
      <c r="J11" s="10"/>
      <c r="K11" s="19"/>
      <c r="L11" s="19"/>
      <c r="M11" s="42" t="str">
        <f>N7</f>
        <v>podwójna dziewcząt M</v>
      </c>
      <c r="N11" s="33" t="s">
        <v>156</v>
      </c>
      <c r="O11" s="34">
        <f>IF(O6&gt;0,(O6&amp;2)*1,"")</f>
        <v>12</v>
      </c>
      <c r="Q11" s="43" t="str">
        <f>IF(AU11&gt;0,"",IF(A11=0,"",IF(VLOOKUP(A11,'[1]plan gier'!A$1:S$65536,19,FALSE)="","",VLOOKUP(A11,'[1]plan gier'!A$1:S$65536,19,FALSE))))</f>
        <v/>
      </c>
      <c r="R11" s="44" t="s">
        <v>66</v>
      </c>
      <c r="S11" s="146">
        <v>59</v>
      </c>
      <c r="T11" s="242"/>
      <c r="U11" s="244" t="str">
        <f>IF(AND(N11&lt;&gt;"",N12=""),CONCATENATE(VLOOKUP(N11,[1]zawodnicy!$A$1:$E$65536,1,FALSE)," ",VLOOKUP(N11,[1]zawodnicy!$A$1:$E$65536,2,FALSE)," ",VLOOKUP(N11,[1]zawodnicy!$A$1:$E$65536,3,FALSE)," - ",VLOOKUP(N11,[1]zawodnicy!$A$1:$E$65536,4,FALSE)),"")</f>
        <v/>
      </c>
      <c r="V11" s="245"/>
      <c r="W11" s="246"/>
      <c r="X11" s="61" t="str">
        <f>IF(SUM(AQ15:AR15)=0,"",AR15&amp;":"&amp;AQ15)</f>
        <v>16:21</v>
      </c>
      <c r="Y11" s="154"/>
      <c r="Z11" s="36" t="str">
        <f>IF(SUM(AQ13:AR13)=0,"",AQ13&amp;":"&amp;AR13)</f>
        <v>19:21</v>
      </c>
      <c r="AA11" s="37" t="str">
        <f>IF(SUM(AQ11:AR11)=0,"",AQ11&amp;":"&amp;AR11)</f>
        <v>19:21</v>
      </c>
      <c r="AB11" s="242"/>
      <c r="AC11" s="251"/>
      <c r="AD11" s="251"/>
      <c r="AE11" s="254"/>
      <c r="AF11" s="12"/>
      <c r="AG11" s="12"/>
      <c r="AH11" s="44" t="s">
        <v>66</v>
      </c>
      <c r="AI11" s="49">
        <f>IF(ISBLANK(S11),"",VLOOKUP(S11,'[1]plan gier'!$X$1:$AN$65536,12,FALSE))</f>
        <v>19</v>
      </c>
      <c r="AJ11" s="50">
        <f>IF(ISBLANK(S11),"",VLOOKUP(S11,'[1]plan gier'!$X$1:$AN$65536,13,FALSE))</f>
        <v>21</v>
      </c>
      <c r="AK11" s="50">
        <f>IF(ISBLANK(S11),"",VLOOKUP(S11,'[1]plan gier'!$X$1:$AN$65536,14,FALSE))</f>
        <v>19</v>
      </c>
      <c r="AL11" s="50">
        <f>IF(ISBLANK(S11),"",VLOOKUP(S11,'[1]plan gier'!$X$1:$AN$65536,15,FALSE))</f>
        <v>21</v>
      </c>
      <c r="AM11" s="50">
        <f>IF(ISBLANK(S11),"",VLOOKUP(S11,'[1]plan gier'!$X$1:$AN$65536,16,FALSE))</f>
        <v>0</v>
      </c>
      <c r="AN11" s="50">
        <f>IF(ISBLANK(S11),"",VLOOKUP(S11,'[1]plan gier'!$X$1:$AN$65536,17,FALSE))</f>
        <v>0</v>
      </c>
      <c r="AO11" s="63">
        <f t="shared" si="1"/>
        <v>19</v>
      </c>
      <c r="AP11" s="64">
        <f t="shared" si="1"/>
        <v>21</v>
      </c>
      <c r="AQ11" s="64">
        <f t="shared" si="1"/>
        <v>19</v>
      </c>
      <c r="AR11" s="64">
        <f t="shared" si="1"/>
        <v>21</v>
      </c>
      <c r="AS11" s="64">
        <f t="shared" si="1"/>
        <v>0</v>
      </c>
      <c r="AT11" s="69">
        <f t="shared" si="1"/>
        <v>0</v>
      </c>
      <c r="AU11" s="149">
        <f t="shared" si="2"/>
        <v>80</v>
      </c>
      <c r="AV11" s="5">
        <v>2</v>
      </c>
      <c r="AW11" s="63">
        <f>IF(AI15&lt;AJ15,1,0)+IF(AK15&lt;AL15,1,0)+IF(AM15&lt;AN15,1,0)</f>
        <v>2</v>
      </c>
      <c r="AX11" s="64">
        <f>AY10</f>
        <v>1</v>
      </c>
      <c r="AY11" s="155"/>
      <c r="AZ11" s="156"/>
      <c r="BA11" s="64">
        <f>IF(AI13&gt;AJ13,1,0)+IF(AK13&gt;AL13,1,0)+IF(AM13&gt;AN13,1,0)</f>
        <v>0</v>
      </c>
      <c r="BB11" s="64">
        <f>AY12</f>
        <v>2</v>
      </c>
      <c r="BC11" s="157">
        <f>IF(AI11&gt;AJ11,1,0)+IF(AK11&gt;AL11,1,0)+IF(AM11&gt;AN11,1,0)</f>
        <v>0</v>
      </c>
      <c r="BD11" s="70">
        <f>AY13</f>
        <v>2</v>
      </c>
      <c r="BE11" s="63">
        <f>AO11+AQ11+AS11+AO13+AQ13+AS13+AP15+AR15+AT15</f>
        <v>131</v>
      </c>
      <c r="BF11" s="70">
        <f>AP11+AR11+AT11+AP13+AR13+AT13+AO15+AQ15+AS15</f>
        <v>138</v>
      </c>
      <c r="BG11" s="63">
        <f>AW11+BA11+BC11</f>
        <v>2</v>
      </c>
      <c r="BH11" s="69">
        <f>AX11+BB11+BD11</f>
        <v>5</v>
      </c>
      <c r="BI11" s="63">
        <f>IF(AW11&gt;AX11,1,0)+IF(BA11&gt;BB11,1,0)+IF(BC11&gt;BD11,1,0)</f>
        <v>1</v>
      </c>
      <c r="BJ11" s="69">
        <f>IF(AX11&gt;AW11,1,0)+IF(BB11&gt;BA11,1,0)+IF(BD11&gt;BC11,1,0)</f>
        <v>2</v>
      </c>
      <c r="BK11" s="71">
        <f>IF(BI11+BJ11=0,"",IF(BL11=MAX(BL10:BL13),1,IF(BL11=LARGE(BL10:BL13,2),2,IF(BL11=MIN(BL10:BL13),4,3))))</f>
        <v>3</v>
      </c>
      <c r="BL11" s="60">
        <f>IF(BI11+BJ11&lt;&gt;0,BI11+1+(BG11-BH11)/100+(BE11-BF11)/100000+(BE11/BF11)/1000000,0)</f>
        <v>1.9699309492753623</v>
      </c>
    </row>
    <row r="12" spans="1:64" ht="11.45" customHeight="1" x14ac:dyDescent="0.2">
      <c r="A12" s="19">
        <f t="shared" si="0"/>
        <v>124</v>
      </c>
      <c r="B12" s="19" t="str">
        <f>IF(N8="","",N8)</f>
        <v>B4737</v>
      </c>
      <c r="C12" s="19" t="str">
        <f>IF(N9="","",N9)</f>
        <v>t4823</v>
      </c>
      <c r="D12" s="19" t="str">
        <f>IF(N17="","",N17)</f>
        <v>B4564</v>
      </c>
      <c r="E12" s="19" t="str">
        <f>IF(N18="","",N18)</f>
        <v>K4136</v>
      </c>
      <c r="H12" s="10"/>
      <c r="I12" s="2" t="str">
        <f>"3"&amp;O6&amp;N7</f>
        <v>31podwójna dziewcząt M</v>
      </c>
      <c r="J12" s="10" t="str">
        <f>IF(AE13="","",IF(AE7=3,N8,IF(AE10=3,N11,IF(AE13=3,N14,IF(AE16=3,N17,"")))))</f>
        <v>F4339</v>
      </c>
      <c r="K12" s="10" t="str">
        <f>IF(AE13="","",IF(AE7=3,N9,IF(AE10=3,N12,IF(AE13=3,N15,IF(AE16=3,N18,"")))))</f>
        <v>P4758</v>
      </c>
      <c r="L12" s="10"/>
      <c r="M12" s="42" t="str">
        <f>N7</f>
        <v>podwójna dziewcząt M</v>
      </c>
      <c r="N12" s="38" t="s">
        <v>157</v>
      </c>
      <c r="O12" s="28"/>
      <c r="P12" s="28"/>
      <c r="Q12" s="43" t="str">
        <f>IF(AU12&gt;0,"",IF(A12=0,"",IF(VLOOKUP(A12,'[1]plan gier'!A$1:S$65536,19,FALSE)="","",VLOOKUP(A12,'[1]plan gier'!A$1:S$65536,19,FALSE))))</f>
        <v/>
      </c>
      <c r="R12" s="44" t="s">
        <v>68</v>
      </c>
      <c r="S12" s="146">
        <v>124</v>
      </c>
      <c r="T12" s="261"/>
      <c r="U12" s="265" t="str">
        <f>IF(N12&lt;&gt;"",CONCATENATE(VLOOKUP(N12,[1]zawodnicy!$A$1:$E$65536,1,FALSE)," ",VLOOKUP(N12,[1]zawodnicy!$A$1:$E$65536,2,FALSE)," ",VLOOKUP(N12,[1]zawodnicy!$A$1:$E$65536,3,FALSE)," - ",VLOOKUP(N12,[1]zawodnicy!$A$1:$E$65536,4,FALSE)),"")</f>
        <v>P4758 Natalia PIETRZAK - MLKS Solec Kuj.</v>
      </c>
      <c r="V12" s="266"/>
      <c r="W12" s="267"/>
      <c r="X12" s="73" t="str">
        <f>IF(SUM(AS15:AT15)=0,"",AT15&amp;":"&amp;AS15)</f>
        <v>22:20</v>
      </c>
      <c r="Y12" s="154"/>
      <c r="Z12" s="39" t="str">
        <f>IF(SUM(AS13:AT13)=0,"",AS13&amp;":"&amp;AT13)</f>
        <v/>
      </c>
      <c r="AA12" s="40" t="str">
        <f>IF(SUM(AS11:AT11)=0,"",AS11&amp;":"&amp;AT11)</f>
        <v/>
      </c>
      <c r="AB12" s="242"/>
      <c r="AC12" s="251"/>
      <c r="AD12" s="251"/>
      <c r="AE12" s="254"/>
      <c r="AF12" s="12"/>
      <c r="AG12" s="12"/>
      <c r="AH12" s="44" t="s">
        <v>68</v>
      </c>
      <c r="AI12" s="49">
        <f>IF(ISBLANK(S12),"",VLOOKUP(S12,'[1]plan gier'!$X$1:$AN$65536,12,FALSE))</f>
        <v>17</v>
      </c>
      <c r="AJ12" s="50">
        <f>IF(ISBLANK(S12),"",VLOOKUP(S12,'[1]plan gier'!$X$1:$AN$65536,13,FALSE))</f>
        <v>21</v>
      </c>
      <c r="AK12" s="50">
        <f>IF(ISBLANK(S12),"",VLOOKUP(S12,'[1]plan gier'!$X$1:$AN$65536,14,FALSE))</f>
        <v>13</v>
      </c>
      <c r="AL12" s="50">
        <f>IF(ISBLANK(S12),"",VLOOKUP(S12,'[1]plan gier'!$X$1:$AN$65536,15,FALSE))</f>
        <v>21</v>
      </c>
      <c r="AM12" s="50">
        <f>IF(ISBLANK(S12),"",VLOOKUP(S12,'[1]plan gier'!$X$1:$AN$65536,16,FALSE))</f>
        <v>0</v>
      </c>
      <c r="AN12" s="50">
        <f>IF(ISBLANK(S12),"",VLOOKUP(S12,'[1]plan gier'!$X$1:$AN$65536,17,FALSE))</f>
        <v>0</v>
      </c>
      <c r="AO12" s="63">
        <f t="shared" si="1"/>
        <v>17</v>
      </c>
      <c r="AP12" s="64">
        <f t="shared" si="1"/>
        <v>21</v>
      </c>
      <c r="AQ12" s="64">
        <f t="shared" si="1"/>
        <v>13</v>
      </c>
      <c r="AR12" s="64">
        <f t="shared" si="1"/>
        <v>21</v>
      </c>
      <c r="AS12" s="64">
        <f t="shared" si="1"/>
        <v>0</v>
      </c>
      <c r="AT12" s="69">
        <f t="shared" si="1"/>
        <v>0</v>
      </c>
      <c r="AU12" s="149">
        <f t="shared" si="2"/>
        <v>72</v>
      </c>
      <c r="AV12" s="5">
        <v>3</v>
      </c>
      <c r="AW12" s="63">
        <f>IF(AI10&lt;AJ10,1,0)+IF(AK10&lt;AL10,1,0)+IF(AM10&lt;AN10,1,0)</f>
        <v>2</v>
      </c>
      <c r="AX12" s="64">
        <f>BA10</f>
        <v>0</v>
      </c>
      <c r="AY12" s="64">
        <f>IF(AI13&lt;AJ13,1,0)+IF(AK13&lt;AL13,1,0)+IF(AM13&lt;AN13,1,0)</f>
        <v>2</v>
      </c>
      <c r="AZ12" s="64">
        <f>BA11</f>
        <v>0</v>
      </c>
      <c r="BA12" s="155"/>
      <c r="BB12" s="156"/>
      <c r="BC12" s="64">
        <f>IF(AI14&gt;AJ14,1,0)+IF(AK14&gt;AL14,1,0)+IF(AM14&gt;AN14,1,0)</f>
        <v>2</v>
      </c>
      <c r="BD12" s="70">
        <f>BA13</f>
        <v>1</v>
      </c>
      <c r="BE12" s="158">
        <f>AP10+AR10+AT10+AP13+AR13+AT13+AO14+AQ14+AS14</f>
        <v>140</v>
      </c>
      <c r="BF12" s="159">
        <f>AO10+AQ10+AS10+AO13+AQ13+AS13+AP14+AR14+AT14</f>
        <v>118</v>
      </c>
      <c r="BG12" s="158">
        <f>AW12+AY12+BC12</f>
        <v>6</v>
      </c>
      <c r="BH12" s="160">
        <f>AX12+AZ12+BD12</f>
        <v>1</v>
      </c>
      <c r="BI12" s="63">
        <f>IF(AW12&gt;AX12,1,0)+IF(AY12&gt;AZ12,1,0)+IF(BC12&gt;BD12,1,0)</f>
        <v>3</v>
      </c>
      <c r="BJ12" s="69">
        <f>IF(AX12&gt;AW12,1,0)+IF(AZ12&gt;AY12,1,0)+IF(BD12&gt;BC12,1,0)</f>
        <v>0</v>
      </c>
      <c r="BK12" s="71">
        <f>IF(BI12+BJ12=0,"",IF(BL12=MAX(BL10:BL13),1,IF(BL12=LARGE(BL10:BL13,2),2,IF(BL12=MIN(BL10:BL13),4,3))))</f>
        <v>1</v>
      </c>
      <c r="BL12" s="60">
        <f>IF(BI12+BJ12&lt;&gt;0,BI12+1+(BG12-BH12)/100+(BE12-BF12)/100000+(BE12/BF12)/1000000,0)</f>
        <v>4.0502211864406776</v>
      </c>
    </row>
    <row r="13" spans="1:64" ht="11.45" customHeight="1" thickBot="1" x14ac:dyDescent="0.25">
      <c r="A13" s="19">
        <f t="shared" si="0"/>
        <v>125</v>
      </c>
      <c r="B13" s="19" t="str">
        <f>IF(N11="","",N11)</f>
        <v>F4339</v>
      </c>
      <c r="C13" s="19" t="str">
        <f>IF(N12="","",N12)</f>
        <v>P4758</v>
      </c>
      <c r="D13" s="19" t="str">
        <f>IF(N14="","",N14)</f>
        <v>J4505</v>
      </c>
      <c r="E13" s="19" t="str">
        <f>IF(N15="","",N15)</f>
        <v>K5041</v>
      </c>
      <c r="J13" s="10"/>
      <c r="K13" s="28"/>
      <c r="L13" s="28"/>
      <c r="M13" s="42" t="str">
        <f>N7</f>
        <v>podwójna dziewcząt M</v>
      </c>
      <c r="O13" s="28"/>
      <c r="P13" s="28"/>
      <c r="Q13" s="43" t="str">
        <f>IF(AU13&gt;0,"",IF(A13=0,"",IF(VLOOKUP(A13,'[1]plan gier'!A$1:S$65536,19,FALSE)="","",VLOOKUP(A13,'[1]plan gier'!A$1:S$65536,19,FALSE))))</f>
        <v/>
      </c>
      <c r="R13" s="44" t="s">
        <v>17</v>
      </c>
      <c r="S13" s="146">
        <v>125</v>
      </c>
      <c r="T13" s="241">
        <v>3</v>
      </c>
      <c r="U13" s="244" t="str">
        <f>IF(AND(N14&lt;&gt;"",N15&lt;&gt;""),CONCATENATE(VLOOKUP(N14,[1]zawodnicy!$A$1:$E$65536,1,FALSE)," ",VLOOKUP(N14,[1]zawodnicy!$A$1:$E$65536,2,FALSE)," ",VLOOKUP(N14,[1]zawodnicy!$A$1:$E$65536,3,FALSE)," - ",VLOOKUP(N14,[1]zawodnicy!$A$1:$E$65536,4,FALSE)),"")</f>
        <v>J4505 Wiktoria JUSZCZAK - MMKS Gdańsk</v>
      </c>
      <c r="V13" s="245"/>
      <c r="W13" s="246"/>
      <c r="X13" s="46" t="str">
        <f>IF(SUM(AO10:AP10)=0,"",AP10&amp;":"&amp;AO10)</f>
        <v>21:11</v>
      </c>
      <c r="Y13" s="83" t="str">
        <f>IF(SUM(AO13:AP13)=0,"",AP13&amp;":"&amp;AO13)</f>
        <v>21:15</v>
      </c>
      <c r="Z13" s="47"/>
      <c r="AA13" s="48" t="str">
        <f>IF(SUM(AO14:AP14)=0,"",AO14&amp;":"&amp;AP14)</f>
        <v>14:21</v>
      </c>
      <c r="AB13" s="241" t="str">
        <f>IF(SUM(AW12:AZ12,BC12:BD12)=0,"",BE12&amp;":"&amp;BF12)</f>
        <v>140:118</v>
      </c>
      <c r="AC13" s="250" t="str">
        <f>IF(SUM(AW12:AZ12,BC12:BD12)=0,"",BG12&amp;":"&amp;BH12)</f>
        <v>6:1</v>
      </c>
      <c r="AD13" s="250" t="str">
        <f>IF(SUM(AW12:AZ12,BC12:BD12)=0,"",BI12&amp;":"&amp;BJ12)</f>
        <v>3:0</v>
      </c>
      <c r="AE13" s="253">
        <f>IF(SUM(BI10:BI13)&gt;0,BK12,"")</f>
        <v>1</v>
      </c>
      <c r="AF13" s="12"/>
      <c r="AG13" s="12"/>
      <c r="AH13" s="44" t="s">
        <v>17</v>
      </c>
      <c r="AI13" s="49">
        <f>IF(ISBLANK(S13),"",VLOOKUP(S13,'[1]plan gier'!$X$1:$AN$65536,12,FALSE))</f>
        <v>15</v>
      </c>
      <c r="AJ13" s="50">
        <f>IF(ISBLANK(S13),"",VLOOKUP(S13,'[1]plan gier'!$X$1:$AN$65536,13,FALSE))</f>
        <v>21</v>
      </c>
      <c r="AK13" s="50">
        <f>IF(ISBLANK(S13),"",VLOOKUP(S13,'[1]plan gier'!$X$1:$AN$65536,14,FALSE))</f>
        <v>19</v>
      </c>
      <c r="AL13" s="50">
        <f>IF(ISBLANK(S13),"",VLOOKUP(S13,'[1]plan gier'!$X$1:$AN$65536,15,FALSE))</f>
        <v>21</v>
      </c>
      <c r="AM13" s="50">
        <f>IF(ISBLANK(S13),"",VLOOKUP(S13,'[1]plan gier'!$X$1:$AN$65536,16,FALSE))</f>
        <v>0</v>
      </c>
      <c r="AN13" s="50">
        <f>IF(ISBLANK(S13),"",VLOOKUP(S13,'[1]plan gier'!$X$1:$AN$65536,17,FALSE))</f>
        <v>0</v>
      </c>
      <c r="AO13" s="63">
        <f t="shared" si="1"/>
        <v>15</v>
      </c>
      <c r="AP13" s="64">
        <f t="shared" si="1"/>
        <v>21</v>
      </c>
      <c r="AQ13" s="64">
        <f t="shared" si="1"/>
        <v>19</v>
      </c>
      <c r="AR13" s="64">
        <f t="shared" si="1"/>
        <v>21</v>
      </c>
      <c r="AS13" s="64">
        <f t="shared" si="1"/>
        <v>0</v>
      </c>
      <c r="AT13" s="69">
        <f t="shared" si="1"/>
        <v>0</v>
      </c>
      <c r="AU13" s="149">
        <f t="shared" si="2"/>
        <v>76</v>
      </c>
      <c r="AV13" s="5">
        <v>4</v>
      </c>
      <c r="AW13" s="161">
        <f>IF(AI12&lt;AJ12,1,0)+IF(AK12&lt;AL12,1,0)+IF(AM12&lt;AN12,1,0)</f>
        <v>2</v>
      </c>
      <c r="AX13" s="162">
        <f>BC10</f>
        <v>0</v>
      </c>
      <c r="AY13" s="162">
        <f>IF(AI11&lt;AJ11,1,0)+IF(AK11&lt;AL11,1,0)+IF(AM11&lt;AN11,1,0)</f>
        <v>2</v>
      </c>
      <c r="AZ13" s="162">
        <f>BC11</f>
        <v>0</v>
      </c>
      <c r="BA13" s="75">
        <f>IF(AI14&lt;AJ14,1,0)+IF(AK14&lt;AL14,1,0)+IF(AM14&lt;AN14,1,0)</f>
        <v>1</v>
      </c>
      <c r="BB13" s="75">
        <f>BC12</f>
        <v>2</v>
      </c>
      <c r="BC13" s="163"/>
      <c r="BD13" s="164"/>
      <c r="BE13" s="74">
        <f>AP11+AR11+AT11+AP12+AR12+AT12+AP14+AR14+AT14</f>
        <v>140</v>
      </c>
      <c r="BF13" s="81">
        <f>AO11+AQ11+AS11+AO12+AQ12+AS12+AO14+AQ14+AS14</f>
        <v>124</v>
      </c>
      <c r="BG13" s="74">
        <f>AW13+AY13+BA13</f>
        <v>5</v>
      </c>
      <c r="BH13" s="80">
        <f>AX13+AZ13+BB13</f>
        <v>2</v>
      </c>
      <c r="BI13" s="74">
        <f>IF(AW13&gt;AX13,1,0)+IF(AY13&gt;AZ13,1,0)+IF(BA13&gt;BB13,1,0)</f>
        <v>2</v>
      </c>
      <c r="BJ13" s="80">
        <f>IF(AX13&gt;AW13,1,0)+IF(AZ13&gt;AY13,1,0)+IF(BB13&gt;BA13,1,0)</f>
        <v>1</v>
      </c>
      <c r="BK13" s="82">
        <f>IF(BI13+BJ13=0,"",IF(BL13=MAX(BL10:BL13),1,IF(BL13=LARGE(BL10:BL13,2),2,IF(BL13=MIN(BL10:BL13),4,3))))</f>
        <v>2</v>
      </c>
      <c r="BL13" s="60">
        <f>IF(BI13+BJ13&lt;&gt;0,BI13+1+(BG13-BH13)/100+(BE13-BF13)/100000+(BE13/BF13)/1000000,0)</f>
        <v>3.0301611290322579</v>
      </c>
    </row>
    <row r="14" spans="1:64" ht="11.45" customHeight="1" x14ac:dyDescent="0.2">
      <c r="A14" s="19">
        <f t="shared" si="0"/>
        <v>271</v>
      </c>
      <c r="B14" s="19" t="str">
        <f>IF(N14="","",N14)</f>
        <v>J4505</v>
      </c>
      <c r="C14" s="19" t="str">
        <f>IF(N15="","",N15)</f>
        <v>K5041</v>
      </c>
      <c r="D14" s="19" t="str">
        <f>IF(N17="","",N17)</f>
        <v>B4564</v>
      </c>
      <c r="E14" s="19" t="str">
        <f>IF(N18="","",N18)</f>
        <v>K4136</v>
      </c>
      <c r="H14" s="10"/>
      <c r="I14" s="2" t="str">
        <f>"4"&amp;O6&amp;N7</f>
        <v>41podwójna dziewcząt M</v>
      </c>
      <c r="J14" s="10" t="str">
        <f>IF(AE16="","",IF(AE7=4,N8,IF(AE10=4,N11,IF(AE13=4,N14,IF(AE16=4,N17,"")))))</f>
        <v>B4737</v>
      </c>
      <c r="K14" s="10" t="str">
        <f>IF(AE16="","",IF(AE7=4,N9,IF(AE10=4,N12,IF(AE13=4,N15,IF(AE16=4,N18,"")))))</f>
        <v>t4823</v>
      </c>
      <c r="L14" s="10"/>
      <c r="M14" s="42" t="str">
        <f>N7</f>
        <v>podwójna dziewcząt M</v>
      </c>
      <c r="N14" s="33" t="s">
        <v>158</v>
      </c>
      <c r="O14" s="34">
        <f>IF(O6&gt;0,(O6&amp;3)*1,"")</f>
        <v>13</v>
      </c>
      <c r="Q14" s="43" t="str">
        <f>IF(AU14&gt;0,"",IF(A14=0,"",IF(VLOOKUP(A14,'[1]plan gier'!A$1:S$65536,19,FALSE)="","",VLOOKUP(A14,'[1]plan gier'!A$1:S$65536,19,FALSE))))</f>
        <v/>
      </c>
      <c r="R14" s="44" t="s">
        <v>69</v>
      </c>
      <c r="S14" s="146">
        <v>271</v>
      </c>
      <c r="T14" s="242"/>
      <c r="U14" s="244" t="str">
        <f>IF(AND(N14&lt;&gt;"",N15=""),CONCATENATE(VLOOKUP(N14,[1]zawodnicy!$A$1:$E$65536,1,FALSE)," ",VLOOKUP(N14,[1]zawodnicy!$A$1:$E$65536,2,FALSE)," ",VLOOKUP(N14,[1]zawodnicy!$A$1:$E$65536,3,FALSE)," - ",VLOOKUP(N14,[1]zawodnicy!$A$1:$E$65536,4,FALSE)),"")</f>
        <v/>
      </c>
      <c r="V14" s="245"/>
      <c r="W14" s="246"/>
      <c r="X14" s="61" t="str">
        <f>IF(SUM(AQ10:AR10)=0,"",AR10&amp;":"&amp;AQ10)</f>
        <v>21:17</v>
      </c>
      <c r="Y14" s="36" t="str">
        <f>IF(SUM(AQ13:AR13)=0,"",AR13&amp;":"&amp;AQ13)</f>
        <v>21:19</v>
      </c>
      <c r="Z14" s="62"/>
      <c r="AA14" s="37" t="str">
        <f>IF(SUM(AQ14:AR14)=0,"",AQ14&amp;":"&amp;AR14)</f>
        <v>21:16</v>
      </c>
      <c r="AB14" s="242"/>
      <c r="AC14" s="251"/>
      <c r="AD14" s="251"/>
      <c r="AE14" s="254"/>
      <c r="AF14" s="12"/>
      <c r="AG14" s="12"/>
      <c r="AH14" s="44" t="s">
        <v>69</v>
      </c>
      <c r="AI14" s="49">
        <f>IF(ISBLANK(S14),"",VLOOKUP(S14,'[1]plan gier'!$X$1:$AN$65536,12,FALSE))</f>
        <v>14</v>
      </c>
      <c r="AJ14" s="50">
        <f>IF(ISBLANK(S14),"",VLOOKUP(S14,'[1]plan gier'!$X$1:$AN$65536,13,FALSE))</f>
        <v>21</v>
      </c>
      <c r="AK14" s="50">
        <f>IF(ISBLANK(S14),"",VLOOKUP(S14,'[1]plan gier'!$X$1:$AN$65536,14,FALSE))</f>
        <v>21</v>
      </c>
      <c r="AL14" s="50">
        <f>IF(ISBLANK(S14),"",VLOOKUP(S14,'[1]plan gier'!$X$1:$AN$65536,15,FALSE))</f>
        <v>16</v>
      </c>
      <c r="AM14" s="50">
        <f>IF(ISBLANK(S14),"",VLOOKUP(S14,'[1]plan gier'!$X$1:$AN$65536,16,FALSE))</f>
        <v>21</v>
      </c>
      <c r="AN14" s="50">
        <f>IF(ISBLANK(S14),"",VLOOKUP(S14,'[1]plan gier'!$X$1:$AN$65536,17,FALSE))</f>
        <v>19</v>
      </c>
      <c r="AO14" s="63">
        <f t="shared" si="1"/>
        <v>14</v>
      </c>
      <c r="AP14" s="64">
        <f t="shared" si="1"/>
        <v>21</v>
      </c>
      <c r="AQ14" s="64">
        <f t="shared" si="1"/>
        <v>21</v>
      </c>
      <c r="AR14" s="64">
        <f t="shared" si="1"/>
        <v>16</v>
      </c>
      <c r="AS14" s="64">
        <f t="shared" si="1"/>
        <v>21</v>
      </c>
      <c r="AT14" s="69">
        <f t="shared" si="1"/>
        <v>19</v>
      </c>
      <c r="AU14" s="149">
        <f t="shared" si="2"/>
        <v>112</v>
      </c>
      <c r="BE14" s="19">
        <f t="shared" ref="BE14:BJ14" si="3">SUM(BE10:BE13)</f>
        <v>523</v>
      </c>
      <c r="BF14" s="19">
        <f t="shared" si="3"/>
        <v>523</v>
      </c>
      <c r="BG14" s="19">
        <f t="shared" si="3"/>
        <v>14</v>
      </c>
      <c r="BH14" s="19">
        <f t="shared" si="3"/>
        <v>14</v>
      </c>
      <c r="BI14" s="19">
        <f t="shared" si="3"/>
        <v>6</v>
      </c>
      <c r="BJ14" s="19">
        <f t="shared" si="3"/>
        <v>6</v>
      </c>
      <c r="BK14" s="19"/>
      <c r="BL14" s="20"/>
    </row>
    <row r="15" spans="1:64" ht="11.45" customHeight="1" thickBot="1" x14ac:dyDescent="0.25">
      <c r="A15" s="19">
        <f t="shared" si="0"/>
        <v>272</v>
      </c>
      <c r="B15" s="19" t="str">
        <f>IF(N8="","",N8)</f>
        <v>B4737</v>
      </c>
      <c r="C15" s="19" t="str">
        <f>IF(N9="","",N9)</f>
        <v>t4823</v>
      </c>
      <c r="D15" s="19" t="str">
        <f>IF(N11="","",N11)</f>
        <v>F4339</v>
      </c>
      <c r="E15" s="19" t="str">
        <f>IF(N12="","",N12)</f>
        <v>P4758</v>
      </c>
      <c r="J15" s="28"/>
      <c r="K15" s="28"/>
      <c r="L15" s="28"/>
      <c r="M15" s="42" t="str">
        <f>N7</f>
        <v>podwójna dziewcząt M</v>
      </c>
      <c r="N15" s="38" t="s">
        <v>159</v>
      </c>
      <c r="O15" s="28"/>
      <c r="P15" s="28"/>
      <c r="Q15" s="43" t="str">
        <f>IF(AU15&gt;0,"",IF(A15=0,"",IF(VLOOKUP(A15,'[1]plan gier'!A$1:S$65536,19,FALSE)="","",VLOOKUP(A15,'[1]plan gier'!A$1:S$65536,19,FALSE))))</f>
        <v/>
      </c>
      <c r="R15" s="44" t="s">
        <v>18</v>
      </c>
      <c r="S15" s="146">
        <v>272</v>
      </c>
      <c r="T15" s="261"/>
      <c r="U15" s="265" t="str">
        <f>IF(N15&lt;&gt;"",CONCATENATE(VLOOKUP(N15,[1]zawodnicy!$A$1:$E$65536,1,FALSE)," ",VLOOKUP(N15,[1]zawodnicy!$A$1:$E$65536,2,FALSE)," ",VLOOKUP(N15,[1]zawodnicy!$A$1:$E$65536,3,FALSE)," - ",VLOOKUP(N15,[1]zawodnicy!$A$1:$E$65536,4,FALSE)),"")</f>
        <v>K5041 Aleksandra KOŁODZIEJ - KSR Wolant Łódź</v>
      </c>
      <c r="V15" s="266"/>
      <c r="W15" s="267"/>
      <c r="X15" s="73" t="str">
        <f>IF(SUM(AS10:AT10)=0,"",AT10&amp;":"&amp;AS10)</f>
        <v/>
      </c>
      <c r="Y15" s="39" t="str">
        <f>IF(SUM(AS13:AT13)=0,"",AT13&amp;":"&amp;AS13)</f>
        <v/>
      </c>
      <c r="Z15" s="62"/>
      <c r="AA15" s="40" t="str">
        <f>IF(SUM(AS14:AT14)=0,"",AS14&amp;":"&amp;AT14)</f>
        <v>21:19</v>
      </c>
      <c r="AB15" s="242"/>
      <c r="AC15" s="251"/>
      <c r="AD15" s="251"/>
      <c r="AE15" s="254"/>
      <c r="AF15" s="12"/>
      <c r="AG15" s="12"/>
      <c r="AH15" s="44" t="s">
        <v>18</v>
      </c>
      <c r="AI15" s="161">
        <f>IF(ISBLANK(S15),"",VLOOKUP(S15,'[1]plan gier'!$X$1:$AN$65536,12,FALSE))</f>
        <v>13</v>
      </c>
      <c r="AJ15" s="162">
        <f>IF(ISBLANK(S15),"",VLOOKUP(S15,'[1]plan gier'!$X$1:$AN$65536,13,FALSE))</f>
        <v>21</v>
      </c>
      <c r="AK15" s="162">
        <f>IF(ISBLANK(S15),"",VLOOKUP(S15,'[1]plan gier'!$X$1:$AN$65536,14,FALSE))</f>
        <v>21</v>
      </c>
      <c r="AL15" s="162">
        <f>IF(ISBLANK(S15),"",VLOOKUP(S15,'[1]plan gier'!$X$1:$AN$65536,15,FALSE))</f>
        <v>16</v>
      </c>
      <c r="AM15" s="162">
        <f>IF(ISBLANK(S15),"",VLOOKUP(S15,'[1]plan gier'!$X$1:$AN$65536,16,FALSE))</f>
        <v>20</v>
      </c>
      <c r="AN15" s="162">
        <f>IF(ISBLANK(S15),"",VLOOKUP(S15,'[1]plan gier'!$X$1:$AN$65536,17,FALSE))</f>
        <v>22</v>
      </c>
      <c r="AO15" s="74">
        <f t="shared" si="1"/>
        <v>13</v>
      </c>
      <c r="AP15" s="75">
        <f t="shared" si="1"/>
        <v>21</v>
      </c>
      <c r="AQ15" s="75">
        <f t="shared" si="1"/>
        <v>21</v>
      </c>
      <c r="AR15" s="75">
        <f t="shared" si="1"/>
        <v>16</v>
      </c>
      <c r="AS15" s="75">
        <f t="shared" si="1"/>
        <v>20</v>
      </c>
      <c r="AT15" s="80">
        <f t="shared" si="1"/>
        <v>22</v>
      </c>
      <c r="AU15" s="149">
        <f t="shared" si="2"/>
        <v>113</v>
      </c>
      <c r="BK15" s="19"/>
      <c r="BL15" s="20"/>
    </row>
    <row r="16" spans="1:64" ht="11.45" customHeight="1" x14ac:dyDescent="0.2">
      <c r="A16" s="2"/>
      <c r="J16" s="28"/>
      <c r="K16" s="28"/>
      <c r="L16" s="28"/>
      <c r="O16" s="28"/>
      <c r="P16" s="28"/>
      <c r="Q16" s="2"/>
      <c r="R16" s="2"/>
      <c r="S16" s="2"/>
      <c r="T16" s="241">
        <v>4</v>
      </c>
      <c r="U16" s="244" t="str">
        <f>IF(AND(N17&lt;&gt;"",N18&lt;&gt;""),CONCATENATE(VLOOKUP(N17,[1]zawodnicy!$A$1:$E$65536,1,FALSE)," ",VLOOKUP(N17,[1]zawodnicy!$A$1:$E$65536,2,FALSE)," ",VLOOKUP(N17,[1]zawodnicy!$A$1:$E$65536,3,FALSE)," - ",VLOOKUP(N17,[1]zawodnicy!$A$1:$E$65536,4,FALSE)),"")</f>
        <v>B4564 Laura BERESTECKA - LKS Technik Głubczyce</v>
      </c>
      <c r="V16" s="245"/>
      <c r="W16" s="246"/>
      <c r="X16" s="46" t="str">
        <f>IF(SUM(AO12:AP12)=0,"",AP12&amp;":"&amp;AO12)</f>
        <v>21:17</v>
      </c>
      <c r="Y16" s="83" t="str">
        <f>IF(SUM(AO11:AP11)=0,"",AP11&amp;":"&amp;AO11)</f>
        <v>21:19</v>
      </c>
      <c r="Z16" s="83" t="str">
        <f>IF(SUM(AO14:AP14)=0,"",AP14&amp;":"&amp;AO14)</f>
        <v>21:14</v>
      </c>
      <c r="AA16" s="165"/>
      <c r="AB16" s="241" t="str">
        <f>IF(SUM(AW13:BB13)=0,"",BE13&amp;":"&amp;BF13)</f>
        <v>140:124</v>
      </c>
      <c r="AC16" s="250" t="str">
        <f>IF(SUM(AW13:BB13)=0,"",BG13&amp;":"&amp;BH13)</f>
        <v>5:2</v>
      </c>
      <c r="AD16" s="250" t="str">
        <f>IF(SUM(AW13:BB13)=0,"",BI13&amp;":"&amp;BJ13)</f>
        <v>2:1</v>
      </c>
      <c r="AE16" s="253">
        <f>IF(SUM(BI10:BI13)&gt;0,BK13,"")</f>
        <v>2</v>
      </c>
      <c r="AF16" s="12"/>
      <c r="AG16" s="12"/>
      <c r="AH16" s="2"/>
      <c r="AI16" s="2"/>
      <c r="AJ16" s="2"/>
      <c r="AK16" s="2"/>
      <c r="AL16" s="2"/>
      <c r="AM16" s="2"/>
      <c r="AN16" s="2"/>
      <c r="AO16" s="2"/>
      <c r="AP16" s="2"/>
      <c r="AQ16" s="2"/>
      <c r="AR16" s="2"/>
      <c r="AS16" s="2"/>
      <c r="AT16" s="2"/>
      <c r="AU16" s="2"/>
      <c r="BK16" s="19"/>
      <c r="BL16" s="20"/>
    </row>
    <row r="17" spans="1:64" ht="11.45" customHeight="1" x14ac:dyDescent="0.2">
      <c r="A17" s="19"/>
      <c r="B17" s="19"/>
      <c r="C17" s="19"/>
      <c r="D17" s="19"/>
      <c r="E17" s="19"/>
      <c r="H17" s="10"/>
      <c r="J17" s="19"/>
      <c r="K17" s="19"/>
      <c r="L17" s="19"/>
      <c r="N17" s="33" t="s">
        <v>160</v>
      </c>
      <c r="O17" s="34">
        <f>IF(O6&gt;0,(O6&amp;4)*1,"")</f>
        <v>14</v>
      </c>
      <c r="Q17" s="85"/>
      <c r="R17" s="85"/>
      <c r="S17" s="85"/>
      <c r="T17" s="242"/>
      <c r="U17" s="244" t="str">
        <f>IF(AND(N17&lt;&gt;"",N18=""),CONCATENATE(VLOOKUP(N17,[1]zawodnicy!$A$1:$E$65536,1,FALSE)," ",VLOOKUP(N17,[1]zawodnicy!$A$1:$E$65536,2,FALSE)," ",VLOOKUP(N17,[1]zawodnicy!$A$1:$E$65536,3,FALSE)," - ",VLOOKUP(N17,[1]zawodnicy!$A$1:$E$65536,4,FALSE)),"")</f>
        <v/>
      </c>
      <c r="V17" s="245"/>
      <c r="W17" s="246"/>
      <c r="X17" s="61" t="str">
        <f>IF(SUM(AQ12:AR12)=0,"",AR12&amp;":"&amp;AQ12)</f>
        <v>21:13</v>
      </c>
      <c r="Y17" s="36" t="str">
        <f>IF(SUM(AQ11:AR11)=0,"",AR11&amp;":"&amp;AQ11)</f>
        <v>21:19</v>
      </c>
      <c r="Z17" s="36" t="str">
        <f>IF(SUM(AQ14:AR14)=0,"",AR14&amp;":"&amp;AQ14)</f>
        <v>16:21</v>
      </c>
      <c r="AA17" s="166"/>
      <c r="AB17" s="242"/>
      <c r="AC17" s="251"/>
      <c r="AD17" s="251"/>
      <c r="AE17" s="254"/>
      <c r="AF17" s="12"/>
      <c r="AG17" s="1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row>
    <row r="18" spans="1:64" ht="11.45" customHeight="1" thickBot="1" x14ac:dyDescent="0.25">
      <c r="A18" s="2"/>
      <c r="J18" s="28"/>
      <c r="K18" s="28"/>
      <c r="L18" s="28"/>
      <c r="N18" s="38" t="s">
        <v>161</v>
      </c>
      <c r="O18" s="28"/>
      <c r="P18" s="28"/>
      <c r="Q18" s="2"/>
      <c r="R18" s="2"/>
      <c r="S18" s="2"/>
      <c r="T18" s="243"/>
      <c r="U18" s="256" t="str">
        <f>IF(N18&lt;&gt;"",CONCATENATE(VLOOKUP(N18,[1]zawodnicy!$A$1:$E$65536,1,FALSE)," ",VLOOKUP(N18,[1]zawodnicy!$A$1:$E$65536,2,FALSE)," ",VLOOKUP(N18,[1]zawodnicy!$A$1:$E$65536,3,FALSE)," - ",VLOOKUP(N18,[1]zawodnicy!$A$1:$E$65536,4,FALSE)),"")</f>
        <v>K4136 Weronika KOŚCIÓŁEK - LKS Technik Głubczyce</v>
      </c>
      <c r="V18" s="257"/>
      <c r="W18" s="258"/>
      <c r="X18" s="87" t="str">
        <f>IF(SUM(AS12:AT12)=0,"",AT12&amp;":"&amp;AS12)</f>
        <v/>
      </c>
      <c r="Y18" s="88" t="str">
        <f>IF(SUM(AS11:AT11)=0,"",AT11&amp;":"&amp;AS11)</f>
        <v/>
      </c>
      <c r="Z18" s="88" t="str">
        <f>IF(SUM(AS14:AT14)=0,"",AT14&amp;":"&amp;AS14)</f>
        <v>19:21</v>
      </c>
      <c r="AA18" s="89"/>
      <c r="AB18" s="243"/>
      <c r="AC18" s="252"/>
      <c r="AD18" s="252"/>
      <c r="AE18" s="255"/>
      <c r="AF18" s="12"/>
      <c r="AG18" s="1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row>
    <row r="19" spans="1:64" ht="5.0999999999999996" customHeight="1" thickBot="1" x14ac:dyDescent="0.25">
      <c r="BK19" s="19"/>
      <c r="BL19" s="20"/>
    </row>
    <row r="20" spans="1:64" ht="11.45" customHeight="1" thickBot="1" x14ac:dyDescent="0.25">
      <c r="N20" s="11"/>
      <c r="O20" s="21">
        <v>2</v>
      </c>
      <c r="Q20" s="277" t="str">
        <f>"Grupa "&amp;O20&amp;"."</f>
        <v>Grupa 2.</v>
      </c>
      <c r="R20" s="277"/>
      <c r="S20" s="277"/>
      <c r="T20" s="22" t="s">
        <v>1</v>
      </c>
      <c r="U20" s="278" t="s">
        <v>2</v>
      </c>
      <c r="V20" s="279"/>
      <c r="W20" s="280"/>
      <c r="X20" s="22">
        <v>1</v>
      </c>
      <c r="Y20" s="23">
        <v>2</v>
      </c>
      <c r="Z20" s="24">
        <v>3</v>
      </c>
      <c r="AA20" s="25" t="s">
        <v>3</v>
      </c>
      <c r="AB20" s="26" t="s">
        <v>4</v>
      </c>
      <c r="AC20" s="26" t="s">
        <v>5</v>
      </c>
      <c r="AD20" s="27" t="s">
        <v>6</v>
      </c>
      <c r="AE20" s="2"/>
      <c r="AF20" s="12"/>
      <c r="AG20" s="12"/>
      <c r="BK20" s="19"/>
      <c r="BL20" s="20"/>
    </row>
    <row r="21" spans="1:64" ht="11.45" customHeight="1" x14ac:dyDescent="0.2">
      <c r="J21" s="28"/>
      <c r="K21" s="28"/>
      <c r="L21" s="28"/>
      <c r="N21" s="29" t="s">
        <v>153</v>
      </c>
      <c r="Q21" s="274" t="s">
        <v>7</v>
      </c>
      <c r="R21" s="274"/>
      <c r="S21" s="275" t="s">
        <v>8</v>
      </c>
      <c r="T21" s="276">
        <v>1</v>
      </c>
      <c r="U21" s="244" t="str">
        <f>IF(AND(N22&lt;&gt;"",N23&lt;&gt;""),CONCATENATE(VLOOKUP(N22,[1]zawodnicy!$A$1:$E$65536,1,FALSE)," ",VLOOKUP(N22,[1]zawodnicy!$A$1:$E$65536,2,FALSE)," ",VLOOKUP(N22,[1]zawodnicy!$A$1:$E$65536,3,FALSE)," - ",VLOOKUP(N22,[1]zawodnicy!$A$1:$E$65536,4,FALSE)),"")</f>
        <v>S4547 Aleksandra SZWEDA - MKB Lednik Miastko</v>
      </c>
      <c r="V21" s="245"/>
      <c r="W21" s="246"/>
      <c r="X21" s="30"/>
      <c r="Y21" s="31" t="str">
        <f>IF(SUM(AO26:AP26)=0,"",AO26&amp;":"&amp;AP26)</f>
        <v>21:13</v>
      </c>
      <c r="Z21" s="32" t="str">
        <f>IF(SUM(AO24:AP24)=0,"",AO24&amp;":"&amp;AP24)</f>
        <v>21:0</v>
      </c>
      <c r="AA21" s="270" t="str">
        <f>IF(SUM(AY24:BB24)=0,"",BE24&amp;":"&amp;BF24)</f>
        <v>89:55</v>
      </c>
      <c r="AB21" s="271" t="str">
        <f>IF(SUM(AY24:BB24)=0,"",BG24&amp;":"&amp;BH24)</f>
        <v>3:2</v>
      </c>
      <c r="AC21" s="271" t="str">
        <f>IF(SUM(AY24:BB24)=0,"",BI24&amp;":"&amp;BJ24)</f>
        <v>1:1</v>
      </c>
      <c r="AD21" s="272">
        <f>IF(SUM(BI24:BI26)&gt;0,BK24,"")</f>
        <v>2</v>
      </c>
      <c r="AE21" s="2"/>
      <c r="AF21" s="12"/>
      <c r="AG21" s="12"/>
      <c r="AH21" s="14"/>
      <c r="AI21" s="273" t="s">
        <v>9</v>
      </c>
      <c r="AJ21" s="273"/>
      <c r="AK21" s="273"/>
      <c r="AL21" s="273"/>
      <c r="AM21" s="273"/>
      <c r="AN21" s="273"/>
      <c r="AO21" s="273" t="s">
        <v>10</v>
      </c>
      <c r="AP21" s="273"/>
      <c r="AQ21" s="273"/>
      <c r="AR21" s="273"/>
      <c r="AS21" s="273"/>
      <c r="AT21" s="273"/>
      <c r="BK21" s="19"/>
      <c r="BL21" s="20"/>
    </row>
    <row r="22" spans="1:64" ht="11.45" customHeight="1" thickBot="1" x14ac:dyDescent="0.25">
      <c r="I22" s="2" t="str">
        <f>"1"&amp;O20&amp;N21</f>
        <v>12podwójna dziewcząt M</v>
      </c>
      <c r="J22" s="10" t="str">
        <f>IF(AD21="","",IF(AD21=1,N22,IF(AD24=1,N25,IF(AD27=1,N28,""))))</f>
        <v>x22</v>
      </c>
      <c r="K22" s="10" t="str">
        <f>IF(AD21="","",IF(AD21=1,N23,IF(AD24=1,N26,IF(AD27=1,N29,""))))</f>
        <v>x24</v>
      </c>
      <c r="L22" s="10"/>
      <c r="N22" s="33" t="s">
        <v>162</v>
      </c>
      <c r="O22" s="34">
        <f>IF(O20&gt;0,(O20&amp;1)*1,"")</f>
        <v>21</v>
      </c>
      <c r="Q22" s="274"/>
      <c r="R22" s="274"/>
      <c r="S22" s="275"/>
      <c r="T22" s="242"/>
      <c r="U22" s="244" t="str">
        <f>IF(AND(N22&lt;&gt;"",N23=""),CONCATENATE(VLOOKUP(N22,[1]zawodnicy!$A$1:$E$65536,1,FALSE)," ",VLOOKUP(N22,[1]zawodnicy!$A$1:$E$65536,2,FALSE)," ",VLOOKUP(N22,[1]zawodnicy!$A$1:$E$65536,3,FALSE)," - ",VLOOKUP(N22,[1]zawodnicy!$A$1:$E$65536,4,FALSE)),"")</f>
        <v/>
      </c>
      <c r="V22" s="245"/>
      <c r="W22" s="246"/>
      <c r="X22" s="35"/>
      <c r="Y22" s="36" t="str">
        <f>IF(SUM(AQ26:AR26)=0,"",AQ26&amp;":"&amp;AR26)</f>
        <v>11:21</v>
      </c>
      <c r="Z22" s="37" t="str">
        <f>IF(SUM(AQ24:AR24)=0,"",AQ24&amp;":"&amp;AR24)</f>
        <v>21:0</v>
      </c>
      <c r="AA22" s="248"/>
      <c r="AB22" s="251"/>
      <c r="AC22" s="251"/>
      <c r="AD22" s="254"/>
      <c r="AE22" s="2"/>
      <c r="AF22" s="12"/>
      <c r="AG22" s="12"/>
      <c r="AH22" s="14"/>
      <c r="BE22" s="19">
        <f>SUM(BE24:BE26)</f>
        <v>186</v>
      </c>
      <c r="BF22" s="19">
        <f>SUM(BF24:BF26)</f>
        <v>186</v>
      </c>
      <c r="BG22" s="19">
        <f>SUM(BG24:BG26)</f>
        <v>7</v>
      </c>
      <c r="BH22" s="19">
        <f>SUM(BH24:BH26)</f>
        <v>7</v>
      </c>
      <c r="BK22" s="19"/>
      <c r="BL22" s="20"/>
    </row>
    <row r="23" spans="1:64" ht="11.45" customHeight="1" thickBot="1" x14ac:dyDescent="0.25">
      <c r="J23" s="10"/>
      <c r="K23" s="28"/>
      <c r="L23" s="28"/>
      <c r="N23" s="38" t="s">
        <v>163</v>
      </c>
      <c r="O23" s="28"/>
      <c r="P23" s="28"/>
      <c r="Q23" s="274"/>
      <c r="R23" s="274"/>
      <c r="S23" s="275"/>
      <c r="T23" s="261"/>
      <c r="U23" s="265" t="str">
        <f>IF(N23&lt;&gt;"",CONCATENATE(VLOOKUP(N23,[1]zawodnicy!$A$1:$E$65536,1,FALSE)," ",VLOOKUP(N23,[1]zawodnicy!$A$1:$E$65536,2,FALSE)," ",VLOOKUP(N23,[1]zawodnicy!$A$1:$E$65536,3,FALSE)," - ",VLOOKUP(N23,[1]zawodnicy!$A$1:$E$65536,4,FALSE)),"")</f>
        <v>W4550 Magdalena WOLSKA - MKB Lednik Miastko</v>
      </c>
      <c r="V23" s="266"/>
      <c r="W23" s="267"/>
      <c r="X23" s="35"/>
      <c r="Y23" s="39" t="str">
        <f>IF(SUM(AS26:AT26)=0,"",AS26&amp;":"&amp;AT26)</f>
        <v>15:21</v>
      </c>
      <c r="Z23" s="40" t="str">
        <f>IF(SUM(AS24:AT24)=0,"",AS24&amp;":"&amp;AT24)</f>
        <v/>
      </c>
      <c r="AA23" s="262"/>
      <c r="AB23" s="263"/>
      <c r="AC23" s="263"/>
      <c r="AD23" s="264"/>
      <c r="AE23" s="2"/>
      <c r="AF23" s="12"/>
      <c r="AG23" s="12"/>
      <c r="AH23" s="14"/>
      <c r="AI23" s="259" t="s">
        <v>12</v>
      </c>
      <c r="AJ23" s="269"/>
      <c r="AK23" s="268" t="s">
        <v>13</v>
      </c>
      <c r="AL23" s="269"/>
      <c r="AM23" s="268" t="s">
        <v>14</v>
      </c>
      <c r="AN23" s="260"/>
      <c r="AO23" s="259" t="s">
        <v>12</v>
      </c>
      <c r="AP23" s="269"/>
      <c r="AQ23" s="268" t="s">
        <v>13</v>
      </c>
      <c r="AR23" s="269"/>
      <c r="AS23" s="268" t="s">
        <v>14</v>
      </c>
      <c r="AT23" s="269"/>
      <c r="AU23" s="12"/>
      <c r="AV23" s="12"/>
      <c r="AW23" s="259">
        <v>1</v>
      </c>
      <c r="AX23" s="269"/>
      <c r="AY23" s="268">
        <v>2</v>
      </c>
      <c r="AZ23" s="269"/>
      <c r="BA23" s="268">
        <v>3</v>
      </c>
      <c r="BB23" s="260"/>
      <c r="BE23" s="259" t="s">
        <v>3</v>
      </c>
      <c r="BF23" s="260"/>
      <c r="BG23" s="259" t="s">
        <v>4</v>
      </c>
      <c r="BH23" s="260"/>
      <c r="BI23" s="259" t="s">
        <v>5</v>
      </c>
      <c r="BJ23" s="260"/>
      <c r="BK23" s="41" t="s">
        <v>6</v>
      </c>
      <c r="BL23" s="20"/>
    </row>
    <row r="24" spans="1:64" ht="11.45" customHeight="1" x14ac:dyDescent="0.2">
      <c r="A24" s="19">
        <f>S24</f>
        <v>60</v>
      </c>
      <c r="B24" s="2" t="str">
        <f>IF(N22="","",N22)</f>
        <v>S4547</v>
      </c>
      <c r="C24" s="2" t="str">
        <f>IF(N23="","",N23)</f>
        <v>W4550</v>
      </c>
      <c r="D24" s="2" t="str">
        <f>IF(N28="","",N28)</f>
        <v>D3427</v>
      </c>
      <c r="E24" s="2" t="str">
        <f>IF(N29="","",N29)</f>
        <v>X63</v>
      </c>
      <c r="I24" s="2" t="str">
        <f>"2"&amp;O20&amp;N21</f>
        <v>22podwójna dziewcząt M</v>
      </c>
      <c r="J24" s="10" t="str">
        <f>IF(AD24="","",IF(AD21=2,N22,IF(AD24=2,N25,IF(AD27=2,N28,""))))</f>
        <v>S4547</v>
      </c>
      <c r="K24" s="10" t="str">
        <f>IF(AD24="","",IF(AD21=2,N23,IF(AD24=2,N26,IF(AD27=2,N29,""))))</f>
        <v>W4550</v>
      </c>
      <c r="M24" s="42" t="str">
        <f>N21</f>
        <v>podwójna dziewcząt M</v>
      </c>
      <c r="O24" s="28"/>
      <c r="P24" s="28"/>
      <c r="Q24" s="43" t="str">
        <f>IF(AU24&gt;0,"",IF(A24=0,"",IF(VLOOKUP(A24,'[1]plan gier'!A$1:S$65536,19,FALSE)="","",VLOOKUP(A24,'[1]plan gier'!A$1:S$65536,19,FALSE))))</f>
        <v/>
      </c>
      <c r="R24" s="44" t="s">
        <v>15</v>
      </c>
      <c r="S24" s="45">
        <v>60</v>
      </c>
      <c r="T24" s="241">
        <v>2</v>
      </c>
      <c r="U24" s="244" t="str">
        <f>IF(AND(N25&lt;&gt;"",N26&lt;&gt;""),CONCATENATE(VLOOKUP(N25,[1]zawodnicy!$A$1:$E$65536,1,FALSE)," ",VLOOKUP(N25,[1]zawodnicy!$A$1:$E$65536,2,FALSE)," ",VLOOKUP(N25,[1]zawodnicy!$A$1:$E$65536,3,FALSE)," - ",VLOOKUP(N25,[1]zawodnicy!$A$1:$E$65536,4,FALSE)),"")</f>
        <v>X22 Elyzaveta NIKOLAEVA - Vinnica Ukraina</v>
      </c>
      <c r="V24" s="245"/>
      <c r="W24" s="246"/>
      <c r="X24" s="46" t="str">
        <f>IF(SUM(AO26:AP26)=0,"",AP26&amp;":"&amp;AO26)</f>
        <v>13:21</v>
      </c>
      <c r="Y24" s="47"/>
      <c r="Z24" s="48" t="str">
        <f>IF(SUM(AO25:AP25)=0,"",AO25&amp;":"&amp;AP25)</f>
        <v>21:0</v>
      </c>
      <c r="AA24" s="247" t="str">
        <f>IF(SUM(AW25:AX25,BA25:BB25)=0,"",BE25&amp;":"&amp;BF25)</f>
        <v>97:47</v>
      </c>
      <c r="AB24" s="250" t="str">
        <f>IF(SUM(AW25:AX25,BA25:BB25)=0,"",BG25&amp;":"&amp;BH25)</f>
        <v>4:1</v>
      </c>
      <c r="AC24" s="250" t="str">
        <f>IF(SUM(AW25:AX25,BA25:BB25)=0,"",BI25&amp;":"&amp;BJ25)</f>
        <v>2:0</v>
      </c>
      <c r="AD24" s="253">
        <f>IF(SUM(BI24:BI26)&gt;0,BK25,"")</f>
        <v>1</v>
      </c>
      <c r="AE24" s="2"/>
      <c r="AF24" s="12"/>
      <c r="AG24" s="12"/>
      <c r="AH24" s="44" t="s">
        <v>15</v>
      </c>
      <c r="AI24" s="49">
        <f>IF(ISBLANK(S24),"",VLOOKUP(S24,'[1]plan gier'!$X$1:$AN$65536,12,FALSE))</f>
        <v>21</v>
      </c>
      <c r="AJ24" s="50">
        <f>IF(ISBLANK(S24),"",VLOOKUP(S24,'[1]plan gier'!$X$1:$AN$65536,13,FALSE))</f>
        <v>0</v>
      </c>
      <c r="AK24" s="50">
        <f>IF(ISBLANK(S24),"",VLOOKUP(S24,'[1]plan gier'!$X$1:$AN$65536,14,FALSE))</f>
        <v>21</v>
      </c>
      <c r="AL24" s="50">
        <f>IF(ISBLANK(S24),"",VLOOKUP(S24,'[1]plan gier'!$X$1:$AN$65536,15,FALSE))</f>
        <v>0</v>
      </c>
      <c r="AM24" s="50">
        <f>IF(ISBLANK(S24),"",VLOOKUP(S24,'[1]plan gier'!$X$1:$AN$65536,16,FALSE))</f>
        <v>0</v>
      </c>
      <c r="AN24" s="50">
        <f>IF(ISBLANK(S24),"",VLOOKUP(S24,'[1]plan gier'!$X$1:$AN$65536,17,FALSE))</f>
        <v>0</v>
      </c>
      <c r="AO24" s="51">
        <f t="shared" ref="AO24:AT26" si="4">IF(AI24="",0,AI24)</f>
        <v>21</v>
      </c>
      <c r="AP24" s="52">
        <f t="shared" si="4"/>
        <v>0</v>
      </c>
      <c r="AQ24" s="53">
        <f t="shared" si="4"/>
        <v>21</v>
      </c>
      <c r="AR24" s="52">
        <f t="shared" si="4"/>
        <v>0</v>
      </c>
      <c r="AS24" s="53">
        <f t="shared" si="4"/>
        <v>0</v>
      </c>
      <c r="AT24" s="52">
        <f t="shared" si="4"/>
        <v>0</v>
      </c>
      <c r="AU24" s="54">
        <f>SUM(AO24:AT24)</f>
        <v>42</v>
      </c>
      <c r="AV24" s="13">
        <v>1</v>
      </c>
      <c r="AW24" s="55"/>
      <c r="AX24" s="56"/>
      <c r="AY24" s="50">
        <f>IF(AI26&gt;AJ26,1,0)+IF(AK26&gt;AL26,1,0)+IF(AM26&gt;AN26,1,0)</f>
        <v>1</v>
      </c>
      <c r="AZ24" s="50">
        <f>AW25</f>
        <v>2</v>
      </c>
      <c r="BA24" s="50">
        <f>IF(AI24&gt;AJ24,1,0)+IF(AK24&gt;AL24,1,0)+IF(AM24&gt;AN24,1,0)</f>
        <v>2</v>
      </c>
      <c r="BB24" s="57">
        <f>AW26</f>
        <v>0</v>
      </c>
      <c r="BE24" s="49">
        <f>AO24+AQ24+AS24+AO26+AQ26+AS26</f>
        <v>89</v>
      </c>
      <c r="BF24" s="57">
        <f>AP24+AR24+AT24+AP26+AR26+AT26</f>
        <v>55</v>
      </c>
      <c r="BG24" s="49">
        <f>AY24+BA24</f>
        <v>3</v>
      </c>
      <c r="BH24" s="57">
        <f>AZ24+BB24</f>
        <v>2</v>
      </c>
      <c r="BI24" s="49">
        <f>IF(AY24&gt;AZ24,1,0)+IF(BA24&gt;BB24,1,0)</f>
        <v>1</v>
      </c>
      <c r="BJ24" s="58">
        <f>IF(AZ24&gt;AY24,1,0)+IF(BB24&gt;BA24,1,0)</f>
        <v>1</v>
      </c>
      <c r="BK24" s="59">
        <f>IF(BI24+BJ24=0,"",IF(BL24=MAX(BL24:BL26),1,IF(BL24=MIN(BL24:BL26),3,2)))</f>
        <v>2</v>
      </c>
      <c r="BL24" s="60">
        <f>IF(BI24+BJ24&lt;&gt;0,BI24+1+(BG24-BH24)/100+(BE24-BF24)/100000+(BE24/BF24)/1000000,0)</f>
        <v>2.0103416181818181</v>
      </c>
    </row>
    <row r="25" spans="1:64" ht="11.45" customHeight="1" x14ac:dyDescent="0.2">
      <c r="A25" s="19">
        <f>S25</f>
        <v>126</v>
      </c>
      <c r="B25" s="2" t="str">
        <f>IF(N25="","",N25)</f>
        <v>x22</v>
      </c>
      <c r="C25" s="2" t="str">
        <f>IF(N26="","",N26)</f>
        <v>x24</v>
      </c>
      <c r="D25" s="2" t="str">
        <f>IF(N28="","",N28)</f>
        <v>D3427</v>
      </c>
      <c r="E25" s="2" t="str">
        <f>IF(N29="","",N29)</f>
        <v>X63</v>
      </c>
      <c r="J25" s="10"/>
      <c r="K25" s="19"/>
      <c r="M25" s="42" t="str">
        <f>N21</f>
        <v>podwójna dziewcząt M</v>
      </c>
      <c r="N25" s="33" t="s">
        <v>164</v>
      </c>
      <c r="O25" s="34">
        <f>IF(O20&gt;0,(O20&amp;2)*1,"")</f>
        <v>22</v>
      </c>
      <c r="Q25" s="43" t="str">
        <f>IF(AU25&gt;0,"",IF(A25=0,"",IF(VLOOKUP(A25,'[1]plan gier'!A$1:S$65536,19,FALSE)="","",VLOOKUP(A25,'[1]plan gier'!A$1:S$65536,19,FALSE))))</f>
        <v/>
      </c>
      <c r="R25" s="44" t="s">
        <v>17</v>
      </c>
      <c r="S25" s="45">
        <v>126</v>
      </c>
      <c r="T25" s="242"/>
      <c r="U25" s="244" t="str">
        <f>IF(AND(N25&lt;&gt;"",N26=""),CONCATENATE(VLOOKUP(N25,[1]zawodnicy!$A$1:$E$65536,1,FALSE)," ",VLOOKUP(N25,[1]zawodnicy!$A$1:$E$65536,2,FALSE)," ",VLOOKUP(N25,[1]zawodnicy!$A$1:$E$65536,3,FALSE)," - ",VLOOKUP(N25,[1]zawodnicy!$A$1:$E$65536,4,FALSE)),"")</f>
        <v/>
      </c>
      <c r="V25" s="245"/>
      <c r="W25" s="246"/>
      <c r="X25" s="61" t="str">
        <f>IF(SUM(AQ26:AR26)=0,"",AR26&amp;":"&amp;AQ26)</f>
        <v>21:11</v>
      </c>
      <c r="Y25" s="62"/>
      <c r="Z25" s="37" t="str">
        <f>IF(SUM(AQ25:AR25)=0,"",AQ25&amp;":"&amp;AR25)</f>
        <v>21:0</v>
      </c>
      <c r="AA25" s="248"/>
      <c r="AB25" s="251"/>
      <c r="AC25" s="251"/>
      <c r="AD25" s="254"/>
      <c r="AE25" s="2"/>
      <c r="AF25" s="12"/>
      <c r="AG25" s="12"/>
      <c r="AH25" s="44" t="s">
        <v>17</v>
      </c>
      <c r="AI25" s="63">
        <f>IF(ISBLANK(S25),"",VLOOKUP(S25,'[1]plan gier'!$X$1:$AN$65536,12,FALSE))</f>
        <v>21</v>
      </c>
      <c r="AJ25" s="64">
        <f>IF(ISBLANK(S25),"",VLOOKUP(S25,'[1]plan gier'!$X$1:$AN$65536,13,FALSE))</f>
        <v>0</v>
      </c>
      <c r="AK25" s="64">
        <f>IF(ISBLANK(S25),"",VLOOKUP(S25,'[1]plan gier'!$X$1:$AN$65536,14,FALSE))</f>
        <v>21</v>
      </c>
      <c r="AL25" s="64">
        <f>IF(ISBLANK(S25),"",VLOOKUP(S25,'[1]plan gier'!$X$1:$AN$65536,15,FALSE))</f>
        <v>0</v>
      </c>
      <c r="AM25" s="64">
        <f>IF(ISBLANK(S25),"",VLOOKUP(S25,'[1]plan gier'!$X$1:$AN$65536,16,FALSE))</f>
        <v>0</v>
      </c>
      <c r="AN25" s="64">
        <f>IF(ISBLANK(S25),"",VLOOKUP(S25,'[1]plan gier'!$X$1:$AN$65536,17,FALSE))</f>
        <v>0</v>
      </c>
      <c r="AO25" s="65">
        <f t="shared" si="4"/>
        <v>21</v>
      </c>
      <c r="AP25" s="64">
        <f t="shared" si="4"/>
        <v>0</v>
      </c>
      <c r="AQ25" s="66">
        <f t="shared" si="4"/>
        <v>21</v>
      </c>
      <c r="AR25" s="64">
        <f t="shared" si="4"/>
        <v>0</v>
      </c>
      <c r="AS25" s="66">
        <f t="shared" si="4"/>
        <v>0</v>
      </c>
      <c r="AT25" s="64">
        <f t="shared" si="4"/>
        <v>0</v>
      </c>
      <c r="AU25" s="54">
        <f>SUM(AO25:AT25)</f>
        <v>42</v>
      </c>
      <c r="AV25" s="13">
        <v>2</v>
      </c>
      <c r="AW25" s="63">
        <f>IF(AI26&lt;AJ26,1,0)+IF(AK26&lt;AL26,1,0)+IF(AM26&lt;AN26,1,0)</f>
        <v>2</v>
      </c>
      <c r="AX25" s="64">
        <f>AY24</f>
        <v>1</v>
      </c>
      <c r="AY25" s="67"/>
      <c r="AZ25" s="68"/>
      <c r="BA25" s="64">
        <f>IF(AI25&gt;AJ25,1,0)+IF(AK25&gt;AL25,1,0)+IF(AM25&gt;AN25,1,0)</f>
        <v>2</v>
      </c>
      <c r="BB25" s="69">
        <f>AY26</f>
        <v>0</v>
      </c>
      <c r="BE25" s="63">
        <f>AO25+AQ25+AS25+AP26+AR26+AT26</f>
        <v>97</v>
      </c>
      <c r="BF25" s="69">
        <f>AP25+AR25+AT25+AO26+AQ26+AS26</f>
        <v>47</v>
      </c>
      <c r="BG25" s="63">
        <f>AW25+BA25</f>
        <v>4</v>
      </c>
      <c r="BH25" s="69">
        <f>AX25+BB25</f>
        <v>1</v>
      </c>
      <c r="BI25" s="63">
        <f>IF(AW25&gt;AX25,1,0)+IF(BA25&gt;BB25,1,0)</f>
        <v>2</v>
      </c>
      <c r="BJ25" s="70">
        <f>IF(AX25&gt;AW25,1,0)+IF(BB25&gt;BA25,1,0)</f>
        <v>0</v>
      </c>
      <c r="BK25" s="71">
        <f>IF(BI25+BJ25=0,"",IF(BL25=MAX(BL24:BL26),1,IF(BL25=MIN(BL24:BL26),3,2)))</f>
        <v>1</v>
      </c>
      <c r="BL25" s="60">
        <f>IF(BI25+BJ25&lt;&gt;0,BI25+1+(BG25-BH25)/100+(BE25-BF25)/100000+(BE25/BF25)/1000000,0)</f>
        <v>3.030502063829787</v>
      </c>
    </row>
    <row r="26" spans="1:64" ht="11.45" customHeight="1" thickBot="1" x14ac:dyDescent="0.25">
      <c r="A26" s="19">
        <f>S26</f>
        <v>273</v>
      </c>
      <c r="B26" s="2" t="str">
        <f>IF(N22="","",N22)</f>
        <v>S4547</v>
      </c>
      <c r="C26" s="2" t="str">
        <f>IF(N23="","",N23)</f>
        <v>W4550</v>
      </c>
      <c r="D26" s="2" t="str">
        <f>IF(N25="","",N25)</f>
        <v>x22</v>
      </c>
      <c r="E26" s="2" t="str">
        <f>IF(N26="","",N26)</f>
        <v>x24</v>
      </c>
      <c r="I26" s="2" t="str">
        <f>"3"&amp;O20&amp;N21</f>
        <v>32podwójna dziewcząt M</v>
      </c>
      <c r="J26" s="10" t="str">
        <f>IF(AD27="","",IF(AD21=3,N22,IF(AD24=3,N25,IF(AD27=3,N28,""))))</f>
        <v>D3427</v>
      </c>
      <c r="K26" s="10" t="str">
        <f>IF(AD27="","",IF(AD21=3,N23,IF(AD24=3,N26,IF(AD27=3,N29,""))))</f>
        <v>X63</v>
      </c>
      <c r="M26" s="42" t="str">
        <f>N21</f>
        <v>podwójna dziewcząt M</v>
      </c>
      <c r="N26" s="38" t="s">
        <v>165</v>
      </c>
      <c r="O26" s="28"/>
      <c r="P26" s="28"/>
      <c r="Q26" s="43" t="str">
        <f>IF(AU26&gt;0,"",IF(A26=0,"",IF(VLOOKUP(A26,'[1]plan gier'!A$1:S$65536,19,FALSE)="","",VLOOKUP(A26,'[1]plan gier'!A$1:S$65536,19,FALSE))))</f>
        <v/>
      </c>
      <c r="R26" s="72" t="s">
        <v>18</v>
      </c>
      <c r="S26" s="45">
        <v>273</v>
      </c>
      <c r="T26" s="261"/>
      <c r="U26" s="265" t="str">
        <f>IF(N26&lt;&gt;"",CONCATENATE(VLOOKUP(N26,[1]zawodnicy!$A$1:$E$65536,1,FALSE)," ",VLOOKUP(N26,[1]zawodnicy!$A$1:$E$65536,2,FALSE)," ",VLOOKUP(N26,[1]zawodnicy!$A$1:$E$65536,3,FALSE)," - ",VLOOKUP(N26,[1]zawodnicy!$A$1:$E$65536,4,FALSE)),"")</f>
        <v>X24 Anna  POLISCHUK - Lwów Ukraina</v>
      </c>
      <c r="V26" s="266"/>
      <c r="W26" s="267"/>
      <c r="X26" s="73" t="str">
        <f>IF(SUM(AS26:AT26)=0,"",AT26&amp;":"&amp;AS26)</f>
        <v>21:15</v>
      </c>
      <c r="Y26" s="62"/>
      <c r="Z26" s="40" t="str">
        <f>IF(SUM(AS25:AT25)=0,"",AS25&amp;":"&amp;AT25)</f>
        <v/>
      </c>
      <c r="AA26" s="262"/>
      <c r="AB26" s="263"/>
      <c r="AC26" s="263"/>
      <c r="AD26" s="264"/>
      <c r="AE26" s="2"/>
      <c r="AF26" s="12"/>
      <c r="AG26" s="12"/>
      <c r="AH26" s="72" t="s">
        <v>18</v>
      </c>
      <c r="AI26" s="74">
        <f>IF(ISBLANK(S26),"",VLOOKUP(S26,'[1]plan gier'!$X$1:$AN$65536,12,FALSE))</f>
        <v>21</v>
      </c>
      <c r="AJ26" s="75">
        <f>IF(ISBLANK(S26),"",VLOOKUP(S26,'[1]plan gier'!$X$1:$AN$65536,13,FALSE))</f>
        <v>13</v>
      </c>
      <c r="AK26" s="75">
        <f>IF(ISBLANK(S26),"",VLOOKUP(S26,'[1]plan gier'!$X$1:$AN$65536,14,FALSE))</f>
        <v>11</v>
      </c>
      <c r="AL26" s="75">
        <f>IF(ISBLANK(S26),"",VLOOKUP(S26,'[1]plan gier'!$X$1:$AN$65536,15,FALSE))</f>
        <v>21</v>
      </c>
      <c r="AM26" s="75">
        <f>IF(ISBLANK(S26),"",VLOOKUP(S26,'[1]plan gier'!$X$1:$AN$65536,16,FALSE))</f>
        <v>15</v>
      </c>
      <c r="AN26" s="75">
        <f>IF(ISBLANK(S26),"",VLOOKUP(S26,'[1]plan gier'!$X$1:$AN$65536,17,FALSE))</f>
        <v>21</v>
      </c>
      <c r="AO26" s="76">
        <f t="shared" si="4"/>
        <v>21</v>
      </c>
      <c r="AP26" s="75">
        <f t="shared" si="4"/>
        <v>13</v>
      </c>
      <c r="AQ26" s="77">
        <f t="shared" si="4"/>
        <v>11</v>
      </c>
      <c r="AR26" s="75">
        <f t="shared" si="4"/>
        <v>21</v>
      </c>
      <c r="AS26" s="77">
        <f t="shared" si="4"/>
        <v>15</v>
      </c>
      <c r="AT26" s="75">
        <f t="shared" si="4"/>
        <v>21</v>
      </c>
      <c r="AU26" s="54">
        <f>SUM(AO26:AT26)</f>
        <v>102</v>
      </c>
      <c r="AV26" s="13">
        <v>3</v>
      </c>
      <c r="AW26" s="74">
        <f>IF(AI24&lt;AJ24,1,0)+IF(AK24&lt;AL24,1,0)+IF(AM24&lt;AN24,1,0)</f>
        <v>0</v>
      </c>
      <c r="AX26" s="75">
        <f>BA24</f>
        <v>2</v>
      </c>
      <c r="AY26" s="75">
        <f>IF(AI25&lt;AJ25,1,0)+IF(AK25&lt;AL25,1,0)+IF(AM25&lt;AN25,1,0)</f>
        <v>0</v>
      </c>
      <c r="AZ26" s="75">
        <f>BA25</f>
        <v>2</v>
      </c>
      <c r="BA26" s="78"/>
      <c r="BB26" s="79"/>
      <c r="BE26" s="74">
        <f>AP24+AR24+AT24+AP25+AR25+AT25</f>
        <v>0</v>
      </c>
      <c r="BF26" s="80">
        <f>AO24+AQ24+AS24+AO25+AQ25+AS25</f>
        <v>84</v>
      </c>
      <c r="BG26" s="74">
        <f>AW26+AY26</f>
        <v>0</v>
      </c>
      <c r="BH26" s="80">
        <f>AX26+AZ26</f>
        <v>4</v>
      </c>
      <c r="BI26" s="74">
        <f>IF(AW26&gt;AX26,1,0)+IF(AY26&gt;AZ26,1,0)</f>
        <v>0</v>
      </c>
      <c r="BJ26" s="81">
        <f>IF(AX26&gt;AW26,1,0)+IF(AZ26&gt;AY26,1,0)</f>
        <v>2</v>
      </c>
      <c r="BK26" s="82">
        <f>IF(BI26+BJ26=0,"",IF(BL26=MAX(BL24:BL26),1,IF(BL26=MIN(BL24:BL26),3,2)))</f>
        <v>3</v>
      </c>
      <c r="BL26" s="60">
        <f>IF(BI26+BJ26&lt;&gt;0,BI26+1+(BG26-BH26)/100+(BE26-BF26)/100000+(BE26/BF26)/1000000,0)</f>
        <v>0.95916000000000001</v>
      </c>
    </row>
    <row r="27" spans="1:64" ht="11.45" customHeight="1" x14ac:dyDescent="0.2">
      <c r="A27" s="2"/>
      <c r="J27" s="28"/>
      <c r="K27" s="28"/>
      <c r="L27" s="28"/>
      <c r="O27" s="28"/>
      <c r="P27" s="28"/>
      <c r="Q27" s="2"/>
      <c r="R27" s="2"/>
      <c r="S27" s="2"/>
      <c r="T27" s="241">
        <v>3</v>
      </c>
      <c r="U27" s="244" t="str">
        <f>IF(AND(N28&lt;&gt;"",N29&lt;&gt;""),CONCATENATE(VLOOKUP(N28,[1]zawodnicy!$A$1:$E$65536,1,FALSE)," ",VLOOKUP(N28,[1]zawodnicy!$A$1:$E$65536,2,FALSE)," ",VLOOKUP(N28,[1]zawodnicy!$A$1:$E$65536,3,FALSE)," - ",VLOOKUP(N28,[1]zawodnicy!$A$1:$E$65536,4,FALSE)),"")</f>
        <v>D3427 Wiktoria DĄBCZYŃSKA - MKS Orlicz Suchedniów</v>
      </c>
      <c r="V27" s="245"/>
      <c r="W27" s="246"/>
      <c r="X27" s="46" t="str">
        <f>IF(SUM(AO24:AP24)=0,"",AP24&amp;":"&amp;AO24)</f>
        <v>0:21</v>
      </c>
      <c r="Y27" s="83" t="str">
        <f>IF(SUM(AO25:AP25)=0,"",AP25&amp;":"&amp;AO25)</f>
        <v>0:21</v>
      </c>
      <c r="Z27" s="84"/>
      <c r="AA27" s="247" t="str">
        <f>IF(SUM(AW26:AZ26)=0,"",BE26&amp;":"&amp;BF26)</f>
        <v>0:84</v>
      </c>
      <c r="AB27" s="250" t="str">
        <f>IF(SUM(AW26:AZ26)=0,"",BG26&amp;":"&amp;BH26)</f>
        <v>0:4</v>
      </c>
      <c r="AC27" s="250" t="str">
        <f>IF(SUM(AW26:AZ26)=0,"",BI26&amp;":"&amp;BJ26)</f>
        <v>0:2</v>
      </c>
      <c r="AD27" s="253">
        <f>IF(SUM(BI24:BI26)&gt;0,BK26,"")</f>
        <v>3</v>
      </c>
      <c r="AE27" s="2"/>
      <c r="AF27" s="12"/>
      <c r="AG27" s="12"/>
      <c r="BE27" s="19">
        <f>SUM(BE24:BE26)</f>
        <v>186</v>
      </c>
      <c r="BF27" s="19">
        <f>SUM(BF24:BF26)</f>
        <v>186</v>
      </c>
      <c r="BG27" s="19">
        <f>SUM(BG24:BG26)</f>
        <v>7</v>
      </c>
      <c r="BH27" s="19">
        <f>SUM(BH24:BH26)</f>
        <v>7</v>
      </c>
      <c r="BK27" s="19"/>
      <c r="BL27" s="20"/>
    </row>
    <row r="28" spans="1:64" ht="11.45" customHeight="1" x14ac:dyDescent="0.2">
      <c r="A28" s="19"/>
      <c r="J28" s="19"/>
      <c r="K28" s="19"/>
      <c r="L28" s="19"/>
      <c r="N28" s="33" t="s">
        <v>166</v>
      </c>
      <c r="O28" s="34">
        <f>IF(O20&gt;0,(O20&amp;3)*1,"")</f>
        <v>23</v>
      </c>
      <c r="Q28" s="85"/>
      <c r="R28" s="85"/>
      <c r="S28" s="85"/>
      <c r="T28" s="242"/>
      <c r="U28" s="244" t="str">
        <f>IF(AND(N28&lt;&gt;"",N29=""),CONCATENATE(VLOOKUP(N28,[1]zawodnicy!$A$1:$E$65536,1,FALSE)," ",VLOOKUP(N28,[1]zawodnicy!$A$1:$E$65536,2,FALSE)," ",VLOOKUP(N28,[1]zawodnicy!$A$1:$E$65536,3,FALSE)," - ",VLOOKUP(N28,[1]zawodnicy!$A$1:$E$65536,4,FALSE)),"")</f>
        <v/>
      </c>
      <c r="V28" s="245"/>
      <c r="W28" s="246"/>
      <c r="X28" s="61" t="str">
        <f>IF(SUM(AQ24:AR24)=0,"",AR24&amp;":"&amp;AQ24)</f>
        <v>0:21</v>
      </c>
      <c r="Y28" s="36" t="str">
        <f>IF(SUM(AQ25:AR25)=0,"",AR25&amp;":"&amp;AQ25)</f>
        <v>0:21</v>
      </c>
      <c r="Z28" s="86"/>
      <c r="AA28" s="248"/>
      <c r="AB28" s="251"/>
      <c r="AC28" s="251"/>
      <c r="AD28" s="254"/>
      <c r="AE28" s="2"/>
      <c r="AF28" s="12"/>
      <c r="AG28" s="1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row>
    <row r="29" spans="1:64" ht="11.45" customHeight="1" thickBot="1" x14ac:dyDescent="0.25">
      <c r="A29" s="2"/>
      <c r="J29" s="28"/>
      <c r="K29" s="28"/>
      <c r="L29" s="28"/>
      <c r="N29" s="38" t="s">
        <v>167</v>
      </c>
      <c r="O29" s="28"/>
      <c r="P29" s="28"/>
      <c r="Q29" s="2"/>
      <c r="R29" s="2"/>
      <c r="S29" s="2"/>
      <c r="T29" s="243"/>
      <c r="U29" s="256" t="str">
        <f>IF(N29&lt;&gt;"",CONCATENATE(VLOOKUP(N29,[1]zawodnicy!$A$1:$E$65536,1,FALSE)," ",VLOOKUP(N29,[1]zawodnicy!$A$1:$E$65536,2,FALSE)," ",VLOOKUP(N29,[1]zawodnicy!$A$1:$E$65536,3,FALSE)," - ",VLOOKUP(N29,[1]zawodnicy!$A$1:$E$65536,4,FALSE)),"")</f>
        <v>X63 Anna  KRAMCHANINA - Brześć 2 Białoruś</v>
      </c>
      <c r="V29" s="257"/>
      <c r="W29" s="258"/>
      <c r="X29" s="87" t="str">
        <f>IF(SUM(AS24:AT24)=0,"",AT24&amp;":"&amp;AS24)</f>
        <v/>
      </c>
      <c r="Y29" s="88" t="str">
        <f>IF(SUM(AS25:AT25)=0,"",AT25&amp;":"&amp;AS25)</f>
        <v/>
      </c>
      <c r="Z29" s="89"/>
      <c r="AA29" s="249"/>
      <c r="AB29" s="252"/>
      <c r="AC29" s="252"/>
      <c r="AD29" s="255"/>
      <c r="AE29" s="10"/>
      <c r="AF29" s="12"/>
      <c r="AG29" s="1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row>
    <row r="30" spans="1:64" s="19" customFormat="1" ht="5.0999999999999996" customHeight="1" thickBot="1" x14ac:dyDescent="0.25">
      <c r="M30" s="90"/>
      <c r="O30" s="90"/>
      <c r="P30" s="90"/>
      <c r="Q30" s="91"/>
      <c r="R30" s="91"/>
      <c r="S30" s="91"/>
      <c r="T30" s="91"/>
      <c r="U30" s="5"/>
      <c r="V30" s="5"/>
      <c r="W30" s="5"/>
      <c r="AA30" s="92"/>
      <c r="AB30" s="91"/>
      <c r="AC30" s="91"/>
      <c r="AD30" s="91"/>
      <c r="AE30" s="91"/>
      <c r="AF30" s="91"/>
      <c r="AI30" s="93"/>
      <c r="AJ30" s="94"/>
      <c r="AK30" s="94"/>
    </row>
    <row r="31" spans="1:64" ht="11.45" customHeight="1" thickBot="1" x14ac:dyDescent="0.25">
      <c r="N31" s="11"/>
      <c r="O31" s="21">
        <v>3</v>
      </c>
      <c r="Q31" s="277" t="str">
        <f>"Grupa "&amp;O31&amp;"."</f>
        <v>Grupa 3.</v>
      </c>
      <c r="R31" s="277"/>
      <c r="S31" s="277"/>
      <c r="T31" s="22" t="s">
        <v>1</v>
      </c>
      <c r="U31" s="278" t="s">
        <v>2</v>
      </c>
      <c r="V31" s="279"/>
      <c r="W31" s="280"/>
      <c r="X31" s="22">
        <v>1</v>
      </c>
      <c r="Y31" s="23">
        <v>2</v>
      </c>
      <c r="Z31" s="24">
        <v>3</v>
      </c>
      <c r="AA31" s="25" t="s">
        <v>3</v>
      </c>
      <c r="AB31" s="26" t="s">
        <v>4</v>
      </c>
      <c r="AC31" s="26" t="s">
        <v>5</v>
      </c>
      <c r="AD31" s="27" t="s">
        <v>6</v>
      </c>
      <c r="AE31" s="2"/>
      <c r="AF31" s="12"/>
      <c r="AG31" s="12"/>
      <c r="BK31" s="19"/>
      <c r="BL31" s="20"/>
    </row>
    <row r="32" spans="1:64" ht="11.45" customHeight="1" x14ac:dyDescent="0.2">
      <c r="J32" s="28"/>
      <c r="K32" s="28"/>
      <c r="L32" s="28"/>
      <c r="N32" s="29" t="s">
        <v>153</v>
      </c>
      <c r="Q32" s="274" t="s">
        <v>7</v>
      </c>
      <c r="R32" s="274"/>
      <c r="S32" s="275" t="s">
        <v>8</v>
      </c>
      <c r="T32" s="276">
        <v>1</v>
      </c>
      <c r="U32" s="244" t="str">
        <f>IF(AND(N33&lt;&gt;"",N34&lt;&gt;""),CONCATENATE(VLOOKUP(N33,[1]zawodnicy!$A$1:$E$65536,1,FALSE)," ",VLOOKUP(N33,[1]zawodnicy!$A$1:$E$65536,2,FALSE)," ",VLOOKUP(N33,[1]zawodnicy!$A$1:$E$65536,3,FALSE)," - ",VLOOKUP(N33,[1]zawodnicy!$A$1:$E$65536,4,FALSE)),"")</f>
        <v>F4371 Agnieszka FORYTA - STB Energia Lubliniec</v>
      </c>
      <c r="V32" s="245"/>
      <c r="W32" s="246"/>
      <c r="X32" s="30"/>
      <c r="Y32" s="31" t="str">
        <f>IF(SUM(AO37:AP37)=0,"",AO37&amp;":"&amp;AP37)</f>
        <v>15:21</v>
      </c>
      <c r="Z32" s="32" t="str">
        <f>IF(SUM(AO35:AP35)=0,"",AO35&amp;":"&amp;AP35)</f>
        <v>21:19</v>
      </c>
      <c r="AA32" s="270" t="str">
        <f>IF(SUM(AY35:BB35)=0,"",BE35&amp;":"&amp;BF35)</f>
        <v>91:103</v>
      </c>
      <c r="AB32" s="271" t="str">
        <f>IF(SUM(AY35:BB35)=0,"",BG35&amp;":"&amp;BH35)</f>
        <v>1:4</v>
      </c>
      <c r="AC32" s="271" t="str">
        <f>IF(SUM(AY35:BB35)=0,"",BI35&amp;":"&amp;BJ35)</f>
        <v>0:2</v>
      </c>
      <c r="AD32" s="272">
        <f>IF(SUM(BI35:BI37)&gt;0,BK35,"")</f>
        <v>3</v>
      </c>
      <c r="AE32" s="2"/>
      <c r="AF32" s="12"/>
      <c r="AG32" s="12"/>
      <c r="AH32" s="14"/>
      <c r="AI32" s="273" t="s">
        <v>9</v>
      </c>
      <c r="AJ32" s="273"/>
      <c r="AK32" s="273"/>
      <c r="AL32" s="273"/>
      <c r="AM32" s="273"/>
      <c r="AN32" s="273"/>
      <c r="AO32" s="273" t="s">
        <v>10</v>
      </c>
      <c r="AP32" s="273"/>
      <c r="AQ32" s="273"/>
      <c r="AR32" s="273"/>
      <c r="AS32" s="273"/>
      <c r="AT32" s="273"/>
      <c r="BK32" s="19"/>
      <c r="BL32" s="20"/>
    </row>
    <row r="33" spans="1:64" ht="11.45" customHeight="1" thickBot="1" x14ac:dyDescent="0.25">
      <c r="I33" s="2" t="str">
        <f>"1"&amp;O31&amp;N32</f>
        <v>13podwójna dziewcząt M</v>
      </c>
      <c r="J33" s="10" t="str">
        <f>IF(AD32="","",IF(AD32=1,N33,IF(AD35=1,N36,IF(AD38=1,N39,""))))</f>
        <v>M4748</v>
      </c>
      <c r="K33" s="10" t="str">
        <f>IF(AD32="","",IF(AD32=1,N34,IF(AD35=1,N37,IF(AD38=1,N40,""))))</f>
        <v>W4281</v>
      </c>
      <c r="L33" s="10"/>
      <c r="N33" s="33" t="s">
        <v>168</v>
      </c>
      <c r="O33" s="34">
        <f>IF(O31&gt;0,(O31&amp;1)*1,"")</f>
        <v>31</v>
      </c>
      <c r="Q33" s="274"/>
      <c r="R33" s="274"/>
      <c r="S33" s="275"/>
      <c r="T33" s="242"/>
      <c r="U33" s="244" t="str">
        <f>IF(AND(N33&lt;&gt;"",N34=""),CONCATENATE(VLOOKUP(N33,[1]zawodnicy!$A$1:$E$65536,1,FALSE)," ",VLOOKUP(N33,[1]zawodnicy!$A$1:$E$65536,2,FALSE)," ",VLOOKUP(N33,[1]zawodnicy!$A$1:$E$65536,3,FALSE)," - ",VLOOKUP(N33,[1]zawodnicy!$A$1:$E$65536,4,FALSE)),"")</f>
        <v/>
      </c>
      <c r="V33" s="245"/>
      <c r="W33" s="246"/>
      <c r="X33" s="35"/>
      <c r="Y33" s="36" t="str">
        <f>IF(SUM(AQ37:AR37)=0,"",AQ37&amp;":"&amp;AR37)</f>
        <v>19:21</v>
      </c>
      <c r="Z33" s="37" t="str">
        <f>IF(SUM(AQ35:AR35)=0,"",AQ35&amp;":"&amp;AR35)</f>
        <v>17:21</v>
      </c>
      <c r="AA33" s="248"/>
      <c r="AB33" s="251"/>
      <c r="AC33" s="251"/>
      <c r="AD33" s="254"/>
      <c r="AE33" s="2"/>
      <c r="AF33" s="12"/>
      <c r="AG33" s="12"/>
      <c r="AH33" s="14"/>
      <c r="BE33" s="19">
        <f>SUM(BE35:BE37)</f>
        <v>315</v>
      </c>
      <c r="BF33" s="19">
        <f>SUM(BF35:BF37)</f>
        <v>315</v>
      </c>
      <c r="BG33" s="19">
        <f>SUM(BG35:BG37)</f>
        <v>8</v>
      </c>
      <c r="BH33" s="19">
        <f>SUM(BH35:BH37)</f>
        <v>8</v>
      </c>
      <c r="BK33" s="19"/>
      <c r="BL33" s="20"/>
    </row>
    <row r="34" spans="1:64" ht="11.45" customHeight="1" thickBot="1" x14ac:dyDescent="0.25">
      <c r="J34" s="10"/>
      <c r="K34" s="28"/>
      <c r="L34" s="28"/>
      <c r="N34" s="38" t="s">
        <v>169</v>
      </c>
      <c r="O34" s="28"/>
      <c r="P34" s="28"/>
      <c r="Q34" s="274"/>
      <c r="R34" s="274"/>
      <c r="S34" s="275"/>
      <c r="T34" s="261"/>
      <c r="U34" s="265" t="str">
        <f>IF(N34&lt;&gt;"",CONCATENATE(VLOOKUP(N34,[1]zawodnicy!$A$1:$E$65536,1,FALSE)," ",VLOOKUP(N34,[1]zawodnicy!$A$1:$E$65536,2,FALSE)," ",VLOOKUP(N34,[1]zawodnicy!$A$1:$E$65536,3,FALSE)," - ",VLOOKUP(N34,[1]zawodnicy!$A$1:$E$65536,4,FALSE)),"")</f>
        <v>S4370 Hanna SZYMAŃSKA - STB Energia Lubliniec</v>
      </c>
      <c r="V34" s="266"/>
      <c r="W34" s="267"/>
      <c r="X34" s="35"/>
      <c r="Y34" s="39" t="str">
        <f>IF(SUM(AS37:AT37)=0,"",AS37&amp;":"&amp;AT37)</f>
        <v/>
      </c>
      <c r="Z34" s="40" t="str">
        <f>IF(SUM(AS35:AT35)=0,"",AS35&amp;":"&amp;AT35)</f>
        <v>19:21</v>
      </c>
      <c r="AA34" s="262"/>
      <c r="AB34" s="263"/>
      <c r="AC34" s="263"/>
      <c r="AD34" s="264"/>
      <c r="AE34" s="2"/>
      <c r="AF34" s="12"/>
      <c r="AG34" s="12"/>
      <c r="AH34" s="14"/>
      <c r="AI34" s="259" t="s">
        <v>12</v>
      </c>
      <c r="AJ34" s="269"/>
      <c r="AK34" s="268" t="s">
        <v>13</v>
      </c>
      <c r="AL34" s="269"/>
      <c r="AM34" s="268" t="s">
        <v>14</v>
      </c>
      <c r="AN34" s="260"/>
      <c r="AO34" s="259" t="s">
        <v>12</v>
      </c>
      <c r="AP34" s="269"/>
      <c r="AQ34" s="268" t="s">
        <v>13</v>
      </c>
      <c r="AR34" s="269"/>
      <c r="AS34" s="268" t="s">
        <v>14</v>
      </c>
      <c r="AT34" s="269"/>
      <c r="AU34" s="12"/>
      <c r="AV34" s="12"/>
      <c r="AW34" s="259">
        <v>1</v>
      </c>
      <c r="AX34" s="269"/>
      <c r="AY34" s="268">
        <v>2</v>
      </c>
      <c r="AZ34" s="269"/>
      <c r="BA34" s="268">
        <v>3</v>
      </c>
      <c r="BB34" s="260"/>
      <c r="BE34" s="259" t="s">
        <v>3</v>
      </c>
      <c r="BF34" s="260"/>
      <c r="BG34" s="259" t="s">
        <v>4</v>
      </c>
      <c r="BH34" s="260"/>
      <c r="BI34" s="259" t="s">
        <v>5</v>
      </c>
      <c r="BJ34" s="260"/>
      <c r="BK34" s="41" t="s">
        <v>6</v>
      </c>
      <c r="BL34" s="20"/>
    </row>
    <row r="35" spans="1:64" ht="11.45" customHeight="1" x14ac:dyDescent="0.2">
      <c r="A35" s="19">
        <f>S35</f>
        <v>61</v>
      </c>
      <c r="B35" s="2" t="str">
        <f>IF(N33="","",N33)</f>
        <v>F4371</v>
      </c>
      <c r="C35" s="2" t="str">
        <f>IF(N34="","",N34)</f>
        <v>S4370</v>
      </c>
      <c r="D35" s="2" t="str">
        <f>IF(N39="","",N39)</f>
        <v>x13</v>
      </c>
      <c r="E35" s="2" t="str">
        <f>IF(N40="","",N40)</f>
        <v>x12</v>
      </c>
      <c r="I35" s="2" t="str">
        <f>"2"&amp;O31&amp;N32</f>
        <v>23podwójna dziewcząt M</v>
      </c>
      <c r="J35" s="10" t="str">
        <f>IF(AD35="","",IF(AD32=2,N33,IF(AD35=2,N36,IF(AD38=2,N39,""))))</f>
        <v>x13</v>
      </c>
      <c r="K35" s="10" t="str">
        <f>IF(AD35="","",IF(AD32=2,N34,IF(AD35=2,N37,IF(AD38=2,N40,""))))</f>
        <v>x12</v>
      </c>
      <c r="M35" s="42" t="str">
        <f>N32</f>
        <v>podwójna dziewcząt M</v>
      </c>
      <c r="O35" s="28"/>
      <c r="P35" s="28"/>
      <c r="Q35" s="43" t="str">
        <f>IF(AU35&gt;0,"",IF(A35=0,"",IF(VLOOKUP(A35,'[1]plan gier'!A$1:S$65536,19,FALSE)="","",VLOOKUP(A35,'[1]plan gier'!A$1:S$65536,19,FALSE))))</f>
        <v/>
      </c>
      <c r="R35" s="44" t="s">
        <v>15</v>
      </c>
      <c r="S35" s="45">
        <v>61</v>
      </c>
      <c r="T35" s="241">
        <v>2</v>
      </c>
      <c r="U35" s="244" t="str">
        <f>IF(AND(N36&lt;&gt;"",N37&lt;&gt;""),CONCATENATE(VLOOKUP(N36,[1]zawodnicy!$A$1:$E$65536,1,FALSE)," ",VLOOKUP(N36,[1]zawodnicy!$A$1:$E$65536,2,FALSE)," ",VLOOKUP(N36,[1]zawodnicy!$A$1:$E$65536,3,FALSE)," - ",VLOOKUP(N36,[1]zawodnicy!$A$1:$E$65536,4,FALSE)),"")</f>
        <v>M4748 Olga MIKSZA - KS Wesoła Warszawa</v>
      </c>
      <c r="V35" s="245"/>
      <c r="W35" s="246"/>
      <c r="X35" s="46" t="str">
        <f>IF(SUM(AO37:AP37)=0,"",AP37&amp;":"&amp;AO37)</f>
        <v>21:15</v>
      </c>
      <c r="Y35" s="47"/>
      <c r="Z35" s="48" t="str">
        <f>IF(SUM(AO36:AP36)=0,"",AO36&amp;":"&amp;AP36)</f>
        <v>18:21</v>
      </c>
      <c r="AA35" s="247" t="str">
        <f>IF(SUM(AW36:AX36,BA36:BB36)=0,"",BE36&amp;":"&amp;BF36)</f>
        <v>104:93</v>
      </c>
      <c r="AB35" s="250" t="str">
        <f>IF(SUM(AW36:AX36,BA36:BB36)=0,"",BG36&amp;":"&amp;BH36)</f>
        <v>4:1</v>
      </c>
      <c r="AC35" s="250" t="str">
        <f>IF(SUM(AW36:AX36,BA36:BB36)=0,"",BI36&amp;":"&amp;BJ36)</f>
        <v>2:0</v>
      </c>
      <c r="AD35" s="253">
        <f>IF(SUM(BI35:BI37)&gt;0,BK36,"")</f>
        <v>1</v>
      </c>
      <c r="AE35" s="2"/>
      <c r="AF35" s="12"/>
      <c r="AG35" s="12"/>
      <c r="AH35" s="44" t="s">
        <v>15</v>
      </c>
      <c r="AI35" s="49">
        <f>IF(ISBLANK(S35),"",VLOOKUP(S35,'[1]plan gier'!$X$1:$AN$65536,12,FALSE))</f>
        <v>21</v>
      </c>
      <c r="AJ35" s="50">
        <f>IF(ISBLANK(S35),"",VLOOKUP(S35,'[1]plan gier'!$X$1:$AN$65536,13,FALSE))</f>
        <v>19</v>
      </c>
      <c r="AK35" s="50">
        <f>IF(ISBLANK(S35),"",VLOOKUP(S35,'[1]plan gier'!$X$1:$AN$65536,14,FALSE))</f>
        <v>17</v>
      </c>
      <c r="AL35" s="50">
        <f>IF(ISBLANK(S35),"",VLOOKUP(S35,'[1]plan gier'!$X$1:$AN$65536,15,FALSE))</f>
        <v>21</v>
      </c>
      <c r="AM35" s="50">
        <f>IF(ISBLANK(S35),"",VLOOKUP(S35,'[1]plan gier'!$X$1:$AN$65536,16,FALSE))</f>
        <v>19</v>
      </c>
      <c r="AN35" s="50">
        <f>IF(ISBLANK(S35),"",VLOOKUP(S35,'[1]plan gier'!$X$1:$AN$65536,17,FALSE))</f>
        <v>21</v>
      </c>
      <c r="AO35" s="51">
        <f t="shared" ref="AO35:AT37" si="5">IF(AI35="",0,AI35)</f>
        <v>21</v>
      </c>
      <c r="AP35" s="52">
        <f t="shared" si="5"/>
        <v>19</v>
      </c>
      <c r="AQ35" s="53">
        <f t="shared" si="5"/>
        <v>17</v>
      </c>
      <c r="AR35" s="52">
        <f t="shared" si="5"/>
        <v>21</v>
      </c>
      <c r="AS35" s="53">
        <f t="shared" si="5"/>
        <v>19</v>
      </c>
      <c r="AT35" s="52">
        <f t="shared" si="5"/>
        <v>21</v>
      </c>
      <c r="AU35" s="54">
        <f>SUM(AO35:AT35)</f>
        <v>118</v>
      </c>
      <c r="AV35" s="13">
        <v>1</v>
      </c>
      <c r="AW35" s="55"/>
      <c r="AX35" s="56"/>
      <c r="AY35" s="50">
        <f>IF(AI37&gt;AJ37,1,0)+IF(AK37&gt;AL37,1,0)+IF(AM37&gt;AN37,1,0)</f>
        <v>0</v>
      </c>
      <c r="AZ35" s="50">
        <f>AW36</f>
        <v>2</v>
      </c>
      <c r="BA35" s="50">
        <f>IF(AI35&gt;AJ35,1,0)+IF(AK35&gt;AL35,1,0)+IF(AM35&gt;AN35,1,0)</f>
        <v>1</v>
      </c>
      <c r="BB35" s="57">
        <f>AW37</f>
        <v>2</v>
      </c>
      <c r="BE35" s="49">
        <f>AO35+AQ35+AS35+AO37+AQ37+AS37</f>
        <v>91</v>
      </c>
      <c r="BF35" s="57">
        <f>AP35+AR35+AT35+AP37+AR37+AT37</f>
        <v>103</v>
      </c>
      <c r="BG35" s="49">
        <f>AY35+BA35</f>
        <v>1</v>
      </c>
      <c r="BH35" s="57">
        <f>AZ35+BB35</f>
        <v>4</v>
      </c>
      <c r="BI35" s="49">
        <f>IF(AY35&gt;AZ35,1,0)+IF(BA35&gt;BB35,1,0)</f>
        <v>0</v>
      </c>
      <c r="BJ35" s="58">
        <f>IF(AZ35&gt;AY35,1,0)+IF(BB35&gt;BA35,1,0)</f>
        <v>2</v>
      </c>
      <c r="BK35" s="59">
        <f>IF(BI35+BJ35=0,"",IF(BL35=MAX(BL35:BL37),1,IF(BL35=MIN(BL35:BL37),3,2)))</f>
        <v>3</v>
      </c>
      <c r="BL35" s="60">
        <f>IF(BI35+BJ35&lt;&gt;0,BI35+1+(BG35-BH35)/100+(BE35-BF35)/100000+(BE35/BF35)/1000000,0)</f>
        <v>0.96988088349514556</v>
      </c>
    </row>
    <row r="36" spans="1:64" ht="11.45" customHeight="1" x14ac:dyDescent="0.2">
      <c r="A36" s="19">
        <f>S36</f>
        <v>127</v>
      </c>
      <c r="B36" s="2" t="str">
        <f>IF(N36="","",N36)</f>
        <v>M4748</v>
      </c>
      <c r="C36" s="2" t="str">
        <f>IF(N37="","",N37)</f>
        <v>W4281</v>
      </c>
      <c r="D36" s="2" t="str">
        <f>IF(N39="","",N39)</f>
        <v>x13</v>
      </c>
      <c r="E36" s="2" t="str">
        <f>IF(N40="","",N40)</f>
        <v>x12</v>
      </c>
      <c r="J36" s="10"/>
      <c r="K36" s="19"/>
      <c r="M36" s="42" t="str">
        <f>N32</f>
        <v>podwójna dziewcząt M</v>
      </c>
      <c r="N36" s="33" t="s">
        <v>170</v>
      </c>
      <c r="O36" s="34">
        <f>IF(O31&gt;0,(O31&amp;2)*1,"")</f>
        <v>32</v>
      </c>
      <c r="Q36" s="43" t="str">
        <f>IF(AU36&gt;0,"",IF(A36=0,"",IF(VLOOKUP(A36,'[1]plan gier'!A$1:S$65536,19,FALSE)="","",VLOOKUP(A36,'[1]plan gier'!A$1:S$65536,19,FALSE))))</f>
        <v/>
      </c>
      <c r="R36" s="44" t="s">
        <v>17</v>
      </c>
      <c r="S36" s="45">
        <v>127</v>
      </c>
      <c r="T36" s="242"/>
      <c r="U36" s="244" t="str">
        <f>IF(AND(N36&lt;&gt;"",N37=""),CONCATENATE(VLOOKUP(N36,[1]zawodnicy!$A$1:$E$65536,1,FALSE)," ",VLOOKUP(N36,[1]zawodnicy!$A$1:$E$65536,2,FALSE)," ",VLOOKUP(N36,[1]zawodnicy!$A$1:$E$65536,3,FALSE)," - ",VLOOKUP(N36,[1]zawodnicy!$A$1:$E$65536,4,FALSE)),"")</f>
        <v/>
      </c>
      <c r="V36" s="245"/>
      <c r="W36" s="246"/>
      <c r="X36" s="61" t="str">
        <f>IF(SUM(AQ37:AR37)=0,"",AR37&amp;":"&amp;AQ37)</f>
        <v>21:19</v>
      </c>
      <c r="Y36" s="62"/>
      <c r="Z36" s="37" t="str">
        <f>IF(SUM(AQ36:AR36)=0,"",AQ36&amp;":"&amp;AR36)</f>
        <v>21:17</v>
      </c>
      <c r="AA36" s="248"/>
      <c r="AB36" s="251"/>
      <c r="AC36" s="251"/>
      <c r="AD36" s="254"/>
      <c r="AE36" s="2"/>
      <c r="AF36" s="12"/>
      <c r="AG36" s="12"/>
      <c r="AH36" s="44" t="s">
        <v>17</v>
      </c>
      <c r="AI36" s="63">
        <f>IF(ISBLANK(S36),"",VLOOKUP(S36,'[1]plan gier'!$X$1:$AN$65536,12,FALSE))</f>
        <v>18</v>
      </c>
      <c r="AJ36" s="64">
        <f>IF(ISBLANK(S36),"",VLOOKUP(S36,'[1]plan gier'!$X$1:$AN$65536,13,FALSE))</f>
        <v>21</v>
      </c>
      <c r="AK36" s="64">
        <f>IF(ISBLANK(S36),"",VLOOKUP(S36,'[1]plan gier'!$X$1:$AN$65536,14,FALSE))</f>
        <v>21</v>
      </c>
      <c r="AL36" s="64">
        <f>IF(ISBLANK(S36),"",VLOOKUP(S36,'[1]plan gier'!$X$1:$AN$65536,15,FALSE))</f>
        <v>17</v>
      </c>
      <c r="AM36" s="64">
        <f>IF(ISBLANK(S36),"",VLOOKUP(S36,'[1]plan gier'!$X$1:$AN$65536,16,FALSE))</f>
        <v>23</v>
      </c>
      <c r="AN36" s="64">
        <f>IF(ISBLANK(S36),"",VLOOKUP(S36,'[1]plan gier'!$X$1:$AN$65536,17,FALSE))</f>
        <v>21</v>
      </c>
      <c r="AO36" s="65">
        <f t="shared" si="5"/>
        <v>18</v>
      </c>
      <c r="AP36" s="64">
        <f t="shared" si="5"/>
        <v>21</v>
      </c>
      <c r="AQ36" s="66">
        <f t="shared" si="5"/>
        <v>21</v>
      </c>
      <c r="AR36" s="64">
        <f t="shared" si="5"/>
        <v>17</v>
      </c>
      <c r="AS36" s="66">
        <f t="shared" si="5"/>
        <v>23</v>
      </c>
      <c r="AT36" s="64">
        <f t="shared" si="5"/>
        <v>21</v>
      </c>
      <c r="AU36" s="54">
        <f>SUM(AO36:AT36)</f>
        <v>121</v>
      </c>
      <c r="AV36" s="13">
        <v>2</v>
      </c>
      <c r="AW36" s="63">
        <f>IF(AI37&lt;AJ37,1,0)+IF(AK37&lt;AL37,1,0)+IF(AM37&lt;AN37,1,0)</f>
        <v>2</v>
      </c>
      <c r="AX36" s="64">
        <f>AY35</f>
        <v>0</v>
      </c>
      <c r="AY36" s="67"/>
      <c r="AZ36" s="68"/>
      <c r="BA36" s="64">
        <f>IF(AI36&gt;AJ36,1,0)+IF(AK36&gt;AL36,1,0)+IF(AM36&gt;AN36,1,0)</f>
        <v>2</v>
      </c>
      <c r="BB36" s="69">
        <f>AY37</f>
        <v>1</v>
      </c>
      <c r="BE36" s="63">
        <f>AO36+AQ36+AS36+AP37+AR37+AT37</f>
        <v>104</v>
      </c>
      <c r="BF36" s="69">
        <f>AP36+AR36+AT36+AO37+AQ37+AS37</f>
        <v>93</v>
      </c>
      <c r="BG36" s="63">
        <f>AW36+BA36</f>
        <v>4</v>
      </c>
      <c r="BH36" s="69">
        <f>AX36+BB36</f>
        <v>1</v>
      </c>
      <c r="BI36" s="63">
        <f>IF(AW36&gt;AX36,1,0)+IF(BA36&gt;BB36,1,0)</f>
        <v>2</v>
      </c>
      <c r="BJ36" s="70">
        <f>IF(AX36&gt;AW36,1,0)+IF(BB36&gt;BA36,1,0)</f>
        <v>0</v>
      </c>
      <c r="BK36" s="71">
        <f>IF(BI36+BJ36=0,"",IF(BL36=MAX(BL35:BL37),1,IF(BL36=MIN(BL35:BL37),3,2)))</f>
        <v>1</v>
      </c>
      <c r="BL36" s="60">
        <f>IF(BI36+BJ36&lt;&gt;0,BI36+1+(BG36-BH36)/100+(BE36-BF36)/100000+(BE36/BF36)/1000000,0)</f>
        <v>3.0301111182795695</v>
      </c>
    </row>
    <row r="37" spans="1:64" ht="11.45" customHeight="1" thickBot="1" x14ac:dyDescent="0.25">
      <c r="A37" s="19">
        <f>S37</f>
        <v>274</v>
      </c>
      <c r="B37" s="2" t="str">
        <f>IF(N33="","",N33)</f>
        <v>F4371</v>
      </c>
      <c r="C37" s="2" t="str">
        <f>IF(N34="","",N34)</f>
        <v>S4370</v>
      </c>
      <c r="D37" s="2" t="str">
        <f>IF(N36="","",N36)</f>
        <v>M4748</v>
      </c>
      <c r="E37" s="2" t="str">
        <f>IF(N37="","",N37)</f>
        <v>W4281</v>
      </c>
      <c r="I37" s="2" t="str">
        <f>"3"&amp;O31&amp;N32</f>
        <v>33podwójna dziewcząt M</v>
      </c>
      <c r="J37" s="10" t="str">
        <f>IF(AD38="","",IF(AD32=3,N33,IF(AD35=3,N36,IF(AD38=3,N39,""))))</f>
        <v>F4371</v>
      </c>
      <c r="K37" s="10" t="str">
        <f>IF(AD38="","",IF(AD32=3,N34,IF(AD35=3,N37,IF(AD38=3,N40,""))))</f>
        <v>S4370</v>
      </c>
      <c r="M37" s="42" t="str">
        <f>N32</f>
        <v>podwójna dziewcząt M</v>
      </c>
      <c r="N37" s="38" t="s">
        <v>171</v>
      </c>
      <c r="O37" s="28"/>
      <c r="P37" s="28"/>
      <c r="Q37" s="43" t="str">
        <f>IF(AU37&gt;0,"",IF(A37=0,"",IF(VLOOKUP(A37,'[1]plan gier'!A$1:S$65536,19,FALSE)="","",VLOOKUP(A37,'[1]plan gier'!A$1:S$65536,19,FALSE))))</f>
        <v/>
      </c>
      <c r="R37" s="72" t="s">
        <v>18</v>
      </c>
      <c r="S37" s="45">
        <v>274</v>
      </c>
      <c r="T37" s="261"/>
      <c r="U37" s="265" t="str">
        <f>IF(N37&lt;&gt;"",CONCATENATE(VLOOKUP(N37,[1]zawodnicy!$A$1:$E$65536,1,FALSE)," ",VLOOKUP(N37,[1]zawodnicy!$A$1:$E$65536,2,FALSE)," ",VLOOKUP(N37,[1]zawodnicy!$A$1:$E$65536,3,FALSE)," - ",VLOOKUP(N37,[1]zawodnicy!$A$1:$E$65536,4,FALSE)),"")</f>
        <v>W4281 Ida WIŚNIEWSKA - ----</v>
      </c>
      <c r="V37" s="266"/>
      <c r="W37" s="267"/>
      <c r="X37" s="73" t="str">
        <f>IF(SUM(AS37:AT37)=0,"",AT37&amp;":"&amp;AS37)</f>
        <v/>
      </c>
      <c r="Y37" s="62"/>
      <c r="Z37" s="40" t="str">
        <f>IF(SUM(AS36:AT36)=0,"",AS36&amp;":"&amp;AT36)</f>
        <v>23:21</v>
      </c>
      <c r="AA37" s="262"/>
      <c r="AB37" s="263"/>
      <c r="AC37" s="263"/>
      <c r="AD37" s="264"/>
      <c r="AE37" s="2"/>
      <c r="AF37" s="12"/>
      <c r="AG37" s="12"/>
      <c r="AH37" s="72" t="s">
        <v>18</v>
      </c>
      <c r="AI37" s="74">
        <f>IF(ISBLANK(S37),"",VLOOKUP(S37,'[1]plan gier'!$X$1:$AN$65536,12,FALSE))</f>
        <v>15</v>
      </c>
      <c r="AJ37" s="75">
        <f>IF(ISBLANK(S37),"",VLOOKUP(S37,'[1]plan gier'!$X$1:$AN$65536,13,FALSE))</f>
        <v>21</v>
      </c>
      <c r="AK37" s="75">
        <f>IF(ISBLANK(S37),"",VLOOKUP(S37,'[1]plan gier'!$X$1:$AN$65536,14,FALSE))</f>
        <v>19</v>
      </c>
      <c r="AL37" s="75">
        <f>IF(ISBLANK(S37),"",VLOOKUP(S37,'[1]plan gier'!$X$1:$AN$65536,15,FALSE))</f>
        <v>21</v>
      </c>
      <c r="AM37" s="75">
        <f>IF(ISBLANK(S37),"",VLOOKUP(S37,'[1]plan gier'!$X$1:$AN$65536,16,FALSE))</f>
        <v>0</v>
      </c>
      <c r="AN37" s="75">
        <f>IF(ISBLANK(S37),"",VLOOKUP(S37,'[1]plan gier'!$X$1:$AN$65536,17,FALSE))</f>
        <v>0</v>
      </c>
      <c r="AO37" s="76">
        <f t="shared" si="5"/>
        <v>15</v>
      </c>
      <c r="AP37" s="75">
        <f t="shared" si="5"/>
        <v>21</v>
      </c>
      <c r="AQ37" s="77">
        <f t="shared" si="5"/>
        <v>19</v>
      </c>
      <c r="AR37" s="75">
        <f t="shared" si="5"/>
        <v>21</v>
      </c>
      <c r="AS37" s="77">
        <f t="shared" si="5"/>
        <v>0</v>
      </c>
      <c r="AT37" s="75">
        <f t="shared" si="5"/>
        <v>0</v>
      </c>
      <c r="AU37" s="54">
        <f>SUM(AO37:AT37)</f>
        <v>76</v>
      </c>
      <c r="AV37" s="13">
        <v>3</v>
      </c>
      <c r="AW37" s="74">
        <f>IF(AI35&lt;AJ35,1,0)+IF(AK35&lt;AL35,1,0)+IF(AM35&lt;AN35,1,0)</f>
        <v>2</v>
      </c>
      <c r="AX37" s="75">
        <f>BA35</f>
        <v>1</v>
      </c>
      <c r="AY37" s="75">
        <f>IF(AI36&lt;AJ36,1,0)+IF(AK36&lt;AL36,1,0)+IF(AM36&lt;AN36,1,0)</f>
        <v>1</v>
      </c>
      <c r="AZ37" s="75">
        <f>BA36</f>
        <v>2</v>
      </c>
      <c r="BA37" s="78"/>
      <c r="BB37" s="79"/>
      <c r="BE37" s="74">
        <f>AP35+AR35+AT35+AP36+AR36+AT36</f>
        <v>120</v>
      </c>
      <c r="BF37" s="80">
        <f>AO35+AQ35+AS35+AO36+AQ36+AS36</f>
        <v>119</v>
      </c>
      <c r="BG37" s="74">
        <f>AW37+AY37</f>
        <v>3</v>
      </c>
      <c r="BH37" s="80">
        <f>AX37+AZ37</f>
        <v>3</v>
      </c>
      <c r="BI37" s="74">
        <f>IF(AW37&gt;AX37,1,0)+IF(AY37&gt;AZ37,1,0)</f>
        <v>1</v>
      </c>
      <c r="BJ37" s="81">
        <f>IF(AX37&gt;AW37,1,0)+IF(AZ37&gt;AY37,1,0)</f>
        <v>1</v>
      </c>
      <c r="BK37" s="82">
        <f>IF(BI37+BJ37=0,"",IF(BL37=MAX(BL35:BL37),1,IF(BL37=MIN(BL35:BL37),3,2)))</f>
        <v>2</v>
      </c>
      <c r="BL37" s="60">
        <f>IF(BI37+BJ37&lt;&gt;0,BI37+1+(BG37-BH37)/100+(BE37-BF37)/100000+(BE37/BF37)/1000000,0)</f>
        <v>2.0000110084033613</v>
      </c>
    </row>
    <row r="38" spans="1:64" ht="11.45" customHeight="1" x14ac:dyDescent="0.2">
      <c r="A38" s="2"/>
      <c r="J38" s="28"/>
      <c r="K38" s="28"/>
      <c r="L38" s="28"/>
      <c r="O38" s="28"/>
      <c r="P38" s="28"/>
      <c r="Q38" s="2"/>
      <c r="R38" s="2"/>
      <c r="S38" s="2"/>
      <c r="T38" s="241">
        <v>3</v>
      </c>
      <c r="U38" s="244" t="str">
        <f>IF(AND(N39&lt;&gt;"",N40&lt;&gt;""),CONCATENATE(VLOOKUP(N39,[1]zawodnicy!$A$1:$E$65536,1,FALSE)," ",VLOOKUP(N39,[1]zawodnicy!$A$1:$E$65536,2,FALSE)," ",VLOOKUP(N39,[1]zawodnicy!$A$1:$E$65536,3,FALSE)," - ",VLOOKUP(N39,[1]zawodnicy!$A$1:$E$65536,4,FALSE)),"")</f>
        <v>X13 Ylija BITSOUKOVA - Mińsk Białoruś</v>
      </c>
      <c r="V38" s="245"/>
      <c r="W38" s="246"/>
      <c r="X38" s="46" t="str">
        <f>IF(SUM(AO35:AP35)=0,"",AP35&amp;":"&amp;AO35)</f>
        <v>19:21</v>
      </c>
      <c r="Y38" s="83" t="str">
        <f>IF(SUM(AO36:AP36)=0,"",AP36&amp;":"&amp;AO36)</f>
        <v>21:18</v>
      </c>
      <c r="Z38" s="84"/>
      <c r="AA38" s="247" t="str">
        <f>IF(SUM(AW37:AZ37)=0,"",BE37&amp;":"&amp;BF37)</f>
        <v>120:119</v>
      </c>
      <c r="AB38" s="250" t="str">
        <f>IF(SUM(AW37:AZ37)=0,"",BG37&amp;":"&amp;BH37)</f>
        <v>3:3</v>
      </c>
      <c r="AC38" s="250" t="str">
        <f>IF(SUM(AW37:AZ37)=0,"",BI37&amp;":"&amp;BJ37)</f>
        <v>1:1</v>
      </c>
      <c r="AD38" s="253">
        <f>IF(SUM(BI35:BI37)&gt;0,BK37,"")</f>
        <v>2</v>
      </c>
      <c r="AE38" s="2"/>
      <c r="AF38" s="12"/>
      <c r="AG38" s="12"/>
      <c r="BE38" s="19">
        <f>SUM(BE35:BE37)</f>
        <v>315</v>
      </c>
      <c r="BF38" s="19">
        <f>SUM(BF35:BF37)</f>
        <v>315</v>
      </c>
      <c r="BG38" s="19">
        <f>SUM(BG35:BG37)</f>
        <v>8</v>
      </c>
      <c r="BH38" s="19">
        <f>SUM(BH35:BH37)</f>
        <v>8</v>
      </c>
      <c r="BK38" s="19"/>
      <c r="BL38" s="20"/>
    </row>
    <row r="39" spans="1:64" ht="11.45" customHeight="1" x14ac:dyDescent="0.2">
      <c r="A39" s="19"/>
      <c r="J39" s="19"/>
      <c r="K39" s="19"/>
      <c r="L39" s="19"/>
      <c r="N39" s="33" t="s">
        <v>172</v>
      </c>
      <c r="O39" s="34">
        <f>IF(O31&gt;0,(O31&amp;3)*1,"")</f>
        <v>33</v>
      </c>
      <c r="Q39" s="85"/>
      <c r="R39" s="85"/>
      <c r="S39" s="85"/>
      <c r="T39" s="242"/>
      <c r="U39" s="244" t="str">
        <f>IF(AND(N39&lt;&gt;"",N40=""),CONCATENATE(VLOOKUP(N39,[1]zawodnicy!$A$1:$E$65536,1,FALSE)," ",VLOOKUP(N39,[1]zawodnicy!$A$1:$E$65536,2,FALSE)," ",VLOOKUP(N39,[1]zawodnicy!$A$1:$E$65536,3,FALSE)," - ",VLOOKUP(N39,[1]zawodnicy!$A$1:$E$65536,4,FALSE)),"")</f>
        <v/>
      </c>
      <c r="V39" s="245"/>
      <c r="W39" s="246"/>
      <c r="X39" s="61" t="str">
        <f>IF(SUM(AQ35:AR35)=0,"",AR35&amp;":"&amp;AQ35)</f>
        <v>21:17</v>
      </c>
      <c r="Y39" s="36" t="str">
        <f>IF(SUM(AQ36:AR36)=0,"",AR36&amp;":"&amp;AQ36)</f>
        <v>17:21</v>
      </c>
      <c r="Z39" s="86"/>
      <c r="AA39" s="248"/>
      <c r="AB39" s="251"/>
      <c r="AC39" s="251"/>
      <c r="AD39" s="254"/>
      <c r="AE39" s="2"/>
      <c r="AF39" s="12"/>
      <c r="AG39" s="1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row>
    <row r="40" spans="1:64" ht="11.45" customHeight="1" thickBot="1" x14ac:dyDescent="0.25">
      <c r="A40" s="2"/>
      <c r="J40" s="28"/>
      <c r="K40" s="28"/>
      <c r="L40" s="28"/>
      <c r="N40" s="38" t="s">
        <v>173</v>
      </c>
      <c r="O40" s="28"/>
      <c r="P40" s="28"/>
      <c r="Q40" s="2"/>
      <c r="R40" s="2"/>
      <c r="S40" s="2"/>
      <c r="T40" s="243"/>
      <c r="U40" s="256" t="str">
        <f>IF(N40&lt;&gt;"",CONCATENATE(VLOOKUP(N40,[1]zawodnicy!$A$1:$E$65536,1,FALSE)," ",VLOOKUP(N40,[1]zawodnicy!$A$1:$E$65536,2,FALSE)," ",VLOOKUP(N40,[1]zawodnicy!$A$1:$E$65536,3,FALSE)," - ",VLOOKUP(N40,[1]zawodnicy!$A$1:$E$65536,4,FALSE)),"")</f>
        <v>X12 Katsiaryna ZABLOTSKAYA - Mińsk Białoruś</v>
      </c>
      <c r="V40" s="257"/>
      <c r="W40" s="258"/>
      <c r="X40" s="87" t="str">
        <f>IF(SUM(AS35:AT35)=0,"",AT35&amp;":"&amp;AS35)</f>
        <v>21:19</v>
      </c>
      <c r="Y40" s="88" t="str">
        <f>IF(SUM(AS36:AT36)=0,"",AT36&amp;":"&amp;AS36)</f>
        <v>21:23</v>
      </c>
      <c r="Z40" s="89"/>
      <c r="AA40" s="249"/>
      <c r="AB40" s="252"/>
      <c r="AC40" s="252"/>
      <c r="AD40" s="255"/>
      <c r="AE40" s="10"/>
      <c r="AF40" s="12"/>
      <c r="AG40" s="1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row>
    <row r="41" spans="1:64" s="19" customFormat="1" ht="5.0999999999999996" customHeight="1" thickBot="1" x14ac:dyDescent="0.25">
      <c r="M41" s="90"/>
      <c r="O41" s="90"/>
      <c r="P41" s="90"/>
      <c r="Q41" s="91"/>
      <c r="R41" s="91"/>
      <c r="S41" s="91"/>
      <c r="T41" s="91"/>
      <c r="U41" s="5"/>
      <c r="V41" s="5"/>
      <c r="W41" s="5"/>
      <c r="AA41" s="92"/>
      <c r="AB41" s="91"/>
      <c r="AC41" s="91"/>
      <c r="AD41" s="91"/>
      <c r="AE41" s="91"/>
      <c r="AF41" s="91"/>
      <c r="AI41" s="93"/>
      <c r="AJ41" s="94"/>
      <c r="AK41" s="94"/>
    </row>
    <row r="42" spans="1:64" ht="11.45" customHeight="1" thickBot="1" x14ac:dyDescent="0.25">
      <c r="N42" s="11"/>
      <c r="O42" s="21">
        <v>4</v>
      </c>
      <c r="Q42" s="277" t="str">
        <f>"Grupa "&amp;O42&amp;"."</f>
        <v>Grupa 4.</v>
      </c>
      <c r="R42" s="277"/>
      <c r="S42" s="277"/>
      <c r="T42" s="22" t="s">
        <v>1</v>
      </c>
      <c r="U42" s="278" t="s">
        <v>2</v>
      </c>
      <c r="V42" s="279"/>
      <c r="W42" s="280"/>
      <c r="X42" s="22">
        <v>1</v>
      </c>
      <c r="Y42" s="23">
        <v>2</v>
      </c>
      <c r="Z42" s="24">
        <v>3</v>
      </c>
      <c r="AA42" s="25" t="s">
        <v>3</v>
      </c>
      <c r="AB42" s="26" t="s">
        <v>4</v>
      </c>
      <c r="AC42" s="26" t="s">
        <v>5</v>
      </c>
      <c r="AD42" s="27" t="s">
        <v>6</v>
      </c>
      <c r="AE42" s="2"/>
      <c r="AF42" s="12"/>
      <c r="AG42" s="12"/>
      <c r="BK42" s="19"/>
      <c r="BL42" s="20"/>
    </row>
    <row r="43" spans="1:64" ht="11.45" customHeight="1" x14ac:dyDescent="0.2">
      <c r="J43" s="28"/>
      <c r="K43" s="28"/>
      <c r="L43" s="28"/>
      <c r="N43" s="29" t="s">
        <v>153</v>
      </c>
      <c r="Q43" s="274" t="s">
        <v>7</v>
      </c>
      <c r="R43" s="274"/>
      <c r="S43" s="275" t="s">
        <v>8</v>
      </c>
      <c r="T43" s="276">
        <v>1</v>
      </c>
      <c r="U43" s="244" t="str">
        <f>IF(AND(N44&lt;&gt;"",N45&lt;&gt;""),CONCATENATE(VLOOKUP(N44,[1]zawodnicy!$A$1:$E$65536,1,FALSE)," ",VLOOKUP(N44,[1]zawodnicy!$A$1:$E$65536,2,FALSE)," ",VLOOKUP(N44,[1]zawodnicy!$A$1:$E$65536,3,FALSE)," - ",VLOOKUP(N44,[1]zawodnicy!$A$1:$E$65536,4,FALSE)),"")</f>
        <v>J4598 Karolina JODZIO - SKB Suwałki</v>
      </c>
      <c r="V43" s="245"/>
      <c r="W43" s="246"/>
      <c r="X43" s="30"/>
      <c r="Y43" s="31" t="str">
        <f>IF(SUM(AO48:AP48)=0,"",AO48&amp;":"&amp;AP48)</f>
        <v>21:10</v>
      </c>
      <c r="Z43" s="32" t="str">
        <f>IF(SUM(AO46:AP46)=0,"",AO46&amp;":"&amp;AP46)</f>
        <v>12:21</v>
      </c>
      <c r="AA43" s="270" t="str">
        <f>IF(SUM(AY46:BB46)=0,"",BE46&amp;":"&amp;BF46)</f>
        <v>72:69</v>
      </c>
      <c r="AB43" s="271" t="str">
        <f>IF(SUM(AY46:BB46)=0,"",BG46&amp;":"&amp;BH46)</f>
        <v>2:2</v>
      </c>
      <c r="AC43" s="271" t="str">
        <f>IF(SUM(AY46:BB46)=0,"",BI46&amp;":"&amp;BJ46)</f>
        <v>1:1</v>
      </c>
      <c r="AD43" s="272">
        <f>IF(SUM(BI46:BI48)&gt;0,BK46,"")</f>
        <v>2</v>
      </c>
      <c r="AE43" s="2"/>
      <c r="AF43" s="12"/>
      <c r="AG43" s="12"/>
      <c r="AH43" s="14"/>
      <c r="AI43" s="273" t="s">
        <v>9</v>
      </c>
      <c r="AJ43" s="273"/>
      <c r="AK43" s="273"/>
      <c r="AL43" s="273"/>
      <c r="AM43" s="273"/>
      <c r="AN43" s="273"/>
      <c r="AO43" s="273" t="s">
        <v>10</v>
      </c>
      <c r="AP43" s="273"/>
      <c r="AQ43" s="273"/>
      <c r="AR43" s="273"/>
      <c r="AS43" s="273"/>
      <c r="AT43" s="273"/>
      <c r="BK43" s="19"/>
      <c r="BL43" s="20"/>
    </row>
    <row r="44" spans="1:64" ht="11.45" customHeight="1" thickBot="1" x14ac:dyDescent="0.25">
      <c r="I44" s="2" t="str">
        <f>"1"&amp;O42&amp;N43</f>
        <v>14podwójna dziewcząt M</v>
      </c>
      <c r="J44" s="10" t="str">
        <f>IF(AD43="","",IF(AD43=1,N44,IF(AD46=1,N47,IF(AD49=1,N50,""))))</f>
        <v>J4555</v>
      </c>
      <c r="K44" s="10" t="str">
        <f>IF(AD43="","",IF(AD43=1,N45,IF(AD46=1,N48,IF(AD49=1,N51,""))))</f>
        <v>R4591</v>
      </c>
      <c r="L44" s="10"/>
      <c r="N44" s="33" t="s">
        <v>174</v>
      </c>
      <c r="O44" s="34">
        <f>IF(O42&gt;0,(O42&amp;1)*1,"")</f>
        <v>41</v>
      </c>
      <c r="Q44" s="274"/>
      <c r="R44" s="274"/>
      <c r="S44" s="275"/>
      <c r="T44" s="242"/>
      <c r="U44" s="244" t="str">
        <f>IF(AND(N44&lt;&gt;"",N45=""),CONCATENATE(VLOOKUP(N44,[1]zawodnicy!$A$1:$E$65536,1,FALSE)," ",VLOOKUP(N44,[1]zawodnicy!$A$1:$E$65536,2,FALSE)," ",VLOOKUP(N44,[1]zawodnicy!$A$1:$E$65536,3,FALSE)," - ",VLOOKUP(N44,[1]zawodnicy!$A$1:$E$65536,4,FALSE)),"")</f>
        <v/>
      </c>
      <c r="V44" s="245"/>
      <c r="W44" s="246"/>
      <c r="X44" s="35"/>
      <c r="Y44" s="36" t="str">
        <f>IF(SUM(AQ48:AR48)=0,"",AQ48&amp;":"&amp;AR48)</f>
        <v>21:17</v>
      </c>
      <c r="Z44" s="37" t="str">
        <f>IF(SUM(AQ46:AR46)=0,"",AQ46&amp;":"&amp;AR46)</f>
        <v>18:21</v>
      </c>
      <c r="AA44" s="248"/>
      <c r="AB44" s="251"/>
      <c r="AC44" s="251"/>
      <c r="AD44" s="254"/>
      <c r="AE44" s="2"/>
      <c r="AF44" s="12"/>
      <c r="AG44" s="12"/>
      <c r="AH44" s="14"/>
      <c r="BE44" s="19">
        <f>SUM(BE46:BE48)</f>
        <v>207</v>
      </c>
      <c r="BF44" s="19">
        <f>SUM(BF46:BF48)</f>
        <v>207</v>
      </c>
      <c r="BG44" s="19">
        <f>SUM(BG46:BG48)</f>
        <v>6</v>
      </c>
      <c r="BH44" s="19">
        <f>SUM(BH46:BH48)</f>
        <v>6</v>
      </c>
      <c r="BK44" s="19"/>
      <c r="BL44" s="20"/>
    </row>
    <row r="45" spans="1:64" ht="11.45" customHeight="1" thickBot="1" x14ac:dyDescent="0.25">
      <c r="J45" s="10"/>
      <c r="K45" s="28"/>
      <c r="L45" s="28"/>
      <c r="N45" s="38" t="s">
        <v>175</v>
      </c>
      <c r="O45" s="28"/>
      <c r="P45" s="28"/>
      <c r="Q45" s="274"/>
      <c r="R45" s="274"/>
      <c r="S45" s="275"/>
      <c r="T45" s="261"/>
      <c r="U45" s="265" t="str">
        <f>IF(N45&lt;&gt;"",CONCATENATE(VLOOKUP(N45,[1]zawodnicy!$A$1:$E$65536,1,FALSE)," ",VLOOKUP(N45,[1]zawodnicy!$A$1:$E$65536,2,FALSE)," ",VLOOKUP(N45,[1]zawodnicy!$A$1:$E$65536,3,FALSE)," - ",VLOOKUP(N45,[1]zawodnicy!$A$1:$E$65536,4,FALSE)),"")</f>
        <v>S4609 Jolanta SZYMAŃSKA - SKB Suwałki</v>
      </c>
      <c r="V45" s="266"/>
      <c r="W45" s="267"/>
      <c r="X45" s="35"/>
      <c r="Y45" s="39" t="str">
        <f>IF(SUM(AS48:AT48)=0,"",AS48&amp;":"&amp;AT48)</f>
        <v/>
      </c>
      <c r="Z45" s="40" t="str">
        <f>IF(SUM(AS46:AT46)=0,"",AS46&amp;":"&amp;AT46)</f>
        <v/>
      </c>
      <c r="AA45" s="262"/>
      <c r="AB45" s="263"/>
      <c r="AC45" s="263"/>
      <c r="AD45" s="264"/>
      <c r="AE45" s="2"/>
      <c r="AF45" s="12"/>
      <c r="AG45" s="12"/>
      <c r="AH45" s="14"/>
      <c r="AI45" s="259" t="s">
        <v>12</v>
      </c>
      <c r="AJ45" s="269"/>
      <c r="AK45" s="268" t="s">
        <v>13</v>
      </c>
      <c r="AL45" s="269"/>
      <c r="AM45" s="268" t="s">
        <v>14</v>
      </c>
      <c r="AN45" s="260"/>
      <c r="AO45" s="259" t="s">
        <v>12</v>
      </c>
      <c r="AP45" s="269"/>
      <c r="AQ45" s="268" t="s">
        <v>13</v>
      </c>
      <c r="AR45" s="269"/>
      <c r="AS45" s="268" t="s">
        <v>14</v>
      </c>
      <c r="AT45" s="269"/>
      <c r="AU45" s="12"/>
      <c r="AV45" s="12"/>
      <c r="AW45" s="259">
        <v>1</v>
      </c>
      <c r="AX45" s="269"/>
      <c r="AY45" s="268">
        <v>2</v>
      </c>
      <c r="AZ45" s="269"/>
      <c r="BA45" s="268">
        <v>3</v>
      </c>
      <c r="BB45" s="260"/>
      <c r="BE45" s="259" t="s">
        <v>3</v>
      </c>
      <c r="BF45" s="260"/>
      <c r="BG45" s="259" t="s">
        <v>4</v>
      </c>
      <c r="BH45" s="260"/>
      <c r="BI45" s="259" t="s">
        <v>5</v>
      </c>
      <c r="BJ45" s="260"/>
      <c r="BK45" s="41" t="s">
        <v>6</v>
      </c>
      <c r="BL45" s="20"/>
    </row>
    <row r="46" spans="1:64" ht="11.45" customHeight="1" x14ac:dyDescent="0.2">
      <c r="A46" s="19">
        <f>S46</f>
        <v>62</v>
      </c>
      <c r="B46" s="2" t="str">
        <f>IF(N44="","",N44)</f>
        <v>J4598</v>
      </c>
      <c r="C46" s="2" t="str">
        <f>IF(N45="","",N45)</f>
        <v>S4609</v>
      </c>
      <c r="D46" s="2" t="str">
        <f>IF(N50="","",N50)</f>
        <v>J4555</v>
      </c>
      <c r="E46" s="2" t="str">
        <f>IF(N51="","",N51)</f>
        <v>R4591</v>
      </c>
      <c r="I46" s="2" t="str">
        <f>"2"&amp;O42&amp;N43</f>
        <v>24podwójna dziewcząt M</v>
      </c>
      <c r="J46" s="10" t="str">
        <f>IF(AD46="","",IF(AD43=2,N44,IF(AD46=2,N47,IF(AD49=2,N50,""))))</f>
        <v>J4598</v>
      </c>
      <c r="K46" s="10" t="str">
        <f>IF(AD46="","",IF(AD43=2,N45,IF(AD46=2,N48,IF(AD49=2,N51,""))))</f>
        <v>S4609</v>
      </c>
      <c r="M46" s="42" t="str">
        <f>N43</f>
        <v>podwójna dziewcząt M</v>
      </c>
      <c r="O46" s="28"/>
      <c r="P46" s="28"/>
      <c r="Q46" s="43" t="str">
        <f>IF(AU46&gt;0,"",IF(A46=0,"",IF(VLOOKUP(A46,'[1]plan gier'!A$1:S$65536,19,FALSE)="","",VLOOKUP(A46,'[1]plan gier'!A$1:S$65536,19,FALSE))))</f>
        <v/>
      </c>
      <c r="R46" s="44" t="s">
        <v>15</v>
      </c>
      <c r="S46" s="45">
        <v>62</v>
      </c>
      <c r="T46" s="241">
        <v>2</v>
      </c>
      <c r="U46" s="244" t="str">
        <f>IF(AND(N47&lt;&gt;"",N48&lt;&gt;""),CONCATENATE(VLOOKUP(N47,[1]zawodnicy!$A$1:$E$65536,1,FALSE)," ",VLOOKUP(N47,[1]zawodnicy!$A$1:$E$65536,2,FALSE)," ",VLOOKUP(N47,[1]zawodnicy!$A$1:$E$65536,3,FALSE)," - ",VLOOKUP(N47,[1]zawodnicy!$A$1:$E$65536,4,FALSE)),"")</f>
        <v>F3777 Aleksandra FELSKA - UKS Orkan Przeźmierowo</v>
      </c>
      <c r="V46" s="245"/>
      <c r="W46" s="246"/>
      <c r="X46" s="46" t="str">
        <f>IF(SUM(AO48:AP48)=0,"",AP48&amp;":"&amp;AO48)</f>
        <v>10:21</v>
      </c>
      <c r="Y46" s="47"/>
      <c r="Z46" s="48" t="str">
        <f>IF(SUM(AO47:AP47)=0,"",AO47&amp;":"&amp;AP47)</f>
        <v>14:21</v>
      </c>
      <c r="AA46" s="247" t="str">
        <f>IF(SUM(AW47:AX47,BA47:BB47)=0,"",BE47&amp;":"&amp;BF47)</f>
        <v>51:84</v>
      </c>
      <c r="AB46" s="250" t="str">
        <f>IF(SUM(AW47:AX47,BA47:BB47)=0,"",BG47&amp;":"&amp;BH47)</f>
        <v>0:4</v>
      </c>
      <c r="AC46" s="250" t="str">
        <f>IF(SUM(AW47:AX47,BA47:BB47)=0,"",BI47&amp;":"&amp;BJ47)</f>
        <v>0:2</v>
      </c>
      <c r="AD46" s="253">
        <f>IF(SUM(BI46:BI48)&gt;0,BK47,"")</f>
        <v>3</v>
      </c>
      <c r="AE46" s="2"/>
      <c r="AF46" s="12"/>
      <c r="AG46" s="12"/>
      <c r="AH46" s="44" t="s">
        <v>15</v>
      </c>
      <c r="AI46" s="49">
        <f>IF(ISBLANK(S46),"",VLOOKUP(S46,'[1]plan gier'!$X$1:$AN$65536,12,FALSE))</f>
        <v>12</v>
      </c>
      <c r="AJ46" s="50">
        <f>IF(ISBLANK(S46),"",VLOOKUP(S46,'[1]plan gier'!$X$1:$AN$65536,13,FALSE))</f>
        <v>21</v>
      </c>
      <c r="AK46" s="50">
        <f>IF(ISBLANK(S46),"",VLOOKUP(S46,'[1]plan gier'!$X$1:$AN$65536,14,FALSE))</f>
        <v>18</v>
      </c>
      <c r="AL46" s="50">
        <f>IF(ISBLANK(S46),"",VLOOKUP(S46,'[1]plan gier'!$X$1:$AN$65536,15,FALSE))</f>
        <v>21</v>
      </c>
      <c r="AM46" s="50">
        <f>IF(ISBLANK(S46),"",VLOOKUP(S46,'[1]plan gier'!$X$1:$AN$65536,16,FALSE))</f>
        <v>0</v>
      </c>
      <c r="AN46" s="50">
        <f>IF(ISBLANK(S46),"",VLOOKUP(S46,'[1]plan gier'!$X$1:$AN$65536,17,FALSE))</f>
        <v>0</v>
      </c>
      <c r="AO46" s="51">
        <f t="shared" ref="AO46:AT48" si="6">IF(AI46="",0,AI46)</f>
        <v>12</v>
      </c>
      <c r="AP46" s="52">
        <f t="shared" si="6"/>
        <v>21</v>
      </c>
      <c r="AQ46" s="53">
        <f t="shared" si="6"/>
        <v>18</v>
      </c>
      <c r="AR46" s="52">
        <f t="shared" si="6"/>
        <v>21</v>
      </c>
      <c r="AS46" s="53">
        <f t="shared" si="6"/>
        <v>0</v>
      </c>
      <c r="AT46" s="52">
        <f t="shared" si="6"/>
        <v>0</v>
      </c>
      <c r="AU46" s="54">
        <f>SUM(AO46:AT46)</f>
        <v>72</v>
      </c>
      <c r="AV46" s="13">
        <v>1</v>
      </c>
      <c r="AW46" s="55"/>
      <c r="AX46" s="56"/>
      <c r="AY46" s="50">
        <f>IF(AI48&gt;AJ48,1,0)+IF(AK48&gt;AL48,1,0)+IF(AM48&gt;AN48,1,0)</f>
        <v>2</v>
      </c>
      <c r="AZ46" s="50">
        <f>AW47</f>
        <v>0</v>
      </c>
      <c r="BA46" s="50">
        <f>IF(AI46&gt;AJ46,1,0)+IF(AK46&gt;AL46,1,0)+IF(AM46&gt;AN46,1,0)</f>
        <v>0</v>
      </c>
      <c r="BB46" s="57">
        <f>AW48</f>
        <v>2</v>
      </c>
      <c r="BE46" s="49">
        <f>AO46+AQ46+AS46+AO48+AQ48+AS48</f>
        <v>72</v>
      </c>
      <c r="BF46" s="57">
        <f>AP46+AR46+AT46+AP48+AR48+AT48</f>
        <v>69</v>
      </c>
      <c r="BG46" s="49">
        <f>AY46+BA46</f>
        <v>2</v>
      </c>
      <c r="BH46" s="57">
        <f>AZ46+BB46</f>
        <v>2</v>
      </c>
      <c r="BI46" s="49">
        <f>IF(AY46&gt;AZ46,1,0)+IF(BA46&gt;BB46,1,0)</f>
        <v>1</v>
      </c>
      <c r="BJ46" s="58">
        <f>IF(AZ46&gt;AY46,1,0)+IF(BB46&gt;BA46,1,0)</f>
        <v>1</v>
      </c>
      <c r="BK46" s="59">
        <f>IF(BI46+BJ46=0,"",IF(BL46=MAX(BL46:BL48),1,IF(BL46=MIN(BL46:BL48),3,2)))</f>
        <v>2</v>
      </c>
      <c r="BL46" s="60">
        <f>IF(BI46+BJ46&lt;&gt;0,BI46+1+(BG46-BH46)/100+(BE46-BF46)/100000+(BE46/BF46)/1000000,0)</f>
        <v>2.0000310434782609</v>
      </c>
    </row>
    <row r="47" spans="1:64" ht="11.45" customHeight="1" x14ac:dyDescent="0.2">
      <c r="A47" s="19">
        <f>S47</f>
        <v>128</v>
      </c>
      <c r="B47" s="2" t="str">
        <f>IF(N47="","",N47)</f>
        <v>F3777</v>
      </c>
      <c r="C47" s="2" t="str">
        <f>IF(N48="","",N48)</f>
        <v>K5387</v>
      </c>
      <c r="D47" s="2" t="str">
        <f>IF(N50="","",N50)</f>
        <v>J4555</v>
      </c>
      <c r="E47" s="2" t="str">
        <f>IF(N51="","",N51)</f>
        <v>R4591</v>
      </c>
      <c r="J47" s="10"/>
      <c r="K47" s="19"/>
      <c r="M47" s="42" t="str">
        <f>N43</f>
        <v>podwójna dziewcząt M</v>
      </c>
      <c r="N47" s="33" t="s">
        <v>176</v>
      </c>
      <c r="O47" s="34">
        <f>IF(O42&gt;0,(O42&amp;2)*1,"")</f>
        <v>42</v>
      </c>
      <c r="Q47" s="43" t="str">
        <f>IF(AU47&gt;0,"",IF(A47=0,"",IF(VLOOKUP(A47,'[1]plan gier'!A$1:S$65536,19,FALSE)="","",VLOOKUP(A47,'[1]plan gier'!A$1:S$65536,19,FALSE))))</f>
        <v/>
      </c>
      <c r="R47" s="44" t="s">
        <v>17</v>
      </c>
      <c r="S47" s="45">
        <v>128</v>
      </c>
      <c r="T47" s="242"/>
      <c r="U47" s="244" t="str">
        <f>IF(AND(N47&lt;&gt;"",N48=""),CONCATENATE(VLOOKUP(N47,[1]zawodnicy!$A$1:$E$65536,1,FALSE)," ",VLOOKUP(N47,[1]zawodnicy!$A$1:$E$65536,2,FALSE)," ",VLOOKUP(N47,[1]zawodnicy!$A$1:$E$65536,3,FALSE)," - ",VLOOKUP(N47,[1]zawodnicy!$A$1:$E$65536,4,FALSE)),"")</f>
        <v/>
      </c>
      <c r="V47" s="245"/>
      <c r="W47" s="246"/>
      <c r="X47" s="61" t="str">
        <f>IF(SUM(AQ48:AR48)=0,"",AR48&amp;":"&amp;AQ48)</f>
        <v>17:21</v>
      </c>
      <c r="Y47" s="62"/>
      <c r="Z47" s="37" t="str">
        <f>IF(SUM(AQ47:AR47)=0,"",AQ47&amp;":"&amp;AR47)</f>
        <v>10:21</v>
      </c>
      <c r="AA47" s="248"/>
      <c r="AB47" s="251"/>
      <c r="AC47" s="251"/>
      <c r="AD47" s="254"/>
      <c r="AE47" s="2"/>
      <c r="AF47" s="12"/>
      <c r="AG47" s="12"/>
      <c r="AH47" s="44" t="s">
        <v>17</v>
      </c>
      <c r="AI47" s="63">
        <f>IF(ISBLANK(S47),"",VLOOKUP(S47,'[1]plan gier'!$X$1:$AN$65536,12,FALSE))</f>
        <v>14</v>
      </c>
      <c r="AJ47" s="64">
        <f>IF(ISBLANK(S47),"",VLOOKUP(S47,'[1]plan gier'!$X$1:$AN$65536,13,FALSE))</f>
        <v>21</v>
      </c>
      <c r="AK47" s="64">
        <f>IF(ISBLANK(S47),"",VLOOKUP(S47,'[1]plan gier'!$X$1:$AN$65536,14,FALSE))</f>
        <v>10</v>
      </c>
      <c r="AL47" s="64">
        <f>IF(ISBLANK(S47),"",VLOOKUP(S47,'[1]plan gier'!$X$1:$AN$65536,15,FALSE))</f>
        <v>21</v>
      </c>
      <c r="AM47" s="64">
        <f>IF(ISBLANK(S47),"",VLOOKUP(S47,'[1]plan gier'!$X$1:$AN$65536,16,FALSE))</f>
        <v>0</v>
      </c>
      <c r="AN47" s="64">
        <f>IF(ISBLANK(S47),"",VLOOKUP(S47,'[1]plan gier'!$X$1:$AN$65536,17,FALSE))</f>
        <v>0</v>
      </c>
      <c r="AO47" s="65">
        <f t="shared" si="6"/>
        <v>14</v>
      </c>
      <c r="AP47" s="64">
        <f t="shared" si="6"/>
        <v>21</v>
      </c>
      <c r="AQ47" s="66">
        <f t="shared" si="6"/>
        <v>10</v>
      </c>
      <c r="AR47" s="64">
        <f t="shared" si="6"/>
        <v>21</v>
      </c>
      <c r="AS47" s="66">
        <f t="shared" si="6"/>
        <v>0</v>
      </c>
      <c r="AT47" s="64">
        <f t="shared" si="6"/>
        <v>0</v>
      </c>
      <c r="AU47" s="54">
        <f>SUM(AO47:AT47)</f>
        <v>66</v>
      </c>
      <c r="AV47" s="13">
        <v>2</v>
      </c>
      <c r="AW47" s="63">
        <f>IF(AI48&lt;AJ48,1,0)+IF(AK48&lt;AL48,1,0)+IF(AM48&lt;AN48,1,0)</f>
        <v>0</v>
      </c>
      <c r="AX47" s="64">
        <f>AY46</f>
        <v>2</v>
      </c>
      <c r="AY47" s="67"/>
      <c r="AZ47" s="68"/>
      <c r="BA47" s="64">
        <f>IF(AI47&gt;AJ47,1,0)+IF(AK47&gt;AL47,1,0)+IF(AM47&gt;AN47,1,0)</f>
        <v>0</v>
      </c>
      <c r="BB47" s="69">
        <f>AY48</f>
        <v>2</v>
      </c>
      <c r="BE47" s="63">
        <f>AO47+AQ47+AS47+AP48+AR48+AT48</f>
        <v>51</v>
      </c>
      <c r="BF47" s="69">
        <f>AP47+AR47+AT47+AO48+AQ48+AS48</f>
        <v>84</v>
      </c>
      <c r="BG47" s="63">
        <f>AW47+BA47</f>
        <v>0</v>
      </c>
      <c r="BH47" s="69">
        <f>AX47+BB47</f>
        <v>4</v>
      </c>
      <c r="BI47" s="63">
        <f>IF(AW47&gt;AX47,1,0)+IF(BA47&gt;BB47,1,0)</f>
        <v>0</v>
      </c>
      <c r="BJ47" s="70">
        <f>IF(AX47&gt;AW47,1,0)+IF(BB47&gt;BA47,1,0)</f>
        <v>2</v>
      </c>
      <c r="BK47" s="71">
        <f>IF(BI47+BJ47=0,"",IF(BL47=MAX(BL46:BL48),1,IF(BL47=MIN(BL46:BL48),3,2)))</f>
        <v>3</v>
      </c>
      <c r="BL47" s="60">
        <f>IF(BI47+BJ47&lt;&gt;0,BI47+1+(BG47-BH47)/100+(BE47-BF47)/100000+(BE47/BF47)/1000000,0)</f>
        <v>0.95967060714285701</v>
      </c>
    </row>
    <row r="48" spans="1:64" ht="11.45" customHeight="1" thickBot="1" x14ac:dyDescent="0.25">
      <c r="A48" s="19">
        <f>S48</f>
        <v>275</v>
      </c>
      <c r="B48" s="2" t="str">
        <f>IF(N44="","",N44)</f>
        <v>J4598</v>
      </c>
      <c r="C48" s="2" t="str">
        <f>IF(N45="","",N45)</f>
        <v>S4609</v>
      </c>
      <c r="D48" s="2" t="str">
        <f>IF(N47="","",N47)</f>
        <v>F3777</v>
      </c>
      <c r="E48" s="2" t="str">
        <f>IF(N48="","",N48)</f>
        <v>K5387</v>
      </c>
      <c r="I48" s="2" t="str">
        <f>"3"&amp;O42&amp;N43</f>
        <v>34podwójna dziewcząt M</v>
      </c>
      <c r="J48" s="10" t="str">
        <f>IF(AD49="","",IF(AD43=3,N44,IF(AD46=3,N47,IF(AD49=3,N50,""))))</f>
        <v>F3777</v>
      </c>
      <c r="K48" s="10" t="str">
        <f>IF(AD49="","",IF(AD43=3,N45,IF(AD46=3,N48,IF(AD49=3,N51,""))))</f>
        <v>K5387</v>
      </c>
      <c r="M48" s="42" t="str">
        <f>N43</f>
        <v>podwójna dziewcząt M</v>
      </c>
      <c r="N48" s="38" t="s">
        <v>177</v>
      </c>
      <c r="O48" s="28"/>
      <c r="P48" s="28"/>
      <c r="Q48" s="43" t="str">
        <f>IF(AU48&gt;0,"",IF(A48=0,"",IF(VLOOKUP(A48,'[1]plan gier'!A$1:S$65536,19,FALSE)="","",VLOOKUP(A48,'[1]plan gier'!A$1:S$65536,19,FALSE))))</f>
        <v/>
      </c>
      <c r="R48" s="72" t="s">
        <v>18</v>
      </c>
      <c r="S48" s="45">
        <v>275</v>
      </c>
      <c r="T48" s="261"/>
      <c r="U48" s="265" t="str">
        <f>IF(N48&lt;&gt;"",CONCATENATE(VLOOKUP(N48,[1]zawodnicy!$A$1:$E$65536,1,FALSE)," ",VLOOKUP(N48,[1]zawodnicy!$A$1:$E$65536,2,FALSE)," ",VLOOKUP(N48,[1]zawodnicy!$A$1:$E$65536,3,FALSE)," - ",VLOOKUP(N48,[1]zawodnicy!$A$1:$E$65536,4,FALSE)),"")</f>
        <v>K5387 Klaudia KUSIAK - UKS Orliki Ropica Polska</v>
      </c>
      <c r="V48" s="266"/>
      <c r="W48" s="267"/>
      <c r="X48" s="73" t="str">
        <f>IF(SUM(AS48:AT48)=0,"",AT48&amp;":"&amp;AS48)</f>
        <v/>
      </c>
      <c r="Y48" s="62"/>
      <c r="Z48" s="40" t="str">
        <f>IF(SUM(AS47:AT47)=0,"",AS47&amp;":"&amp;AT47)</f>
        <v/>
      </c>
      <c r="AA48" s="262"/>
      <c r="AB48" s="263"/>
      <c r="AC48" s="263"/>
      <c r="AD48" s="264"/>
      <c r="AE48" s="2"/>
      <c r="AF48" s="12"/>
      <c r="AG48" s="12"/>
      <c r="AH48" s="72" t="s">
        <v>18</v>
      </c>
      <c r="AI48" s="74">
        <f>IF(ISBLANK(S48),"",VLOOKUP(S48,'[1]plan gier'!$X$1:$AN$65536,12,FALSE))</f>
        <v>21</v>
      </c>
      <c r="AJ48" s="75">
        <f>IF(ISBLANK(S48),"",VLOOKUP(S48,'[1]plan gier'!$X$1:$AN$65536,13,FALSE))</f>
        <v>10</v>
      </c>
      <c r="AK48" s="75">
        <f>IF(ISBLANK(S48),"",VLOOKUP(S48,'[1]plan gier'!$X$1:$AN$65536,14,FALSE))</f>
        <v>21</v>
      </c>
      <c r="AL48" s="75">
        <f>IF(ISBLANK(S48),"",VLOOKUP(S48,'[1]plan gier'!$X$1:$AN$65536,15,FALSE))</f>
        <v>17</v>
      </c>
      <c r="AM48" s="75">
        <f>IF(ISBLANK(S48),"",VLOOKUP(S48,'[1]plan gier'!$X$1:$AN$65536,16,FALSE))</f>
        <v>0</v>
      </c>
      <c r="AN48" s="75">
        <f>IF(ISBLANK(S48),"",VLOOKUP(S48,'[1]plan gier'!$X$1:$AN$65536,17,FALSE))</f>
        <v>0</v>
      </c>
      <c r="AO48" s="76">
        <f t="shared" si="6"/>
        <v>21</v>
      </c>
      <c r="AP48" s="75">
        <f t="shared" si="6"/>
        <v>10</v>
      </c>
      <c r="AQ48" s="77">
        <f t="shared" si="6"/>
        <v>21</v>
      </c>
      <c r="AR48" s="75">
        <f t="shared" si="6"/>
        <v>17</v>
      </c>
      <c r="AS48" s="77">
        <f t="shared" si="6"/>
        <v>0</v>
      </c>
      <c r="AT48" s="75">
        <f t="shared" si="6"/>
        <v>0</v>
      </c>
      <c r="AU48" s="54">
        <f>SUM(AO48:AT48)</f>
        <v>69</v>
      </c>
      <c r="AV48" s="13">
        <v>3</v>
      </c>
      <c r="AW48" s="74">
        <f>IF(AI46&lt;AJ46,1,0)+IF(AK46&lt;AL46,1,0)+IF(AM46&lt;AN46,1,0)</f>
        <v>2</v>
      </c>
      <c r="AX48" s="75">
        <f>BA46</f>
        <v>0</v>
      </c>
      <c r="AY48" s="75">
        <f>IF(AI47&lt;AJ47,1,0)+IF(AK47&lt;AL47,1,0)+IF(AM47&lt;AN47,1,0)</f>
        <v>2</v>
      </c>
      <c r="AZ48" s="75">
        <f>BA47</f>
        <v>0</v>
      </c>
      <c r="BA48" s="78"/>
      <c r="BB48" s="79"/>
      <c r="BE48" s="74">
        <f>AP46+AR46+AT46+AP47+AR47+AT47</f>
        <v>84</v>
      </c>
      <c r="BF48" s="80">
        <f>AO46+AQ46+AS46+AO47+AQ47+AS47</f>
        <v>54</v>
      </c>
      <c r="BG48" s="74">
        <f>AW48+AY48</f>
        <v>4</v>
      </c>
      <c r="BH48" s="80">
        <f>AX48+AZ48</f>
        <v>0</v>
      </c>
      <c r="BI48" s="74">
        <f>IF(AW48&gt;AX48,1,0)+IF(AY48&gt;AZ48,1,0)</f>
        <v>2</v>
      </c>
      <c r="BJ48" s="81">
        <f>IF(AX48&gt;AW48,1,0)+IF(AZ48&gt;AY48,1,0)</f>
        <v>0</v>
      </c>
      <c r="BK48" s="82">
        <f>IF(BI48+BJ48=0,"",IF(BL48=MAX(BL46:BL48),1,IF(BL48=MIN(BL46:BL48),3,2)))</f>
        <v>1</v>
      </c>
      <c r="BL48" s="60">
        <f>IF(BI48+BJ48&lt;&gt;0,BI48+1+(BG48-BH48)/100+(BE48-BF48)/100000+(BE48/BF48)/1000000,0)</f>
        <v>3.0403015555555557</v>
      </c>
    </row>
    <row r="49" spans="1:64" ht="11.45" customHeight="1" x14ac:dyDescent="0.2">
      <c r="A49" s="2"/>
      <c r="J49" s="28"/>
      <c r="K49" s="28"/>
      <c r="L49" s="28"/>
      <c r="O49" s="28"/>
      <c r="P49" s="28"/>
      <c r="Q49" s="2"/>
      <c r="R49" s="2"/>
      <c r="S49" s="2"/>
      <c r="T49" s="241">
        <v>3</v>
      </c>
      <c r="U49" s="244" t="str">
        <f>IF(AND(N50&lt;&gt;"",N51&lt;&gt;""),CONCATENATE(VLOOKUP(N50,[1]zawodnicy!$A$1:$E$65536,1,FALSE)," ",VLOOKUP(N50,[1]zawodnicy!$A$1:$E$65536,2,FALSE)," ",VLOOKUP(N50,[1]zawodnicy!$A$1:$E$65536,3,FALSE)," - ",VLOOKUP(N50,[1]zawodnicy!$A$1:$E$65536,4,FALSE)),"")</f>
        <v>J4555 Izabela JAJKO - UKS Orliki Ropica Polska</v>
      </c>
      <c r="V49" s="245"/>
      <c r="W49" s="246"/>
      <c r="X49" s="46" t="str">
        <f>IF(SUM(AO46:AP46)=0,"",AP46&amp;":"&amp;AO46)</f>
        <v>21:12</v>
      </c>
      <c r="Y49" s="83" t="str">
        <f>IF(SUM(AO47:AP47)=0,"",AP47&amp;":"&amp;AO47)</f>
        <v>21:14</v>
      </c>
      <c r="Z49" s="84"/>
      <c r="AA49" s="247" t="str">
        <f>IF(SUM(AW48:AZ48)=0,"",BE48&amp;":"&amp;BF48)</f>
        <v>84:54</v>
      </c>
      <c r="AB49" s="250" t="str">
        <f>IF(SUM(AW48:AZ48)=0,"",BG48&amp;":"&amp;BH48)</f>
        <v>4:0</v>
      </c>
      <c r="AC49" s="250" t="str">
        <f>IF(SUM(AW48:AZ48)=0,"",BI48&amp;":"&amp;BJ48)</f>
        <v>2:0</v>
      </c>
      <c r="AD49" s="253">
        <f>IF(SUM(BI46:BI48)&gt;0,BK48,"")</f>
        <v>1</v>
      </c>
      <c r="AE49" s="2"/>
      <c r="AF49" s="12"/>
      <c r="AG49" s="12"/>
      <c r="BE49" s="19">
        <f>SUM(BE46:BE48)</f>
        <v>207</v>
      </c>
      <c r="BF49" s="19">
        <f>SUM(BF46:BF48)</f>
        <v>207</v>
      </c>
      <c r="BG49" s="19">
        <f>SUM(BG46:BG48)</f>
        <v>6</v>
      </c>
      <c r="BH49" s="19">
        <f>SUM(BH46:BH48)</f>
        <v>6</v>
      </c>
      <c r="BK49" s="19"/>
      <c r="BL49" s="20"/>
    </row>
    <row r="50" spans="1:64" ht="11.45" customHeight="1" x14ac:dyDescent="0.2">
      <c r="A50" s="19"/>
      <c r="J50" s="19"/>
      <c r="K50" s="19"/>
      <c r="L50" s="19"/>
      <c r="N50" s="33" t="s">
        <v>178</v>
      </c>
      <c r="O50" s="34">
        <f>IF(O42&gt;0,(O42&amp;3)*1,"")</f>
        <v>43</v>
      </c>
      <c r="Q50" s="85"/>
      <c r="R50" s="85"/>
      <c r="S50" s="85"/>
      <c r="T50" s="242"/>
      <c r="U50" s="244" t="str">
        <f>IF(AND(N50&lt;&gt;"",N51=""),CONCATENATE(VLOOKUP(N50,[1]zawodnicy!$A$1:$E$65536,1,FALSE)," ",VLOOKUP(N50,[1]zawodnicy!$A$1:$E$65536,2,FALSE)," ",VLOOKUP(N50,[1]zawodnicy!$A$1:$E$65536,3,FALSE)," - ",VLOOKUP(N50,[1]zawodnicy!$A$1:$E$65536,4,FALSE)),"")</f>
        <v/>
      </c>
      <c r="V50" s="245"/>
      <c r="W50" s="246"/>
      <c r="X50" s="61" t="str">
        <f>IF(SUM(AQ46:AR46)=0,"",AR46&amp;":"&amp;AQ46)</f>
        <v>21:18</v>
      </c>
      <c r="Y50" s="36" t="str">
        <f>IF(SUM(AQ47:AR47)=0,"",AR47&amp;":"&amp;AQ47)</f>
        <v>21:10</v>
      </c>
      <c r="Z50" s="86"/>
      <c r="AA50" s="248"/>
      <c r="AB50" s="251"/>
      <c r="AC50" s="251"/>
      <c r="AD50" s="254"/>
      <c r="AE50" s="2"/>
      <c r="AF50" s="12"/>
      <c r="AG50" s="1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row>
    <row r="51" spans="1:64" ht="11.45" customHeight="1" thickBot="1" x14ac:dyDescent="0.25">
      <c r="A51" s="2"/>
      <c r="J51" s="28"/>
      <c r="K51" s="28"/>
      <c r="L51" s="28"/>
      <c r="N51" s="38" t="s">
        <v>179</v>
      </c>
      <c r="O51" s="28"/>
      <c r="P51" s="28"/>
      <c r="Q51" s="2"/>
      <c r="R51" s="2"/>
      <c r="S51" s="2"/>
      <c r="T51" s="243"/>
      <c r="U51" s="256" t="str">
        <f>IF(N51&lt;&gt;"",CONCATENATE(VLOOKUP(N51,[1]zawodnicy!$A$1:$E$65536,1,FALSE)," ",VLOOKUP(N51,[1]zawodnicy!$A$1:$E$65536,2,FALSE)," ",VLOOKUP(N51,[1]zawodnicy!$A$1:$E$65536,3,FALSE)," - ",VLOOKUP(N51,[1]zawodnicy!$A$1:$E$65536,4,FALSE)),"")</f>
        <v>R4591 Natalia RÓG - MKS Stal Nowa Dęba</v>
      </c>
      <c r="V51" s="257"/>
      <c r="W51" s="258"/>
      <c r="X51" s="87" t="str">
        <f>IF(SUM(AS46:AT46)=0,"",AT46&amp;":"&amp;AS46)</f>
        <v/>
      </c>
      <c r="Y51" s="88" t="str">
        <f>IF(SUM(AS47:AT47)=0,"",AT47&amp;":"&amp;AS47)</f>
        <v/>
      </c>
      <c r="Z51" s="89"/>
      <c r="AA51" s="249"/>
      <c r="AB51" s="252"/>
      <c r="AC51" s="252"/>
      <c r="AD51" s="255"/>
      <c r="AE51" s="10"/>
      <c r="AF51" s="12"/>
      <c r="AG51" s="1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row>
    <row r="52" spans="1:64" s="19" customFormat="1" ht="5.0999999999999996" customHeight="1" thickBot="1" x14ac:dyDescent="0.25">
      <c r="M52" s="90"/>
      <c r="O52" s="90"/>
      <c r="P52" s="90"/>
      <c r="Q52" s="91"/>
      <c r="R52" s="91"/>
      <c r="S52" s="91"/>
      <c r="T52" s="91"/>
      <c r="U52" s="5"/>
      <c r="V52" s="5"/>
      <c r="W52" s="5"/>
      <c r="AA52" s="92"/>
      <c r="AB52" s="91"/>
      <c r="AC52" s="91"/>
      <c r="AD52" s="91"/>
      <c r="AE52" s="91"/>
      <c r="AF52" s="91"/>
      <c r="AI52" s="93"/>
      <c r="AJ52" s="94"/>
      <c r="AK52" s="94"/>
    </row>
    <row r="53" spans="1:64" ht="11.45" customHeight="1" thickBot="1" x14ac:dyDescent="0.25">
      <c r="N53" s="11"/>
      <c r="O53" s="21">
        <v>5</v>
      </c>
      <c r="Q53" s="277" t="str">
        <f>"Grupa "&amp;O53&amp;"."</f>
        <v>Grupa 5.</v>
      </c>
      <c r="R53" s="277"/>
      <c r="S53" s="277"/>
      <c r="T53" s="22" t="s">
        <v>1</v>
      </c>
      <c r="U53" s="278" t="s">
        <v>2</v>
      </c>
      <c r="V53" s="279"/>
      <c r="W53" s="280"/>
      <c r="X53" s="22">
        <v>1</v>
      </c>
      <c r="Y53" s="23">
        <v>2</v>
      </c>
      <c r="Z53" s="24">
        <v>3</v>
      </c>
      <c r="AA53" s="25" t="s">
        <v>3</v>
      </c>
      <c r="AB53" s="26" t="s">
        <v>4</v>
      </c>
      <c r="AC53" s="26" t="s">
        <v>5</v>
      </c>
      <c r="AD53" s="27" t="s">
        <v>6</v>
      </c>
      <c r="AE53" s="2"/>
      <c r="AF53" s="12"/>
      <c r="AG53" s="12"/>
      <c r="BK53" s="19"/>
      <c r="BL53" s="20"/>
    </row>
    <row r="54" spans="1:64" ht="11.45" customHeight="1" x14ac:dyDescent="0.2">
      <c r="J54" s="28"/>
      <c r="K54" s="28"/>
      <c r="L54" s="28"/>
      <c r="N54" s="29" t="s">
        <v>153</v>
      </c>
      <c r="Q54" s="274" t="s">
        <v>7</v>
      </c>
      <c r="R54" s="274"/>
      <c r="S54" s="275" t="s">
        <v>8</v>
      </c>
      <c r="T54" s="276">
        <v>1</v>
      </c>
      <c r="U54" s="244" t="str">
        <f>IF(AND(N55&lt;&gt;"",N56&lt;&gt;""),CONCATENATE(VLOOKUP(N55,[1]zawodnicy!$A$1:$E$65536,1,FALSE)," ",VLOOKUP(N55,[1]zawodnicy!$A$1:$E$65536,2,FALSE)," ",VLOOKUP(N55,[1]zawodnicy!$A$1:$E$65536,3,FALSE)," - ",VLOOKUP(N55,[1]zawodnicy!$A$1:$E$65536,4,FALSE)),"")</f>
        <v>D4545 Joanna DORAWA - MKB Lednik Miastko</v>
      </c>
      <c r="V54" s="245"/>
      <c r="W54" s="246"/>
      <c r="X54" s="30"/>
      <c r="Y54" s="31" t="str">
        <f>IF(SUM(AO59:AP59)=0,"",AO59&amp;":"&amp;AP59)</f>
        <v>18:21</v>
      </c>
      <c r="Z54" s="32" t="str">
        <f>IF(SUM(AO57:AP57)=0,"",AO57&amp;":"&amp;AP57)</f>
        <v>21:10</v>
      </c>
      <c r="AA54" s="270" t="str">
        <f>IF(SUM(AY57:BB57)=0,"",BE57&amp;":"&amp;BF57)</f>
        <v>102:86</v>
      </c>
      <c r="AB54" s="271" t="str">
        <f>IF(SUM(AY57:BB57)=0,"",BG57&amp;":"&amp;BH57)</f>
        <v>3:2</v>
      </c>
      <c r="AC54" s="271" t="str">
        <f>IF(SUM(AY57:BB57)=0,"",BI57&amp;":"&amp;BJ57)</f>
        <v>1:1</v>
      </c>
      <c r="AD54" s="272">
        <f>IF(SUM(BI57:BI59)&gt;0,BK57,"")</f>
        <v>2</v>
      </c>
      <c r="AE54" s="2"/>
      <c r="AF54" s="12"/>
      <c r="AG54" s="12"/>
      <c r="AH54" s="14"/>
      <c r="AI54" s="273" t="s">
        <v>9</v>
      </c>
      <c r="AJ54" s="273"/>
      <c r="AK54" s="273"/>
      <c r="AL54" s="273"/>
      <c r="AM54" s="273"/>
      <c r="AN54" s="273"/>
      <c r="AO54" s="273" t="s">
        <v>10</v>
      </c>
      <c r="AP54" s="273"/>
      <c r="AQ54" s="273"/>
      <c r="AR54" s="273"/>
      <c r="AS54" s="273"/>
      <c r="AT54" s="273"/>
      <c r="BK54" s="19"/>
      <c r="BL54" s="20"/>
    </row>
    <row r="55" spans="1:64" ht="11.45" customHeight="1" thickBot="1" x14ac:dyDescent="0.25">
      <c r="I55" s="2" t="str">
        <f>"1"&amp;O53&amp;N54</f>
        <v>15podwójna dziewcząt M</v>
      </c>
      <c r="J55" s="10" t="str">
        <f>IF(AD54="","",IF(AD54=1,N55,IF(AD57=1,N58,IF(AD60=1,N61,""))))</f>
        <v>X17</v>
      </c>
      <c r="K55" s="10" t="str">
        <f>IF(AD54="","",IF(AD54=1,N56,IF(AD57=1,N59,IF(AD60=1,N62,""))))</f>
        <v>X06</v>
      </c>
      <c r="L55" s="10"/>
      <c r="N55" s="33" t="s">
        <v>180</v>
      </c>
      <c r="O55" s="34">
        <f>IF(O53&gt;0,(O53&amp;1)*1,"")</f>
        <v>51</v>
      </c>
      <c r="Q55" s="274"/>
      <c r="R55" s="274"/>
      <c r="S55" s="275"/>
      <c r="T55" s="242"/>
      <c r="U55" s="244" t="str">
        <f>IF(AND(N55&lt;&gt;"",N56=""),CONCATENATE(VLOOKUP(N55,[1]zawodnicy!$A$1:$E$65536,1,FALSE)," ",VLOOKUP(N55,[1]zawodnicy!$A$1:$E$65536,2,FALSE)," ",VLOOKUP(N55,[1]zawodnicy!$A$1:$E$65536,3,FALSE)," - ",VLOOKUP(N55,[1]zawodnicy!$A$1:$E$65536,4,FALSE)),"")</f>
        <v/>
      </c>
      <c r="V55" s="245"/>
      <c r="W55" s="246"/>
      <c r="X55" s="35"/>
      <c r="Y55" s="36" t="str">
        <f>IF(SUM(AQ59:AR59)=0,"",AQ59&amp;":"&amp;AR59)</f>
        <v>27:25</v>
      </c>
      <c r="Z55" s="37" t="str">
        <f>IF(SUM(AQ57:AR57)=0,"",AQ57&amp;":"&amp;AR57)</f>
        <v>21:9</v>
      </c>
      <c r="AA55" s="248"/>
      <c r="AB55" s="251"/>
      <c r="AC55" s="251"/>
      <c r="AD55" s="254"/>
      <c r="AE55" s="2"/>
      <c r="AF55" s="12"/>
      <c r="AG55" s="12"/>
      <c r="AH55" s="14"/>
      <c r="BE55" s="19">
        <f>SUM(BE57:BE59)</f>
        <v>249</v>
      </c>
      <c r="BF55" s="19">
        <f>SUM(BF57:BF59)</f>
        <v>249</v>
      </c>
      <c r="BG55" s="19">
        <f>SUM(BG57:BG59)</f>
        <v>7</v>
      </c>
      <c r="BH55" s="19">
        <f>SUM(BH57:BH59)</f>
        <v>7</v>
      </c>
      <c r="BK55" s="19"/>
      <c r="BL55" s="20"/>
    </row>
    <row r="56" spans="1:64" ht="11.45" customHeight="1" thickBot="1" x14ac:dyDescent="0.25">
      <c r="J56" s="10"/>
      <c r="K56" s="28"/>
      <c r="L56" s="28"/>
      <c r="N56" s="38" t="s">
        <v>181</v>
      </c>
      <c r="O56" s="28"/>
      <c r="P56" s="28"/>
      <c r="Q56" s="274"/>
      <c r="R56" s="274"/>
      <c r="S56" s="275"/>
      <c r="T56" s="261"/>
      <c r="U56" s="265" t="str">
        <f>IF(N56&lt;&gt;"",CONCATENATE(VLOOKUP(N56,[1]zawodnicy!$A$1:$E$65536,1,FALSE)," ",VLOOKUP(N56,[1]zawodnicy!$A$1:$E$65536,2,FALSE)," ",VLOOKUP(N56,[1]zawodnicy!$A$1:$E$65536,3,FALSE)," - ",VLOOKUP(N56,[1]zawodnicy!$A$1:$E$65536,4,FALSE)),"")</f>
        <v>O4640 Klaudia OSTROWSKA - MKB Lednik Miastko</v>
      </c>
      <c r="V56" s="266"/>
      <c r="W56" s="267"/>
      <c r="X56" s="35"/>
      <c r="Y56" s="39" t="str">
        <f>IF(SUM(AS59:AT59)=0,"",AS59&amp;":"&amp;AT59)</f>
        <v>15:21</v>
      </c>
      <c r="Z56" s="40" t="str">
        <f>IF(SUM(AS57:AT57)=0,"",AS57&amp;":"&amp;AT57)</f>
        <v/>
      </c>
      <c r="AA56" s="262"/>
      <c r="AB56" s="263"/>
      <c r="AC56" s="263"/>
      <c r="AD56" s="264"/>
      <c r="AE56" s="2"/>
      <c r="AF56" s="12"/>
      <c r="AG56" s="12"/>
      <c r="AH56" s="14"/>
      <c r="AI56" s="259" t="s">
        <v>12</v>
      </c>
      <c r="AJ56" s="269"/>
      <c r="AK56" s="268" t="s">
        <v>13</v>
      </c>
      <c r="AL56" s="269"/>
      <c r="AM56" s="268" t="s">
        <v>14</v>
      </c>
      <c r="AN56" s="260"/>
      <c r="AO56" s="259" t="s">
        <v>12</v>
      </c>
      <c r="AP56" s="269"/>
      <c r="AQ56" s="268" t="s">
        <v>13</v>
      </c>
      <c r="AR56" s="269"/>
      <c r="AS56" s="268" t="s">
        <v>14</v>
      </c>
      <c r="AT56" s="269"/>
      <c r="AU56" s="12"/>
      <c r="AV56" s="12"/>
      <c r="AW56" s="259">
        <v>1</v>
      </c>
      <c r="AX56" s="269"/>
      <c r="AY56" s="268">
        <v>2</v>
      </c>
      <c r="AZ56" s="269"/>
      <c r="BA56" s="268">
        <v>3</v>
      </c>
      <c r="BB56" s="260"/>
      <c r="BE56" s="259" t="s">
        <v>3</v>
      </c>
      <c r="BF56" s="260"/>
      <c r="BG56" s="259" t="s">
        <v>4</v>
      </c>
      <c r="BH56" s="260"/>
      <c r="BI56" s="259" t="s">
        <v>5</v>
      </c>
      <c r="BJ56" s="260"/>
      <c r="BK56" s="41" t="s">
        <v>6</v>
      </c>
      <c r="BL56" s="20"/>
    </row>
    <row r="57" spans="1:64" ht="11.45" customHeight="1" x14ac:dyDescent="0.2">
      <c r="A57" s="19">
        <f>S57</f>
        <v>63</v>
      </c>
      <c r="B57" s="2" t="str">
        <f>IF(N55="","",N55)</f>
        <v>D4545</v>
      </c>
      <c r="C57" s="2" t="str">
        <f>IF(N56="","",N56)</f>
        <v>O4640</v>
      </c>
      <c r="D57" s="2" t="str">
        <f>IF(N61="","",N61)</f>
        <v>G4142</v>
      </c>
      <c r="E57" s="2" t="str">
        <f>IF(N62="","",N62)</f>
        <v>M4152</v>
      </c>
      <c r="I57" s="2" t="str">
        <f>"2"&amp;O53&amp;N54</f>
        <v>25podwójna dziewcząt M</v>
      </c>
      <c r="J57" s="10" t="str">
        <f>IF(AD57="","",IF(AD54=2,N55,IF(AD57=2,N58,IF(AD60=2,N61,""))))</f>
        <v>D4545</v>
      </c>
      <c r="K57" s="10" t="str">
        <f>IF(AD57="","",IF(AD54=2,N56,IF(AD57=2,N59,IF(AD60=2,N62,""))))</f>
        <v>O4640</v>
      </c>
      <c r="M57" s="42" t="str">
        <f>N54</f>
        <v>podwójna dziewcząt M</v>
      </c>
      <c r="O57" s="28"/>
      <c r="P57" s="28"/>
      <c r="Q57" s="43" t="str">
        <f>IF(AU57&gt;0,"",IF(A57=0,"",IF(VLOOKUP(A57,'[1]plan gier'!A$1:S$65536,19,FALSE)="","",VLOOKUP(A57,'[1]plan gier'!A$1:S$65536,19,FALSE))))</f>
        <v/>
      </c>
      <c r="R57" s="44" t="s">
        <v>15</v>
      </c>
      <c r="S57" s="45">
        <v>63</v>
      </c>
      <c r="T57" s="241">
        <v>2</v>
      </c>
      <c r="U57" s="244" t="str">
        <f>IF(AND(N58&lt;&gt;"",N59&lt;&gt;""),CONCATENATE(VLOOKUP(N58,[1]zawodnicy!$A$1:$E$65536,1,FALSE)," ",VLOOKUP(N58,[1]zawodnicy!$A$1:$E$65536,2,FALSE)," ",VLOOKUP(N58,[1]zawodnicy!$A$1:$E$65536,3,FALSE)," - ",VLOOKUP(N58,[1]zawodnicy!$A$1:$E$65536,4,FALSE)),"")</f>
        <v>X17 Anna BANDARENKA - Mińsk Białoruś</v>
      </c>
      <c r="V57" s="245"/>
      <c r="W57" s="246"/>
      <c r="X57" s="46" t="str">
        <f>IF(SUM(AO59:AP59)=0,"",AP59&amp;":"&amp;AO59)</f>
        <v>21:18</v>
      </c>
      <c r="Y57" s="47"/>
      <c r="Z57" s="48" t="str">
        <f>IF(SUM(AO58:AP58)=0,"",AO58&amp;":"&amp;AP58)</f>
        <v>21:7</v>
      </c>
      <c r="AA57" s="247" t="str">
        <f>IF(SUM(AW58:AX58,BA58:BB58)=0,"",BE58&amp;":"&amp;BF58)</f>
        <v>109:79</v>
      </c>
      <c r="AB57" s="250" t="str">
        <f>IF(SUM(AW58:AX58,BA58:BB58)=0,"",BG58&amp;":"&amp;BH58)</f>
        <v>4:1</v>
      </c>
      <c r="AC57" s="250" t="str">
        <f>IF(SUM(AW58:AX58,BA58:BB58)=0,"",BI58&amp;":"&amp;BJ58)</f>
        <v>2:0</v>
      </c>
      <c r="AD57" s="253">
        <f>IF(SUM(BI57:BI59)&gt;0,BK58,"")</f>
        <v>1</v>
      </c>
      <c r="AE57" s="2"/>
      <c r="AF57" s="12"/>
      <c r="AG57" s="12"/>
      <c r="AH57" s="44" t="s">
        <v>15</v>
      </c>
      <c r="AI57" s="49">
        <f>IF(ISBLANK(S57),"",VLOOKUP(S57,'[1]plan gier'!$X$1:$AN$65536,12,FALSE))</f>
        <v>21</v>
      </c>
      <c r="AJ57" s="50">
        <f>IF(ISBLANK(S57),"",VLOOKUP(S57,'[1]plan gier'!$X$1:$AN$65536,13,FALSE))</f>
        <v>10</v>
      </c>
      <c r="AK57" s="50">
        <f>IF(ISBLANK(S57),"",VLOOKUP(S57,'[1]plan gier'!$X$1:$AN$65536,14,FALSE))</f>
        <v>21</v>
      </c>
      <c r="AL57" s="50">
        <f>IF(ISBLANK(S57),"",VLOOKUP(S57,'[1]plan gier'!$X$1:$AN$65536,15,FALSE))</f>
        <v>9</v>
      </c>
      <c r="AM57" s="50">
        <f>IF(ISBLANK(S57),"",VLOOKUP(S57,'[1]plan gier'!$X$1:$AN$65536,16,FALSE))</f>
        <v>0</v>
      </c>
      <c r="AN57" s="50">
        <f>IF(ISBLANK(S57),"",VLOOKUP(S57,'[1]plan gier'!$X$1:$AN$65536,17,FALSE))</f>
        <v>0</v>
      </c>
      <c r="AO57" s="51">
        <f t="shared" ref="AO57:AT59" si="7">IF(AI57="",0,AI57)</f>
        <v>21</v>
      </c>
      <c r="AP57" s="52">
        <f t="shared" si="7"/>
        <v>10</v>
      </c>
      <c r="AQ57" s="53">
        <f t="shared" si="7"/>
        <v>21</v>
      </c>
      <c r="AR57" s="52">
        <f t="shared" si="7"/>
        <v>9</v>
      </c>
      <c r="AS57" s="53">
        <f t="shared" si="7"/>
        <v>0</v>
      </c>
      <c r="AT57" s="52">
        <f t="shared" si="7"/>
        <v>0</v>
      </c>
      <c r="AU57" s="54">
        <f>SUM(AO57:AT57)</f>
        <v>61</v>
      </c>
      <c r="AV57" s="13">
        <v>1</v>
      </c>
      <c r="AW57" s="55"/>
      <c r="AX57" s="56"/>
      <c r="AY57" s="50">
        <f>IF(AI59&gt;AJ59,1,0)+IF(AK59&gt;AL59,1,0)+IF(AM59&gt;AN59,1,0)</f>
        <v>1</v>
      </c>
      <c r="AZ57" s="50">
        <f>AW58</f>
        <v>2</v>
      </c>
      <c r="BA57" s="50">
        <f>IF(AI57&gt;AJ57,1,0)+IF(AK57&gt;AL57,1,0)+IF(AM57&gt;AN57,1,0)</f>
        <v>2</v>
      </c>
      <c r="BB57" s="57">
        <f>AW59</f>
        <v>0</v>
      </c>
      <c r="BE57" s="49">
        <f>AO57+AQ57+AS57+AO59+AQ59+AS59</f>
        <v>102</v>
      </c>
      <c r="BF57" s="57">
        <f>AP57+AR57+AT57+AP59+AR59+AT59</f>
        <v>86</v>
      </c>
      <c r="BG57" s="49">
        <f>AY57+BA57</f>
        <v>3</v>
      </c>
      <c r="BH57" s="57">
        <f>AZ57+BB57</f>
        <v>2</v>
      </c>
      <c r="BI57" s="49">
        <f>IF(AY57&gt;AZ57,1,0)+IF(BA57&gt;BB57,1,0)</f>
        <v>1</v>
      </c>
      <c r="BJ57" s="58">
        <f>IF(AZ57&gt;AY57,1,0)+IF(BB57&gt;BA57,1,0)</f>
        <v>1</v>
      </c>
      <c r="BK57" s="59">
        <f>IF(BI57+BJ57=0,"",IF(BL57=MAX(BL57:BL59),1,IF(BL57=MIN(BL57:BL59),3,2)))</f>
        <v>2</v>
      </c>
      <c r="BL57" s="60">
        <f>IF(BI57+BJ57&lt;&gt;0,BI57+1+(BG57-BH57)/100+(BE57-BF57)/100000+(BE57/BF57)/1000000,0)</f>
        <v>2.0101611860465116</v>
      </c>
    </row>
    <row r="58" spans="1:64" ht="11.45" customHeight="1" x14ac:dyDescent="0.2">
      <c r="A58" s="19">
        <f>S58</f>
        <v>129</v>
      </c>
      <c r="B58" s="2" t="str">
        <f>IF(N58="","",N58)</f>
        <v>X17</v>
      </c>
      <c r="C58" s="2" t="str">
        <f>IF(N59="","",N59)</f>
        <v>X06</v>
      </c>
      <c r="D58" s="2" t="str">
        <f>IF(N61="","",N61)</f>
        <v>G4142</v>
      </c>
      <c r="E58" s="2" t="str">
        <f>IF(N62="","",N62)</f>
        <v>M4152</v>
      </c>
      <c r="J58" s="10"/>
      <c r="K58" s="19"/>
      <c r="M58" s="42" t="str">
        <f>N54</f>
        <v>podwójna dziewcząt M</v>
      </c>
      <c r="N58" s="33" t="s">
        <v>182</v>
      </c>
      <c r="O58" s="34">
        <f>IF(O53&gt;0,(O53&amp;2)*1,"")</f>
        <v>52</v>
      </c>
      <c r="Q58" s="43" t="str">
        <f>IF(AU58&gt;0,"",IF(A58=0,"",IF(VLOOKUP(A58,'[1]plan gier'!A$1:S$65536,19,FALSE)="","",VLOOKUP(A58,'[1]plan gier'!A$1:S$65536,19,FALSE))))</f>
        <v/>
      </c>
      <c r="R58" s="44" t="s">
        <v>17</v>
      </c>
      <c r="S58" s="45">
        <v>129</v>
      </c>
      <c r="T58" s="242"/>
      <c r="U58" s="244" t="str">
        <f>IF(AND(N58&lt;&gt;"",N59=""),CONCATENATE(VLOOKUP(N58,[1]zawodnicy!$A$1:$E$65536,1,FALSE)," ",VLOOKUP(N58,[1]zawodnicy!$A$1:$E$65536,2,FALSE)," ",VLOOKUP(N58,[1]zawodnicy!$A$1:$E$65536,3,FALSE)," - ",VLOOKUP(N58,[1]zawodnicy!$A$1:$E$65536,4,FALSE)),"")</f>
        <v/>
      </c>
      <c r="V58" s="245"/>
      <c r="W58" s="246"/>
      <c r="X58" s="61" t="str">
        <f>IF(SUM(AQ59:AR59)=0,"",AR59&amp;":"&amp;AQ59)</f>
        <v>25:27</v>
      </c>
      <c r="Y58" s="62"/>
      <c r="Z58" s="37" t="str">
        <f>IF(SUM(AQ58:AR58)=0,"",AQ58&amp;":"&amp;AR58)</f>
        <v>21:12</v>
      </c>
      <c r="AA58" s="248"/>
      <c r="AB58" s="251"/>
      <c r="AC58" s="251"/>
      <c r="AD58" s="254"/>
      <c r="AE58" s="2"/>
      <c r="AF58" s="12"/>
      <c r="AG58" s="12"/>
      <c r="AH58" s="44" t="s">
        <v>17</v>
      </c>
      <c r="AI58" s="63">
        <f>IF(ISBLANK(S58),"",VLOOKUP(S58,'[1]plan gier'!$X$1:$AN$65536,12,FALSE))</f>
        <v>21</v>
      </c>
      <c r="AJ58" s="64">
        <f>IF(ISBLANK(S58),"",VLOOKUP(S58,'[1]plan gier'!$X$1:$AN$65536,13,FALSE))</f>
        <v>7</v>
      </c>
      <c r="AK58" s="64">
        <f>IF(ISBLANK(S58),"",VLOOKUP(S58,'[1]plan gier'!$X$1:$AN$65536,14,FALSE))</f>
        <v>21</v>
      </c>
      <c r="AL58" s="64">
        <f>IF(ISBLANK(S58),"",VLOOKUP(S58,'[1]plan gier'!$X$1:$AN$65536,15,FALSE))</f>
        <v>12</v>
      </c>
      <c r="AM58" s="64">
        <f>IF(ISBLANK(S58),"",VLOOKUP(S58,'[1]plan gier'!$X$1:$AN$65536,16,FALSE))</f>
        <v>0</v>
      </c>
      <c r="AN58" s="64">
        <f>IF(ISBLANK(S58),"",VLOOKUP(S58,'[1]plan gier'!$X$1:$AN$65536,17,FALSE))</f>
        <v>0</v>
      </c>
      <c r="AO58" s="65">
        <f t="shared" si="7"/>
        <v>21</v>
      </c>
      <c r="AP58" s="64">
        <f t="shared" si="7"/>
        <v>7</v>
      </c>
      <c r="AQ58" s="66">
        <f t="shared" si="7"/>
        <v>21</v>
      </c>
      <c r="AR58" s="64">
        <f t="shared" si="7"/>
        <v>12</v>
      </c>
      <c r="AS58" s="66">
        <f t="shared" si="7"/>
        <v>0</v>
      </c>
      <c r="AT58" s="64">
        <f t="shared" si="7"/>
        <v>0</v>
      </c>
      <c r="AU58" s="54">
        <f>SUM(AO58:AT58)</f>
        <v>61</v>
      </c>
      <c r="AV58" s="13">
        <v>2</v>
      </c>
      <c r="AW58" s="63">
        <f>IF(AI59&lt;AJ59,1,0)+IF(AK59&lt;AL59,1,0)+IF(AM59&lt;AN59,1,0)</f>
        <v>2</v>
      </c>
      <c r="AX58" s="64">
        <f>AY57</f>
        <v>1</v>
      </c>
      <c r="AY58" s="67"/>
      <c r="AZ58" s="68"/>
      <c r="BA58" s="64">
        <f>IF(AI58&gt;AJ58,1,0)+IF(AK58&gt;AL58,1,0)+IF(AM58&gt;AN58,1,0)</f>
        <v>2</v>
      </c>
      <c r="BB58" s="69">
        <f>AY59</f>
        <v>0</v>
      </c>
      <c r="BE58" s="63">
        <f>AO58+AQ58+AS58+AP59+AR59+AT59</f>
        <v>109</v>
      </c>
      <c r="BF58" s="69">
        <f>AP58+AR58+AT58+AO59+AQ59+AS59</f>
        <v>79</v>
      </c>
      <c r="BG58" s="63">
        <f>AW58+BA58</f>
        <v>4</v>
      </c>
      <c r="BH58" s="69">
        <f>AX58+BB58</f>
        <v>1</v>
      </c>
      <c r="BI58" s="63">
        <f>IF(AW58&gt;AX58,1,0)+IF(BA58&gt;BB58,1,0)</f>
        <v>2</v>
      </c>
      <c r="BJ58" s="70">
        <f>IF(AX58&gt;AW58,1,0)+IF(BB58&gt;BA58,1,0)</f>
        <v>0</v>
      </c>
      <c r="BK58" s="71">
        <f>IF(BI58+BJ58=0,"",IF(BL58=MAX(BL57:BL59),1,IF(BL58=MIN(BL57:BL59),3,2)))</f>
        <v>1</v>
      </c>
      <c r="BL58" s="60">
        <f>IF(BI58+BJ58&lt;&gt;0,BI58+1+(BG58-BH58)/100+(BE58-BF58)/100000+(BE58/BF58)/1000000,0)</f>
        <v>3.0303013797468354</v>
      </c>
    </row>
    <row r="59" spans="1:64" ht="11.45" customHeight="1" thickBot="1" x14ac:dyDescent="0.25">
      <c r="A59" s="19">
        <f>S59</f>
        <v>276</v>
      </c>
      <c r="B59" s="2" t="str">
        <f>IF(N55="","",N55)</f>
        <v>D4545</v>
      </c>
      <c r="C59" s="2" t="str">
        <f>IF(N56="","",N56)</f>
        <v>O4640</v>
      </c>
      <c r="D59" s="2" t="str">
        <f>IF(N58="","",N58)</f>
        <v>X17</v>
      </c>
      <c r="E59" s="2" t="str">
        <f>IF(N59="","",N59)</f>
        <v>X06</v>
      </c>
      <c r="I59" s="2" t="str">
        <f>"3"&amp;O53&amp;N54</f>
        <v>35podwójna dziewcząt M</v>
      </c>
      <c r="J59" s="10" t="str">
        <f>IF(AD60="","",IF(AD54=3,N55,IF(AD57=3,N58,IF(AD60=3,N61,""))))</f>
        <v>G4142</v>
      </c>
      <c r="K59" s="10" t="str">
        <f>IF(AD60="","",IF(AD54=3,N56,IF(AD57=3,N59,IF(AD60=3,N62,""))))</f>
        <v>M4152</v>
      </c>
      <c r="M59" s="42" t="str">
        <f>N54</f>
        <v>podwójna dziewcząt M</v>
      </c>
      <c r="N59" s="38" t="s">
        <v>183</v>
      </c>
      <c r="O59" s="28"/>
      <c r="P59" s="28"/>
      <c r="Q59" s="43" t="str">
        <f>IF(AU59&gt;0,"",IF(A59=0,"",IF(VLOOKUP(A59,'[1]plan gier'!A$1:S$65536,19,FALSE)="","",VLOOKUP(A59,'[1]plan gier'!A$1:S$65536,19,FALSE))))</f>
        <v/>
      </c>
      <c r="R59" s="72" t="s">
        <v>18</v>
      </c>
      <c r="S59" s="45">
        <v>276</v>
      </c>
      <c r="T59" s="261"/>
      <c r="U59" s="265" t="str">
        <f>IF(N59&lt;&gt;"",CONCATENATE(VLOOKUP(N59,[1]zawodnicy!$A$1:$E$65536,1,FALSE)," ",VLOOKUP(N59,[1]zawodnicy!$A$1:$E$65536,2,FALSE)," ",VLOOKUP(N59,[1]zawodnicy!$A$1:$E$65536,3,FALSE)," - ",VLOOKUP(N59,[1]zawodnicy!$A$1:$E$65536,4,FALSE)),"")</f>
        <v>X06 Uliana ZACHROVA - Brześć Białoruś</v>
      </c>
      <c r="V59" s="266"/>
      <c r="W59" s="267"/>
      <c r="X59" s="73" t="str">
        <f>IF(SUM(AS59:AT59)=0,"",AT59&amp;":"&amp;AS59)</f>
        <v>21:15</v>
      </c>
      <c r="Y59" s="62"/>
      <c r="Z59" s="40" t="str">
        <f>IF(SUM(AS58:AT58)=0,"",AS58&amp;":"&amp;AT58)</f>
        <v/>
      </c>
      <c r="AA59" s="262"/>
      <c r="AB59" s="263"/>
      <c r="AC59" s="263"/>
      <c r="AD59" s="264"/>
      <c r="AE59" s="2"/>
      <c r="AF59" s="12"/>
      <c r="AG59" s="12"/>
      <c r="AH59" s="72" t="s">
        <v>18</v>
      </c>
      <c r="AI59" s="74">
        <f>IF(ISBLANK(S59),"",VLOOKUP(S59,'[1]plan gier'!$X$1:$AN$65536,12,FALSE))</f>
        <v>18</v>
      </c>
      <c r="AJ59" s="75">
        <f>IF(ISBLANK(S59),"",VLOOKUP(S59,'[1]plan gier'!$X$1:$AN$65536,13,FALSE))</f>
        <v>21</v>
      </c>
      <c r="AK59" s="75">
        <f>IF(ISBLANK(S59),"",VLOOKUP(S59,'[1]plan gier'!$X$1:$AN$65536,14,FALSE))</f>
        <v>27</v>
      </c>
      <c r="AL59" s="75">
        <f>IF(ISBLANK(S59),"",VLOOKUP(S59,'[1]plan gier'!$X$1:$AN$65536,15,FALSE))</f>
        <v>25</v>
      </c>
      <c r="AM59" s="75">
        <f>IF(ISBLANK(S59),"",VLOOKUP(S59,'[1]plan gier'!$X$1:$AN$65536,16,FALSE))</f>
        <v>15</v>
      </c>
      <c r="AN59" s="75">
        <f>IF(ISBLANK(S59),"",VLOOKUP(S59,'[1]plan gier'!$X$1:$AN$65536,17,FALSE))</f>
        <v>21</v>
      </c>
      <c r="AO59" s="76">
        <f t="shared" si="7"/>
        <v>18</v>
      </c>
      <c r="AP59" s="75">
        <f t="shared" si="7"/>
        <v>21</v>
      </c>
      <c r="AQ59" s="77">
        <f t="shared" si="7"/>
        <v>27</v>
      </c>
      <c r="AR59" s="75">
        <f t="shared" si="7"/>
        <v>25</v>
      </c>
      <c r="AS59" s="77">
        <f t="shared" si="7"/>
        <v>15</v>
      </c>
      <c r="AT59" s="75">
        <f t="shared" si="7"/>
        <v>21</v>
      </c>
      <c r="AU59" s="54">
        <f>SUM(AO59:AT59)</f>
        <v>127</v>
      </c>
      <c r="AV59" s="13">
        <v>3</v>
      </c>
      <c r="AW59" s="74">
        <f>IF(AI57&lt;AJ57,1,0)+IF(AK57&lt;AL57,1,0)+IF(AM57&lt;AN57,1,0)</f>
        <v>0</v>
      </c>
      <c r="AX59" s="75">
        <f>BA57</f>
        <v>2</v>
      </c>
      <c r="AY59" s="75">
        <f>IF(AI58&lt;AJ58,1,0)+IF(AK58&lt;AL58,1,0)+IF(AM58&lt;AN58,1,0)</f>
        <v>0</v>
      </c>
      <c r="AZ59" s="75">
        <f>BA58</f>
        <v>2</v>
      </c>
      <c r="BA59" s="78"/>
      <c r="BB59" s="79"/>
      <c r="BE59" s="74">
        <f>AP57+AR57+AT57+AP58+AR58+AT58</f>
        <v>38</v>
      </c>
      <c r="BF59" s="80">
        <f>AO57+AQ57+AS57+AO58+AQ58+AS58</f>
        <v>84</v>
      </c>
      <c r="BG59" s="74">
        <f>AW59+AY59</f>
        <v>0</v>
      </c>
      <c r="BH59" s="80">
        <f>AX59+AZ59</f>
        <v>4</v>
      </c>
      <c r="BI59" s="74">
        <f>IF(AW59&gt;AX59,1,0)+IF(AY59&gt;AZ59,1,0)</f>
        <v>0</v>
      </c>
      <c r="BJ59" s="81">
        <f>IF(AX59&gt;AW59,1,0)+IF(AZ59&gt;AY59,1,0)</f>
        <v>2</v>
      </c>
      <c r="BK59" s="82">
        <f>IF(BI59+BJ59=0,"",IF(BL59=MAX(BL57:BL59),1,IF(BL59=MIN(BL57:BL59),3,2)))</f>
        <v>3</v>
      </c>
      <c r="BL59" s="60">
        <f>IF(BI59+BJ59&lt;&gt;0,BI59+1+(BG59-BH59)/100+(BE59-BF59)/100000+(BE59/BF59)/1000000,0)</f>
        <v>0.95954045238095231</v>
      </c>
    </row>
    <row r="60" spans="1:64" ht="11.45" customHeight="1" x14ac:dyDescent="0.2">
      <c r="A60" s="2"/>
      <c r="J60" s="28"/>
      <c r="K60" s="28"/>
      <c r="L60" s="28"/>
      <c r="O60" s="28"/>
      <c r="P60" s="28"/>
      <c r="Q60" s="2"/>
      <c r="R60" s="2"/>
      <c r="S60" s="2"/>
      <c r="T60" s="241">
        <v>3</v>
      </c>
      <c r="U60" s="244" t="str">
        <f>IF(AND(N61&lt;&gt;"",N62&lt;&gt;""),CONCATENATE(VLOOKUP(N61,[1]zawodnicy!$A$1:$E$65536,1,FALSE)," ",VLOOKUP(N61,[1]zawodnicy!$A$1:$E$65536,2,FALSE)," ",VLOOKUP(N61,[1]zawodnicy!$A$1:$E$65536,3,FALSE)," - ",VLOOKUP(N61,[1]zawodnicy!$A$1:$E$65536,4,FALSE)),"")</f>
        <v>G4142 Agnieszka GRZEMPA - UKS Lotka Lubiewo</v>
      </c>
      <c r="V60" s="245"/>
      <c r="W60" s="246"/>
      <c r="X60" s="46" t="str">
        <f>IF(SUM(AO57:AP57)=0,"",AP57&amp;":"&amp;AO57)</f>
        <v>10:21</v>
      </c>
      <c r="Y60" s="83" t="str">
        <f>IF(SUM(AO58:AP58)=0,"",AP58&amp;":"&amp;AO58)</f>
        <v>7:21</v>
      </c>
      <c r="Z60" s="84"/>
      <c r="AA60" s="247" t="str">
        <f>IF(SUM(AW59:AZ59)=0,"",BE59&amp;":"&amp;BF59)</f>
        <v>38:84</v>
      </c>
      <c r="AB60" s="250" t="str">
        <f>IF(SUM(AW59:AZ59)=0,"",BG59&amp;":"&amp;BH59)</f>
        <v>0:4</v>
      </c>
      <c r="AC60" s="250" t="str">
        <f>IF(SUM(AW59:AZ59)=0,"",BI59&amp;":"&amp;BJ59)</f>
        <v>0:2</v>
      </c>
      <c r="AD60" s="253">
        <f>IF(SUM(BI57:BI59)&gt;0,BK59,"")</f>
        <v>3</v>
      </c>
      <c r="AE60" s="2"/>
      <c r="AF60" s="12"/>
      <c r="AG60" s="12"/>
      <c r="BE60" s="19">
        <f>SUM(BE57:BE59)</f>
        <v>249</v>
      </c>
      <c r="BF60" s="19">
        <f>SUM(BF57:BF59)</f>
        <v>249</v>
      </c>
      <c r="BG60" s="19">
        <f>SUM(BG57:BG59)</f>
        <v>7</v>
      </c>
      <c r="BH60" s="19">
        <f>SUM(BH57:BH59)</f>
        <v>7</v>
      </c>
      <c r="BK60" s="19"/>
      <c r="BL60" s="20"/>
    </row>
    <row r="61" spans="1:64" ht="11.45" customHeight="1" x14ac:dyDescent="0.2">
      <c r="A61" s="19"/>
      <c r="J61" s="19"/>
      <c r="K61" s="19"/>
      <c r="L61" s="19"/>
      <c r="N61" s="33" t="s">
        <v>184</v>
      </c>
      <c r="O61" s="34">
        <f>IF(O53&gt;0,(O53&amp;3)*1,"")</f>
        <v>53</v>
      </c>
      <c r="Q61" s="85"/>
      <c r="R61" s="85"/>
      <c r="S61" s="85"/>
      <c r="T61" s="242"/>
      <c r="U61" s="244" t="str">
        <f>IF(AND(N61&lt;&gt;"",N62=""),CONCATENATE(VLOOKUP(N61,[1]zawodnicy!$A$1:$E$65536,1,FALSE)," ",VLOOKUP(N61,[1]zawodnicy!$A$1:$E$65536,2,FALSE)," ",VLOOKUP(N61,[1]zawodnicy!$A$1:$E$65536,3,FALSE)," - ",VLOOKUP(N61,[1]zawodnicy!$A$1:$E$65536,4,FALSE)),"")</f>
        <v/>
      </c>
      <c r="V61" s="245"/>
      <c r="W61" s="246"/>
      <c r="X61" s="61" t="str">
        <f>IF(SUM(AQ57:AR57)=0,"",AR57&amp;":"&amp;AQ57)</f>
        <v>9:21</v>
      </c>
      <c r="Y61" s="36" t="str">
        <f>IF(SUM(AQ58:AR58)=0,"",AR58&amp;":"&amp;AQ58)</f>
        <v>12:21</v>
      </c>
      <c r="Z61" s="86"/>
      <c r="AA61" s="248"/>
      <c r="AB61" s="251"/>
      <c r="AC61" s="251"/>
      <c r="AD61" s="254"/>
      <c r="AE61" s="2"/>
      <c r="AF61" s="12"/>
      <c r="AG61" s="1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row>
    <row r="62" spans="1:64" ht="11.45" customHeight="1" thickBot="1" x14ac:dyDescent="0.25">
      <c r="A62" s="2"/>
      <c r="J62" s="28"/>
      <c r="K62" s="28"/>
      <c r="L62" s="28"/>
      <c r="N62" s="38" t="s">
        <v>185</v>
      </c>
      <c r="O62" s="28"/>
      <c r="P62" s="28"/>
      <c r="Q62" s="2"/>
      <c r="R62" s="2"/>
      <c r="S62" s="2"/>
      <c r="T62" s="243"/>
      <c r="U62" s="256" t="str">
        <f>IF(N62&lt;&gt;"",CONCATENATE(VLOOKUP(N62,[1]zawodnicy!$A$1:$E$65536,1,FALSE)," ",VLOOKUP(N62,[1]zawodnicy!$A$1:$E$65536,2,FALSE)," ",VLOOKUP(N62,[1]zawodnicy!$A$1:$E$65536,3,FALSE)," - ",VLOOKUP(N62,[1]zawodnicy!$A$1:$E$65536,4,FALSE)),"")</f>
        <v>M4152 Aleksandra MARTIN - UKS Lotka Lubiewo</v>
      </c>
      <c r="V62" s="257"/>
      <c r="W62" s="258"/>
      <c r="X62" s="87" t="str">
        <f>IF(SUM(AS57:AT57)=0,"",AT57&amp;":"&amp;AS57)</f>
        <v/>
      </c>
      <c r="Y62" s="88" t="str">
        <f>IF(SUM(AS58:AT58)=0,"",AT58&amp;":"&amp;AS58)</f>
        <v/>
      </c>
      <c r="Z62" s="89"/>
      <c r="AA62" s="249"/>
      <c r="AB62" s="252"/>
      <c r="AC62" s="252"/>
      <c r="AD62" s="255"/>
      <c r="AE62" s="10"/>
      <c r="AF62" s="12"/>
      <c r="AG62" s="1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row>
    <row r="63" spans="1:64" s="19" customFormat="1" ht="5.0999999999999996" customHeight="1" thickBot="1" x14ac:dyDescent="0.25">
      <c r="M63" s="90"/>
      <c r="O63" s="90"/>
      <c r="P63" s="90"/>
      <c r="Q63" s="91"/>
      <c r="R63" s="91"/>
      <c r="S63" s="91"/>
      <c r="T63" s="91"/>
      <c r="U63" s="5"/>
      <c r="V63" s="5"/>
      <c r="W63" s="5"/>
      <c r="AA63" s="92"/>
      <c r="AB63" s="91"/>
      <c r="AC63" s="91"/>
      <c r="AD63" s="91"/>
      <c r="AE63" s="91"/>
      <c r="AF63" s="91"/>
      <c r="AI63" s="93"/>
      <c r="AJ63" s="94"/>
      <c r="AK63" s="94"/>
    </row>
    <row r="64" spans="1:64" ht="11.45" customHeight="1" thickBot="1" x14ac:dyDescent="0.25">
      <c r="N64" s="11"/>
      <c r="O64" s="21">
        <v>6</v>
      </c>
      <c r="Q64" s="277" t="str">
        <f>"Grupa "&amp;O64&amp;"."</f>
        <v>Grupa 6.</v>
      </c>
      <c r="R64" s="277"/>
      <c r="S64" s="277"/>
      <c r="T64" s="22" t="s">
        <v>1</v>
      </c>
      <c r="U64" s="278" t="s">
        <v>2</v>
      </c>
      <c r="V64" s="279"/>
      <c r="W64" s="280"/>
      <c r="X64" s="22">
        <v>1</v>
      </c>
      <c r="Y64" s="23">
        <v>2</v>
      </c>
      <c r="Z64" s="24">
        <v>3</v>
      </c>
      <c r="AA64" s="25" t="s">
        <v>3</v>
      </c>
      <c r="AB64" s="26" t="s">
        <v>4</v>
      </c>
      <c r="AC64" s="26" t="s">
        <v>5</v>
      </c>
      <c r="AD64" s="27" t="s">
        <v>6</v>
      </c>
      <c r="AE64" s="2"/>
      <c r="AF64" s="12"/>
      <c r="AG64" s="12"/>
      <c r="BK64" s="19"/>
      <c r="BL64" s="20"/>
    </row>
    <row r="65" spans="1:64" ht="11.45" customHeight="1" x14ac:dyDescent="0.2">
      <c r="J65" s="28"/>
      <c r="K65" s="28"/>
      <c r="L65" s="28"/>
      <c r="N65" s="29" t="s">
        <v>153</v>
      </c>
      <c r="Q65" s="274" t="s">
        <v>7</v>
      </c>
      <c r="R65" s="274"/>
      <c r="S65" s="275" t="s">
        <v>8</v>
      </c>
      <c r="T65" s="276">
        <v>1</v>
      </c>
      <c r="U65" s="244" t="str">
        <f>IF(AND(N66&lt;&gt;"",N67&lt;&gt;""),CONCATENATE(VLOOKUP(N66,[1]zawodnicy!$A$1:$E$65536,1,FALSE)," ",VLOOKUP(N66,[1]zawodnicy!$A$1:$E$65536,2,FALSE)," ",VLOOKUP(N66,[1]zawodnicy!$A$1:$E$65536,3,FALSE)," - ",VLOOKUP(N66,[1]zawodnicy!$A$1:$E$65536,4,FALSE)),"")</f>
        <v>K5033 Magdalena KULSKA - UKS Unia Bieruń</v>
      </c>
      <c r="V65" s="245"/>
      <c r="W65" s="246"/>
      <c r="X65" s="30"/>
      <c r="Y65" s="31" t="str">
        <f>IF(SUM(AO70:AP70)=0,"",AO70&amp;":"&amp;AP70)</f>
        <v>21:10</v>
      </c>
      <c r="Z65" s="32" t="str">
        <f>IF(SUM(AO68:AP68)=0,"",AO68&amp;":"&amp;AP68)</f>
        <v>21:8</v>
      </c>
      <c r="AA65" s="270" t="str">
        <f>IF(SUM(AY68:BB68)=0,"",BE68&amp;":"&amp;BF68)</f>
        <v>84:36</v>
      </c>
      <c r="AB65" s="271" t="str">
        <f>IF(SUM(AY68:BB68)=0,"",BG68&amp;":"&amp;BH68)</f>
        <v>4:0</v>
      </c>
      <c r="AC65" s="271" t="str">
        <f>IF(SUM(AY68:BB68)=0,"",BI68&amp;":"&amp;BJ68)</f>
        <v>2:0</v>
      </c>
      <c r="AD65" s="272">
        <f>IF(SUM(BI68:BI70)&gt;0,BK68,"")</f>
        <v>1</v>
      </c>
      <c r="AE65" s="2"/>
      <c r="AF65" s="12"/>
      <c r="AG65" s="12"/>
      <c r="AH65" s="14"/>
      <c r="AI65" s="273" t="s">
        <v>9</v>
      </c>
      <c r="AJ65" s="273"/>
      <c r="AK65" s="273"/>
      <c r="AL65" s="273"/>
      <c r="AM65" s="273"/>
      <c r="AN65" s="273"/>
      <c r="AO65" s="273" t="s">
        <v>10</v>
      </c>
      <c r="AP65" s="273"/>
      <c r="AQ65" s="273"/>
      <c r="AR65" s="273"/>
      <c r="AS65" s="273"/>
      <c r="AT65" s="273"/>
      <c r="BK65" s="19"/>
      <c r="BL65" s="20"/>
    </row>
    <row r="66" spans="1:64" ht="11.45" customHeight="1" thickBot="1" x14ac:dyDescent="0.25">
      <c r="I66" s="2" t="str">
        <f>"1"&amp;O64&amp;N65</f>
        <v>16podwójna dziewcząt M</v>
      </c>
      <c r="J66" s="10" t="str">
        <f>IF(AD65="","",IF(AD65=1,N66,IF(AD68=1,N69,IF(AD71=1,N72,""))))</f>
        <v>K5033</v>
      </c>
      <c r="K66" s="10" t="str">
        <f>IF(AD65="","",IF(AD65=1,N67,IF(AD68=1,N70,IF(AD71=1,N73,""))))</f>
        <v>P4197</v>
      </c>
      <c r="L66" s="10"/>
      <c r="N66" s="33" t="s">
        <v>186</v>
      </c>
      <c r="O66" s="34">
        <f>IF(O64&gt;0,(O64&amp;1)*1,"")</f>
        <v>61</v>
      </c>
      <c r="Q66" s="274"/>
      <c r="R66" s="274"/>
      <c r="S66" s="275"/>
      <c r="T66" s="242"/>
      <c r="U66" s="244" t="str">
        <f>IF(AND(N66&lt;&gt;"",N67=""),CONCATENATE(VLOOKUP(N66,[1]zawodnicy!$A$1:$E$65536,1,FALSE)," ",VLOOKUP(N66,[1]zawodnicy!$A$1:$E$65536,2,FALSE)," ",VLOOKUP(N66,[1]zawodnicy!$A$1:$E$65536,3,FALSE)," - ",VLOOKUP(N66,[1]zawodnicy!$A$1:$E$65536,4,FALSE)),"")</f>
        <v/>
      </c>
      <c r="V66" s="245"/>
      <c r="W66" s="246"/>
      <c r="X66" s="35"/>
      <c r="Y66" s="36" t="str">
        <f>IF(SUM(AQ70:AR70)=0,"",AQ70&amp;":"&amp;AR70)</f>
        <v>21:7</v>
      </c>
      <c r="Z66" s="37" t="str">
        <f>IF(SUM(AQ68:AR68)=0,"",AQ68&amp;":"&amp;AR68)</f>
        <v>21:11</v>
      </c>
      <c r="AA66" s="248"/>
      <c r="AB66" s="251"/>
      <c r="AC66" s="251"/>
      <c r="AD66" s="254"/>
      <c r="AE66" s="2"/>
      <c r="AF66" s="12"/>
      <c r="AG66" s="12"/>
      <c r="AH66" s="14"/>
      <c r="BE66" s="19">
        <f>SUM(BE68:BE70)</f>
        <v>227</v>
      </c>
      <c r="BF66" s="19">
        <f>SUM(BF68:BF70)</f>
        <v>227</v>
      </c>
      <c r="BG66" s="19">
        <f>SUM(BG68:BG70)</f>
        <v>7</v>
      </c>
      <c r="BH66" s="19">
        <f>SUM(BH68:BH70)</f>
        <v>7</v>
      </c>
      <c r="BK66" s="19"/>
      <c r="BL66" s="20"/>
    </row>
    <row r="67" spans="1:64" ht="11.45" customHeight="1" thickBot="1" x14ac:dyDescent="0.25">
      <c r="J67" s="10"/>
      <c r="K67" s="28"/>
      <c r="L67" s="28"/>
      <c r="N67" s="38" t="s">
        <v>187</v>
      </c>
      <c r="O67" s="28"/>
      <c r="P67" s="28"/>
      <c r="Q67" s="274"/>
      <c r="R67" s="274"/>
      <c r="S67" s="275"/>
      <c r="T67" s="261"/>
      <c r="U67" s="265" t="str">
        <f>IF(N67&lt;&gt;"",CONCATENATE(VLOOKUP(N67,[1]zawodnicy!$A$1:$E$65536,1,FALSE)," ",VLOOKUP(N67,[1]zawodnicy!$A$1:$E$65536,2,FALSE)," ",VLOOKUP(N67,[1]zawodnicy!$A$1:$E$65536,3,FALSE)," - ",VLOOKUP(N67,[1]zawodnicy!$A$1:$E$65536,4,FALSE)),"")</f>
        <v>P4197 Zuzanna PARYSZ - UKS Unia Bieruń</v>
      </c>
      <c r="V67" s="266"/>
      <c r="W67" s="267"/>
      <c r="X67" s="35"/>
      <c r="Y67" s="39" t="str">
        <f>IF(SUM(AS70:AT70)=0,"",AS70&amp;":"&amp;AT70)</f>
        <v/>
      </c>
      <c r="Z67" s="40" t="str">
        <f>IF(SUM(AS68:AT68)=0,"",AS68&amp;":"&amp;AT68)</f>
        <v/>
      </c>
      <c r="AA67" s="262"/>
      <c r="AB67" s="263"/>
      <c r="AC67" s="263"/>
      <c r="AD67" s="264"/>
      <c r="AE67" s="2"/>
      <c r="AF67" s="12"/>
      <c r="AG67" s="12"/>
      <c r="AH67" s="14"/>
      <c r="AI67" s="259" t="s">
        <v>12</v>
      </c>
      <c r="AJ67" s="269"/>
      <c r="AK67" s="268" t="s">
        <v>13</v>
      </c>
      <c r="AL67" s="269"/>
      <c r="AM67" s="268" t="s">
        <v>14</v>
      </c>
      <c r="AN67" s="260"/>
      <c r="AO67" s="259" t="s">
        <v>12</v>
      </c>
      <c r="AP67" s="269"/>
      <c r="AQ67" s="268" t="s">
        <v>13</v>
      </c>
      <c r="AR67" s="269"/>
      <c r="AS67" s="268" t="s">
        <v>14</v>
      </c>
      <c r="AT67" s="269"/>
      <c r="AU67" s="12"/>
      <c r="AV67" s="12"/>
      <c r="AW67" s="259">
        <v>1</v>
      </c>
      <c r="AX67" s="269"/>
      <c r="AY67" s="268">
        <v>2</v>
      </c>
      <c r="AZ67" s="269"/>
      <c r="BA67" s="268">
        <v>3</v>
      </c>
      <c r="BB67" s="260"/>
      <c r="BE67" s="259" t="s">
        <v>3</v>
      </c>
      <c r="BF67" s="260"/>
      <c r="BG67" s="259" t="s">
        <v>4</v>
      </c>
      <c r="BH67" s="260"/>
      <c r="BI67" s="259" t="s">
        <v>5</v>
      </c>
      <c r="BJ67" s="260"/>
      <c r="BK67" s="41" t="s">
        <v>6</v>
      </c>
      <c r="BL67" s="20"/>
    </row>
    <row r="68" spans="1:64" ht="11.45" customHeight="1" x14ac:dyDescent="0.2">
      <c r="A68" s="19">
        <f>S68</f>
        <v>64</v>
      </c>
      <c r="B68" s="2" t="str">
        <f>IF(N66="","",N66)</f>
        <v>K5033</v>
      </c>
      <c r="C68" s="2" t="str">
        <f>IF(N67="","",N67)</f>
        <v>P4197</v>
      </c>
      <c r="D68" s="2" t="str">
        <f>IF(N72="","",N72)</f>
        <v>S5167</v>
      </c>
      <c r="E68" s="2" t="str">
        <f>IF(N73="","",N73)</f>
        <v>S4873</v>
      </c>
      <c r="I68" s="2" t="str">
        <f>"2"&amp;O64&amp;N65</f>
        <v>26podwójna dziewcząt M</v>
      </c>
      <c r="J68" s="10" t="str">
        <f>IF(AD68="","",IF(AD65=2,N66,IF(AD68=2,N69,IF(AD71=2,N72,""))))</f>
        <v>K4023</v>
      </c>
      <c r="K68" s="10" t="str">
        <f>IF(AD68="","",IF(AD65=2,N67,IF(AD68=2,N70,IF(AD71=2,N73,""))))</f>
        <v>S4125</v>
      </c>
      <c r="M68" s="42" t="str">
        <f>N65</f>
        <v>podwójna dziewcząt M</v>
      </c>
      <c r="O68" s="28"/>
      <c r="P68" s="28"/>
      <c r="Q68" s="43" t="str">
        <f>IF(AU68&gt;0,"",IF(A68=0,"",IF(VLOOKUP(A68,'[1]plan gier'!A$1:S$65536,19,FALSE)="","",VLOOKUP(A68,'[1]plan gier'!A$1:S$65536,19,FALSE))))</f>
        <v/>
      </c>
      <c r="R68" s="44" t="s">
        <v>15</v>
      </c>
      <c r="S68" s="45">
        <v>64</v>
      </c>
      <c r="T68" s="241">
        <v>2</v>
      </c>
      <c r="U68" s="244" t="str">
        <f>IF(AND(N69&lt;&gt;"",N70&lt;&gt;""),CONCATENATE(VLOOKUP(N69,[1]zawodnicy!$A$1:$E$65536,1,FALSE)," ",VLOOKUP(N69,[1]zawodnicy!$A$1:$E$65536,2,FALSE)," ",VLOOKUP(N69,[1]zawodnicy!$A$1:$E$65536,3,FALSE)," - ",VLOOKUP(N69,[1]zawodnicy!$A$1:$E$65536,4,FALSE)),"")</f>
        <v>K4023 Agnieszka KOPER - KKS Warmia Olsztyn</v>
      </c>
      <c r="V68" s="245"/>
      <c r="W68" s="246"/>
      <c r="X68" s="46" t="str">
        <f>IF(SUM(AO70:AP70)=0,"",AP70&amp;":"&amp;AO70)</f>
        <v>10:21</v>
      </c>
      <c r="Y68" s="47"/>
      <c r="Z68" s="48" t="str">
        <f>IF(SUM(AO69:AP69)=0,"",AO69&amp;":"&amp;AP69)</f>
        <v>18:21</v>
      </c>
      <c r="AA68" s="247" t="str">
        <f>IF(SUM(AW69:AX69,BA69:BB69)=0,"",BE69&amp;":"&amp;BF69)</f>
        <v>77:89</v>
      </c>
      <c r="AB68" s="250" t="str">
        <f>IF(SUM(AW69:AX69,BA69:BB69)=0,"",BG69&amp;":"&amp;BH69)</f>
        <v>2:3</v>
      </c>
      <c r="AC68" s="250" t="str">
        <f>IF(SUM(AW69:AX69,BA69:BB69)=0,"",BI69&amp;":"&amp;BJ69)</f>
        <v>1:1</v>
      </c>
      <c r="AD68" s="253">
        <f>IF(SUM(BI68:BI70)&gt;0,BK69,"")</f>
        <v>2</v>
      </c>
      <c r="AE68" s="2"/>
      <c r="AF68" s="12"/>
      <c r="AG68" s="12"/>
      <c r="AH68" s="44" t="s">
        <v>15</v>
      </c>
      <c r="AI68" s="49">
        <f>IF(ISBLANK(S68),"",VLOOKUP(S68,'[1]plan gier'!$X$1:$AN$65536,12,FALSE))</f>
        <v>21</v>
      </c>
      <c r="AJ68" s="50">
        <f>IF(ISBLANK(S68),"",VLOOKUP(S68,'[1]plan gier'!$X$1:$AN$65536,13,FALSE))</f>
        <v>8</v>
      </c>
      <c r="AK68" s="50">
        <f>IF(ISBLANK(S68),"",VLOOKUP(S68,'[1]plan gier'!$X$1:$AN$65536,14,FALSE))</f>
        <v>21</v>
      </c>
      <c r="AL68" s="50">
        <f>IF(ISBLANK(S68),"",VLOOKUP(S68,'[1]plan gier'!$X$1:$AN$65536,15,FALSE))</f>
        <v>11</v>
      </c>
      <c r="AM68" s="50">
        <f>IF(ISBLANK(S68),"",VLOOKUP(S68,'[1]plan gier'!$X$1:$AN$65536,16,FALSE))</f>
        <v>0</v>
      </c>
      <c r="AN68" s="50">
        <f>IF(ISBLANK(S68),"",VLOOKUP(S68,'[1]plan gier'!$X$1:$AN$65536,17,FALSE))</f>
        <v>0</v>
      </c>
      <c r="AO68" s="51">
        <f t="shared" ref="AO68:AT70" si="8">IF(AI68="",0,AI68)</f>
        <v>21</v>
      </c>
      <c r="AP68" s="52">
        <f t="shared" si="8"/>
        <v>8</v>
      </c>
      <c r="AQ68" s="53">
        <f t="shared" si="8"/>
        <v>21</v>
      </c>
      <c r="AR68" s="52">
        <f t="shared" si="8"/>
        <v>11</v>
      </c>
      <c r="AS68" s="53">
        <f t="shared" si="8"/>
        <v>0</v>
      </c>
      <c r="AT68" s="52">
        <f t="shared" si="8"/>
        <v>0</v>
      </c>
      <c r="AU68" s="54">
        <f>SUM(AO68:AT68)</f>
        <v>61</v>
      </c>
      <c r="AV68" s="13">
        <v>1</v>
      </c>
      <c r="AW68" s="55"/>
      <c r="AX68" s="56"/>
      <c r="AY68" s="50">
        <f>IF(AI70&gt;AJ70,1,0)+IF(AK70&gt;AL70,1,0)+IF(AM70&gt;AN70,1,0)</f>
        <v>2</v>
      </c>
      <c r="AZ68" s="50">
        <f>AW69</f>
        <v>0</v>
      </c>
      <c r="BA68" s="50">
        <f>IF(AI68&gt;AJ68,1,0)+IF(AK68&gt;AL68,1,0)+IF(AM68&gt;AN68,1,0)</f>
        <v>2</v>
      </c>
      <c r="BB68" s="57">
        <f>AW70</f>
        <v>0</v>
      </c>
      <c r="BE68" s="49">
        <f>AO68+AQ68+AS68+AO70+AQ70+AS70</f>
        <v>84</v>
      </c>
      <c r="BF68" s="57">
        <f>AP68+AR68+AT68+AP70+AR70+AT70</f>
        <v>36</v>
      </c>
      <c r="BG68" s="49">
        <f>AY68+BA68</f>
        <v>4</v>
      </c>
      <c r="BH68" s="57">
        <f>AZ68+BB68</f>
        <v>0</v>
      </c>
      <c r="BI68" s="49">
        <f>IF(AY68&gt;AZ68,1,0)+IF(BA68&gt;BB68,1,0)</f>
        <v>2</v>
      </c>
      <c r="BJ68" s="58">
        <f>IF(AZ68&gt;AY68,1,0)+IF(BB68&gt;BA68,1,0)</f>
        <v>0</v>
      </c>
      <c r="BK68" s="59">
        <f>IF(BI68+BJ68=0,"",IF(BL68=MAX(BL68:BL70),1,IF(BL68=MIN(BL68:BL70),3,2)))</f>
        <v>1</v>
      </c>
      <c r="BL68" s="60">
        <f>IF(BI68+BJ68&lt;&gt;0,BI68+1+(BG68-BH68)/100+(BE68-BF68)/100000+(BE68/BF68)/1000000,0)</f>
        <v>3.0404823333333333</v>
      </c>
    </row>
    <row r="69" spans="1:64" ht="11.45" customHeight="1" x14ac:dyDescent="0.2">
      <c r="A69" s="19">
        <f>S69</f>
        <v>130</v>
      </c>
      <c r="B69" s="2" t="str">
        <f>IF(N69="","",N69)</f>
        <v>K4023</v>
      </c>
      <c r="C69" s="2" t="str">
        <f>IF(N70="","",N70)</f>
        <v>S4125</v>
      </c>
      <c r="D69" s="2" t="str">
        <f>IF(N72="","",N72)</f>
        <v>S5167</v>
      </c>
      <c r="E69" s="2" t="str">
        <f>IF(N73="","",N73)</f>
        <v>S4873</v>
      </c>
      <c r="J69" s="10"/>
      <c r="K69" s="19"/>
      <c r="M69" s="42" t="str">
        <f>N65</f>
        <v>podwójna dziewcząt M</v>
      </c>
      <c r="N69" s="33" t="s">
        <v>188</v>
      </c>
      <c r="O69" s="34">
        <f>IF(O64&gt;0,(O64&amp;2)*1,"")</f>
        <v>62</v>
      </c>
      <c r="Q69" s="43" t="str">
        <f>IF(AU69&gt;0,"",IF(A69=0,"",IF(VLOOKUP(A69,'[1]plan gier'!A$1:S$65536,19,FALSE)="","",VLOOKUP(A69,'[1]plan gier'!A$1:S$65536,19,FALSE))))</f>
        <v/>
      </c>
      <c r="R69" s="44" t="s">
        <v>17</v>
      </c>
      <c r="S69" s="45">
        <v>130</v>
      </c>
      <c r="T69" s="242"/>
      <c r="U69" s="244" t="str">
        <f>IF(AND(N69&lt;&gt;"",N70=""),CONCATENATE(VLOOKUP(N69,[1]zawodnicy!$A$1:$E$65536,1,FALSE)," ",VLOOKUP(N69,[1]zawodnicy!$A$1:$E$65536,2,FALSE)," ",VLOOKUP(N69,[1]zawodnicy!$A$1:$E$65536,3,FALSE)," - ",VLOOKUP(N69,[1]zawodnicy!$A$1:$E$65536,4,FALSE)),"")</f>
        <v/>
      </c>
      <c r="V69" s="245"/>
      <c r="W69" s="246"/>
      <c r="X69" s="61" t="str">
        <f>IF(SUM(AQ70:AR70)=0,"",AR70&amp;":"&amp;AQ70)</f>
        <v>7:21</v>
      </c>
      <c r="Y69" s="62"/>
      <c r="Z69" s="37" t="str">
        <f>IF(SUM(AQ69:AR69)=0,"",AQ69&amp;":"&amp;AR69)</f>
        <v>21:12</v>
      </c>
      <c r="AA69" s="248"/>
      <c r="AB69" s="251"/>
      <c r="AC69" s="251"/>
      <c r="AD69" s="254"/>
      <c r="AE69" s="2"/>
      <c r="AF69" s="12"/>
      <c r="AG69" s="12"/>
      <c r="AH69" s="44" t="s">
        <v>17</v>
      </c>
      <c r="AI69" s="63">
        <f>IF(ISBLANK(S69),"",VLOOKUP(S69,'[1]plan gier'!$X$1:$AN$65536,12,FALSE))</f>
        <v>18</v>
      </c>
      <c r="AJ69" s="64">
        <f>IF(ISBLANK(S69),"",VLOOKUP(S69,'[1]plan gier'!$X$1:$AN$65536,13,FALSE))</f>
        <v>21</v>
      </c>
      <c r="AK69" s="64">
        <f>IF(ISBLANK(S69),"",VLOOKUP(S69,'[1]plan gier'!$X$1:$AN$65536,14,FALSE))</f>
        <v>21</v>
      </c>
      <c r="AL69" s="64">
        <f>IF(ISBLANK(S69),"",VLOOKUP(S69,'[1]plan gier'!$X$1:$AN$65536,15,FALSE))</f>
        <v>12</v>
      </c>
      <c r="AM69" s="64">
        <f>IF(ISBLANK(S69),"",VLOOKUP(S69,'[1]plan gier'!$X$1:$AN$65536,16,FALSE))</f>
        <v>21</v>
      </c>
      <c r="AN69" s="64">
        <f>IF(ISBLANK(S69),"",VLOOKUP(S69,'[1]plan gier'!$X$1:$AN$65536,17,FALSE))</f>
        <v>14</v>
      </c>
      <c r="AO69" s="65">
        <f t="shared" si="8"/>
        <v>18</v>
      </c>
      <c r="AP69" s="64">
        <f t="shared" si="8"/>
        <v>21</v>
      </c>
      <c r="AQ69" s="66">
        <f t="shared" si="8"/>
        <v>21</v>
      </c>
      <c r="AR69" s="64">
        <f t="shared" si="8"/>
        <v>12</v>
      </c>
      <c r="AS69" s="66">
        <f t="shared" si="8"/>
        <v>21</v>
      </c>
      <c r="AT69" s="64">
        <f t="shared" si="8"/>
        <v>14</v>
      </c>
      <c r="AU69" s="54">
        <f>SUM(AO69:AT69)</f>
        <v>107</v>
      </c>
      <c r="AV69" s="13">
        <v>2</v>
      </c>
      <c r="AW69" s="63">
        <f>IF(AI70&lt;AJ70,1,0)+IF(AK70&lt;AL70,1,0)+IF(AM70&lt;AN70,1,0)</f>
        <v>0</v>
      </c>
      <c r="AX69" s="64">
        <f>AY68</f>
        <v>2</v>
      </c>
      <c r="AY69" s="67"/>
      <c r="AZ69" s="68"/>
      <c r="BA69" s="64">
        <f>IF(AI69&gt;AJ69,1,0)+IF(AK69&gt;AL69,1,0)+IF(AM69&gt;AN69,1,0)</f>
        <v>2</v>
      </c>
      <c r="BB69" s="69">
        <f>AY70</f>
        <v>1</v>
      </c>
      <c r="BE69" s="63">
        <f>AO69+AQ69+AS69+AP70+AR70+AT70</f>
        <v>77</v>
      </c>
      <c r="BF69" s="69">
        <f>AP69+AR69+AT69+AO70+AQ70+AS70</f>
        <v>89</v>
      </c>
      <c r="BG69" s="63">
        <f>AW69+BA69</f>
        <v>2</v>
      </c>
      <c r="BH69" s="69">
        <f>AX69+BB69</f>
        <v>3</v>
      </c>
      <c r="BI69" s="63">
        <f>IF(AW69&gt;AX69,1,0)+IF(BA69&gt;BB69,1,0)</f>
        <v>1</v>
      </c>
      <c r="BJ69" s="70">
        <f>IF(AX69&gt;AW69,1,0)+IF(BB69&gt;BA69,1,0)</f>
        <v>1</v>
      </c>
      <c r="BK69" s="71">
        <f>IF(BI69+BJ69=0,"",IF(BL69=MAX(BL68:BL70),1,IF(BL69=MIN(BL68:BL70),3,2)))</f>
        <v>2</v>
      </c>
      <c r="BL69" s="60">
        <f>IF(BI69+BJ69&lt;&gt;0,BI69+1+(BG69-BH69)/100+(BE69-BF69)/100000+(BE69/BF69)/1000000,0)</f>
        <v>1.9898808651685393</v>
      </c>
    </row>
    <row r="70" spans="1:64" ht="11.45" customHeight="1" thickBot="1" x14ac:dyDescent="0.25">
      <c r="A70" s="19">
        <f>S70</f>
        <v>277</v>
      </c>
      <c r="B70" s="2" t="str">
        <f>IF(N66="","",N66)</f>
        <v>K5033</v>
      </c>
      <c r="C70" s="2" t="str">
        <f>IF(N67="","",N67)</f>
        <v>P4197</v>
      </c>
      <c r="D70" s="2" t="str">
        <f>IF(N69="","",N69)</f>
        <v>K4023</v>
      </c>
      <c r="E70" s="2" t="str">
        <f>IF(N70="","",N70)</f>
        <v>S4125</v>
      </c>
      <c r="I70" s="2" t="str">
        <f>"3"&amp;O64&amp;N65</f>
        <v>36podwójna dziewcząt M</v>
      </c>
      <c r="J70" s="10" t="str">
        <f>IF(AD71="","",IF(AD65=3,N66,IF(AD68=3,N69,IF(AD71=3,N72,""))))</f>
        <v>S5167</v>
      </c>
      <c r="K70" s="10" t="str">
        <f>IF(AD71="","",IF(AD65=3,N67,IF(AD68=3,N70,IF(AD71=3,N73,""))))</f>
        <v>S4873</v>
      </c>
      <c r="M70" s="42" t="str">
        <f>N65</f>
        <v>podwójna dziewcząt M</v>
      </c>
      <c r="N70" s="38" t="s">
        <v>189</v>
      </c>
      <c r="O70" s="28"/>
      <c r="P70" s="28"/>
      <c r="Q70" s="43" t="str">
        <f>IF(AU70&gt;0,"",IF(A70=0,"",IF(VLOOKUP(A70,'[1]plan gier'!A$1:S$65536,19,FALSE)="","",VLOOKUP(A70,'[1]plan gier'!A$1:S$65536,19,FALSE))))</f>
        <v/>
      </c>
      <c r="R70" s="72" t="s">
        <v>18</v>
      </c>
      <c r="S70" s="45">
        <v>277</v>
      </c>
      <c r="T70" s="261"/>
      <c r="U70" s="265" t="str">
        <f>IF(N70&lt;&gt;"",CONCATENATE(VLOOKUP(N70,[1]zawodnicy!$A$1:$E$65536,1,FALSE)," ",VLOOKUP(N70,[1]zawodnicy!$A$1:$E$65536,2,FALSE)," ",VLOOKUP(N70,[1]zawodnicy!$A$1:$E$65536,3,FALSE)," - ",VLOOKUP(N70,[1]zawodnicy!$A$1:$E$65536,4,FALSE)),"")</f>
        <v>S4125 Natalia SIDOR - ŚKBad Harcownik Warszawa</v>
      </c>
      <c r="V70" s="266"/>
      <c r="W70" s="267"/>
      <c r="X70" s="73" t="str">
        <f>IF(SUM(AS70:AT70)=0,"",AT70&amp;":"&amp;AS70)</f>
        <v/>
      </c>
      <c r="Y70" s="62"/>
      <c r="Z70" s="40" t="str">
        <f>IF(SUM(AS69:AT69)=0,"",AS69&amp;":"&amp;AT69)</f>
        <v>21:14</v>
      </c>
      <c r="AA70" s="262"/>
      <c r="AB70" s="263"/>
      <c r="AC70" s="263"/>
      <c r="AD70" s="264"/>
      <c r="AE70" s="2"/>
      <c r="AF70" s="12"/>
      <c r="AG70" s="12"/>
      <c r="AH70" s="72" t="s">
        <v>18</v>
      </c>
      <c r="AI70" s="74">
        <f>IF(ISBLANK(S70),"",VLOOKUP(S70,'[1]plan gier'!$X$1:$AN$65536,12,FALSE))</f>
        <v>21</v>
      </c>
      <c r="AJ70" s="75">
        <f>IF(ISBLANK(S70),"",VLOOKUP(S70,'[1]plan gier'!$X$1:$AN$65536,13,FALSE))</f>
        <v>10</v>
      </c>
      <c r="AK70" s="75">
        <f>IF(ISBLANK(S70),"",VLOOKUP(S70,'[1]plan gier'!$X$1:$AN$65536,14,FALSE))</f>
        <v>21</v>
      </c>
      <c r="AL70" s="75">
        <f>IF(ISBLANK(S70),"",VLOOKUP(S70,'[1]plan gier'!$X$1:$AN$65536,15,FALSE))</f>
        <v>7</v>
      </c>
      <c r="AM70" s="75">
        <f>IF(ISBLANK(S70),"",VLOOKUP(S70,'[1]plan gier'!$X$1:$AN$65536,16,FALSE))</f>
        <v>0</v>
      </c>
      <c r="AN70" s="75">
        <f>IF(ISBLANK(S70),"",VLOOKUP(S70,'[1]plan gier'!$X$1:$AN$65536,17,FALSE))</f>
        <v>0</v>
      </c>
      <c r="AO70" s="76">
        <f t="shared" si="8"/>
        <v>21</v>
      </c>
      <c r="AP70" s="75">
        <f t="shared" si="8"/>
        <v>10</v>
      </c>
      <c r="AQ70" s="77">
        <f t="shared" si="8"/>
        <v>21</v>
      </c>
      <c r="AR70" s="75">
        <f t="shared" si="8"/>
        <v>7</v>
      </c>
      <c r="AS70" s="77">
        <f t="shared" si="8"/>
        <v>0</v>
      </c>
      <c r="AT70" s="75">
        <f t="shared" si="8"/>
        <v>0</v>
      </c>
      <c r="AU70" s="54">
        <f>SUM(AO70:AT70)</f>
        <v>59</v>
      </c>
      <c r="AV70" s="13">
        <v>3</v>
      </c>
      <c r="AW70" s="74">
        <f>IF(AI68&lt;AJ68,1,0)+IF(AK68&lt;AL68,1,0)+IF(AM68&lt;AN68,1,0)</f>
        <v>0</v>
      </c>
      <c r="AX70" s="75">
        <f>BA68</f>
        <v>2</v>
      </c>
      <c r="AY70" s="75">
        <f>IF(AI69&lt;AJ69,1,0)+IF(AK69&lt;AL69,1,0)+IF(AM69&lt;AN69,1,0)</f>
        <v>1</v>
      </c>
      <c r="AZ70" s="75">
        <f>BA69</f>
        <v>2</v>
      </c>
      <c r="BA70" s="78"/>
      <c r="BB70" s="79"/>
      <c r="BE70" s="74">
        <f>AP68+AR68+AT68+AP69+AR69+AT69</f>
        <v>66</v>
      </c>
      <c r="BF70" s="80">
        <f>AO68+AQ68+AS68+AO69+AQ69+AS69</f>
        <v>102</v>
      </c>
      <c r="BG70" s="74">
        <f>AW70+AY70</f>
        <v>1</v>
      </c>
      <c r="BH70" s="80">
        <f>AX70+AZ70</f>
        <v>4</v>
      </c>
      <c r="BI70" s="74">
        <f>IF(AW70&gt;AX70,1,0)+IF(AY70&gt;AZ70,1,0)</f>
        <v>0</v>
      </c>
      <c r="BJ70" s="81">
        <f>IF(AX70&gt;AW70,1,0)+IF(AZ70&gt;AY70,1,0)</f>
        <v>2</v>
      </c>
      <c r="BK70" s="82">
        <f>IF(BI70+BJ70=0,"",IF(BL70=MAX(BL68:BL70),1,IF(BL70=MIN(BL68:BL70),3,2)))</f>
        <v>3</v>
      </c>
      <c r="BL70" s="60">
        <f>IF(BI70+BJ70&lt;&gt;0,BI70+1+(BG70-BH70)/100+(BE70-BF70)/100000+(BE70/BF70)/1000000,0)</f>
        <v>0.96964064705882347</v>
      </c>
    </row>
    <row r="71" spans="1:64" ht="11.45" customHeight="1" x14ac:dyDescent="0.2">
      <c r="A71" s="2"/>
      <c r="J71" s="28"/>
      <c r="K71" s="28"/>
      <c r="L71" s="28"/>
      <c r="O71" s="28"/>
      <c r="P71" s="28"/>
      <c r="Q71" s="2"/>
      <c r="R71" s="2"/>
      <c r="S71" s="2"/>
      <c r="T71" s="241">
        <v>3</v>
      </c>
      <c r="U71" s="244" t="str">
        <f>IF(AND(N72&lt;&gt;"",N73&lt;&gt;""),CONCATENATE(VLOOKUP(N72,[1]zawodnicy!$A$1:$E$65536,1,FALSE)," ",VLOOKUP(N72,[1]zawodnicy!$A$1:$E$65536,2,FALSE)," ",VLOOKUP(N72,[1]zawodnicy!$A$1:$E$65536,3,FALSE)," - ",VLOOKUP(N72,[1]zawodnicy!$A$1:$E$65536,4,FALSE)),"")</f>
        <v>S5167 Roksana STOKOWSKA - UTS Akro-Bad Warszawa</v>
      </c>
      <c r="V71" s="245"/>
      <c r="W71" s="246"/>
      <c r="X71" s="46" t="str">
        <f>IF(SUM(AO68:AP68)=0,"",AP68&amp;":"&amp;AO68)</f>
        <v>8:21</v>
      </c>
      <c r="Y71" s="83" t="str">
        <f>IF(SUM(AO69:AP69)=0,"",AP69&amp;":"&amp;AO69)</f>
        <v>21:18</v>
      </c>
      <c r="Z71" s="84"/>
      <c r="AA71" s="247" t="str">
        <f>IF(SUM(AW70:AZ70)=0,"",BE70&amp;":"&amp;BF70)</f>
        <v>66:102</v>
      </c>
      <c r="AB71" s="250" t="str">
        <f>IF(SUM(AW70:AZ70)=0,"",BG70&amp;":"&amp;BH70)</f>
        <v>1:4</v>
      </c>
      <c r="AC71" s="250" t="str">
        <f>IF(SUM(AW70:AZ70)=0,"",BI70&amp;":"&amp;BJ70)</f>
        <v>0:2</v>
      </c>
      <c r="AD71" s="253">
        <f>IF(SUM(BI68:BI70)&gt;0,BK70,"")</f>
        <v>3</v>
      </c>
      <c r="AE71" s="2"/>
      <c r="AF71" s="12"/>
      <c r="AG71" s="12"/>
      <c r="BE71" s="19">
        <f>SUM(BE68:BE70)</f>
        <v>227</v>
      </c>
      <c r="BF71" s="19">
        <f>SUM(BF68:BF70)</f>
        <v>227</v>
      </c>
      <c r="BG71" s="19">
        <f>SUM(BG68:BG70)</f>
        <v>7</v>
      </c>
      <c r="BH71" s="19">
        <f>SUM(BH68:BH70)</f>
        <v>7</v>
      </c>
      <c r="BK71" s="19"/>
      <c r="BL71" s="20"/>
    </row>
    <row r="72" spans="1:64" ht="11.45" customHeight="1" x14ac:dyDescent="0.2">
      <c r="A72" s="19"/>
      <c r="J72" s="19"/>
      <c r="K72" s="19"/>
      <c r="L72" s="19"/>
      <c r="N72" s="33" t="s">
        <v>190</v>
      </c>
      <c r="O72" s="34">
        <f>IF(O64&gt;0,(O64&amp;3)*1,"")</f>
        <v>63</v>
      </c>
      <c r="Q72" s="85"/>
      <c r="R72" s="85"/>
      <c r="S72" s="85"/>
      <c r="T72" s="242"/>
      <c r="U72" s="244" t="str">
        <f>IF(AND(N72&lt;&gt;"",N73=""),CONCATENATE(VLOOKUP(N72,[1]zawodnicy!$A$1:$E$65536,1,FALSE)," ",VLOOKUP(N72,[1]zawodnicy!$A$1:$E$65536,2,FALSE)," ",VLOOKUP(N72,[1]zawodnicy!$A$1:$E$65536,3,FALSE)," - ",VLOOKUP(N72,[1]zawodnicy!$A$1:$E$65536,4,FALSE)),"")</f>
        <v/>
      </c>
      <c r="V72" s="245"/>
      <c r="W72" s="246"/>
      <c r="X72" s="61" t="str">
        <f>IF(SUM(AQ68:AR68)=0,"",AR68&amp;":"&amp;AQ68)</f>
        <v>11:21</v>
      </c>
      <c r="Y72" s="36" t="str">
        <f>IF(SUM(AQ69:AR69)=0,"",AR69&amp;":"&amp;AQ69)</f>
        <v>12:21</v>
      </c>
      <c r="Z72" s="86"/>
      <c r="AA72" s="248"/>
      <c r="AB72" s="251"/>
      <c r="AC72" s="251"/>
      <c r="AD72" s="254"/>
      <c r="AE72" s="2"/>
      <c r="AF72" s="12"/>
      <c r="AG72" s="1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row>
    <row r="73" spans="1:64" ht="11.45" customHeight="1" thickBot="1" x14ac:dyDescent="0.25">
      <c r="A73" s="2"/>
      <c r="J73" s="28"/>
      <c r="K73" s="28"/>
      <c r="L73" s="28"/>
      <c r="N73" s="38" t="s">
        <v>191</v>
      </c>
      <c r="O73" s="28"/>
      <c r="P73" s="28"/>
      <c r="Q73" s="2"/>
      <c r="R73" s="2"/>
      <c r="S73" s="2"/>
      <c r="T73" s="243"/>
      <c r="U73" s="256" t="str">
        <f>IF(N73&lt;&gt;"",CONCATENATE(VLOOKUP(N73,[1]zawodnicy!$A$1:$E$65536,1,FALSE)," ",VLOOKUP(N73,[1]zawodnicy!$A$1:$E$65536,2,FALSE)," ",VLOOKUP(N73,[1]zawodnicy!$A$1:$E$65536,3,FALSE)," - ",VLOOKUP(N73,[1]zawodnicy!$A$1:$E$65536,4,FALSE)),"")</f>
        <v>S4873 Natalia STRZELCZYK - KS Hubertus Zalesie Górne</v>
      </c>
      <c r="V73" s="257"/>
      <c r="W73" s="258"/>
      <c r="X73" s="87" t="str">
        <f>IF(SUM(AS68:AT68)=0,"",AT68&amp;":"&amp;AS68)</f>
        <v/>
      </c>
      <c r="Y73" s="88" t="str">
        <f>IF(SUM(AS69:AT69)=0,"",AT69&amp;":"&amp;AS69)</f>
        <v>14:21</v>
      </c>
      <c r="Z73" s="89"/>
      <c r="AA73" s="249"/>
      <c r="AB73" s="252"/>
      <c r="AC73" s="252"/>
      <c r="AD73" s="255"/>
      <c r="AE73" s="10"/>
      <c r="AF73" s="12"/>
      <c r="AG73" s="1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row>
    <row r="74" spans="1:64" s="19" customFormat="1" ht="5.0999999999999996" customHeight="1" thickBot="1" x14ac:dyDescent="0.25">
      <c r="M74" s="90"/>
      <c r="O74" s="90"/>
      <c r="P74" s="90"/>
      <c r="Q74" s="91"/>
      <c r="R74" s="91"/>
      <c r="S74" s="91"/>
      <c r="T74" s="91"/>
      <c r="U74" s="5"/>
      <c r="V74" s="5"/>
      <c r="W74" s="5"/>
      <c r="AA74" s="92"/>
      <c r="AB74" s="91"/>
      <c r="AC74" s="91"/>
      <c r="AD74" s="91"/>
      <c r="AE74" s="91"/>
      <c r="AF74" s="91"/>
      <c r="AI74" s="93"/>
      <c r="AJ74" s="94"/>
      <c r="AK74" s="94"/>
    </row>
    <row r="75" spans="1:64" ht="11.45" customHeight="1" thickBot="1" x14ac:dyDescent="0.25">
      <c r="N75" s="11"/>
      <c r="O75" s="21">
        <v>7</v>
      </c>
      <c r="Q75" s="277" t="str">
        <f>"Grupa "&amp;O75&amp;"."</f>
        <v>Grupa 7.</v>
      </c>
      <c r="R75" s="277"/>
      <c r="S75" s="277"/>
      <c r="T75" s="22" t="s">
        <v>1</v>
      </c>
      <c r="U75" s="278" t="s">
        <v>2</v>
      </c>
      <c r="V75" s="279"/>
      <c r="W75" s="280"/>
      <c r="X75" s="22">
        <v>1</v>
      </c>
      <c r="Y75" s="23">
        <v>2</v>
      </c>
      <c r="Z75" s="24">
        <v>3</v>
      </c>
      <c r="AA75" s="25" t="s">
        <v>3</v>
      </c>
      <c r="AB75" s="26" t="s">
        <v>4</v>
      </c>
      <c r="AC75" s="26" t="s">
        <v>5</v>
      </c>
      <c r="AD75" s="27" t="s">
        <v>6</v>
      </c>
      <c r="AE75" s="2"/>
      <c r="AF75" s="12"/>
      <c r="AG75" s="12"/>
      <c r="BK75" s="19"/>
      <c r="BL75" s="20"/>
    </row>
    <row r="76" spans="1:64" ht="11.45" customHeight="1" x14ac:dyDescent="0.2">
      <c r="J76" s="28"/>
      <c r="K76" s="28"/>
      <c r="L76" s="28"/>
      <c r="N76" s="29" t="s">
        <v>153</v>
      </c>
      <c r="Q76" s="274" t="s">
        <v>7</v>
      </c>
      <c r="R76" s="274"/>
      <c r="S76" s="275" t="s">
        <v>8</v>
      </c>
      <c r="T76" s="276">
        <v>1</v>
      </c>
      <c r="U76" s="244" t="str">
        <f>IF(AND(N77&lt;&gt;"",N78&lt;&gt;""),CONCATENATE(VLOOKUP(N77,[1]zawodnicy!$A$1:$E$65536,1,FALSE)," ",VLOOKUP(N77,[1]zawodnicy!$A$1:$E$65536,2,FALSE)," ",VLOOKUP(N77,[1]zawodnicy!$A$1:$E$65536,3,FALSE)," - ",VLOOKUP(N77,[1]zawodnicy!$A$1:$E$65536,4,FALSE)),"")</f>
        <v>P5195 Monika PIOTROWSKA - UKS Kiko Zamość</v>
      </c>
      <c r="V76" s="245"/>
      <c r="W76" s="246"/>
      <c r="X76" s="30"/>
      <c r="Y76" s="31" t="str">
        <f>IF(SUM(AO81:AP81)=0,"",AO81&amp;":"&amp;AP81)</f>
        <v>21:19</v>
      </c>
      <c r="Z76" s="32" t="str">
        <f>IF(SUM(AO79:AP79)=0,"",AO79&amp;":"&amp;AP79)</f>
        <v>10:21</v>
      </c>
      <c r="AA76" s="270" t="str">
        <f>IF(SUM(AY79:BB79)=0,"",BE79&amp;":"&amp;BF79)</f>
        <v>57:80</v>
      </c>
      <c r="AB76" s="271" t="str">
        <f>IF(SUM(AY79:BB79)=0,"",BG79&amp;":"&amp;BH79)</f>
        <v>2:2</v>
      </c>
      <c r="AC76" s="271" t="str">
        <f>IF(SUM(AY79:BB79)=0,"",BI79&amp;":"&amp;BJ79)</f>
        <v>1:1</v>
      </c>
      <c r="AD76" s="272">
        <f>IF(SUM(BI79:BI81)&gt;0,BK79,"")</f>
        <v>2</v>
      </c>
      <c r="AE76" s="2"/>
      <c r="AF76" s="12"/>
      <c r="AG76" s="12"/>
      <c r="AH76" s="14"/>
      <c r="AI76" s="273" t="s">
        <v>9</v>
      </c>
      <c r="AJ76" s="273"/>
      <c r="AK76" s="273"/>
      <c r="AL76" s="273"/>
      <c r="AM76" s="273"/>
      <c r="AN76" s="273"/>
      <c r="AO76" s="273" t="s">
        <v>10</v>
      </c>
      <c r="AP76" s="273"/>
      <c r="AQ76" s="273"/>
      <c r="AR76" s="273"/>
      <c r="AS76" s="273"/>
      <c r="AT76" s="273"/>
      <c r="BK76" s="19"/>
      <c r="BL76" s="20"/>
    </row>
    <row r="77" spans="1:64" ht="11.45" customHeight="1" thickBot="1" x14ac:dyDescent="0.25">
      <c r="I77" s="2" t="str">
        <f>"1"&amp;O75&amp;N76</f>
        <v>17podwójna dziewcząt M</v>
      </c>
      <c r="J77" s="10" t="str">
        <f>IF(AD76="","",IF(AD76=1,N77,IF(AD79=1,N80,IF(AD82=1,N83,""))))</f>
        <v>G4208</v>
      </c>
      <c r="K77" s="10" t="str">
        <f>IF(AD76="","",IF(AD76=1,N78,IF(AD79=1,N81,IF(AD82=1,N84,""))))</f>
        <v>M3746</v>
      </c>
      <c r="L77" s="10"/>
      <c r="N77" s="33" t="s">
        <v>192</v>
      </c>
      <c r="O77" s="34">
        <f>IF(O75&gt;0,(O75&amp;1)*1,"")</f>
        <v>71</v>
      </c>
      <c r="Q77" s="274"/>
      <c r="R77" s="274"/>
      <c r="S77" s="275"/>
      <c r="T77" s="242"/>
      <c r="U77" s="244" t="str">
        <f>IF(AND(N77&lt;&gt;"",N78=""),CONCATENATE(VLOOKUP(N77,[1]zawodnicy!$A$1:$E$65536,1,FALSE)," ",VLOOKUP(N77,[1]zawodnicy!$A$1:$E$65536,2,FALSE)," ",VLOOKUP(N77,[1]zawodnicy!$A$1:$E$65536,3,FALSE)," - ",VLOOKUP(N77,[1]zawodnicy!$A$1:$E$65536,4,FALSE)),"")</f>
        <v/>
      </c>
      <c r="V77" s="245"/>
      <c r="W77" s="246"/>
      <c r="X77" s="35"/>
      <c r="Y77" s="36" t="str">
        <f>IF(SUM(AQ81:AR81)=0,"",AQ81&amp;":"&amp;AR81)</f>
        <v>21:19</v>
      </c>
      <c r="Z77" s="37" t="str">
        <f>IF(SUM(AQ79:AR79)=0,"",AQ79&amp;":"&amp;AR79)</f>
        <v>5:21</v>
      </c>
      <c r="AA77" s="248"/>
      <c r="AB77" s="251"/>
      <c r="AC77" s="251"/>
      <c r="AD77" s="254"/>
      <c r="AE77" s="2"/>
      <c r="AF77" s="12"/>
      <c r="AG77" s="12"/>
      <c r="AH77" s="14"/>
      <c r="BE77" s="19">
        <f>SUM(BE79:BE81)</f>
        <v>188</v>
      </c>
      <c r="BF77" s="19">
        <f>SUM(BF79:BF81)</f>
        <v>188</v>
      </c>
      <c r="BG77" s="19">
        <f>SUM(BG79:BG81)</f>
        <v>6</v>
      </c>
      <c r="BH77" s="19">
        <f>SUM(BH79:BH81)</f>
        <v>6</v>
      </c>
      <c r="BK77" s="19"/>
      <c r="BL77" s="20"/>
    </row>
    <row r="78" spans="1:64" ht="11.45" customHeight="1" thickBot="1" x14ac:dyDescent="0.25">
      <c r="J78" s="10"/>
      <c r="K78" s="28"/>
      <c r="L78" s="28"/>
      <c r="N78" s="38" t="s">
        <v>193</v>
      </c>
      <c r="O78" s="28"/>
      <c r="P78" s="28"/>
      <c r="Q78" s="274"/>
      <c r="R78" s="274"/>
      <c r="S78" s="275"/>
      <c r="T78" s="261"/>
      <c r="U78" s="265" t="str">
        <f>IF(N78&lt;&gt;"",CONCATENATE(VLOOKUP(N78,[1]zawodnicy!$A$1:$E$65536,1,FALSE)," ",VLOOKUP(N78,[1]zawodnicy!$A$1:$E$65536,2,FALSE)," ",VLOOKUP(N78,[1]zawodnicy!$A$1:$E$65536,3,FALSE)," - ",VLOOKUP(N78,[1]zawodnicy!$A$1:$E$65536,4,FALSE)),"")</f>
        <v>Ż5193 Natalia ŻUJEWSKA - UKS Kiko Zamość</v>
      </c>
      <c r="V78" s="266"/>
      <c r="W78" s="267"/>
      <c r="X78" s="35"/>
      <c r="Y78" s="39" t="str">
        <f>IF(SUM(AS81:AT81)=0,"",AS81&amp;":"&amp;AT81)</f>
        <v/>
      </c>
      <c r="Z78" s="40" t="str">
        <f>IF(SUM(AS79:AT79)=0,"",AS79&amp;":"&amp;AT79)</f>
        <v/>
      </c>
      <c r="AA78" s="262"/>
      <c r="AB78" s="263"/>
      <c r="AC78" s="263"/>
      <c r="AD78" s="264"/>
      <c r="AE78" s="2"/>
      <c r="AF78" s="12"/>
      <c r="AG78" s="12"/>
      <c r="AH78" s="14"/>
      <c r="AI78" s="259" t="s">
        <v>12</v>
      </c>
      <c r="AJ78" s="269"/>
      <c r="AK78" s="268" t="s">
        <v>13</v>
      </c>
      <c r="AL78" s="269"/>
      <c r="AM78" s="268" t="s">
        <v>14</v>
      </c>
      <c r="AN78" s="260"/>
      <c r="AO78" s="259" t="s">
        <v>12</v>
      </c>
      <c r="AP78" s="269"/>
      <c r="AQ78" s="268" t="s">
        <v>13</v>
      </c>
      <c r="AR78" s="269"/>
      <c r="AS78" s="268" t="s">
        <v>14</v>
      </c>
      <c r="AT78" s="269"/>
      <c r="AU78" s="12"/>
      <c r="AV78" s="12"/>
      <c r="AW78" s="259">
        <v>1</v>
      </c>
      <c r="AX78" s="269"/>
      <c r="AY78" s="268">
        <v>2</v>
      </c>
      <c r="AZ78" s="269"/>
      <c r="BA78" s="268">
        <v>3</v>
      </c>
      <c r="BB78" s="260"/>
      <c r="BE78" s="259" t="s">
        <v>3</v>
      </c>
      <c r="BF78" s="260"/>
      <c r="BG78" s="259" t="s">
        <v>4</v>
      </c>
      <c r="BH78" s="260"/>
      <c r="BI78" s="259" t="s">
        <v>5</v>
      </c>
      <c r="BJ78" s="260"/>
      <c r="BK78" s="41" t="s">
        <v>6</v>
      </c>
      <c r="BL78" s="20"/>
    </row>
    <row r="79" spans="1:64" ht="11.45" customHeight="1" x14ac:dyDescent="0.2">
      <c r="A79" s="19">
        <f>S79</f>
        <v>65</v>
      </c>
      <c r="B79" s="2" t="str">
        <f>IF(N77="","",N77)</f>
        <v>P5195</v>
      </c>
      <c r="C79" s="2" t="str">
        <f>IF(N78="","",N78)</f>
        <v>Ż5193</v>
      </c>
      <c r="D79" s="2" t="str">
        <f>IF(N83="","",N83)</f>
        <v>G4208</v>
      </c>
      <c r="E79" s="2" t="str">
        <f>IF(N84="","",N84)</f>
        <v>M3746</v>
      </c>
      <c r="I79" s="2" t="str">
        <f>"2"&amp;O75&amp;N76</f>
        <v>27podwójna dziewcząt M</v>
      </c>
      <c r="J79" s="10" t="str">
        <f>IF(AD79="","",IF(AD76=2,N77,IF(AD79=2,N80,IF(AD82=2,N83,""))))</f>
        <v>P5195</v>
      </c>
      <c r="K79" s="10" t="str">
        <f>IF(AD79="","",IF(AD76=2,N78,IF(AD79=2,N81,IF(AD82=2,N84,""))))</f>
        <v>Ż5193</v>
      </c>
      <c r="M79" s="42" t="str">
        <f>N76</f>
        <v>podwójna dziewcząt M</v>
      </c>
      <c r="O79" s="28"/>
      <c r="P79" s="28"/>
      <c r="Q79" s="43" t="str">
        <f>IF(AU79&gt;0,"",IF(A79=0,"",IF(VLOOKUP(A79,'[1]plan gier'!A$1:S$65536,19,FALSE)="","",VLOOKUP(A79,'[1]plan gier'!A$1:S$65536,19,FALSE))))</f>
        <v/>
      </c>
      <c r="R79" s="44" t="s">
        <v>15</v>
      </c>
      <c r="S79" s="45">
        <v>65</v>
      </c>
      <c r="T79" s="241">
        <v>2</v>
      </c>
      <c r="U79" s="244" t="str">
        <f>IF(AND(N80&lt;&gt;"",N81&lt;&gt;""),CONCATENATE(VLOOKUP(N80,[1]zawodnicy!$A$1:$E$65536,1,FALSE)," ",VLOOKUP(N80,[1]zawodnicy!$A$1:$E$65536,2,FALSE)," ",VLOOKUP(N80,[1]zawodnicy!$A$1:$E$65536,3,FALSE)," - ",VLOOKUP(N80,[1]zawodnicy!$A$1:$E$65536,4,FALSE)),"")</f>
        <v>X03 Ugne MASILIONYTE - Litwa</v>
      </c>
      <c r="V79" s="245"/>
      <c r="W79" s="246"/>
      <c r="X79" s="46" t="str">
        <f>IF(SUM(AO81:AP81)=0,"",AP81&amp;":"&amp;AO81)</f>
        <v>19:21</v>
      </c>
      <c r="Y79" s="47"/>
      <c r="Z79" s="48" t="str">
        <f>IF(SUM(AO80:AP80)=0,"",AO80&amp;":"&amp;AP80)</f>
        <v>4:21</v>
      </c>
      <c r="AA79" s="247" t="str">
        <f>IF(SUM(AW80:AX80,BA80:BB80)=0,"",BE80&amp;":"&amp;BF80)</f>
        <v>47:84</v>
      </c>
      <c r="AB79" s="250" t="str">
        <f>IF(SUM(AW80:AX80,BA80:BB80)=0,"",BG80&amp;":"&amp;BH80)</f>
        <v>0:4</v>
      </c>
      <c r="AC79" s="250" t="str">
        <f>IF(SUM(AW80:AX80,BA80:BB80)=0,"",BI80&amp;":"&amp;BJ80)</f>
        <v>0:2</v>
      </c>
      <c r="AD79" s="253">
        <f>IF(SUM(BI79:BI81)&gt;0,BK80,"")</f>
        <v>3</v>
      </c>
      <c r="AE79" s="2"/>
      <c r="AF79" s="12"/>
      <c r="AG79" s="12"/>
      <c r="AH79" s="44" t="s">
        <v>15</v>
      </c>
      <c r="AI79" s="49">
        <f>IF(ISBLANK(S79),"",VLOOKUP(S79,'[1]plan gier'!$X$1:$AN$65536,12,FALSE))</f>
        <v>10</v>
      </c>
      <c r="AJ79" s="50">
        <f>IF(ISBLANK(S79),"",VLOOKUP(S79,'[1]plan gier'!$X$1:$AN$65536,13,FALSE))</f>
        <v>21</v>
      </c>
      <c r="AK79" s="50">
        <f>IF(ISBLANK(S79),"",VLOOKUP(S79,'[1]plan gier'!$X$1:$AN$65536,14,FALSE))</f>
        <v>5</v>
      </c>
      <c r="AL79" s="50">
        <f>IF(ISBLANK(S79),"",VLOOKUP(S79,'[1]plan gier'!$X$1:$AN$65536,15,FALSE))</f>
        <v>21</v>
      </c>
      <c r="AM79" s="50">
        <f>IF(ISBLANK(S79),"",VLOOKUP(S79,'[1]plan gier'!$X$1:$AN$65536,16,FALSE))</f>
        <v>0</v>
      </c>
      <c r="AN79" s="50">
        <f>IF(ISBLANK(S79),"",VLOOKUP(S79,'[1]plan gier'!$X$1:$AN$65536,17,FALSE))</f>
        <v>0</v>
      </c>
      <c r="AO79" s="51">
        <f t="shared" ref="AO79:AT81" si="9">IF(AI79="",0,AI79)</f>
        <v>10</v>
      </c>
      <c r="AP79" s="52">
        <f t="shared" si="9"/>
        <v>21</v>
      </c>
      <c r="AQ79" s="53">
        <f t="shared" si="9"/>
        <v>5</v>
      </c>
      <c r="AR79" s="52">
        <f t="shared" si="9"/>
        <v>21</v>
      </c>
      <c r="AS79" s="53">
        <f t="shared" si="9"/>
        <v>0</v>
      </c>
      <c r="AT79" s="52">
        <f t="shared" si="9"/>
        <v>0</v>
      </c>
      <c r="AU79" s="54">
        <f>SUM(AO79:AT79)</f>
        <v>57</v>
      </c>
      <c r="AV79" s="13">
        <v>1</v>
      </c>
      <c r="AW79" s="55"/>
      <c r="AX79" s="56"/>
      <c r="AY79" s="50">
        <f>IF(AI81&gt;AJ81,1,0)+IF(AK81&gt;AL81,1,0)+IF(AM81&gt;AN81,1,0)</f>
        <v>2</v>
      </c>
      <c r="AZ79" s="50">
        <f>AW80</f>
        <v>0</v>
      </c>
      <c r="BA79" s="50">
        <f>IF(AI79&gt;AJ79,1,0)+IF(AK79&gt;AL79,1,0)+IF(AM79&gt;AN79,1,0)</f>
        <v>0</v>
      </c>
      <c r="BB79" s="57">
        <f>AW81</f>
        <v>2</v>
      </c>
      <c r="BE79" s="49">
        <f>AO79+AQ79+AS79+AO81+AQ81+AS81</f>
        <v>57</v>
      </c>
      <c r="BF79" s="57">
        <f>AP79+AR79+AT79+AP81+AR81+AT81</f>
        <v>80</v>
      </c>
      <c r="BG79" s="49">
        <f>AY79+BA79</f>
        <v>2</v>
      </c>
      <c r="BH79" s="57">
        <f>AZ79+BB79</f>
        <v>2</v>
      </c>
      <c r="BI79" s="49">
        <f>IF(AY79&gt;AZ79,1,0)+IF(BA79&gt;BB79,1,0)</f>
        <v>1</v>
      </c>
      <c r="BJ79" s="58">
        <f>IF(AZ79&gt;AY79,1,0)+IF(BB79&gt;BA79,1,0)</f>
        <v>1</v>
      </c>
      <c r="BK79" s="59">
        <f>IF(BI79+BJ79=0,"",IF(BL79=MAX(BL79:BL81),1,IF(BL79=MIN(BL79:BL81),3,2)))</f>
        <v>2</v>
      </c>
      <c r="BL79" s="60">
        <f>IF(BI79+BJ79&lt;&gt;0,BI79+1+(BG79-BH79)/100+(BE79-BF79)/100000+(BE79/BF79)/1000000,0)</f>
        <v>1.9997707125000002</v>
      </c>
    </row>
    <row r="80" spans="1:64" ht="11.45" customHeight="1" x14ac:dyDescent="0.2">
      <c r="A80" s="19">
        <f>S80</f>
        <v>131</v>
      </c>
      <c r="B80" s="2" t="str">
        <f>IF(N80="","",N80)</f>
        <v>X03</v>
      </c>
      <c r="C80" s="2" t="str">
        <f>IF(N81="","",N81)</f>
        <v>X01</v>
      </c>
      <c r="D80" s="2" t="str">
        <f>IF(N83="","",N83)</f>
        <v>G4208</v>
      </c>
      <c r="E80" s="2" t="str">
        <f>IF(N84="","",N84)</f>
        <v>M3746</v>
      </c>
      <c r="J80" s="10"/>
      <c r="K80" s="19"/>
      <c r="M80" s="42" t="str">
        <f>N76</f>
        <v>podwójna dziewcząt M</v>
      </c>
      <c r="N80" s="33" t="s">
        <v>194</v>
      </c>
      <c r="O80" s="34">
        <f>IF(O75&gt;0,(O75&amp;2)*1,"")</f>
        <v>72</v>
      </c>
      <c r="Q80" s="43" t="str">
        <f>IF(AU80&gt;0,"",IF(A80=0,"",IF(VLOOKUP(A80,'[1]plan gier'!A$1:S$65536,19,FALSE)="","",VLOOKUP(A80,'[1]plan gier'!A$1:S$65536,19,FALSE))))</f>
        <v/>
      </c>
      <c r="R80" s="44" t="s">
        <v>17</v>
      </c>
      <c r="S80" s="45">
        <v>131</v>
      </c>
      <c r="T80" s="242"/>
      <c r="U80" s="244" t="str">
        <f>IF(AND(N80&lt;&gt;"",N81=""),CONCATENATE(VLOOKUP(N80,[1]zawodnicy!$A$1:$E$65536,1,FALSE)," ",VLOOKUP(N80,[1]zawodnicy!$A$1:$E$65536,2,FALSE)," ",VLOOKUP(N80,[1]zawodnicy!$A$1:$E$65536,3,FALSE)," - ",VLOOKUP(N80,[1]zawodnicy!$A$1:$E$65536,4,FALSE)),"")</f>
        <v/>
      </c>
      <c r="V80" s="245"/>
      <c r="W80" s="246"/>
      <c r="X80" s="61" t="str">
        <f>IF(SUM(AQ81:AR81)=0,"",AR81&amp;":"&amp;AQ81)</f>
        <v>19:21</v>
      </c>
      <c r="Y80" s="62"/>
      <c r="Z80" s="37" t="str">
        <f>IF(SUM(AQ80:AR80)=0,"",AQ80&amp;":"&amp;AR80)</f>
        <v>5:21</v>
      </c>
      <c r="AA80" s="248"/>
      <c r="AB80" s="251"/>
      <c r="AC80" s="251"/>
      <c r="AD80" s="254"/>
      <c r="AE80" s="2"/>
      <c r="AF80" s="12"/>
      <c r="AG80" s="12"/>
      <c r="AH80" s="44" t="s">
        <v>17</v>
      </c>
      <c r="AI80" s="63">
        <f>IF(ISBLANK(S80),"",VLOOKUP(S80,'[1]plan gier'!$X$1:$AN$65536,12,FALSE))</f>
        <v>4</v>
      </c>
      <c r="AJ80" s="64">
        <f>IF(ISBLANK(S80),"",VLOOKUP(S80,'[1]plan gier'!$X$1:$AN$65536,13,FALSE))</f>
        <v>21</v>
      </c>
      <c r="AK80" s="64">
        <f>IF(ISBLANK(S80),"",VLOOKUP(S80,'[1]plan gier'!$X$1:$AN$65536,14,FALSE))</f>
        <v>5</v>
      </c>
      <c r="AL80" s="64">
        <f>IF(ISBLANK(S80),"",VLOOKUP(S80,'[1]plan gier'!$X$1:$AN$65536,15,FALSE))</f>
        <v>21</v>
      </c>
      <c r="AM80" s="64">
        <f>IF(ISBLANK(S80),"",VLOOKUP(S80,'[1]plan gier'!$X$1:$AN$65536,16,FALSE))</f>
        <v>0</v>
      </c>
      <c r="AN80" s="64">
        <f>IF(ISBLANK(S80),"",VLOOKUP(S80,'[1]plan gier'!$X$1:$AN$65536,17,FALSE))</f>
        <v>0</v>
      </c>
      <c r="AO80" s="65">
        <f t="shared" si="9"/>
        <v>4</v>
      </c>
      <c r="AP80" s="64">
        <f t="shared" si="9"/>
        <v>21</v>
      </c>
      <c r="AQ80" s="66">
        <f t="shared" si="9"/>
        <v>5</v>
      </c>
      <c r="AR80" s="64">
        <f t="shared" si="9"/>
        <v>21</v>
      </c>
      <c r="AS80" s="66">
        <f t="shared" si="9"/>
        <v>0</v>
      </c>
      <c r="AT80" s="64">
        <f t="shared" si="9"/>
        <v>0</v>
      </c>
      <c r="AU80" s="54">
        <f>SUM(AO80:AT80)</f>
        <v>51</v>
      </c>
      <c r="AV80" s="13">
        <v>2</v>
      </c>
      <c r="AW80" s="63">
        <f>IF(AI81&lt;AJ81,1,0)+IF(AK81&lt;AL81,1,0)+IF(AM81&lt;AN81,1,0)</f>
        <v>0</v>
      </c>
      <c r="AX80" s="64">
        <f>AY79</f>
        <v>2</v>
      </c>
      <c r="AY80" s="67"/>
      <c r="AZ80" s="68"/>
      <c r="BA80" s="64">
        <f>IF(AI80&gt;AJ80,1,0)+IF(AK80&gt;AL80,1,0)+IF(AM80&gt;AN80,1,0)</f>
        <v>0</v>
      </c>
      <c r="BB80" s="69">
        <f>AY81</f>
        <v>2</v>
      </c>
      <c r="BE80" s="63">
        <f>AO80+AQ80+AS80+AP81+AR81+AT81</f>
        <v>47</v>
      </c>
      <c r="BF80" s="69">
        <f>AP80+AR80+AT80+AO81+AQ81+AS81</f>
        <v>84</v>
      </c>
      <c r="BG80" s="63">
        <f>AW80+BA80</f>
        <v>0</v>
      </c>
      <c r="BH80" s="69">
        <f>AX80+BB80</f>
        <v>4</v>
      </c>
      <c r="BI80" s="63">
        <f>IF(AW80&gt;AX80,1,0)+IF(BA80&gt;BB80,1,0)</f>
        <v>0</v>
      </c>
      <c r="BJ80" s="70">
        <f>IF(AX80&gt;AW80,1,0)+IF(BB80&gt;BA80,1,0)</f>
        <v>2</v>
      </c>
      <c r="BK80" s="71">
        <f>IF(BI80+BJ80=0,"",IF(BL80=MAX(BL79:BL81),1,IF(BL80=MIN(BL79:BL81),3,2)))</f>
        <v>3</v>
      </c>
      <c r="BL80" s="60">
        <f>IF(BI80+BJ80&lt;&gt;0,BI80+1+(BG80-BH80)/100+(BE80-BF80)/100000+(BE80/BF80)/1000000,0)</f>
        <v>0.95963055952380949</v>
      </c>
    </row>
    <row r="81" spans="1:64" ht="11.45" customHeight="1" thickBot="1" x14ac:dyDescent="0.25">
      <c r="A81" s="19">
        <f>S81</f>
        <v>278</v>
      </c>
      <c r="B81" s="2" t="str">
        <f>IF(N77="","",N77)</f>
        <v>P5195</v>
      </c>
      <c r="C81" s="2" t="str">
        <f>IF(N78="","",N78)</f>
        <v>Ż5193</v>
      </c>
      <c r="D81" s="2" t="str">
        <f>IF(N80="","",N80)</f>
        <v>X03</v>
      </c>
      <c r="E81" s="2" t="str">
        <f>IF(N81="","",N81)</f>
        <v>X01</v>
      </c>
      <c r="I81" s="2" t="str">
        <f>"3"&amp;O75&amp;N76</f>
        <v>37podwójna dziewcząt M</v>
      </c>
      <c r="J81" s="10" t="str">
        <f>IF(AD82="","",IF(AD76=3,N77,IF(AD79=3,N80,IF(AD82=3,N83,""))))</f>
        <v>X03</v>
      </c>
      <c r="K81" s="10" t="str">
        <f>IF(AD82="","",IF(AD76=3,N78,IF(AD79=3,N81,IF(AD82=3,N84,""))))</f>
        <v>X01</v>
      </c>
      <c r="M81" s="42" t="str">
        <f>N76</f>
        <v>podwójna dziewcząt M</v>
      </c>
      <c r="N81" s="38" t="s">
        <v>195</v>
      </c>
      <c r="O81" s="28"/>
      <c r="P81" s="28"/>
      <c r="Q81" s="43" t="str">
        <f>IF(AU81&gt;0,"",IF(A81=0,"",IF(VLOOKUP(A81,'[1]plan gier'!A$1:S$65536,19,FALSE)="","",VLOOKUP(A81,'[1]plan gier'!A$1:S$65536,19,FALSE))))</f>
        <v/>
      </c>
      <c r="R81" s="72" t="s">
        <v>18</v>
      </c>
      <c r="S81" s="45">
        <v>278</v>
      </c>
      <c r="T81" s="261"/>
      <c r="U81" s="265" t="str">
        <f>IF(N81&lt;&gt;"",CONCATENATE(VLOOKUP(N81,[1]zawodnicy!$A$1:$E$65536,1,FALSE)," ",VLOOKUP(N81,[1]zawodnicy!$A$1:$E$65536,2,FALSE)," ",VLOOKUP(N81,[1]zawodnicy!$A$1:$E$65536,3,FALSE)," - ",VLOOKUP(N81,[1]zawodnicy!$A$1:$E$65536,4,FALSE)),"")</f>
        <v>X01 Sofija ORLOVAITE - Litwa</v>
      </c>
      <c r="V81" s="266"/>
      <c r="W81" s="267"/>
      <c r="X81" s="73" t="str">
        <f>IF(SUM(AS81:AT81)=0,"",AT81&amp;":"&amp;AS81)</f>
        <v/>
      </c>
      <c r="Y81" s="62"/>
      <c r="Z81" s="40" t="str">
        <f>IF(SUM(AS80:AT80)=0,"",AS80&amp;":"&amp;AT80)</f>
        <v/>
      </c>
      <c r="AA81" s="262"/>
      <c r="AB81" s="263"/>
      <c r="AC81" s="263"/>
      <c r="AD81" s="264"/>
      <c r="AE81" s="2"/>
      <c r="AF81" s="12"/>
      <c r="AG81" s="12"/>
      <c r="AH81" s="72" t="s">
        <v>18</v>
      </c>
      <c r="AI81" s="74">
        <f>IF(ISBLANK(S81),"",VLOOKUP(S81,'[1]plan gier'!$X$1:$AN$65536,12,FALSE))</f>
        <v>21</v>
      </c>
      <c r="AJ81" s="75">
        <f>IF(ISBLANK(S81),"",VLOOKUP(S81,'[1]plan gier'!$X$1:$AN$65536,13,FALSE))</f>
        <v>19</v>
      </c>
      <c r="AK81" s="75">
        <f>IF(ISBLANK(S81),"",VLOOKUP(S81,'[1]plan gier'!$X$1:$AN$65536,14,FALSE))</f>
        <v>21</v>
      </c>
      <c r="AL81" s="75">
        <f>IF(ISBLANK(S81),"",VLOOKUP(S81,'[1]plan gier'!$X$1:$AN$65536,15,FALSE))</f>
        <v>19</v>
      </c>
      <c r="AM81" s="75">
        <f>IF(ISBLANK(S81),"",VLOOKUP(S81,'[1]plan gier'!$X$1:$AN$65536,16,FALSE))</f>
        <v>0</v>
      </c>
      <c r="AN81" s="75">
        <f>IF(ISBLANK(S81),"",VLOOKUP(S81,'[1]plan gier'!$X$1:$AN$65536,17,FALSE))</f>
        <v>0</v>
      </c>
      <c r="AO81" s="76">
        <f t="shared" si="9"/>
        <v>21</v>
      </c>
      <c r="AP81" s="75">
        <f t="shared" si="9"/>
        <v>19</v>
      </c>
      <c r="AQ81" s="77">
        <f t="shared" si="9"/>
        <v>21</v>
      </c>
      <c r="AR81" s="75">
        <f t="shared" si="9"/>
        <v>19</v>
      </c>
      <c r="AS81" s="77">
        <f t="shared" si="9"/>
        <v>0</v>
      </c>
      <c r="AT81" s="75">
        <f t="shared" si="9"/>
        <v>0</v>
      </c>
      <c r="AU81" s="54">
        <f>SUM(AO81:AT81)</f>
        <v>80</v>
      </c>
      <c r="AV81" s="13">
        <v>3</v>
      </c>
      <c r="AW81" s="74">
        <f>IF(AI79&lt;AJ79,1,0)+IF(AK79&lt;AL79,1,0)+IF(AM79&lt;AN79,1,0)</f>
        <v>2</v>
      </c>
      <c r="AX81" s="75">
        <f>BA79</f>
        <v>0</v>
      </c>
      <c r="AY81" s="75">
        <f>IF(AI80&lt;AJ80,1,0)+IF(AK80&lt;AL80,1,0)+IF(AM80&lt;AN80,1,0)</f>
        <v>2</v>
      </c>
      <c r="AZ81" s="75">
        <f>BA80</f>
        <v>0</v>
      </c>
      <c r="BA81" s="78"/>
      <c r="BB81" s="79"/>
      <c r="BE81" s="74">
        <f>AP79+AR79+AT79+AP80+AR80+AT80</f>
        <v>84</v>
      </c>
      <c r="BF81" s="80">
        <f>AO79+AQ79+AS79+AO80+AQ80+AS80</f>
        <v>24</v>
      </c>
      <c r="BG81" s="74">
        <f>AW81+AY81</f>
        <v>4</v>
      </c>
      <c r="BH81" s="80">
        <f>AX81+AZ81</f>
        <v>0</v>
      </c>
      <c r="BI81" s="74">
        <f>IF(AW81&gt;AX81,1,0)+IF(AY81&gt;AZ81,1,0)</f>
        <v>2</v>
      </c>
      <c r="BJ81" s="81">
        <f>IF(AX81&gt;AW81,1,0)+IF(AZ81&gt;AY81,1,0)</f>
        <v>0</v>
      </c>
      <c r="BK81" s="82">
        <f>IF(BI81+BJ81=0,"",IF(BL81=MAX(BL79:BL81),1,IF(BL81=MIN(BL79:BL81),3,2)))</f>
        <v>1</v>
      </c>
      <c r="BL81" s="60">
        <f>IF(BI81+BJ81&lt;&gt;0,BI81+1+(BG81-BH81)/100+(BE81-BF81)/100000+(BE81/BF81)/1000000,0)</f>
        <v>3.0406035</v>
      </c>
    </row>
    <row r="82" spans="1:64" ht="11.45" customHeight="1" x14ac:dyDescent="0.2">
      <c r="A82" s="2"/>
      <c r="J82" s="28"/>
      <c r="K82" s="28"/>
      <c r="L82" s="28"/>
      <c r="O82" s="28"/>
      <c r="P82" s="28"/>
      <c r="Q82" s="2"/>
      <c r="R82" s="2"/>
      <c r="S82" s="2"/>
      <c r="T82" s="241">
        <v>3</v>
      </c>
      <c r="U82" s="244" t="str">
        <f>IF(AND(N83&lt;&gt;"",N84&lt;&gt;""),CONCATENATE(VLOOKUP(N83,[1]zawodnicy!$A$1:$E$65536,1,FALSE)," ",VLOOKUP(N83,[1]zawodnicy!$A$1:$E$65536,2,FALSE)," ",VLOOKUP(N83,[1]zawodnicy!$A$1:$E$65536,3,FALSE)," - ",VLOOKUP(N83,[1]zawodnicy!$A$1:$E$65536,4,FALSE)),"")</f>
        <v>G4208 Aleksandra GOSZCZYŃSKA - UKSB Milenium Warszawa</v>
      </c>
      <c r="V82" s="245"/>
      <c r="W82" s="246"/>
      <c r="X82" s="46" t="str">
        <f>IF(SUM(AO79:AP79)=0,"",AP79&amp;":"&amp;AO79)</f>
        <v>21:10</v>
      </c>
      <c r="Y82" s="83" t="str">
        <f>IF(SUM(AO80:AP80)=0,"",AP80&amp;":"&amp;AO80)</f>
        <v>21:4</v>
      </c>
      <c r="Z82" s="84"/>
      <c r="AA82" s="247" t="str">
        <f>IF(SUM(AW81:AZ81)=0,"",BE81&amp;":"&amp;BF81)</f>
        <v>84:24</v>
      </c>
      <c r="AB82" s="250" t="str">
        <f>IF(SUM(AW81:AZ81)=0,"",BG81&amp;":"&amp;BH81)</f>
        <v>4:0</v>
      </c>
      <c r="AC82" s="250" t="str">
        <f>IF(SUM(AW81:AZ81)=0,"",BI81&amp;":"&amp;BJ81)</f>
        <v>2:0</v>
      </c>
      <c r="AD82" s="253">
        <f>IF(SUM(BI79:BI81)&gt;0,BK81,"")</f>
        <v>1</v>
      </c>
      <c r="AE82" s="2"/>
      <c r="AF82" s="12"/>
      <c r="AG82" s="12"/>
      <c r="BE82" s="19">
        <f>SUM(BE79:BE81)</f>
        <v>188</v>
      </c>
      <c r="BF82" s="19">
        <f>SUM(BF79:BF81)</f>
        <v>188</v>
      </c>
      <c r="BG82" s="19">
        <f>SUM(BG79:BG81)</f>
        <v>6</v>
      </c>
      <c r="BH82" s="19">
        <f>SUM(BH79:BH81)</f>
        <v>6</v>
      </c>
      <c r="BK82" s="19"/>
      <c r="BL82" s="20"/>
    </row>
    <row r="83" spans="1:64" ht="11.45" customHeight="1" x14ac:dyDescent="0.2">
      <c r="A83" s="19"/>
      <c r="J83" s="19"/>
      <c r="K83" s="19"/>
      <c r="L83" s="19"/>
      <c r="N83" s="33" t="s">
        <v>196</v>
      </c>
      <c r="O83" s="34">
        <f>IF(O75&gt;0,(O75&amp;3)*1,"")</f>
        <v>73</v>
      </c>
      <c r="Q83" s="85"/>
      <c r="R83" s="85"/>
      <c r="S83" s="85"/>
      <c r="T83" s="242"/>
      <c r="U83" s="244" t="str">
        <f>IF(AND(N83&lt;&gt;"",N84=""),CONCATENATE(VLOOKUP(N83,[1]zawodnicy!$A$1:$E$65536,1,FALSE)," ",VLOOKUP(N83,[1]zawodnicy!$A$1:$E$65536,2,FALSE)," ",VLOOKUP(N83,[1]zawodnicy!$A$1:$E$65536,3,FALSE)," - ",VLOOKUP(N83,[1]zawodnicy!$A$1:$E$65536,4,FALSE)),"")</f>
        <v/>
      </c>
      <c r="V83" s="245"/>
      <c r="W83" s="246"/>
      <c r="X83" s="61" t="str">
        <f>IF(SUM(AQ79:AR79)=0,"",AR79&amp;":"&amp;AQ79)</f>
        <v>21:5</v>
      </c>
      <c r="Y83" s="36" t="str">
        <f>IF(SUM(AQ80:AR80)=0,"",AR80&amp;":"&amp;AQ80)</f>
        <v>21:5</v>
      </c>
      <c r="Z83" s="86"/>
      <c r="AA83" s="248"/>
      <c r="AB83" s="251"/>
      <c r="AC83" s="251"/>
      <c r="AD83" s="254"/>
      <c r="AE83" s="2"/>
      <c r="AF83" s="12"/>
      <c r="AG83" s="1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row>
    <row r="84" spans="1:64" ht="11.45" customHeight="1" thickBot="1" x14ac:dyDescent="0.25">
      <c r="A84" s="2"/>
      <c r="J84" s="28"/>
      <c r="K84" s="28"/>
      <c r="L84" s="28"/>
      <c r="N84" s="38" t="s">
        <v>197</v>
      </c>
      <c r="O84" s="28"/>
      <c r="P84" s="28"/>
      <c r="Q84" s="2"/>
      <c r="R84" s="2"/>
      <c r="S84" s="2"/>
      <c r="T84" s="243"/>
      <c r="U84" s="256" t="str">
        <f>IF(N84&lt;&gt;"",CONCATENATE(VLOOKUP(N84,[1]zawodnicy!$A$1:$E$65536,1,FALSE)," ",VLOOKUP(N84,[1]zawodnicy!$A$1:$E$65536,2,FALSE)," ",VLOOKUP(N84,[1]zawodnicy!$A$1:$E$65536,3,FALSE)," - ",VLOOKUP(N84,[1]zawodnicy!$A$1:$E$65536,4,FALSE)),"")</f>
        <v>M3746 Dorota MATYSIAK - KS Hubertus Zalesie Górne</v>
      </c>
      <c r="V84" s="257"/>
      <c r="W84" s="258"/>
      <c r="X84" s="87" t="str">
        <f>IF(SUM(AS79:AT79)=0,"",AT79&amp;":"&amp;AS79)</f>
        <v/>
      </c>
      <c r="Y84" s="88" t="str">
        <f>IF(SUM(AS80:AT80)=0,"",AT80&amp;":"&amp;AS80)</f>
        <v/>
      </c>
      <c r="Z84" s="89"/>
      <c r="AA84" s="249"/>
      <c r="AB84" s="252"/>
      <c r="AC84" s="252"/>
      <c r="AD84" s="255"/>
      <c r="AE84" s="10"/>
      <c r="AF84" s="12"/>
      <c r="AG84" s="1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row>
    <row r="85" spans="1:64" s="19" customFormat="1" ht="5.0999999999999996" customHeight="1" thickBot="1" x14ac:dyDescent="0.25">
      <c r="M85" s="90"/>
      <c r="O85" s="90"/>
      <c r="P85" s="90"/>
      <c r="Q85" s="91"/>
      <c r="R85" s="91"/>
      <c r="S85" s="91"/>
      <c r="T85" s="91"/>
      <c r="U85" s="5"/>
      <c r="V85" s="5"/>
      <c r="W85" s="5"/>
      <c r="AA85" s="92"/>
      <c r="AB85" s="91"/>
      <c r="AC85" s="91"/>
      <c r="AD85" s="91"/>
      <c r="AE85" s="91"/>
      <c r="AF85" s="91"/>
      <c r="AI85" s="93"/>
      <c r="AJ85" s="94"/>
      <c r="AK85" s="94"/>
    </row>
    <row r="86" spans="1:64" ht="11.45" customHeight="1" thickBot="1" x14ac:dyDescent="0.25">
      <c r="N86" s="11"/>
      <c r="O86" s="21">
        <v>8</v>
      </c>
      <c r="Q86" s="277" t="str">
        <f>"Grupa "&amp;O86&amp;"."</f>
        <v>Grupa 8.</v>
      </c>
      <c r="R86" s="277"/>
      <c r="S86" s="277"/>
      <c r="T86" s="22" t="s">
        <v>1</v>
      </c>
      <c r="U86" s="278" t="s">
        <v>2</v>
      </c>
      <c r="V86" s="279"/>
      <c r="W86" s="280"/>
      <c r="X86" s="22">
        <v>1</v>
      </c>
      <c r="Y86" s="23">
        <v>2</v>
      </c>
      <c r="Z86" s="24">
        <v>3</v>
      </c>
      <c r="AA86" s="25" t="s">
        <v>3</v>
      </c>
      <c r="AB86" s="26" t="s">
        <v>4</v>
      </c>
      <c r="AC86" s="26" t="s">
        <v>5</v>
      </c>
      <c r="AD86" s="27" t="s">
        <v>6</v>
      </c>
      <c r="AE86" s="2"/>
      <c r="AF86" s="12"/>
      <c r="AG86" s="12"/>
      <c r="BK86" s="19"/>
      <c r="BL86" s="20"/>
    </row>
    <row r="87" spans="1:64" ht="11.45" customHeight="1" x14ac:dyDescent="0.2">
      <c r="J87" s="28"/>
      <c r="K87" s="28"/>
      <c r="L87" s="28"/>
      <c r="N87" s="29" t="s">
        <v>153</v>
      </c>
      <c r="Q87" s="274" t="s">
        <v>7</v>
      </c>
      <c r="R87" s="274"/>
      <c r="S87" s="275" t="s">
        <v>8</v>
      </c>
      <c r="T87" s="276">
        <v>1</v>
      </c>
      <c r="U87" s="244" t="str">
        <f>IF(AND(N88&lt;&gt;"",N89&lt;&gt;""),CONCATENATE(VLOOKUP(N88,[1]zawodnicy!$A$1:$E$65536,1,FALSE)," ",VLOOKUP(N88,[1]zawodnicy!$A$1:$E$65536,2,FALSE)," ",VLOOKUP(N88,[1]zawodnicy!$A$1:$E$65536,3,FALSE)," - ",VLOOKUP(N88,[1]zawodnicy!$A$1:$E$65536,4,FALSE)),"")</f>
        <v>M4285 Beata MICHALUK - SKB Suwałki</v>
      </c>
      <c r="V87" s="245"/>
      <c r="W87" s="246"/>
      <c r="X87" s="30"/>
      <c r="Y87" s="31" t="str">
        <f>IF(SUM(AO92:AP92)=0,"",AO92&amp;":"&amp;AP92)</f>
        <v>21:14</v>
      </c>
      <c r="Z87" s="32" t="str">
        <f>IF(SUM(AO90:AP90)=0,"",AO90&amp;":"&amp;AP90)</f>
        <v>21:18</v>
      </c>
      <c r="AA87" s="270" t="str">
        <f>IF(SUM(AY90:BB90)=0,"",BE90&amp;":"&amp;BF90)</f>
        <v>102:109</v>
      </c>
      <c r="AB87" s="271" t="str">
        <f>IF(SUM(AY90:BB90)=0,"",BG90&amp;":"&amp;BH90)</f>
        <v>3:3</v>
      </c>
      <c r="AC87" s="271" t="str">
        <f>IF(SUM(AY90:BB90)=0,"",BI90&amp;":"&amp;BJ90)</f>
        <v>1:1</v>
      </c>
      <c r="AD87" s="272">
        <f>IF(SUM(BI90:BI92)&gt;0,BK90,"")</f>
        <v>2</v>
      </c>
      <c r="AE87" s="2"/>
      <c r="AF87" s="12"/>
      <c r="AG87" s="12"/>
      <c r="AH87" s="14"/>
      <c r="AI87" s="273" t="s">
        <v>9</v>
      </c>
      <c r="AJ87" s="273"/>
      <c r="AK87" s="273"/>
      <c r="AL87" s="273"/>
      <c r="AM87" s="273"/>
      <c r="AN87" s="273"/>
      <c r="AO87" s="273" t="s">
        <v>10</v>
      </c>
      <c r="AP87" s="273"/>
      <c r="AQ87" s="273"/>
      <c r="AR87" s="273"/>
      <c r="AS87" s="273"/>
      <c r="AT87" s="273"/>
      <c r="BK87" s="19"/>
      <c r="BL87" s="20"/>
    </row>
    <row r="88" spans="1:64" ht="11.45" customHeight="1" thickBot="1" x14ac:dyDescent="0.25">
      <c r="I88" s="2" t="str">
        <f>"1"&amp;O86&amp;N87</f>
        <v>18podwójna dziewcząt M</v>
      </c>
      <c r="J88" s="10" t="str">
        <f>IF(AD87="","",IF(AD87=1,N88,IF(AD90=1,N91,IF(AD93=1,N94,""))))</f>
        <v>G5122</v>
      </c>
      <c r="K88" s="10" t="str">
        <f>IF(AD87="","",IF(AD87=1,N89,IF(AD90=1,N92,IF(AD93=1,N95,""))))</f>
        <v>R4341</v>
      </c>
      <c r="L88" s="10"/>
      <c r="N88" s="33" t="s">
        <v>198</v>
      </c>
      <c r="O88" s="34">
        <f>IF(O86&gt;0,(O86&amp;1)*1,"")</f>
        <v>81</v>
      </c>
      <c r="Q88" s="274"/>
      <c r="R88" s="274"/>
      <c r="S88" s="275"/>
      <c r="T88" s="242"/>
      <c r="U88" s="244" t="str">
        <f>IF(AND(N88&lt;&gt;"",N89=""),CONCATENATE(VLOOKUP(N88,[1]zawodnicy!$A$1:$E$65536,1,FALSE)," ",VLOOKUP(N88,[1]zawodnicy!$A$1:$E$65536,2,FALSE)," ",VLOOKUP(N88,[1]zawodnicy!$A$1:$E$65536,3,FALSE)," - ",VLOOKUP(N88,[1]zawodnicy!$A$1:$E$65536,4,FALSE)),"")</f>
        <v/>
      </c>
      <c r="V88" s="245"/>
      <c r="W88" s="246"/>
      <c r="X88" s="35"/>
      <c r="Y88" s="36" t="str">
        <f>IF(SUM(AQ92:AR92)=0,"",AQ92&amp;":"&amp;AR92)</f>
        <v>10:21</v>
      </c>
      <c r="Z88" s="37" t="str">
        <f>IF(SUM(AQ90:AR90)=0,"",AQ90&amp;":"&amp;AR90)</f>
        <v>15:21</v>
      </c>
      <c r="AA88" s="248"/>
      <c r="AB88" s="251"/>
      <c r="AC88" s="251"/>
      <c r="AD88" s="254"/>
      <c r="AE88" s="2"/>
      <c r="AF88" s="12"/>
      <c r="AG88" s="12"/>
      <c r="AH88" s="14"/>
      <c r="BE88" s="19">
        <f>SUM(BE90:BE92)</f>
        <v>324</v>
      </c>
      <c r="BF88" s="19">
        <f>SUM(BF90:BF92)</f>
        <v>324</v>
      </c>
      <c r="BG88" s="19">
        <f>SUM(BG90:BG92)</f>
        <v>9</v>
      </c>
      <c r="BH88" s="19">
        <f>SUM(BH90:BH92)</f>
        <v>9</v>
      </c>
      <c r="BK88" s="19"/>
      <c r="BL88" s="20"/>
    </row>
    <row r="89" spans="1:64" ht="11.45" customHeight="1" thickBot="1" x14ac:dyDescent="0.25">
      <c r="J89" s="10"/>
      <c r="K89" s="28"/>
      <c r="L89" s="28"/>
      <c r="N89" s="38" t="s">
        <v>199</v>
      </c>
      <c r="O89" s="28"/>
      <c r="P89" s="28"/>
      <c r="Q89" s="274"/>
      <c r="R89" s="274"/>
      <c r="S89" s="275"/>
      <c r="T89" s="261"/>
      <c r="U89" s="265" t="str">
        <f>IF(N89&lt;&gt;"",CONCATENATE(VLOOKUP(N89,[1]zawodnicy!$A$1:$E$65536,1,FALSE)," ",VLOOKUP(N89,[1]zawodnicy!$A$1:$E$65536,2,FALSE)," ",VLOOKUP(N89,[1]zawodnicy!$A$1:$E$65536,3,FALSE)," - ",VLOOKUP(N89,[1]zawodnicy!$A$1:$E$65536,4,FALSE)),"")</f>
        <v>T5056 Martyna TROJNIAR - SKB Suwałki</v>
      </c>
      <c r="V89" s="266"/>
      <c r="W89" s="267"/>
      <c r="X89" s="35"/>
      <c r="Y89" s="39" t="str">
        <f>IF(SUM(AS92:AT92)=0,"",AS92&amp;":"&amp;AT92)</f>
        <v>14:21</v>
      </c>
      <c r="Z89" s="40" t="str">
        <f>IF(SUM(AS90:AT90)=0,"",AS90&amp;":"&amp;AT90)</f>
        <v>21:14</v>
      </c>
      <c r="AA89" s="262"/>
      <c r="AB89" s="263"/>
      <c r="AC89" s="263"/>
      <c r="AD89" s="264"/>
      <c r="AE89" s="2"/>
      <c r="AF89" s="12"/>
      <c r="AG89" s="12"/>
      <c r="AH89" s="14"/>
      <c r="AI89" s="259" t="s">
        <v>12</v>
      </c>
      <c r="AJ89" s="269"/>
      <c r="AK89" s="268" t="s">
        <v>13</v>
      </c>
      <c r="AL89" s="269"/>
      <c r="AM89" s="268" t="s">
        <v>14</v>
      </c>
      <c r="AN89" s="260"/>
      <c r="AO89" s="259" t="s">
        <v>12</v>
      </c>
      <c r="AP89" s="269"/>
      <c r="AQ89" s="268" t="s">
        <v>13</v>
      </c>
      <c r="AR89" s="269"/>
      <c r="AS89" s="268" t="s">
        <v>14</v>
      </c>
      <c r="AT89" s="269"/>
      <c r="AU89" s="12"/>
      <c r="AV89" s="12"/>
      <c r="AW89" s="259">
        <v>1</v>
      </c>
      <c r="AX89" s="269"/>
      <c r="AY89" s="268">
        <v>2</v>
      </c>
      <c r="AZ89" s="269"/>
      <c r="BA89" s="268">
        <v>3</v>
      </c>
      <c r="BB89" s="260"/>
      <c r="BE89" s="259" t="s">
        <v>3</v>
      </c>
      <c r="BF89" s="260"/>
      <c r="BG89" s="259" t="s">
        <v>4</v>
      </c>
      <c r="BH89" s="260"/>
      <c r="BI89" s="259" t="s">
        <v>5</v>
      </c>
      <c r="BJ89" s="260"/>
      <c r="BK89" s="41" t="s">
        <v>6</v>
      </c>
      <c r="BL89" s="20"/>
    </row>
    <row r="90" spans="1:64" ht="11.45" customHeight="1" x14ac:dyDescent="0.2">
      <c r="A90" s="19">
        <f>S90</f>
        <v>66</v>
      </c>
      <c r="B90" s="2" t="str">
        <f>IF(N88="","",N88)</f>
        <v>M4285</v>
      </c>
      <c r="C90" s="2" t="str">
        <f>IF(N89="","",N89)</f>
        <v>T5056</v>
      </c>
      <c r="D90" s="2" t="str">
        <f>IF(N94="","",N94)</f>
        <v>D4724</v>
      </c>
      <c r="E90" s="2" t="str">
        <f>IF(N95="","",N95)</f>
        <v>K4576</v>
      </c>
      <c r="I90" s="2" t="str">
        <f>"2"&amp;O86&amp;N87</f>
        <v>28podwójna dziewcząt M</v>
      </c>
      <c r="J90" s="10" t="str">
        <f>IF(AD90="","",IF(AD87=2,N88,IF(AD90=2,N91,IF(AD93=2,N94,""))))</f>
        <v>M4285</v>
      </c>
      <c r="K90" s="10" t="str">
        <f>IF(AD90="","",IF(AD87=2,N89,IF(AD90=2,N92,IF(AD93=2,N95,""))))</f>
        <v>T5056</v>
      </c>
      <c r="M90" s="42" t="str">
        <f>N87</f>
        <v>podwójna dziewcząt M</v>
      </c>
      <c r="O90" s="28"/>
      <c r="P90" s="28"/>
      <c r="Q90" s="43" t="str">
        <f>IF(AU90&gt;0,"",IF(A90=0,"",IF(VLOOKUP(A90,'[1]plan gier'!A$1:S$65536,19,FALSE)="","",VLOOKUP(A90,'[1]plan gier'!A$1:S$65536,19,FALSE))))</f>
        <v/>
      </c>
      <c r="R90" s="44" t="s">
        <v>15</v>
      </c>
      <c r="S90" s="45">
        <v>66</v>
      </c>
      <c r="T90" s="241">
        <v>2</v>
      </c>
      <c r="U90" s="244" t="str">
        <f>IF(AND(N91&lt;&gt;"",N92&lt;&gt;""),CONCATENATE(VLOOKUP(N91,[1]zawodnicy!$A$1:$E$65536,1,FALSE)," ",VLOOKUP(N91,[1]zawodnicy!$A$1:$E$65536,2,FALSE)," ",VLOOKUP(N91,[1]zawodnicy!$A$1:$E$65536,3,FALSE)," - ",VLOOKUP(N91,[1]zawodnicy!$A$1:$E$65536,4,FALSE)),"")</f>
        <v>G5122 Weronika GAPIŃSKA - MLKS Solec Kuj.</v>
      </c>
      <c r="V90" s="245"/>
      <c r="W90" s="246"/>
      <c r="X90" s="46" t="str">
        <f>IF(SUM(AO92:AP92)=0,"",AP92&amp;":"&amp;AO92)</f>
        <v>14:21</v>
      </c>
      <c r="Y90" s="47"/>
      <c r="Z90" s="48" t="str">
        <f>IF(SUM(AO91:AP91)=0,"",AO91&amp;":"&amp;AP91)</f>
        <v>15:21</v>
      </c>
      <c r="AA90" s="247" t="str">
        <f>IF(SUM(AW91:AX91,BA91:BB91)=0,"",BE91&amp;":"&amp;BF91)</f>
        <v>114:100</v>
      </c>
      <c r="AB90" s="250" t="str">
        <f>IF(SUM(AW91:AX91,BA91:BB91)=0,"",BG91&amp;":"&amp;BH91)</f>
        <v>4:2</v>
      </c>
      <c r="AC90" s="250" t="str">
        <f>IF(SUM(AW91:AX91,BA91:BB91)=0,"",BI91&amp;":"&amp;BJ91)</f>
        <v>2:0</v>
      </c>
      <c r="AD90" s="253">
        <f>IF(SUM(BI90:BI92)&gt;0,BK91,"")</f>
        <v>1</v>
      </c>
      <c r="AE90" s="2"/>
      <c r="AF90" s="12"/>
      <c r="AG90" s="12"/>
      <c r="AH90" s="44" t="s">
        <v>15</v>
      </c>
      <c r="AI90" s="49">
        <f>IF(ISBLANK(S90),"",VLOOKUP(S90,'[1]plan gier'!$X$1:$AN$65536,12,FALSE))</f>
        <v>21</v>
      </c>
      <c r="AJ90" s="50">
        <f>IF(ISBLANK(S90),"",VLOOKUP(S90,'[1]plan gier'!$X$1:$AN$65536,13,FALSE))</f>
        <v>18</v>
      </c>
      <c r="AK90" s="50">
        <f>IF(ISBLANK(S90),"",VLOOKUP(S90,'[1]plan gier'!$X$1:$AN$65536,14,FALSE))</f>
        <v>15</v>
      </c>
      <c r="AL90" s="50">
        <f>IF(ISBLANK(S90),"",VLOOKUP(S90,'[1]plan gier'!$X$1:$AN$65536,15,FALSE))</f>
        <v>21</v>
      </c>
      <c r="AM90" s="50">
        <f>IF(ISBLANK(S90),"",VLOOKUP(S90,'[1]plan gier'!$X$1:$AN$65536,16,FALSE))</f>
        <v>21</v>
      </c>
      <c r="AN90" s="50">
        <f>IF(ISBLANK(S90),"",VLOOKUP(S90,'[1]plan gier'!$X$1:$AN$65536,17,FALSE))</f>
        <v>14</v>
      </c>
      <c r="AO90" s="51">
        <f t="shared" ref="AO90:AT92" si="10">IF(AI90="",0,AI90)</f>
        <v>21</v>
      </c>
      <c r="AP90" s="52">
        <f t="shared" si="10"/>
        <v>18</v>
      </c>
      <c r="AQ90" s="53">
        <f t="shared" si="10"/>
        <v>15</v>
      </c>
      <c r="AR90" s="52">
        <f t="shared" si="10"/>
        <v>21</v>
      </c>
      <c r="AS90" s="53">
        <f t="shared" si="10"/>
        <v>21</v>
      </c>
      <c r="AT90" s="52">
        <f t="shared" si="10"/>
        <v>14</v>
      </c>
      <c r="AU90" s="54">
        <f>SUM(AO90:AT90)</f>
        <v>110</v>
      </c>
      <c r="AV90" s="13">
        <v>1</v>
      </c>
      <c r="AW90" s="55"/>
      <c r="AX90" s="56"/>
      <c r="AY90" s="50">
        <f>IF(AI92&gt;AJ92,1,0)+IF(AK92&gt;AL92,1,0)+IF(AM92&gt;AN92,1,0)</f>
        <v>1</v>
      </c>
      <c r="AZ90" s="50">
        <f>AW91</f>
        <v>2</v>
      </c>
      <c r="BA90" s="50">
        <f>IF(AI90&gt;AJ90,1,0)+IF(AK90&gt;AL90,1,0)+IF(AM90&gt;AN90,1,0)</f>
        <v>2</v>
      </c>
      <c r="BB90" s="57">
        <f>AW92</f>
        <v>1</v>
      </c>
      <c r="BE90" s="49">
        <f>AO90+AQ90+AS90+AO92+AQ92+AS92</f>
        <v>102</v>
      </c>
      <c r="BF90" s="57">
        <f>AP90+AR90+AT90+AP92+AR92+AT92</f>
        <v>109</v>
      </c>
      <c r="BG90" s="49">
        <f>AY90+BA90</f>
        <v>3</v>
      </c>
      <c r="BH90" s="57">
        <f>AZ90+BB90</f>
        <v>3</v>
      </c>
      <c r="BI90" s="49">
        <f>IF(AY90&gt;AZ90,1,0)+IF(BA90&gt;BB90,1,0)</f>
        <v>1</v>
      </c>
      <c r="BJ90" s="58">
        <f>IF(AZ90&gt;AY90,1,0)+IF(BB90&gt;BA90,1,0)</f>
        <v>1</v>
      </c>
      <c r="BK90" s="59">
        <f>IF(BI90+BJ90=0,"",IF(BL90=MAX(BL90:BL92),1,IF(BL90=MIN(BL90:BL92),3,2)))</f>
        <v>2</v>
      </c>
      <c r="BL90" s="60">
        <f>IF(BI90+BJ90&lt;&gt;0,BI90+1+(BG90-BH90)/100+(BE90-BF90)/100000+(BE90/BF90)/1000000,0)</f>
        <v>1.9999309357798165</v>
      </c>
    </row>
    <row r="91" spans="1:64" ht="11.45" customHeight="1" x14ac:dyDescent="0.2">
      <c r="A91" s="19">
        <f>S91</f>
        <v>132</v>
      </c>
      <c r="B91" s="2" t="str">
        <f>IF(N91="","",N91)</f>
        <v>G5122</v>
      </c>
      <c r="C91" s="2" t="str">
        <f>IF(N92="","",N92)</f>
        <v>R4341</v>
      </c>
      <c r="D91" s="2" t="str">
        <f>IF(N94="","",N94)</f>
        <v>D4724</v>
      </c>
      <c r="E91" s="2" t="str">
        <f>IF(N95="","",N95)</f>
        <v>K4576</v>
      </c>
      <c r="J91" s="10"/>
      <c r="K91" s="19"/>
      <c r="M91" s="42" t="str">
        <f>N87</f>
        <v>podwójna dziewcząt M</v>
      </c>
      <c r="N91" s="33" t="s">
        <v>200</v>
      </c>
      <c r="O91" s="34">
        <f>IF(O86&gt;0,(O86&amp;2)*1,"")</f>
        <v>82</v>
      </c>
      <c r="Q91" s="43" t="str">
        <f>IF(AU91&gt;0,"",IF(A91=0,"",IF(VLOOKUP(A91,'[1]plan gier'!A$1:S$65536,19,FALSE)="","",VLOOKUP(A91,'[1]plan gier'!A$1:S$65536,19,FALSE))))</f>
        <v/>
      </c>
      <c r="R91" s="44" t="s">
        <v>17</v>
      </c>
      <c r="S91" s="45">
        <v>132</v>
      </c>
      <c r="T91" s="242"/>
      <c r="U91" s="244" t="str">
        <f>IF(AND(N91&lt;&gt;"",N92=""),CONCATENATE(VLOOKUP(N91,[1]zawodnicy!$A$1:$E$65536,1,FALSE)," ",VLOOKUP(N91,[1]zawodnicy!$A$1:$E$65536,2,FALSE)," ",VLOOKUP(N91,[1]zawodnicy!$A$1:$E$65536,3,FALSE)," - ",VLOOKUP(N91,[1]zawodnicy!$A$1:$E$65536,4,FALSE)),"")</f>
        <v/>
      </c>
      <c r="V91" s="245"/>
      <c r="W91" s="246"/>
      <c r="X91" s="61" t="str">
        <f>IF(SUM(AQ92:AR92)=0,"",AR92&amp;":"&amp;AQ92)</f>
        <v>21:10</v>
      </c>
      <c r="Y91" s="62"/>
      <c r="Z91" s="37" t="str">
        <f>IF(SUM(AQ91:AR91)=0,"",AQ91&amp;":"&amp;AR91)</f>
        <v>21:14</v>
      </c>
      <c r="AA91" s="248"/>
      <c r="AB91" s="251"/>
      <c r="AC91" s="251"/>
      <c r="AD91" s="254"/>
      <c r="AE91" s="2"/>
      <c r="AF91" s="12"/>
      <c r="AG91" s="12"/>
      <c r="AH91" s="44" t="s">
        <v>17</v>
      </c>
      <c r="AI91" s="63">
        <f>IF(ISBLANK(S91),"",VLOOKUP(S91,'[1]plan gier'!$X$1:$AN$65536,12,FALSE))</f>
        <v>15</v>
      </c>
      <c r="AJ91" s="64">
        <f>IF(ISBLANK(S91),"",VLOOKUP(S91,'[1]plan gier'!$X$1:$AN$65536,13,FALSE))</f>
        <v>21</v>
      </c>
      <c r="AK91" s="64">
        <f>IF(ISBLANK(S91),"",VLOOKUP(S91,'[1]plan gier'!$X$1:$AN$65536,14,FALSE))</f>
        <v>21</v>
      </c>
      <c r="AL91" s="64">
        <f>IF(ISBLANK(S91),"",VLOOKUP(S91,'[1]plan gier'!$X$1:$AN$65536,15,FALSE))</f>
        <v>14</v>
      </c>
      <c r="AM91" s="64">
        <f>IF(ISBLANK(S91),"",VLOOKUP(S91,'[1]plan gier'!$X$1:$AN$65536,16,FALSE))</f>
        <v>22</v>
      </c>
      <c r="AN91" s="64">
        <f>IF(ISBLANK(S91),"",VLOOKUP(S91,'[1]plan gier'!$X$1:$AN$65536,17,FALSE))</f>
        <v>20</v>
      </c>
      <c r="AO91" s="65">
        <f t="shared" si="10"/>
        <v>15</v>
      </c>
      <c r="AP91" s="64">
        <f t="shared" si="10"/>
        <v>21</v>
      </c>
      <c r="AQ91" s="66">
        <f t="shared" si="10"/>
        <v>21</v>
      </c>
      <c r="AR91" s="64">
        <f t="shared" si="10"/>
        <v>14</v>
      </c>
      <c r="AS91" s="66">
        <f t="shared" si="10"/>
        <v>22</v>
      </c>
      <c r="AT91" s="64">
        <f t="shared" si="10"/>
        <v>20</v>
      </c>
      <c r="AU91" s="54">
        <f>SUM(AO91:AT91)</f>
        <v>113</v>
      </c>
      <c r="AV91" s="13">
        <v>2</v>
      </c>
      <c r="AW91" s="63">
        <f>IF(AI92&lt;AJ92,1,0)+IF(AK92&lt;AL92,1,0)+IF(AM92&lt;AN92,1,0)</f>
        <v>2</v>
      </c>
      <c r="AX91" s="64">
        <f>AY90</f>
        <v>1</v>
      </c>
      <c r="AY91" s="67"/>
      <c r="AZ91" s="68"/>
      <c r="BA91" s="64">
        <f>IF(AI91&gt;AJ91,1,0)+IF(AK91&gt;AL91,1,0)+IF(AM91&gt;AN91,1,0)</f>
        <v>2</v>
      </c>
      <c r="BB91" s="69">
        <f>AY92</f>
        <v>1</v>
      </c>
      <c r="BE91" s="63">
        <f>AO91+AQ91+AS91+AP92+AR92+AT92</f>
        <v>114</v>
      </c>
      <c r="BF91" s="69">
        <f>AP91+AR91+AT91+AO92+AQ92+AS92</f>
        <v>100</v>
      </c>
      <c r="BG91" s="63">
        <f>AW91+BA91</f>
        <v>4</v>
      </c>
      <c r="BH91" s="69">
        <f>AX91+BB91</f>
        <v>2</v>
      </c>
      <c r="BI91" s="63">
        <f>IF(AW91&gt;AX91,1,0)+IF(BA91&gt;BB91,1,0)</f>
        <v>2</v>
      </c>
      <c r="BJ91" s="70">
        <f>IF(AX91&gt;AW91,1,0)+IF(BB91&gt;BA91,1,0)</f>
        <v>0</v>
      </c>
      <c r="BK91" s="71">
        <f>IF(BI91+BJ91=0,"",IF(BL91=MAX(BL90:BL92),1,IF(BL91=MIN(BL90:BL92),3,2)))</f>
        <v>1</v>
      </c>
      <c r="BL91" s="60">
        <f>IF(BI91+BJ91&lt;&gt;0,BI91+1+(BG91-BH91)/100+(BE91-BF91)/100000+(BE91/BF91)/1000000,0)</f>
        <v>3.0201411400000002</v>
      </c>
    </row>
    <row r="92" spans="1:64" ht="11.45" customHeight="1" thickBot="1" x14ac:dyDescent="0.25">
      <c r="A92" s="19">
        <f>S92</f>
        <v>279</v>
      </c>
      <c r="B92" s="2" t="str">
        <f>IF(N88="","",N88)</f>
        <v>M4285</v>
      </c>
      <c r="C92" s="2" t="str">
        <f>IF(N89="","",N89)</f>
        <v>T5056</v>
      </c>
      <c r="D92" s="2" t="str">
        <f>IF(N91="","",N91)</f>
        <v>G5122</v>
      </c>
      <c r="E92" s="2" t="str">
        <f>IF(N92="","",N92)</f>
        <v>R4341</v>
      </c>
      <c r="I92" s="2" t="str">
        <f>"3"&amp;O86&amp;N87</f>
        <v>38podwójna dziewcząt M</v>
      </c>
      <c r="J92" s="10" t="str">
        <f>IF(AD93="","",IF(AD87=3,N88,IF(AD90=3,N91,IF(AD93=3,N94,""))))</f>
        <v>D4724</v>
      </c>
      <c r="K92" s="10" t="str">
        <f>IF(AD93="","",IF(AD87=3,N89,IF(AD90=3,N92,IF(AD93=3,N95,""))))</f>
        <v>K4576</v>
      </c>
      <c r="M92" s="42" t="str">
        <f>N87</f>
        <v>podwójna dziewcząt M</v>
      </c>
      <c r="N92" s="38" t="s">
        <v>201</v>
      </c>
      <c r="O92" s="28"/>
      <c r="P92" s="28"/>
      <c r="Q92" s="43" t="str">
        <f>IF(AU92&gt;0,"",IF(A92=0,"",IF(VLOOKUP(A92,'[1]plan gier'!A$1:S$65536,19,FALSE)="","",VLOOKUP(A92,'[1]plan gier'!A$1:S$65536,19,FALSE))))</f>
        <v/>
      </c>
      <c r="R92" s="72" t="s">
        <v>18</v>
      </c>
      <c r="S92" s="45">
        <v>279</v>
      </c>
      <c r="T92" s="261"/>
      <c r="U92" s="265" t="str">
        <f>IF(N92&lt;&gt;"",CONCATENATE(VLOOKUP(N92,[1]zawodnicy!$A$1:$E$65536,1,FALSE)," ",VLOOKUP(N92,[1]zawodnicy!$A$1:$E$65536,2,FALSE)," ",VLOOKUP(N92,[1]zawodnicy!$A$1:$E$65536,3,FALSE)," - ",VLOOKUP(N92,[1]zawodnicy!$A$1:$E$65536,4,FALSE)),"")</f>
        <v>R4341 Małgorzata ROGUT - MLKS Solec Kuj.</v>
      </c>
      <c r="V92" s="266"/>
      <c r="W92" s="267"/>
      <c r="X92" s="73" t="str">
        <f>IF(SUM(AS92:AT92)=0,"",AT92&amp;":"&amp;AS92)</f>
        <v>21:14</v>
      </c>
      <c r="Y92" s="62"/>
      <c r="Z92" s="40" t="str">
        <f>IF(SUM(AS91:AT91)=0,"",AS91&amp;":"&amp;AT91)</f>
        <v>22:20</v>
      </c>
      <c r="AA92" s="262"/>
      <c r="AB92" s="263"/>
      <c r="AC92" s="263"/>
      <c r="AD92" s="264"/>
      <c r="AE92" s="2"/>
      <c r="AF92" s="12"/>
      <c r="AG92" s="12"/>
      <c r="AH92" s="72" t="s">
        <v>18</v>
      </c>
      <c r="AI92" s="74">
        <f>IF(ISBLANK(S92),"",VLOOKUP(S92,'[1]plan gier'!$X$1:$AN$65536,12,FALSE))</f>
        <v>21</v>
      </c>
      <c r="AJ92" s="75">
        <f>IF(ISBLANK(S92),"",VLOOKUP(S92,'[1]plan gier'!$X$1:$AN$65536,13,FALSE))</f>
        <v>14</v>
      </c>
      <c r="AK92" s="75">
        <f>IF(ISBLANK(S92),"",VLOOKUP(S92,'[1]plan gier'!$X$1:$AN$65536,14,FALSE))</f>
        <v>10</v>
      </c>
      <c r="AL92" s="75">
        <f>IF(ISBLANK(S92),"",VLOOKUP(S92,'[1]plan gier'!$X$1:$AN$65536,15,FALSE))</f>
        <v>21</v>
      </c>
      <c r="AM92" s="75">
        <f>IF(ISBLANK(S92),"",VLOOKUP(S92,'[1]plan gier'!$X$1:$AN$65536,16,FALSE))</f>
        <v>14</v>
      </c>
      <c r="AN92" s="75">
        <f>IF(ISBLANK(S92),"",VLOOKUP(S92,'[1]plan gier'!$X$1:$AN$65536,17,FALSE))</f>
        <v>21</v>
      </c>
      <c r="AO92" s="76">
        <f t="shared" si="10"/>
        <v>21</v>
      </c>
      <c r="AP92" s="75">
        <f t="shared" si="10"/>
        <v>14</v>
      </c>
      <c r="AQ92" s="77">
        <f t="shared" si="10"/>
        <v>10</v>
      </c>
      <c r="AR92" s="75">
        <f t="shared" si="10"/>
        <v>21</v>
      </c>
      <c r="AS92" s="77">
        <f t="shared" si="10"/>
        <v>14</v>
      </c>
      <c r="AT92" s="75">
        <f t="shared" si="10"/>
        <v>21</v>
      </c>
      <c r="AU92" s="54">
        <f>SUM(AO92:AT92)</f>
        <v>101</v>
      </c>
      <c r="AV92" s="13">
        <v>3</v>
      </c>
      <c r="AW92" s="74">
        <f>IF(AI90&lt;AJ90,1,0)+IF(AK90&lt;AL90,1,0)+IF(AM90&lt;AN90,1,0)</f>
        <v>1</v>
      </c>
      <c r="AX92" s="75">
        <f>BA90</f>
        <v>2</v>
      </c>
      <c r="AY92" s="75">
        <f>IF(AI91&lt;AJ91,1,0)+IF(AK91&lt;AL91,1,0)+IF(AM91&lt;AN91,1,0)</f>
        <v>1</v>
      </c>
      <c r="AZ92" s="75">
        <f>BA91</f>
        <v>2</v>
      </c>
      <c r="BA92" s="78"/>
      <c r="BB92" s="79"/>
      <c r="BE92" s="74">
        <f>AP90+AR90+AT90+AP91+AR91+AT91</f>
        <v>108</v>
      </c>
      <c r="BF92" s="80">
        <f>AO90+AQ90+AS90+AO91+AQ91+AS91</f>
        <v>115</v>
      </c>
      <c r="BG92" s="74">
        <f>AW92+AY92</f>
        <v>2</v>
      </c>
      <c r="BH92" s="80">
        <f>AX92+AZ92</f>
        <v>4</v>
      </c>
      <c r="BI92" s="74">
        <f>IF(AW92&gt;AX92,1,0)+IF(AY92&gt;AZ92,1,0)</f>
        <v>0</v>
      </c>
      <c r="BJ92" s="81">
        <f>IF(AX92&gt;AW92,1,0)+IF(AZ92&gt;AY92,1,0)</f>
        <v>2</v>
      </c>
      <c r="BK92" s="82">
        <f>IF(BI92+BJ92=0,"",IF(BL92=MAX(BL90:BL92),1,IF(BL92=MIN(BL90:BL92),3,2)))</f>
        <v>3</v>
      </c>
      <c r="BL92" s="60">
        <f>IF(BI92+BJ92&lt;&gt;0,BI92+1+(BG92-BH92)/100+(BE92-BF92)/100000+(BE92/BF92)/1000000,0)</f>
        <v>0.97993093913043472</v>
      </c>
    </row>
    <row r="93" spans="1:64" ht="11.45" customHeight="1" x14ac:dyDescent="0.2">
      <c r="A93" s="2"/>
      <c r="J93" s="28"/>
      <c r="K93" s="28"/>
      <c r="L93" s="28"/>
      <c r="O93" s="28"/>
      <c r="P93" s="28"/>
      <c r="Q93" s="2"/>
      <c r="R93" s="2"/>
      <c r="S93" s="2"/>
      <c r="T93" s="241">
        <v>3</v>
      </c>
      <c r="U93" s="244" t="str">
        <f>IF(AND(N94&lt;&gt;"",N95&lt;&gt;""),CONCATENATE(VLOOKUP(N94,[1]zawodnicy!$A$1:$E$65536,1,FALSE)," ",VLOOKUP(N94,[1]zawodnicy!$A$1:$E$65536,2,FALSE)," ",VLOOKUP(N94,[1]zawodnicy!$A$1:$E$65536,3,FALSE)," - ",VLOOKUP(N94,[1]zawodnicy!$A$1:$E$65536,4,FALSE)),"")</f>
        <v>D4724 Wiktoria DZIKI - LKS Technik Głubczyce</v>
      </c>
      <c r="V93" s="245"/>
      <c r="W93" s="246"/>
      <c r="X93" s="46" t="str">
        <f>IF(SUM(AO90:AP90)=0,"",AP90&amp;":"&amp;AO90)</f>
        <v>18:21</v>
      </c>
      <c r="Y93" s="83" t="str">
        <f>IF(SUM(AO91:AP91)=0,"",AP91&amp;":"&amp;AO91)</f>
        <v>21:15</v>
      </c>
      <c r="Z93" s="84"/>
      <c r="AA93" s="247" t="str">
        <f>IF(SUM(AW92:AZ92)=0,"",BE92&amp;":"&amp;BF92)</f>
        <v>108:115</v>
      </c>
      <c r="AB93" s="250" t="str">
        <f>IF(SUM(AW92:AZ92)=0,"",BG92&amp;":"&amp;BH92)</f>
        <v>2:4</v>
      </c>
      <c r="AC93" s="250" t="str">
        <f>IF(SUM(AW92:AZ92)=0,"",BI92&amp;":"&amp;BJ92)</f>
        <v>0:2</v>
      </c>
      <c r="AD93" s="253">
        <f>IF(SUM(BI90:BI92)&gt;0,BK92,"")</f>
        <v>3</v>
      </c>
      <c r="AE93" s="2"/>
      <c r="AF93" s="12"/>
      <c r="AG93" s="12"/>
      <c r="BE93" s="19">
        <f>SUM(BE90:BE92)</f>
        <v>324</v>
      </c>
      <c r="BF93" s="19">
        <f>SUM(BF90:BF92)</f>
        <v>324</v>
      </c>
      <c r="BG93" s="19">
        <f>SUM(BG90:BG92)</f>
        <v>9</v>
      </c>
      <c r="BH93" s="19">
        <f>SUM(BH90:BH92)</f>
        <v>9</v>
      </c>
      <c r="BK93" s="19"/>
      <c r="BL93" s="20"/>
    </row>
    <row r="94" spans="1:64" ht="11.45" customHeight="1" x14ac:dyDescent="0.2">
      <c r="A94" s="19"/>
      <c r="J94" s="19"/>
      <c r="K94" s="19"/>
      <c r="L94" s="19"/>
      <c r="N94" s="33" t="s">
        <v>202</v>
      </c>
      <c r="O94" s="34">
        <f>IF(O86&gt;0,(O86&amp;3)*1,"")</f>
        <v>83</v>
      </c>
      <c r="Q94" s="85"/>
      <c r="R94" s="85"/>
      <c r="S94" s="85"/>
      <c r="T94" s="242"/>
      <c r="U94" s="244" t="str">
        <f>IF(AND(N94&lt;&gt;"",N95=""),CONCATENATE(VLOOKUP(N94,[1]zawodnicy!$A$1:$E$65536,1,FALSE)," ",VLOOKUP(N94,[1]zawodnicy!$A$1:$E$65536,2,FALSE)," ",VLOOKUP(N94,[1]zawodnicy!$A$1:$E$65536,3,FALSE)," - ",VLOOKUP(N94,[1]zawodnicy!$A$1:$E$65536,4,FALSE)),"")</f>
        <v/>
      </c>
      <c r="V94" s="245"/>
      <c r="W94" s="246"/>
      <c r="X94" s="61" t="str">
        <f>IF(SUM(AQ90:AR90)=0,"",AR90&amp;":"&amp;AQ90)</f>
        <v>21:15</v>
      </c>
      <c r="Y94" s="36" t="str">
        <f>IF(SUM(AQ91:AR91)=0,"",AR91&amp;":"&amp;AQ91)</f>
        <v>14:21</v>
      </c>
      <c r="Z94" s="86"/>
      <c r="AA94" s="248"/>
      <c r="AB94" s="251"/>
      <c r="AC94" s="251"/>
      <c r="AD94" s="254"/>
      <c r="AE94" s="2"/>
      <c r="AF94" s="12"/>
      <c r="AG94" s="1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row>
    <row r="95" spans="1:64" ht="11.45" customHeight="1" thickBot="1" x14ac:dyDescent="0.25">
      <c r="A95" s="2"/>
      <c r="J95" s="28"/>
      <c r="K95" s="28"/>
      <c r="L95" s="28"/>
      <c r="N95" s="38" t="s">
        <v>203</v>
      </c>
      <c r="O95" s="28"/>
      <c r="P95" s="28"/>
      <c r="Q95" s="2"/>
      <c r="R95" s="2"/>
      <c r="S95" s="2"/>
      <c r="T95" s="243"/>
      <c r="U95" s="256" t="str">
        <f>IF(N95&lt;&gt;"",CONCATENATE(VLOOKUP(N95,[1]zawodnicy!$A$1:$E$65536,1,FALSE)," ",VLOOKUP(N95,[1]zawodnicy!$A$1:$E$65536,2,FALSE)," ",VLOOKUP(N95,[1]zawodnicy!$A$1:$E$65536,3,FALSE)," - ",VLOOKUP(N95,[1]zawodnicy!$A$1:$E$65536,4,FALSE)),"")</f>
        <v>K4576 Paulina KLIMEK - MKS Strzelce Opolskie</v>
      </c>
      <c r="V95" s="257"/>
      <c r="W95" s="258"/>
      <c r="X95" s="87" t="str">
        <f>IF(SUM(AS90:AT90)=0,"",AT90&amp;":"&amp;AS90)</f>
        <v>14:21</v>
      </c>
      <c r="Y95" s="88" t="str">
        <f>IF(SUM(AS91:AT91)=0,"",AT91&amp;":"&amp;AS91)</f>
        <v>20:22</v>
      </c>
      <c r="Z95" s="89"/>
      <c r="AA95" s="249"/>
      <c r="AB95" s="252"/>
      <c r="AC95" s="252"/>
      <c r="AD95" s="255"/>
      <c r="AE95" s="10"/>
      <c r="AF95" s="12"/>
      <c r="AG95" s="1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row>
    <row r="96" spans="1:64" s="19" customFormat="1" ht="5.0999999999999996" customHeight="1" thickBot="1" x14ac:dyDescent="0.25">
      <c r="M96" s="90"/>
      <c r="O96" s="90"/>
      <c r="P96" s="90"/>
      <c r="Q96" s="91"/>
      <c r="R96" s="91"/>
      <c r="S96" s="91"/>
      <c r="T96" s="91"/>
      <c r="U96" s="5"/>
      <c r="V96" s="5"/>
      <c r="W96" s="5"/>
      <c r="AA96" s="92"/>
      <c r="AB96" s="91"/>
      <c r="AC96" s="91"/>
      <c r="AD96" s="91"/>
      <c r="AE96" s="91"/>
      <c r="AF96" s="91"/>
      <c r="AI96" s="93"/>
      <c r="AJ96" s="94"/>
      <c r="AK96" s="94"/>
    </row>
    <row r="97" spans="1:64" ht="11.45" customHeight="1" thickBot="1" x14ac:dyDescent="0.25">
      <c r="B97" s="2" t="s">
        <v>63</v>
      </c>
      <c r="N97" s="138"/>
      <c r="O97" s="21">
        <v>9</v>
      </c>
      <c r="Q97" s="277" t="str">
        <f>"Grupa "&amp;O97&amp;"."</f>
        <v>Grupa 9.</v>
      </c>
      <c r="R97" s="277"/>
      <c r="S97" s="277"/>
      <c r="T97" s="22" t="s">
        <v>1</v>
      </c>
      <c r="U97" s="278" t="s">
        <v>2</v>
      </c>
      <c r="V97" s="279"/>
      <c r="W97" s="280"/>
      <c r="X97" s="22">
        <v>1</v>
      </c>
      <c r="Y97" s="139">
        <v>2</v>
      </c>
      <c r="Z97" s="23">
        <v>3</v>
      </c>
      <c r="AA97" s="140">
        <v>4</v>
      </c>
      <c r="AB97" s="141" t="s">
        <v>3</v>
      </c>
      <c r="AC97" s="142" t="s">
        <v>4</v>
      </c>
      <c r="AD97" s="26" t="s">
        <v>5</v>
      </c>
      <c r="AE97" s="143" t="s">
        <v>6</v>
      </c>
      <c r="AF97" s="12"/>
      <c r="AG97" s="12"/>
      <c r="AI97" s="273" t="s">
        <v>9</v>
      </c>
      <c r="AJ97" s="273"/>
      <c r="AK97" s="273"/>
      <c r="AL97" s="273"/>
      <c r="AM97" s="273"/>
      <c r="AN97" s="273"/>
      <c r="AO97" s="273" t="s">
        <v>10</v>
      </c>
      <c r="AP97" s="273"/>
      <c r="AQ97" s="273"/>
      <c r="AR97" s="273"/>
      <c r="AS97" s="273"/>
      <c r="AT97" s="273"/>
      <c r="BK97" s="19"/>
      <c r="BL97" s="20"/>
    </row>
    <row r="98" spans="1:64" ht="11.45" customHeight="1" x14ac:dyDescent="0.2">
      <c r="N98" s="29" t="s">
        <v>153</v>
      </c>
      <c r="Q98" s="274" t="s">
        <v>7</v>
      </c>
      <c r="R98" s="274"/>
      <c r="S98" s="275" t="s">
        <v>8</v>
      </c>
      <c r="T98" s="242">
        <v>1</v>
      </c>
      <c r="U98" s="244" t="str">
        <f>IF(AND(N99&lt;&gt;"",N100&lt;&gt;""),CONCATENATE(VLOOKUP(N99,[1]zawodnicy!$A$1:$E$65536,1,FALSE)," ",VLOOKUP(N99,[1]zawodnicy!$A$1:$E$65536,2,FALSE)," ",VLOOKUP(N99,[1]zawodnicy!$A$1:$E$65536,3,FALSE)," - ",VLOOKUP(N99,[1]zawodnicy!$A$1:$E$65536,4,FALSE)),"")</f>
        <v>K4735 Oktawia KOISZ - UKS Kiko Zamość</v>
      </c>
      <c r="V98" s="245"/>
      <c r="W98" s="246"/>
      <c r="X98" s="35"/>
      <c r="Y98" s="36" t="str">
        <f>IF(SUM(AO106:AP106)=0,"",AO106&amp;":"&amp;AP106)</f>
        <v>5:21</v>
      </c>
      <c r="Z98" s="36" t="str">
        <f>IF(SUM(AO101:AP101)=0,"",AO101&amp;":"&amp;AP101)</f>
        <v>21:19</v>
      </c>
      <c r="AA98" s="144" t="str">
        <f>IF(SUM(AO103:AP103)=0,"",AO103&amp;":"&amp;AP103)</f>
        <v>21:9</v>
      </c>
      <c r="AB98" s="242" t="str">
        <f>IF(SUM(AY101:BD101)=0,"",BE101&amp;":"&amp;BF101)</f>
        <v>95:93</v>
      </c>
      <c r="AC98" s="251" t="str">
        <f>IF(SUM(AY101:BD101)=0,"",BG101&amp;":"&amp;BH101)</f>
        <v>4:2</v>
      </c>
      <c r="AD98" s="251" t="str">
        <f>IF(SUM(AY101:BD101)=0,"",BI101&amp;":"&amp;BJ101)</f>
        <v>2:1</v>
      </c>
      <c r="AE98" s="254">
        <f>IF(SUM(BI101:BI104)&gt;0,BK101,"")</f>
        <v>2</v>
      </c>
      <c r="AF98" s="12"/>
      <c r="AG98" s="12"/>
      <c r="BK98" s="19"/>
      <c r="BL98" s="20"/>
    </row>
    <row r="99" spans="1:64" ht="11.45" customHeight="1" thickBot="1" x14ac:dyDescent="0.25">
      <c r="H99" s="10"/>
      <c r="I99" s="2" t="str">
        <f>"1"&amp;O97&amp;N98</f>
        <v>19podwójna dziewcząt M</v>
      </c>
      <c r="J99" s="10" t="str">
        <f>IF(AE98="","",IF(AE98=1,N99,IF(AE101=1,N102,IF(AE104=1,N105,IF(AE107=1,N108,"")))))</f>
        <v>A4292</v>
      </c>
      <c r="K99" s="10" t="str">
        <f>IF(AE98="","",IF(AE98=1,N100,IF(AE101=1,N103,IF(AE104=1,N106,IF(AE107=1,N109,"")))))</f>
        <v>P4786</v>
      </c>
      <c r="L99" s="10"/>
      <c r="N99" s="33" t="s">
        <v>204</v>
      </c>
      <c r="O99" s="34">
        <f>IF(O97&gt;0,(O97&amp;1)*1,"")</f>
        <v>91</v>
      </c>
      <c r="Q99" s="274"/>
      <c r="R99" s="274"/>
      <c r="S99" s="275"/>
      <c r="T99" s="242"/>
      <c r="U99" s="244" t="str">
        <f>IF(AND(N99&lt;&gt;"",N100=""),CONCATENATE(VLOOKUP(N99,[1]zawodnicy!$A$1:$E$65536,1,FALSE)," ",VLOOKUP(N99,[1]zawodnicy!$A$1:$E$65536,2,FALSE)," ",VLOOKUP(N99,[1]zawodnicy!$A$1:$E$65536,3,FALSE)," - ",VLOOKUP(N99,[1]zawodnicy!$A$1:$E$65536,4,FALSE)),"")</f>
        <v/>
      </c>
      <c r="V99" s="245"/>
      <c r="W99" s="246"/>
      <c r="X99" s="35"/>
      <c r="Y99" s="36" t="str">
        <f>IF(SUM(AQ106:AR106)=0,"",AQ106&amp;":"&amp;AR106)</f>
        <v>6:21</v>
      </c>
      <c r="Z99" s="36" t="str">
        <f>IF(SUM(AQ101:AR101)=0,"",AQ101&amp;":"&amp;AR101)</f>
        <v>21:15</v>
      </c>
      <c r="AA99" s="144" t="str">
        <f>IF(SUM(AQ103:AR103)=0,"",AQ103&amp;":"&amp;AR103)</f>
        <v>21:8</v>
      </c>
      <c r="AB99" s="242"/>
      <c r="AC99" s="251"/>
      <c r="AD99" s="251"/>
      <c r="AE99" s="254"/>
      <c r="AF99" s="12"/>
      <c r="AG99" s="12"/>
      <c r="BK99" s="19"/>
      <c r="BL99" s="20"/>
    </row>
    <row r="100" spans="1:64" ht="11.45" customHeight="1" thickBot="1" x14ac:dyDescent="0.25">
      <c r="J100" s="10"/>
      <c r="K100" s="28"/>
      <c r="L100" s="28"/>
      <c r="N100" s="38" t="s">
        <v>205</v>
      </c>
      <c r="O100" s="28"/>
      <c r="P100" s="28"/>
      <c r="Q100" s="274"/>
      <c r="R100" s="274"/>
      <c r="S100" s="275"/>
      <c r="T100" s="261"/>
      <c r="U100" s="265" t="str">
        <f>IF(N100&lt;&gt;"",CONCATENATE(VLOOKUP(N100,[1]zawodnicy!$A$1:$E$65536,1,FALSE)," ",VLOOKUP(N100,[1]zawodnicy!$A$1:$E$65536,2,FALSE)," ",VLOOKUP(N100,[1]zawodnicy!$A$1:$E$65536,3,FALSE)," - ",VLOOKUP(N100,[1]zawodnicy!$A$1:$E$65536,4,FALSE)),"")</f>
        <v>Z4822 Julia ZIEMIŃSKA - UKS Kiko Zamość</v>
      </c>
      <c r="V100" s="266"/>
      <c r="W100" s="267"/>
      <c r="X100" s="35"/>
      <c r="Y100" s="39" t="str">
        <f>IF(SUM(AS106:AT106)=0,"",AS106&amp;":"&amp;AT106)</f>
        <v/>
      </c>
      <c r="Z100" s="39" t="str">
        <f>IF(SUM(AS101:AT101)=0,"",AS101&amp;":"&amp;AT101)</f>
        <v/>
      </c>
      <c r="AA100" s="145" t="str">
        <f>IF(SUM(AS103:AT103)=0,"",AS103&amp;":"&amp;AT103)</f>
        <v/>
      </c>
      <c r="AB100" s="242"/>
      <c r="AC100" s="251"/>
      <c r="AD100" s="251"/>
      <c r="AE100" s="254"/>
      <c r="AF100" s="12"/>
      <c r="AG100" s="12"/>
      <c r="AI100" s="283" t="s">
        <v>12</v>
      </c>
      <c r="AJ100" s="281"/>
      <c r="AK100" s="281" t="s">
        <v>13</v>
      </c>
      <c r="AL100" s="281"/>
      <c r="AM100" s="281" t="s">
        <v>14</v>
      </c>
      <c r="AN100" s="281"/>
      <c r="AO100" s="283" t="s">
        <v>12</v>
      </c>
      <c r="AP100" s="281"/>
      <c r="AQ100" s="281" t="s">
        <v>13</v>
      </c>
      <c r="AR100" s="281"/>
      <c r="AS100" s="281" t="s">
        <v>14</v>
      </c>
      <c r="AT100" s="282"/>
      <c r="AW100" s="283">
        <v>1</v>
      </c>
      <c r="AX100" s="281"/>
      <c r="AY100" s="281">
        <v>2</v>
      </c>
      <c r="AZ100" s="281"/>
      <c r="BA100" s="281">
        <v>3</v>
      </c>
      <c r="BB100" s="281"/>
      <c r="BC100" s="281">
        <v>4</v>
      </c>
      <c r="BD100" s="282"/>
      <c r="BE100" s="283" t="s">
        <v>3</v>
      </c>
      <c r="BF100" s="282"/>
      <c r="BG100" s="283" t="s">
        <v>4</v>
      </c>
      <c r="BH100" s="282"/>
      <c r="BI100" s="283" t="s">
        <v>5</v>
      </c>
      <c r="BJ100" s="268"/>
      <c r="BK100" s="41" t="s">
        <v>6</v>
      </c>
      <c r="BL100" s="20"/>
    </row>
    <row r="101" spans="1:64" ht="11.45" customHeight="1" x14ac:dyDescent="0.2">
      <c r="A101" s="19">
        <f t="shared" ref="A101:A106" si="11">S101</f>
        <v>67</v>
      </c>
      <c r="B101" s="19" t="str">
        <f>IF(N99="","",N99)</f>
        <v>K4735</v>
      </c>
      <c r="C101" s="19" t="str">
        <f>IF(N100="","",N100)</f>
        <v>Z4822</v>
      </c>
      <c r="D101" s="19" t="str">
        <f>IF(N105="","",N105)</f>
        <v>X21</v>
      </c>
      <c r="E101" s="19" t="str">
        <f>IF(N106="","",N106)</f>
        <v>G3411</v>
      </c>
      <c r="H101" s="10"/>
      <c r="I101" s="2" t="str">
        <f>"2"&amp;O97&amp;N98</f>
        <v>29podwójna dziewcząt M</v>
      </c>
      <c r="J101" s="10" t="str">
        <f>IF(AE101="","",IF(AE98=2,N99,IF(AE101=2,N102,IF(AE104=2,N105,IF(AE107=2,N108,"")))))</f>
        <v>K4735</v>
      </c>
      <c r="K101" s="10" t="str">
        <f>IF(AE101="","",IF(AE98=2,N100,IF(AE101=2,N103,IF(AE104=2,N106,IF(AE107=2,N109,"")))))</f>
        <v>Z4822</v>
      </c>
      <c r="L101" s="10"/>
      <c r="M101" s="42" t="str">
        <f>N98</f>
        <v>podwójna dziewcząt M</v>
      </c>
      <c r="O101" s="28"/>
      <c r="P101" s="28"/>
      <c r="Q101" s="43" t="str">
        <f>IF(AU101&gt;0,"",IF(A101=0,"",IF(VLOOKUP(A101,'[1]plan gier'!A$1:S$65536,19,FALSE)="","",VLOOKUP(A101,'[1]plan gier'!A$1:S$65536,19,FALSE))))</f>
        <v/>
      </c>
      <c r="R101" s="44" t="s">
        <v>15</v>
      </c>
      <c r="S101" s="146">
        <v>67</v>
      </c>
      <c r="T101" s="241">
        <v>2</v>
      </c>
      <c r="U101" s="244" t="str">
        <f>IF(AND(N102&lt;&gt;"",N103&lt;&gt;""),CONCATENATE(VLOOKUP(N102,[1]zawodnicy!$A$1:$E$65536,1,FALSE)," ",VLOOKUP(N102,[1]zawodnicy!$A$1:$E$65536,2,FALSE)," ",VLOOKUP(N102,[1]zawodnicy!$A$1:$E$65536,3,FALSE)," - ",VLOOKUP(N102,[1]zawodnicy!$A$1:$E$65536,4,FALSE)),"")</f>
        <v>A4292 Wiktoria ADAMEK - UKS Ząbkowice Dąbrowa Górn.</v>
      </c>
      <c r="V101" s="245"/>
      <c r="W101" s="246"/>
      <c r="X101" s="46" t="str">
        <f>IF(SUM(AO106:AP106)=0,"",AP106&amp;":"&amp;AO106)</f>
        <v>21:5</v>
      </c>
      <c r="Y101" s="147"/>
      <c r="Z101" s="83" t="str">
        <f>IF(SUM(AO104:AP104)=0,"",AO104&amp;":"&amp;AP104)</f>
        <v>21:8</v>
      </c>
      <c r="AA101" s="48" t="str">
        <f>IF(SUM(AO102:AP102)=0,"",AO102&amp;":"&amp;AP102)</f>
        <v>21:4</v>
      </c>
      <c r="AB101" s="241" t="str">
        <f>IF(SUM(AW102:AX102,BA102:BD102)=0,"",BE102&amp;":"&amp;BF102)</f>
        <v>126:35</v>
      </c>
      <c r="AC101" s="250" t="str">
        <f>IF(SUM(AW102:AX102,BA102:BD102)=0,"",BG102&amp;":"&amp;BH102)</f>
        <v>6:0</v>
      </c>
      <c r="AD101" s="250" t="str">
        <f>IF(SUM(AW102:AX102,BA102:BD102)=0,"",BI102&amp;":"&amp;BJ102)</f>
        <v>3:0</v>
      </c>
      <c r="AE101" s="253">
        <f>IF(SUM(BI101:BI104)&gt;0,BK102,"")</f>
        <v>1</v>
      </c>
      <c r="AF101" s="12"/>
      <c r="AG101" s="12"/>
      <c r="AH101" s="44" t="s">
        <v>15</v>
      </c>
      <c r="AI101" s="148">
        <f>IF(ISBLANK(S101),"",VLOOKUP(S101,'[1]plan gier'!$X$1:$AN$65536,12,FALSE))</f>
        <v>21</v>
      </c>
      <c r="AJ101" s="52">
        <f>IF(ISBLANK(S101),"",VLOOKUP(S101,'[1]plan gier'!$X$1:$AN$65536,13,FALSE))</f>
        <v>19</v>
      </c>
      <c r="AK101" s="52">
        <f>IF(ISBLANK(S101),"",VLOOKUP(S101,'[1]plan gier'!$X$1:$AN$65536,14,FALSE))</f>
        <v>21</v>
      </c>
      <c r="AL101" s="52">
        <f>IF(ISBLANK(S101),"",VLOOKUP(S101,'[1]plan gier'!$X$1:$AN$65536,15,FALSE))</f>
        <v>15</v>
      </c>
      <c r="AM101" s="52">
        <f>IF(ISBLANK(S101),"",VLOOKUP(S101,'[1]plan gier'!$X$1:$AN$65536,16,FALSE))</f>
        <v>0</v>
      </c>
      <c r="AN101" s="52">
        <f>IF(ISBLANK(S101),"",VLOOKUP(S101,'[1]plan gier'!$X$1:$AN$65536,17,FALSE))</f>
        <v>0</v>
      </c>
      <c r="AO101" s="49">
        <f t="shared" ref="AO101:AT106" si="12">IF(AI101="",0,AI101)</f>
        <v>21</v>
      </c>
      <c r="AP101" s="50">
        <f t="shared" si="12"/>
        <v>19</v>
      </c>
      <c r="AQ101" s="50">
        <f t="shared" si="12"/>
        <v>21</v>
      </c>
      <c r="AR101" s="50">
        <f t="shared" si="12"/>
        <v>15</v>
      </c>
      <c r="AS101" s="50">
        <f t="shared" si="12"/>
        <v>0</v>
      </c>
      <c r="AT101" s="57">
        <f t="shared" si="12"/>
        <v>0</v>
      </c>
      <c r="AU101" s="149">
        <f t="shared" ref="AU101:AU106" si="13">SUM(AO101:AT101)</f>
        <v>76</v>
      </c>
      <c r="AV101" s="5">
        <v>1</v>
      </c>
      <c r="AW101" s="284"/>
      <c r="AX101" s="285"/>
      <c r="AY101" s="50">
        <f>IF(AI106&gt;AJ106,1,0)+IF(AK106&gt;AL106,1,0)+IF(AM106&gt;AN106,1,0)</f>
        <v>0</v>
      </c>
      <c r="AZ101" s="50">
        <f>AW102</f>
        <v>2</v>
      </c>
      <c r="BA101" s="50">
        <f>IF(AI101&gt;AJ101,1,0)+IF(AK101&gt;AL101,1,0)+IF(AM101&gt;AN101,1,0)</f>
        <v>2</v>
      </c>
      <c r="BB101" s="52">
        <f>AW103</f>
        <v>0</v>
      </c>
      <c r="BC101" s="150">
        <f>IF(AI103&gt;AJ103,1,0)+IF(AK103&gt;AL103,1,0)+IF(AM103&gt;AN103,1,0)</f>
        <v>2</v>
      </c>
      <c r="BD101" s="58">
        <f>AW104</f>
        <v>0</v>
      </c>
      <c r="BE101" s="148">
        <f>AO101+AQ101+AS101+AO103+AQ103+AS103+AO106+AQ106+AS106</f>
        <v>95</v>
      </c>
      <c r="BF101" s="151">
        <f>AP101+AR101+AT101+AP103+AR103+AT103+AP106+AR106+AT106</f>
        <v>93</v>
      </c>
      <c r="BG101" s="148">
        <f>AY101+BA101+BC101</f>
        <v>4</v>
      </c>
      <c r="BH101" s="152">
        <f>AZ101+BB101+BD101</f>
        <v>2</v>
      </c>
      <c r="BI101" s="148">
        <f>IF(AY101&gt;AZ101,1,0)+IF(BA101&gt;BB101,1,0)+IF(BC101&gt;BD101,1,0)</f>
        <v>2</v>
      </c>
      <c r="BJ101" s="152">
        <f>IF(AZ101&gt;AY101,1,0)+IF(BB101&gt;BA101,1,0)+IF(BD101&gt;BC101,1,0)</f>
        <v>1</v>
      </c>
      <c r="BK101" s="153">
        <f>IF(BI101+BJ101=0,"",IF(BL101=MAX(BL101:BL104),1,IF(BL101=LARGE(BL101:BL104,2),2,IF(BL101=MIN(BL101:BL104),4,3))))</f>
        <v>2</v>
      </c>
      <c r="BL101" s="60">
        <f>IF(BI101+BJ101&lt;&gt;0,BI101+1+(BG101-BH101)/100+(BE101-BF101)/100000+(BE101/BF101)/1000000,0)</f>
        <v>3.0200210215053764</v>
      </c>
    </row>
    <row r="102" spans="1:64" ht="11.45" customHeight="1" x14ac:dyDescent="0.2">
      <c r="A102" s="19">
        <f t="shared" si="11"/>
        <v>68</v>
      </c>
      <c r="B102" s="19" t="str">
        <f>IF(N102="","",N102)</f>
        <v>A4292</v>
      </c>
      <c r="C102" s="19" t="str">
        <f>IF(N103="","",N103)</f>
        <v>P4786</v>
      </c>
      <c r="D102" s="19" t="str">
        <f>IF(N108="","",N108)</f>
        <v>R5590</v>
      </c>
      <c r="E102" s="19" t="str">
        <f>IF(N109="","",N109)</f>
        <v>S5361</v>
      </c>
      <c r="J102" s="10"/>
      <c r="K102" s="19"/>
      <c r="L102" s="19"/>
      <c r="M102" s="42" t="str">
        <f>N98</f>
        <v>podwójna dziewcząt M</v>
      </c>
      <c r="N102" s="33" t="s">
        <v>206</v>
      </c>
      <c r="O102" s="34">
        <f>IF(O97&gt;0,(O97&amp;2)*1,"")</f>
        <v>92</v>
      </c>
      <c r="Q102" s="43" t="str">
        <f>IF(AU102&gt;0,"",IF(A102=0,"",IF(VLOOKUP(A102,'[1]plan gier'!A$1:S$65536,19,FALSE)="","",VLOOKUP(A102,'[1]plan gier'!A$1:S$65536,19,FALSE))))</f>
        <v/>
      </c>
      <c r="R102" s="44" t="s">
        <v>66</v>
      </c>
      <c r="S102" s="146">
        <v>68</v>
      </c>
      <c r="T102" s="242"/>
      <c r="U102" s="244" t="str">
        <f>IF(AND(N102&lt;&gt;"",N103=""),CONCATENATE(VLOOKUP(N102,[1]zawodnicy!$A$1:$E$65536,1,FALSE)," ",VLOOKUP(N102,[1]zawodnicy!$A$1:$E$65536,2,FALSE)," ",VLOOKUP(N102,[1]zawodnicy!$A$1:$E$65536,3,FALSE)," - ",VLOOKUP(N102,[1]zawodnicy!$A$1:$E$65536,4,FALSE)),"")</f>
        <v/>
      </c>
      <c r="V102" s="245"/>
      <c r="W102" s="246"/>
      <c r="X102" s="61" t="str">
        <f>IF(SUM(AQ106:AR106)=0,"",AR106&amp;":"&amp;AQ106)</f>
        <v>21:6</v>
      </c>
      <c r="Y102" s="154"/>
      <c r="Z102" s="36" t="str">
        <f>IF(SUM(AQ104:AR104)=0,"",AQ104&amp;":"&amp;AR104)</f>
        <v>21:7</v>
      </c>
      <c r="AA102" s="37" t="str">
        <f>IF(SUM(AQ102:AR102)=0,"",AQ102&amp;":"&amp;AR102)</f>
        <v>21:5</v>
      </c>
      <c r="AB102" s="242"/>
      <c r="AC102" s="251"/>
      <c r="AD102" s="251"/>
      <c r="AE102" s="254"/>
      <c r="AF102" s="12"/>
      <c r="AG102" s="12"/>
      <c r="AH102" s="44" t="s">
        <v>66</v>
      </c>
      <c r="AI102" s="49">
        <f>IF(ISBLANK(S102),"",VLOOKUP(S102,'[1]plan gier'!$X$1:$AN$65536,12,FALSE))</f>
        <v>21</v>
      </c>
      <c r="AJ102" s="50">
        <f>IF(ISBLANK(S102),"",VLOOKUP(S102,'[1]plan gier'!$X$1:$AN$65536,13,FALSE))</f>
        <v>4</v>
      </c>
      <c r="AK102" s="50">
        <f>IF(ISBLANK(S102),"",VLOOKUP(S102,'[1]plan gier'!$X$1:$AN$65536,14,FALSE))</f>
        <v>21</v>
      </c>
      <c r="AL102" s="50">
        <f>IF(ISBLANK(S102),"",VLOOKUP(S102,'[1]plan gier'!$X$1:$AN$65536,15,FALSE))</f>
        <v>5</v>
      </c>
      <c r="AM102" s="50">
        <f>IF(ISBLANK(S102),"",VLOOKUP(S102,'[1]plan gier'!$X$1:$AN$65536,16,FALSE))</f>
        <v>0</v>
      </c>
      <c r="AN102" s="50">
        <f>IF(ISBLANK(S102),"",VLOOKUP(S102,'[1]plan gier'!$X$1:$AN$65536,17,FALSE))</f>
        <v>0</v>
      </c>
      <c r="AO102" s="63">
        <f t="shared" si="12"/>
        <v>21</v>
      </c>
      <c r="AP102" s="64">
        <f t="shared" si="12"/>
        <v>4</v>
      </c>
      <c r="AQ102" s="64">
        <f t="shared" si="12"/>
        <v>21</v>
      </c>
      <c r="AR102" s="64">
        <f t="shared" si="12"/>
        <v>5</v>
      </c>
      <c r="AS102" s="64">
        <f t="shared" si="12"/>
        <v>0</v>
      </c>
      <c r="AT102" s="69">
        <f t="shared" si="12"/>
        <v>0</v>
      </c>
      <c r="AU102" s="149">
        <f t="shared" si="13"/>
        <v>51</v>
      </c>
      <c r="AV102" s="5">
        <v>2</v>
      </c>
      <c r="AW102" s="63">
        <f>IF(AI106&lt;AJ106,1,0)+IF(AK106&lt;AL106,1,0)+IF(AM106&lt;AN106,1,0)</f>
        <v>2</v>
      </c>
      <c r="AX102" s="64">
        <f>AY101</f>
        <v>0</v>
      </c>
      <c r="AY102" s="155"/>
      <c r="AZ102" s="156"/>
      <c r="BA102" s="64">
        <f>IF(AI104&gt;AJ104,1,0)+IF(AK104&gt;AL104,1,0)+IF(AM104&gt;AN104,1,0)</f>
        <v>2</v>
      </c>
      <c r="BB102" s="64">
        <f>AY103</f>
        <v>0</v>
      </c>
      <c r="BC102" s="157">
        <f>IF(AI102&gt;AJ102,1,0)+IF(AK102&gt;AL102,1,0)+IF(AM102&gt;AN102,1,0)</f>
        <v>2</v>
      </c>
      <c r="BD102" s="70">
        <f>AY104</f>
        <v>0</v>
      </c>
      <c r="BE102" s="63">
        <f>AO102+AQ102+AS102+AO104+AQ104+AS104+AP106+AR106+AT106</f>
        <v>126</v>
      </c>
      <c r="BF102" s="70">
        <f>AP102+AR102+AT102+AP104+AR104+AT104+AO106+AQ106+AS106</f>
        <v>35</v>
      </c>
      <c r="BG102" s="63">
        <f>AW102+BA102+BC102</f>
        <v>6</v>
      </c>
      <c r="BH102" s="69">
        <f>AX102+BB102+BD102</f>
        <v>0</v>
      </c>
      <c r="BI102" s="63">
        <f>IF(AW102&gt;AX102,1,0)+IF(BA102&gt;BB102,1,0)+IF(BC102&gt;BD102,1,0)</f>
        <v>3</v>
      </c>
      <c r="BJ102" s="69">
        <f>IF(AX102&gt;AW102,1,0)+IF(BB102&gt;BA102,1,0)+IF(BD102&gt;BC102,1,0)</f>
        <v>0</v>
      </c>
      <c r="BK102" s="71">
        <f>IF(BI102+BJ102=0,"",IF(BL102=MAX(BL101:BL104),1,IF(BL102=LARGE(BL101:BL104,2),2,IF(BL102=MIN(BL101:BL104),4,3))))</f>
        <v>1</v>
      </c>
      <c r="BL102" s="60">
        <f>IF(BI102+BJ102&lt;&gt;0,BI102+1+(BG102-BH102)/100+(BE102-BF102)/100000+(BE102/BF102)/1000000,0)</f>
        <v>4.0609136000000001</v>
      </c>
    </row>
    <row r="103" spans="1:64" ht="11.45" customHeight="1" x14ac:dyDescent="0.2">
      <c r="A103" s="19">
        <f t="shared" si="11"/>
        <v>133</v>
      </c>
      <c r="B103" s="19" t="str">
        <f>IF(N99="","",N99)</f>
        <v>K4735</v>
      </c>
      <c r="C103" s="19" t="str">
        <f>IF(N100="","",N100)</f>
        <v>Z4822</v>
      </c>
      <c r="D103" s="19" t="str">
        <f>IF(N108="","",N108)</f>
        <v>R5590</v>
      </c>
      <c r="E103" s="19" t="str">
        <f>IF(N109="","",N109)</f>
        <v>S5361</v>
      </c>
      <c r="H103" s="10"/>
      <c r="I103" s="2" t="str">
        <f>"3"&amp;O97&amp;N98</f>
        <v>39podwójna dziewcząt M</v>
      </c>
      <c r="J103" s="10" t="str">
        <f>IF(AE104="","",IF(AE98=3,N99,IF(AE101=3,N102,IF(AE104=3,N105,IF(AE107=3,N108,"")))))</f>
        <v>X21</v>
      </c>
      <c r="K103" s="10" t="str">
        <f>IF(AE104="","",IF(AE98=3,N100,IF(AE101=3,N103,IF(AE104=3,N106,IF(AE107=3,N109,"")))))</f>
        <v>G3411</v>
      </c>
      <c r="L103" s="10"/>
      <c r="M103" s="42" t="str">
        <f>N98</f>
        <v>podwójna dziewcząt M</v>
      </c>
      <c r="N103" s="38" t="s">
        <v>207</v>
      </c>
      <c r="O103" s="28"/>
      <c r="P103" s="28"/>
      <c r="Q103" s="43" t="str">
        <f>IF(AU103&gt;0,"",IF(A103=0,"",IF(VLOOKUP(A103,'[1]plan gier'!A$1:S$65536,19,FALSE)="","",VLOOKUP(A103,'[1]plan gier'!A$1:S$65536,19,FALSE))))</f>
        <v/>
      </c>
      <c r="R103" s="44" t="s">
        <v>68</v>
      </c>
      <c r="S103" s="146">
        <v>133</v>
      </c>
      <c r="T103" s="261"/>
      <c r="U103" s="265" t="str">
        <f>IF(N103&lt;&gt;"",CONCATENATE(VLOOKUP(N103,[1]zawodnicy!$A$1:$E$65536,1,FALSE)," ",VLOOKUP(N103,[1]zawodnicy!$A$1:$E$65536,2,FALSE)," ",VLOOKUP(N103,[1]zawodnicy!$A$1:$E$65536,3,FALSE)," - ",VLOOKUP(N103,[1]zawodnicy!$A$1:$E$65536,4,FALSE)),"")</f>
        <v>P4786 Aleksandra PTAK - STB Energia Lubliniec</v>
      </c>
      <c r="V103" s="266"/>
      <c r="W103" s="267"/>
      <c r="X103" s="73" t="str">
        <f>IF(SUM(AS106:AT106)=0,"",AT106&amp;":"&amp;AS106)</f>
        <v/>
      </c>
      <c r="Y103" s="154"/>
      <c r="Z103" s="39" t="str">
        <f>IF(SUM(AS104:AT104)=0,"",AS104&amp;":"&amp;AT104)</f>
        <v/>
      </c>
      <c r="AA103" s="40" t="str">
        <f>IF(SUM(AS102:AT102)=0,"",AS102&amp;":"&amp;AT102)</f>
        <v/>
      </c>
      <c r="AB103" s="242"/>
      <c r="AC103" s="251"/>
      <c r="AD103" s="251"/>
      <c r="AE103" s="254"/>
      <c r="AF103" s="12"/>
      <c r="AG103" s="12"/>
      <c r="AH103" s="44" t="s">
        <v>68</v>
      </c>
      <c r="AI103" s="49">
        <f>IF(ISBLANK(S103),"",VLOOKUP(S103,'[1]plan gier'!$X$1:$AN$65536,12,FALSE))</f>
        <v>21</v>
      </c>
      <c r="AJ103" s="50">
        <f>IF(ISBLANK(S103),"",VLOOKUP(S103,'[1]plan gier'!$X$1:$AN$65536,13,FALSE))</f>
        <v>9</v>
      </c>
      <c r="AK103" s="50">
        <f>IF(ISBLANK(S103),"",VLOOKUP(S103,'[1]plan gier'!$X$1:$AN$65536,14,FALSE))</f>
        <v>21</v>
      </c>
      <c r="AL103" s="50">
        <f>IF(ISBLANK(S103),"",VLOOKUP(S103,'[1]plan gier'!$X$1:$AN$65536,15,FALSE))</f>
        <v>8</v>
      </c>
      <c r="AM103" s="50">
        <f>IF(ISBLANK(S103),"",VLOOKUP(S103,'[1]plan gier'!$X$1:$AN$65536,16,FALSE))</f>
        <v>0</v>
      </c>
      <c r="AN103" s="50">
        <f>IF(ISBLANK(S103),"",VLOOKUP(S103,'[1]plan gier'!$X$1:$AN$65536,17,FALSE))</f>
        <v>0</v>
      </c>
      <c r="AO103" s="63">
        <f t="shared" si="12"/>
        <v>21</v>
      </c>
      <c r="AP103" s="64">
        <f t="shared" si="12"/>
        <v>9</v>
      </c>
      <c r="AQ103" s="64">
        <f t="shared" si="12"/>
        <v>21</v>
      </c>
      <c r="AR103" s="64">
        <f t="shared" si="12"/>
        <v>8</v>
      </c>
      <c r="AS103" s="64">
        <f t="shared" si="12"/>
        <v>0</v>
      </c>
      <c r="AT103" s="69">
        <f t="shared" si="12"/>
        <v>0</v>
      </c>
      <c r="AU103" s="149">
        <f t="shared" si="13"/>
        <v>59</v>
      </c>
      <c r="AV103" s="5">
        <v>3</v>
      </c>
      <c r="AW103" s="63">
        <f>IF(AI101&lt;AJ101,1,0)+IF(AK101&lt;AL101,1,0)+IF(AM101&lt;AN101,1,0)</f>
        <v>0</v>
      </c>
      <c r="AX103" s="64">
        <f>BA101</f>
        <v>2</v>
      </c>
      <c r="AY103" s="64">
        <f>IF(AI104&lt;AJ104,1,0)+IF(AK104&lt;AL104,1,0)+IF(AM104&lt;AN104,1,0)</f>
        <v>0</v>
      </c>
      <c r="AZ103" s="64">
        <f>BA102</f>
        <v>2</v>
      </c>
      <c r="BA103" s="155"/>
      <c r="BB103" s="156"/>
      <c r="BC103" s="64">
        <f>IF(AI105&gt;AJ105,1,0)+IF(AK105&gt;AL105,1,0)+IF(AM105&gt;AN105,1,0)</f>
        <v>2</v>
      </c>
      <c r="BD103" s="70">
        <f>BA104</f>
        <v>0</v>
      </c>
      <c r="BE103" s="158">
        <f>AP101+AR101+AT101+AP104+AR104+AT104+AO105+AQ105+AS105</f>
        <v>91</v>
      </c>
      <c r="BF103" s="159">
        <f>AO101+AQ101+AS101+AO104+AQ104+AS104+AP105+AR105+AT105</f>
        <v>98</v>
      </c>
      <c r="BG103" s="158">
        <f>AW103+AY103+BC103</f>
        <v>2</v>
      </c>
      <c r="BH103" s="160">
        <f>AX103+AZ103+BD103</f>
        <v>4</v>
      </c>
      <c r="BI103" s="63">
        <f>IF(AW103&gt;AX103,1,0)+IF(AY103&gt;AZ103,1,0)+IF(BC103&gt;BD103,1,0)</f>
        <v>1</v>
      </c>
      <c r="BJ103" s="69">
        <f>IF(AX103&gt;AW103,1,0)+IF(AZ103&gt;AY103,1,0)+IF(BD103&gt;BC103,1,0)</f>
        <v>2</v>
      </c>
      <c r="BK103" s="71">
        <f>IF(BI103+BJ103=0,"",IF(BL103=MAX(BL101:BL104),1,IF(BL103=LARGE(BL101:BL104,2),2,IF(BL103=MIN(BL101:BL104),4,3))))</f>
        <v>3</v>
      </c>
      <c r="BL103" s="60">
        <f>IF(BI103+BJ103&lt;&gt;0,BI103+1+(BG103-BH103)/100+(BE103-BF103)/100000+(BE103/BF103)/1000000,0)</f>
        <v>1.9799309285714286</v>
      </c>
    </row>
    <row r="104" spans="1:64" ht="11.45" customHeight="1" thickBot="1" x14ac:dyDescent="0.25">
      <c r="A104" s="19">
        <f t="shared" si="11"/>
        <v>134</v>
      </c>
      <c r="B104" s="19" t="str">
        <f>IF(N102="","",N102)</f>
        <v>A4292</v>
      </c>
      <c r="C104" s="19" t="str">
        <f>IF(N103="","",N103)</f>
        <v>P4786</v>
      </c>
      <c r="D104" s="19" t="str">
        <f>IF(N105="","",N105)</f>
        <v>X21</v>
      </c>
      <c r="E104" s="19" t="str">
        <f>IF(N106="","",N106)</f>
        <v>G3411</v>
      </c>
      <c r="J104" s="10"/>
      <c r="K104" s="28"/>
      <c r="L104" s="28"/>
      <c r="M104" s="42" t="str">
        <f>N98</f>
        <v>podwójna dziewcząt M</v>
      </c>
      <c r="O104" s="28"/>
      <c r="P104" s="28"/>
      <c r="Q104" s="43" t="str">
        <f>IF(AU104&gt;0,"",IF(A104=0,"",IF(VLOOKUP(A104,'[1]plan gier'!A$1:S$65536,19,FALSE)="","",VLOOKUP(A104,'[1]plan gier'!A$1:S$65536,19,FALSE))))</f>
        <v/>
      </c>
      <c r="R104" s="44" t="s">
        <v>17</v>
      </c>
      <c r="S104" s="146">
        <v>134</v>
      </c>
      <c r="T104" s="241">
        <v>3</v>
      </c>
      <c r="U104" s="244" t="str">
        <f>IF(AND(N105&lt;&gt;"",N106&lt;&gt;""),CONCATENATE(VLOOKUP(N105,[1]zawodnicy!$A$1:$E$65536,1,FALSE)," ",VLOOKUP(N105,[1]zawodnicy!$A$1:$E$65536,2,FALSE)," ",VLOOKUP(N105,[1]zawodnicy!$A$1:$E$65536,3,FALSE)," - ",VLOOKUP(N105,[1]zawodnicy!$A$1:$E$65536,4,FALSE)),"")</f>
        <v>X21 Tetiana ABRAMOVA - Vinnica Ukraina</v>
      </c>
      <c r="V104" s="245"/>
      <c r="W104" s="246"/>
      <c r="X104" s="46" t="str">
        <f>IF(SUM(AO101:AP101)=0,"",AP101&amp;":"&amp;AO101)</f>
        <v>19:21</v>
      </c>
      <c r="Y104" s="83" t="str">
        <f>IF(SUM(AO104:AP104)=0,"",AP104&amp;":"&amp;AO104)</f>
        <v>8:21</v>
      </c>
      <c r="Z104" s="47"/>
      <c r="AA104" s="48" t="str">
        <f>IF(SUM(AO105:AP105)=0,"",AO105&amp;":"&amp;AP105)</f>
        <v>21:7</v>
      </c>
      <c r="AB104" s="241" t="str">
        <f>IF(SUM(AW103:AZ103,BC103:BD103)=0,"",BE103&amp;":"&amp;BF103)</f>
        <v>91:98</v>
      </c>
      <c r="AC104" s="250" t="str">
        <f>IF(SUM(AW103:AZ103,BC103:BD103)=0,"",BG103&amp;":"&amp;BH103)</f>
        <v>2:4</v>
      </c>
      <c r="AD104" s="250" t="str">
        <f>IF(SUM(AW103:AZ103,BC103:BD103)=0,"",BI103&amp;":"&amp;BJ103)</f>
        <v>1:2</v>
      </c>
      <c r="AE104" s="253">
        <f>IF(SUM(BI101:BI104)&gt;0,BK103,"")</f>
        <v>3</v>
      </c>
      <c r="AF104" s="12"/>
      <c r="AG104" s="12"/>
      <c r="AH104" s="44" t="s">
        <v>17</v>
      </c>
      <c r="AI104" s="49">
        <f>IF(ISBLANK(S104),"",VLOOKUP(S104,'[1]plan gier'!$X$1:$AN$65536,12,FALSE))</f>
        <v>21</v>
      </c>
      <c r="AJ104" s="50">
        <f>IF(ISBLANK(S104),"",VLOOKUP(S104,'[1]plan gier'!$X$1:$AN$65536,13,FALSE))</f>
        <v>8</v>
      </c>
      <c r="AK104" s="50">
        <f>IF(ISBLANK(S104),"",VLOOKUP(S104,'[1]plan gier'!$X$1:$AN$65536,14,FALSE))</f>
        <v>21</v>
      </c>
      <c r="AL104" s="50">
        <f>IF(ISBLANK(S104),"",VLOOKUP(S104,'[1]plan gier'!$X$1:$AN$65536,15,FALSE))</f>
        <v>7</v>
      </c>
      <c r="AM104" s="50">
        <f>IF(ISBLANK(S104),"",VLOOKUP(S104,'[1]plan gier'!$X$1:$AN$65536,16,FALSE))</f>
        <v>0</v>
      </c>
      <c r="AN104" s="50">
        <f>IF(ISBLANK(S104),"",VLOOKUP(S104,'[1]plan gier'!$X$1:$AN$65536,17,FALSE))</f>
        <v>0</v>
      </c>
      <c r="AO104" s="63">
        <f t="shared" si="12"/>
        <v>21</v>
      </c>
      <c r="AP104" s="64">
        <f t="shared" si="12"/>
        <v>8</v>
      </c>
      <c r="AQ104" s="64">
        <f t="shared" si="12"/>
        <v>21</v>
      </c>
      <c r="AR104" s="64">
        <f t="shared" si="12"/>
        <v>7</v>
      </c>
      <c r="AS104" s="64">
        <f t="shared" si="12"/>
        <v>0</v>
      </c>
      <c r="AT104" s="69">
        <f t="shared" si="12"/>
        <v>0</v>
      </c>
      <c r="AU104" s="149">
        <f t="shared" si="13"/>
        <v>57</v>
      </c>
      <c r="AV104" s="5">
        <v>4</v>
      </c>
      <c r="AW104" s="161">
        <f>IF(AI103&lt;AJ103,1,0)+IF(AK103&lt;AL103,1,0)+IF(AM103&lt;AN103,1,0)</f>
        <v>0</v>
      </c>
      <c r="AX104" s="162">
        <f>BC101</f>
        <v>2</v>
      </c>
      <c r="AY104" s="162">
        <f>IF(AI102&lt;AJ102,1,0)+IF(AK102&lt;AL102,1,0)+IF(AM102&lt;AN102,1,0)</f>
        <v>0</v>
      </c>
      <c r="AZ104" s="162">
        <f>BC102</f>
        <v>2</v>
      </c>
      <c r="BA104" s="75">
        <f>IF(AI105&lt;AJ105,1,0)+IF(AK105&lt;AL105,1,0)+IF(AM105&lt;AN105,1,0)</f>
        <v>0</v>
      </c>
      <c r="BB104" s="75">
        <f>BC103</f>
        <v>2</v>
      </c>
      <c r="BC104" s="163"/>
      <c r="BD104" s="164"/>
      <c r="BE104" s="74">
        <f>AP102+AR102+AT102+AP103+AR103+AT103+AP105+AR105+AT105</f>
        <v>40</v>
      </c>
      <c r="BF104" s="81">
        <f>AO102+AQ102+AS102+AO103+AQ103+AS103+AO105+AQ105+AS105</f>
        <v>126</v>
      </c>
      <c r="BG104" s="74">
        <f>AW104+AY104+BA104</f>
        <v>0</v>
      </c>
      <c r="BH104" s="80">
        <f>AX104+AZ104+BB104</f>
        <v>6</v>
      </c>
      <c r="BI104" s="74">
        <f>IF(AW104&gt;AX104,1,0)+IF(AY104&gt;AZ104,1,0)+IF(BA104&gt;BB104,1,0)</f>
        <v>0</v>
      </c>
      <c r="BJ104" s="80">
        <f>IF(AX104&gt;AW104,1,0)+IF(AZ104&gt;AY104,1,0)+IF(BB104&gt;BA104,1,0)</f>
        <v>3</v>
      </c>
      <c r="BK104" s="82">
        <f>IF(BI104+BJ104=0,"",IF(BL104=MAX(BL101:BL104),1,IF(BL104=LARGE(BL101:BL104,2),2,IF(BL104=MIN(BL101:BL104),4,3))))</f>
        <v>4</v>
      </c>
      <c r="BL104" s="60">
        <f>IF(BI104+BJ104&lt;&gt;0,BI104+1+(BG104-BH104)/100+(BE104-BF104)/100000+(BE104/BF104)/1000000,0)</f>
        <v>0.93914031746031745</v>
      </c>
    </row>
    <row r="105" spans="1:64" ht="11.45" customHeight="1" x14ac:dyDescent="0.2">
      <c r="A105" s="19">
        <f t="shared" si="11"/>
        <v>280</v>
      </c>
      <c r="B105" s="19" t="str">
        <f>IF(N105="","",N105)</f>
        <v>X21</v>
      </c>
      <c r="C105" s="19" t="str">
        <f>IF(N106="","",N106)</f>
        <v>G3411</v>
      </c>
      <c r="D105" s="19" t="str">
        <f>IF(N108="","",N108)</f>
        <v>R5590</v>
      </c>
      <c r="E105" s="19" t="str">
        <f>IF(N109="","",N109)</f>
        <v>S5361</v>
      </c>
      <c r="H105" s="10"/>
      <c r="I105" s="2" t="str">
        <f>"4"&amp;O97&amp;N98</f>
        <v>49podwójna dziewcząt M</v>
      </c>
      <c r="J105" s="10" t="str">
        <f>IF(AE107="","",IF(AE98=4,N99,IF(AE101=4,N102,IF(AE104=4,N105,IF(AE107=4,N108,"")))))</f>
        <v>R5590</v>
      </c>
      <c r="K105" s="10" t="str">
        <f>IF(AE107="","",IF(AE98=4,N100,IF(AE101=4,N103,IF(AE104=4,N106,IF(AE107=4,N109,"")))))</f>
        <v>S5361</v>
      </c>
      <c r="L105" s="10"/>
      <c r="M105" s="42" t="str">
        <f>N98</f>
        <v>podwójna dziewcząt M</v>
      </c>
      <c r="N105" s="33" t="s">
        <v>208</v>
      </c>
      <c r="O105" s="34">
        <f>IF(O97&gt;0,(O97&amp;3)*1,"")</f>
        <v>93</v>
      </c>
      <c r="Q105" s="43" t="str">
        <f>IF(AU105&gt;0,"",IF(A105=0,"",IF(VLOOKUP(A105,'[1]plan gier'!A$1:S$65536,19,FALSE)="","",VLOOKUP(A105,'[1]plan gier'!A$1:S$65536,19,FALSE))))</f>
        <v/>
      </c>
      <c r="R105" s="44" t="s">
        <v>69</v>
      </c>
      <c r="S105" s="146">
        <v>280</v>
      </c>
      <c r="T105" s="242"/>
      <c r="U105" s="244" t="str">
        <f>IF(AND(N105&lt;&gt;"",N106=""),CONCATENATE(VLOOKUP(N105,[1]zawodnicy!$A$1:$E$65536,1,FALSE)," ",VLOOKUP(N105,[1]zawodnicy!$A$1:$E$65536,2,FALSE)," ",VLOOKUP(N105,[1]zawodnicy!$A$1:$E$65536,3,FALSE)," - ",VLOOKUP(N105,[1]zawodnicy!$A$1:$E$65536,4,FALSE)),"")</f>
        <v/>
      </c>
      <c r="V105" s="245"/>
      <c r="W105" s="246"/>
      <c r="X105" s="61" t="str">
        <f>IF(SUM(AQ101:AR101)=0,"",AR101&amp;":"&amp;AQ101)</f>
        <v>15:21</v>
      </c>
      <c r="Y105" s="36" t="str">
        <f>IF(SUM(AQ104:AR104)=0,"",AR104&amp;":"&amp;AQ104)</f>
        <v>7:21</v>
      </c>
      <c r="Z105" s="62"/>
      <c r="AA105" s="37" t="str">
        <f>IF(SUM(AQ105:AR105)=0,"",AQ105&amp;":"&amp;AR105)</f>
        <v>21:7</v>
      </c>
      <c r="AB105" s="242"/>
      <c r="AC105" s="251"/>
      <c r="AD105" s="251"/>
      <c r="AE105" s="254"/>
      <c r="AF105" s="12"/>
      <c r="AG105" s="12"/>
      <c r="AH105" s="44" t="s">
        <v>69</v>
      </c>
      <c r="AI105" s="49">
        <f>IF(ISBLANK(S105),"",VLOOKUP(S105,'[1]plan gier'!$X$1:$AN$65536,12,FALSE))</f>
        <v>21</v>
      </c>
      <c r="AJ105" s="50">
        <f>IF(ISBLANK(S105),"",VLOOKUP(S105,'[1]plan gier'!$X$1:$AN$65536,13,FALSE))</f>
        <v>7</v>
      </c>
      <c r="AK105" s="50">
        <f>IF(ISBLANK(S105),"",VLOOKUP(S105,'[1]plan gier'!$X$1:$AN$65536,14,FALSE))</f>
        <v>21</v>
      </c>
      <c r="AL105" s="50">
        <f>IF(ISBLANK(S105),"",VLOOKUP(S105,'[1]plan gier'!$X$1:$AN$65536,15,FALSE))</f>
        <v>7</v>
      </c>
      <c r="AM105" s="50">
        <f>IF(ISBLANK(S105),"",VLOOKUP(S105,'[1]plan gier'!$X$1:$AN$65536,16,FALSE))</f>
        <v>0</v>
      </c>
      <c r="AN105" s="50">
        <f>IF(ISBLANK(S105),"",VLOOKUP(S105,'[1]plan gier'!$X$1:$AN$65536,17,FALSE))</f>
        <v>0</v>
      </c>
      <c r="AO105" s="63">
        <f t="shared" si="12"/>
        <v>21</v>
      </c>
      <c r="AP105" s="64">
        <f t="shared" si="12"/>
        <v>7</v>
      </c>
      <c r="AQ105" s="64">
        <f t="shared" si="12"/>
        <v>21</v>
      </c>
      <c r="AR105" s="64">
        <f t="shared" si="12"/>
        <v>7</v>
      </c>
      <c r="AS105" s="64">
        <f t="shared" si="12"/>
        <v>0</v>
      </c>
      <c r="AT105" s="69">
        <f t="shared" si="12"/>
        <v>0</v>
      </c>
      <c r="AU105" s="149">
        <f t="shared" si="13"/>
        <v>56</v>
      </c>
      <c r="BE105" s="19">
        <f t="shared" ref="BE105:BJ105" si="14">SUM(BE101:BE104)</f>
        <v>352</v>
      </c>
      <c r="BF105" s="19">
        <f t="shared" si="14"/>
        <v>352</v>
      </c>
      <c r="BG105" s="19">
        <f t="shared" si="14"/>
        <v>12</v>
      </c>
      <c r="BH105" s="19">
        <f t="shared" si="14"/>
        <v>12</v>
      </c>
      <c r="BI105" s="19">
        <f t="shared" si="14"/>
        <v>6</v>
      </c>
      <c r="BJ105" s="19">
        <f t="shared" si="14"/>
        <v>6</v>
      </c>
      <c r="BK105" s="19"/>
      <c r="BL105" s="20"/>
    </row>
    <row r="106" spans="1:64" ht="11.45" customHeight="1" thickBot="1" x14ac:dyDescent="0.25">
      <c r="A106" s="19">
        <f t="shared" si="11"/>
        <v>281</v>
      </c>
      <c r="B106" s="19" t="str">
        <f>IF(N99="","",N99)</f>
        <v>K4735</v>
      </c>
      <c r="C106" s="19" t="str">
        <f>IF(N100="","",N100)</f>
        <v>Z4822</v>
      </c>
      <c r="D106" s="19" t="str">
        <f>IF(N102="","",N102)</f>
        <v>A4292</v>
      </c>
      <c r="E106" s="19" t="str">
        <f>IF(N103="","",N103)</f>
        <v>P4786</v>
      </c>
      <c r="J106" s="28"/>
      <c r="K106" s="28"/>
      <c r="L106" s="28"/>
      <c r="M106" s="42" t="str">
        <f>N98</f>
        <v>podwójna dziewcząt M</v>
      </c>
      <c r="N106" s="38" t="s">
        <v>209</v>
      </c>
      <c r="O106" s="28"/>
      <c r="P106" s="28"/>
      <c r="Q106" s="43" t="str">
        <f>IF(AU106&gt;0,"",IF(A106=0,"",IF(VLOOKUP(A106,'[1]plan gier'!A$1:S$65536,19,FALSE)="","",VLOOKUP(A106,'[1]plan gier'!A$1:S$65536,19,FALSE))))</f>
        <v/>
      </c>
      <c r="R106" s="44" t="s">
        <v>18</v>
      </c>
      <c r="S106" s="146">
        <v>281</v>
      </c>
      <c r="T106" s="261"/>
      <c r="U106" s="265" t="str">
        <f>IF(N106&lt;&gt;"",CONCATENATE(VLOOKUP(N106,[1]zawodnicy!$A$1:$E$65536,1,FALSE)," ",VLOOKUP(N106,[1]zawodnicy!$A$1:$E$65536,2,FALSE)," ",VLOOKUP(N106,[1]zawodnicy!$A$1:$E$65536,3,FALSE)," - ",VLOOKUP(N106,[1]zawodnicy!$A$1:$E$65536,4,FALSE)),"")</f>
        <v>G3411 Magdalena GOLENIA - UKS Sokół Ropczyce</v>
      </c>
      <c r="V106" s="266"/>
      <c r="W106" s="267"/>
      <c r="X106" s="73" t="str">
        <f>IF(SUM(AS101:AT101)=0,"",AT101&amp;":"&amp;AS101)</f>
        <v/>
      </c>
      <c r="Y106" s="39" t="str">
        <f>IF(SUM(AS104:AT104)=0,"",AT104&amp;":"&amp;AS104)</f>
        <v/>
      </c>
      <c r="Z106" s="62"/>
      <c r="AA106" s="40" t="str">
        <f>IF(SUM(AS105:AT105)=0,"",AS105&amp;":"&amp;AT105)</f>
        <v/>
      </c>
      <c r="AB106" s="242"/>
      <c r="AC106" s="251"/>
      <c r="AD106" s="251"/>
      <c r="AE106" s="254"/>
      <c r="AF106" s="12"/>
      <c r="AG106" s="12"/>
      <c r="AH106" s="44" t="s">
        <v>18</v>
      </c>
      <c r="AI106" s="161">
        <f>IF(ISBLANK(S106),"",VLOOKUP(S106,'[1]plan gier'!$X$1:$AN$65536,12,FALSE))</f>
        <v>5</v>
      </c>
      <c r="AJ106" s="162">
        <f>IF(ISBLANK(S106),"",VLOOKUP(S106,'[1]plan gier'!$X$1:$AN$65536,13,FALSE))</f>
        <v>21</v>
      </c>
      <c r="AK106" s="162">
        <f>IF(ISBLANK(S106),"",VLOOKUP(S106,'[1]plan gier'!$X$1:$AN$65536,14,FALSE))</f>
        <v>6</v>
      </c>
      <c r="AL106" s="162">
        <f>IF(ISBLANK(S106),"",VLOOKUP(S106,'[1]plan gier'!$X$1:$AN$65536,15,FALSE))</f>
        <v>21</v>
      </c>
      <c r="AM106" s="162">
        <f>IF(ISBLANK(S106),"",VLOOKUP(S106,'[1]plan gier'!$X$1:$AN$65536,16,FALSE))</f>
        <v>0</v>
      </c>
      <c r="AN106" s="162">
        <f>IF(ISBLANK(S106),"",VLOOKUP(S106,'[1]plan gier'!$X$1:$AN$65536,17,FALSE))</f>
        <v>0</v>
      </c>
      <c r="AO106" s="74">
        <f t="shared" si="12"/>
        <v>5</v>
      </c>
      <c r="AP106" s="75">
        <f t="shared" si="12"/>
        <v>21</v>
      </c>
      <c r="AQ106" s="75">
        <f t="shared" si="12"/>
        <v>6</v>
      </c>
      <c r="AR106" s="75">
        <f t="shared" si="12"/>
        <v>21</v>
      </c>
      <c r="AS106" s="75">
        <f t="shared" si="12"/>
        <v>0</v>
      </c>
      <c r="AT106" s="80">
        <f t="shared" si="12"/>
        <v>0</v>
      </c>
      <c r="AU106" s="149">
        <f t="shared" si="13"/>
        <v>53</v>
      </c>
      <c r="BK106" s="19"/>
      <c r="BL106" s="20"/>
    </row>
    <row r="107" spans="1:64" ht="11.45" customHeight="1" x14ac:dyDescent="0.2">
      <c r="A107" s="2"/>
      <c r="J107" s="28"/>
      <c r="K107" s="28"/>
      <c r="L107" s="28"/>
      <c r="O107" s="28"/>
      <c r="P107" s="28"/>
      <c r="Q107" s="2"/>
      <c r="R107" s="2"/>
      <c r="S107" s="2"/>
      <c r="T107" s="241">
        <v>4</v>
      </c>
      <c r="U107" s="244" t="str">
        <f>IF(AND(N108&lt;&gt;"",N109&lt;&gt;""),CONCATENATE(VLOOKUP(N108,[1]zawodnicy!$A$1:$E$65536,1,FALSE)," ",VLOOKUP(N108,[1]zawodnicy!$A$1:$E$65536,2,FALSE)," ",VLOOKUP(N108,[1]zawodnicy!$A$1:$E$65536,3,FALSE)," - ",VLOOKUP(N108,[1]zawodnicy!$A$1:$E$65536,4,FALSE)),"")</f>
        <v>R5590 Julia RUSZKOWSKA - KSR Wolant Łódź</v>
      </c>
      <c r="V107" s="245"/>
      <c r="W107" s="246"/>
      <c r="X107" s="46" t="str">
        <f>IF(SUM(AO103:AP103)=0,"",AP103&amp;":"&amp;AO103)</f>
        <v>9:21</v>
      </c>
      <c r="Y107" s="83" t="str">
        <f>IF(SUM(AO102:AP102)=0,"",AP102&amp;":"&amp;AO102)</f>
        <v>4:21</v>
      </c>
      <c r="Z107" s="83" t="str">
        <f>IF(SUM(AO105:AP105)=0,"",AP105&amp;":"&amp;AO105)</f>
        <v>7:21</v>
      </c>
      <c r="AA107" s="165"/>
      <c r="AB107" s="241" t="str">
        <f>IF(SUM(AW104:BB104)=0,"",BE104&amp;":"&amp;BF104)</f>
        <v>40:126</v>
      </c>
      <c r="AC107" s="250" t="str">
        <f>IF(SUM(AW104:BB104)=0,"",BG104&amp;":"&amp;BH104)</f>
        <v>0:6</v>
      </c>
      <c r="AD107" s="250" t="str">
        <f>IF(SUM(AW104:BB104)=0,"",BI104&amp;":"&amp;BJ104)</f>
        <v>0:3</v>
      </c>
      <c r="AE107" s="253">
        <f>IF(SUM(BI101:BI104)&gt;0,BK104,"")</f>
        <v>4</v>
      </c>
      <c r="AF107" s="12"/>
      <c r="AG107" s="12"/>
      <c r="AH107" s="2"/>
      <c r="AI107" s="2"/>
      <c r="AJ107" s="2"/>
      <c r="AK107" s="2"/>
      <c r="AL107" s="2"/>
      <c r="AM107" s="2"/>
      <c r="AN107" s="2"/>
      <c r="AO107" s="2"/>
      <c r="AP107" s="2"/>
      <c r="AQ107" s="2"/>
      <c r="AR107" s="2"/>
      <c r="AS107" s="2"/>
      <c r="AT107" s="2"/>
      <c r="AU107" s="2"/>
      <c r="BK107" s="19"/>
      <c r="BL107" s="20"/>
    </row>
    <row r="108" spans="1:64" ht="11.45" customHeight="1" x14ac:dyDescent="0.2">
      <c r="A108" s="19"/>
      <c r="B108" s="19"/>
      <c r="C108" s="19"/>
      <c r="D108" s="19"/>
      <c r="E108" s="19"/>
      <c r="H108" s="10"/>
      <c r="J108" s="19"/>
      <c r="K108" s="19"/>
      <c r="L108" s="19"/>
      <c r="N108" s="33" t="s">
        <v>210</v>
      </c>
      <c r="O108" s="34">
        <f>IF(O97&gt;0,(O97&amp;4)*1,"")</f>
        <v>94</v>
      </c>
      <c r="Q108" s="85"/>
      <c r="R108" s="85"/>
      <c r="S108" s="85"/>
      <c r="T108" s="242"/>
      <c r="U108" s="244" t="str">
        <f>IF(AND(N108&lt;&gt;"",N109=""),CONCATENATE(VLOOKUP(N108,[1]zawodnicy!$A$1:$E$65536,1,FALSE)," ",VLOOKUP(N108,[1]zawodnicy!$A$1:$E$65536,2,FALSE)," ",VLOOKUP(N108,[1]zawodnicy!$A$1:$E$65536,3,FALSE)," - ",VLOOKUP(N108,[1]zawodnicy!$A$1:$E$65536,4,FALSE)),"")</f>
        <v/>
      </c>
      <c r="V108" s="245"/>
      <c r="W108" s="246"/>
      <c r="X108" s="61" t="str">
        <f>IF(SUM(AQ103:AR103)=0,"",AR103&amp;":"&amp;AQ103)</f>
        <v>8:21</v>
      </c>
      <c r="Y108" s="36" t="str">
        <f>IF(SUM(AQ102:AR102)=0,"",AR102&amp;":"&amp;AQ102)</f>
        <v>5:21</v>
      </c>
      <c r="Z108" s="36" t="str">
        <f>IF(SUM(AQ105:AR105)=0,"",AR105&amp;":"&amp;AQ105)</f>
        <v>7:21</v>
      </c>
      <c r="AA108" s="166"/>
      <c r="AB108" s="242"/>
      <c r="AC108" s="251"/>
      <c r="AD108" s="251"/>
      <c r="AE108" s="254"/>
      <c r="AF108" s="12"/>
      <c r="AG108" s="1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row>
    <row r="109" spans="1:64" ht="11.45" customHeight="1" thickBot="1" x14ac:dyDescent="0.25">
      <c r="A109" s="2"/>
      <c r="J109" s="28"/>
      <c r="K109" s="28"/>
      <c r="L109" s="28"/>
      <c r="N109" s="38" t="s">
        <v>211</v>
      </c>
      <c r="O109" s="28"/>
      <c r="P109" s="28"/>
      <c r="Q109" s="2"/>
      <c r="R109" s="2"/>
      <c r="S109" s="2"/>
      <c r="T109" s="243"/>
      <c r="U109" s="256" t="str">
        <f>IF(N109&lt;&gt;"",CONCATENATE(VLOOKUP(N109,[1]zawodnicy!$A$1:$E$65536,1,FALSE)," ",VLOOKUP(N109,[1]zawodnicy!$A$1:$E$65536,2,FALSE)," ",VLOOKUP(N109,[1]zawodnicy!$A$1:$E$65536,3,FALSE)," - ",VLOOKUP(N109,[1]zawodnicy!$A$1:$E$65536,4,FALSE)),"")</f>
        <v>S5361 Hanna SZEJN - KSR Wolant Łódź</v>
      </c>
      <c r="V109" s="257"/>
      <c r="W109" s="258"/>
      <c r="X109" s="87" t="str">
        <f>IF(SUM(AS103:AT103)=0,"",AT103&amp;":"&amp;AS103)</f>
        <v/>
      </c>
      <c r="Y109" s="88" t="str">
        <f>IF(SUM(AS102:AT102)=0,"",AT102&amp;":"&amp;AS102)</f>
        <v/>
      </c>
      <c r="Z109" s="88" t="str">
        <f>IF(SUM(AS105:AT105)=0,"",AT105&amp;":"&amp;AS105)</f>
        <v/>
      </c>
      <c r="AA109" s="89"/>
      <c r="AB109" s="243"/>
      <c r="AC109" s="252"/>
      <c r="AD109" s="252"/>
      <c r="AE109" s="255"/>
      <c r="AF109" s="12"/>
      <c r="AG109" s="1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row>
    <row r="110" spans="1:64" ht="5.0999999999999996" customHeight="1" x14ac:dyDescent="0.2">
      <c r="BK110" s="19"/>
      <c r="BL110" s="20"/>
    </row>
    <row r="111" spans="1:64" ht="11.45" customHeight="1" x14ac:dyDescent="0.2">
      <c r="J111" s="2"/>
      <c r="K111" s="2"/>
      <c r="L111" s="2"/>
      <c r="M111" s="95"/>
      <c r="N111" s="96">
        <v>1</v>
      </c>
      <c r="O111" s="97">
        <v>9</v>
      </c>
      <c r="P111" s="98"/>
      <c r="Q111" s="2"/>
      <c r="R111" s="2"/>
      <c r="S111" s="2"/>
      <c r="T111" s="229"/>
      <c r="U111" s="229"/>
      <c r="V111" s="229"/>
      <c r="W111" s="229"/>
      <c r="X111" s="229"/>
      <c r="Y111" s="229"/>
      <c r="Z111" s="229"/>
      <c r="AA111" s="229"/>
      <c r="AB111" s="229"/>
      <c r="AC111" s="229"/>
      <c r="AD111" s="229"/>
      <c r="AE111" s="229"/>
      <c r="AF111" s="229"/>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row>
    <row r="112" spans="1:64" ht="11.45" customHeight="1" x14ac:dyDescent="0.2">
      <c r="J112" s="2"/>
      <c r="K112" s="2"/>
      <c r="L112" s="2"/>
      <c r="N112" s="99" t="s">
        <v>153</v>
      </c>
      <c r="P112" s="98"/>
      <c r="Q112" s="1"/>
      <c r="R112" s="1"/>
      <c r="S112" s="1"/>
      <c r="T112" s="1"/>
      <c r="U112" s="1"/>
      <c r="V112" s="101"/>
      <c r="W112" s="101"/>
      <c r="X112" s="101"/>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row>
    <row r="113" spans="1:63" ht="12.75" x14ac:dyDescent="0.2">
      <c r="J113" s="2"/>
      <c r="K113" s="2"/>
      <c r="L113" s="2"/>
      <c r="M113" s="95"/>
      <c r="N113" s="119"/>
      <c r="O113" s="120">
        <f>IF(P113="","",1)</f>
        <v>1</v>
      </c>
      <c r="P113" s="121">
        <f>IF(O111&gt;8,1,"")</f>
        <v>1</v>
      </c>
      <c r="Q113" s="113">
        <f>O113</f>
        <v>1</v>
      </c>
      <c r="R113" s="113"/>
      <c r="S113" s="113"/>
      <c r="T113" s="234" t="str">
        <f>UPPER(IF(O113="","",IF(ISTEXT(N113),N113,IF(AND(N111&gt;0,O113&gt;0),VLOOKUP(N111&amp;O113&amp;N112,I:K,2,FALSE),""))))</f>
        <v>J4505</v>
      </c>
      <c r="U113" s="235"/>
      <c r="V113" s="122" t="str">
        <f>IF(T113&lt;&gt;"",CONCATENATE(VLOOKUP(T113,[1]zawodnicy!$A$1:$E$65536,2,FALSE)," ",VLOOKUP(T113,[1]zawodnicy!$A$1:$E$65536,3,FALSE)," - ",VLOOKUP(T113,[1]zawodnicy!$A$1:$E$65536,4,FALSE)),"")</f>
        <v>Wiktoria JUSZCZAK - MMKS Gdańsk</v>
      </c>
      <c r="W113" s="123"/>
      <c r="X113" s="228" t="str">
        <f>IF(F114="","",VLOOKUP(F114,[1]zawodnicy!$A$1:$D$65536,3,FALSE))</f>
        <v>JUSZCZAK</v>
      </c>
      <c r="Y113" s="229"/>
      <c r="Z113" s="229"/>
      <c r="AA113" s="174"/>
      <c r="AB113" s="174"/>
      <c r="AC113" s="174"/>
      <c r="AD113" s="174"/>
      <c r="AE113" s="174"/>
      <c r="AF113" s="174"/>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row>
    <row r="114" spans="1:63" ht="12.75" x14ac:dyDescent="0.2">
      <c r="A114" s="102">
        <f>W114</f>
        <v>0</v>
      </c>
      <c r="B114" s="2" t="str">
        <f>IF(TYPE(T113)=16,"",T113)</f>
        <v>J4505</v>
      </c>
      <c r="C114" s="2" t="str">
        <f>IF(TYPE(T114)=16,"",T114)</f>
        <v>K5041</v>
      </c>
      <c r="D114" s="2" t="str">
        <f>IF(TYPE(T115)=16,"",T115)</f>
        <v/>
      </c>
      <c r="E114" s="2" t="str">
        <f>IF(TYPE(T116)=16,"",T116)</f>
        <v/>
      </c>
      <c r="F114" s="2" t="str">
        <f>IF(A114=0,IF(AND(LEN(B114)&gt;1,LEN(D114)=0),VLOOKUP(B114,[1]zawodnicy!$A$1:$E$65536,1,FALSE),IF(AND(LEN(D114)&gt;1,LEN(B114)=0),VLOOKUP(D114,[1]zawodnicy!$A$1:$E$65536,1,FALSE),"")),IF((VLOOKUP(A114,'[1]plan gier'!$X$1:$AF$65536,7,FALSE))="","",VLOOKUP(VLOOKUP(A114,'[1]plan gier'!$X$1:$AF$65536,7,FALSE),[1]zawodnicy!$A$1:$E$65536,1,FALSE)))</f>
        <v>J4505</v>
      </c>
      <c r="G114" s="2" t="str">
        <f>IF(A114=0,IF(AND(LEN(C114)&gt;1,LEN(E114)=0),VLOOKUP(C114,[1]zawodnicy!$A$1:$E$65536,1,FALSE),IF(AND(LEN(E114)&gt;1,LEN(C114)=0),VLOOKUP(E114,[1]zawodnicy!$A$1:$E$65536,1,FALSE),"")),IF((VLOOKUP(A114,'[1]plan gier'!$X$1:$AF$65536,8,FALSE))="","",VLOOKUP(VLOOKUP(A114,'[1]plan gier'!$X$1:$AF$65536,8,FALSE),[1]zawodnicy!$A$1:$E$65536,1,FALSE)))</f>
        <v>K5041</v>
      </c>
      <c r="H114" s="2" t="str">
        <f>IF(A114=0,"",IF((VLOOKUP(A114,'[1]plan gier'!$X$1:$AF$65536,7,FALSE))="","",VLOOKUP(A114,'[1]plan gier'!$X$1:$AF$65536,9,FALSE)))</f>
        <v/>
      </c>
      <c r="L114" s="124" t="str">
        <f>IF(A114=0,"",IF(VLOOKUP(A114,'[1]plan gier'!A$1:S$65536,19,FALSE)="","",VLOOKUP(A114,'[1]plan gier'!A$1:S$65536,19,FALSE)))</f>
        <v/>
      </c>
      <c r="M114" s="2" t="str">
        <f>N112</f>
        <v>podwójna dziewcząt M</v>
      </c>
      <c r="N114" s="119"/>
      <c r="O114" s="121"/>
      <c r="P114" s="121"/>
      <c r="Q114" s="114"/>
      <c r="R114" s="114"/>
      <c r="S114" s="114"/>
      <c r="T114" s="224" t="str">
        <f>UPPER(IF(O113="","",IF(ISTEXT(N114),N114,IF(AND(N111&gt;0,O113&gt;0),VLOOKUP(N111&amp;O113&amp;N112,I:K,3,FALSE),""))))</f>
        <v>K5041</v>
      </c>
      <c r="U114" s="225"/>
      <c r="V114" s="126" t="str">
        <f>IF(T114&lt;&gt;"",CONCATENATE(VLOOKUP(T114,[1]zawodnicy!$A$1:$E$65536,2,FALSE)," ",VLOOKUP(T114,[1]zawodnicy!$A$1:$E$65536,3,FALSE)," - ",VLOOKUP(T114,[1]zawodnicy!$A$1:$E$65536,4,FALSE)),"")</f>
        <v>Aleksandra KOŁODZIEJ - KSR Wolant Łódź</v>
      </c>
      <c r="W114" s="127"/>
      <c r="X114" s="231" t="str">
        <f>IF(G114="","",VLOOKUP(G114,[1]zawodnicy!$A$1:$D$65536,3,FALSE))</f>
        <v>KOŁODZIEJ</v>
      </c>
      <c r="Y114" s="232"/>
      <c r="Z114" s="232"/>
      <c r="AA114" s="174"/>
      <c r="AB114" s="174"/>
      <c r="AC114" s="174"/>
      <c r="AD114" s="174"/>
      <c r="AE114" s="174"/>
      <c r="AF114" s="174"/>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row>
    <row r="115" spans="1:63" ht="12.75" x14ac:dyDescent="0.2">
      <c r="J115" s="2"/>
      <c r="K115" s="2"/>
      <c r="L115" s="2"/>
      <c r="M115" s="95"/>
      <c r="N115" s="119"/>
      <c r="O115" s="120" t="str">
        <f>IF(P115="","",MAX(O113:O114)+1)</f>
        <v/>
      </c>
      <c r="P115" s="121" t="str">
        <f>IF(O111&gt;15,3,"")</f>
        <v/>
      </c>
      <c r="Q115" s="113" t="str">
        <f>O115</f>
        <v/>
      </c>
      <c r="R115" s="113"/>
      <c r="S115" s="113"/>
      <c r="T115" s="234" t="str">
        <f>UPPER(IF(O115="","",IF(ISTEXT(N115),N115,IF(AND(N111&gt;0,O115&gt;0),VLOOKUP(N111&amp;O115&amp;N112,I:K,2,FALSE),""))))</f>
        <v/>
      </c>
      <c r="U115" s="235"/>
      <c r="V115" s="122" t="str">
        <f>IF(T115&lt;&gt;"",CONCATENATE(VLOOKUP(T115,[1]zawodnicy!$A$1:$E$65536,2,FALSE)," ",VLOOKUP(T115,[1]zawodnicy!$A$1:$E$65536,3,FALSE)," - ",VLOOKUP(T115,[1]zawodnicy!$A$1:$E$65536,4,FALSE)),"")</f>
        <v/>
      </c>
      <c r="W115" s="128"/>
      <c r="X115" s="237" t="str">
        <f>IF(H114="",L114,H114)</f>
        <v/>
      </c>
      <c r="Y115" s="237"/>
      <c r="Z115" s="240"/>
      <c r="AA115" s="229" t="str">
        <f>IF(ISBLANK(Z116),IF(AND(LEN(X113)&gt;0,LEN(X117)=0),X113,IF(AND(LEN(X117)&gt;0,LEN(X113)=0),X117,"")),IF((VLOOKUP(Z116,'[1]plan gier'!$X$1:$AF$65536,7,FALSE))="","",VLOOKUP(VLOOKUP(Z116,'[1]plan gier'!$X$1:$AF$65536,7,FALSE),[1]zawodnicy!$A$1:$E$65536,3,FALSE)))</f>
        <v>NIKOLAEVA</v>
      </c>
      <c r="AB115" s="229"/>
      <c r="AC115" s="229"/>
      <c r="AD115" s="174"/>
      <c r="AE115" s="174"/>
      <c r="AF115" s="174"/>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row>
    <row r="116" spans="1:63" ht="13.5" thickBot="1" x14ac:dyDescent="0.25">
      <c r="A116" s="111">
        <f>Z116</f>
        <v>421</v>
      </c>
      <c r="B116" s="2" t="str">
        <f>F114</f>
        <v>J4505</v>
      </c>
      <c r="C116" s="2" t="str">
        <f>G114</f>
        <v>K5041</v>
      </c>
      <c r="D116" s="2" t="str">
        <f>F118</f>
        <v>X22</v>
      </c>
      <c r="E116" s="2" t="str">
        <f>G118</f>
        <v>X24</v>
      </c>
      <c r="F116" s="2" t="str">
        <f>IF(A116=0,IF(AND(LEN(B116)&gt;0,LEN(D116)=0),B116,IF(AND(LEN(D116)&gt;0,LEN(B116)=0),D116,"")),IF((VLOOKUP(A116,'[1]plan gier'!$X$1:$AF$65536,7,FALSE))="","",VLOOKUP(VLOOKUP(A116,'[1]plan gier'!$X$1:$AF$65536,7,FALSE),[1]zawodnicy!$A$1:$E$65536,1,FALSE)))</f>
        <v>X22</v>
      </c>
      <c r="G116" s="2" t="str">
        <f>IF(A116=0,IF(AND(LEN(C116)&gt;0,LEN(E116)=0),C116,IF(AND(LEN(E116)&gt;0,LEN(C116)=0),E116,"")),IF((VLOOKUP(A116,'[1]plan gier'!$X$1:$AF$65536,8,FALSE))="","",VLOOKUP(VLOOKUP(A116,'[1]plan gier'!$X$1:$AF$65536,8,FALSE),[1]zawodnicy!$A$1:$E$65536,1,FALSE)))</f>
        <v>X24</v>
      </c>
      <c r="H116" s="2" t="str">
        <f>IF(A116=0,"",IF((VLOOKUP(A116,'[1]plan gier'!$X$1:$AF$65536,7,FALSE))="","",VLOOKUP(A116,'[1]plan gier'!$X$1:$AF$65536,9,FALSE)))</f>
        <v>21:18,21:14</v>
      </c>
      <c r="L116" s="124" t="str">
        <f>IF(A116=0,"",IF(VLOOKUP(A116,'[1]plan gier'!A$1:S$65536,19,FALSE)="","",VLOOKUP(A116,'[1]plan gier'!A$1:S$65536,19,FALSE)))</f>
        <v>nie 10:00</v>
      </c>
      <c r="M116" s="2" t="str">
        <f>N112</f>
        <v>podwójna dziewcząt M</v>
      </c>
      <c r="N116" s="175"/>
      <c r="O116" s="121"/>
      <c r="P116" s="121"/>
      <c r="Q116" s="114"/>
      <c r="R116" s="114"/>
      <c r="S116" s="114"/>
      <c r="T116" s="238" t="str">
        <f>UPPER(IF(O115="","",IF(ISTEXT(N116),N116,IF(AND(N111&gt;0,O115&gt;0),VLOOKUP(N111&amp;O115&amp;N112,I:K,3,FALSE),""))))</f>
        <v/>
      </c>
      <c r="U116" s="239"/>
      <c r="V116" s="130" t="str">
        <f>IF(T116&lt;&gt;"",CONCATENATE(VLOOKUP(T116,[1]zawodnicy!$A$1:$E$65536,2,FALSE)," ",VLOOKUP(T116,[1]zawodnicy!$A$1:$E$65536,3,FALSE)," - ",VLOOKUP(T116,[1]zawodnicy!$A$1:$E$65536,4,FALSE)),"")</f>
        <v/>
      </c>
      <c r="W116" s="176"/>
      <c r="X116" s="114"/>
      <c r="Y116" s="177"/>
      <c r="Z116" s="115">
        <v>421</v>
      </c>
      <c r="AA116" s="229" t="str">
        <f>IF(ISBLANK(Z116),IF(AND(LEN(X114)&gt;0,LEN(X118)=0),X114,IF(AND(LEN(X118)&gt;0,LEN(X114)=0),X118,"")),IF((VLOOKUP(Z116,'[1]plan gier'!$X$1:$AF$65536,8,FALSE))="","",VLOOKUP(VLOOKUP(Z116,'[1]plan gier'!$X$1:$AF$65536,8,FALSE),[1]zawodnicy!$A$1:$E$65536,3,FALSE)))</f>
        <v>POLISCHUK</v>
      </c>
      <c r="AB116" s="229"/>
      <c r="AC116" s="229"/>
      <c r="AD116" s="174"/>
      <c r="AE116" s="174"/>
      <c r="AF116" s="174"/>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row>
    <row r="117" spans="1:63" ht="13.5" thickTop="1" x14ac:dyDescent="0.2">
      <c r="J117" s="2"/>
      <c r="K117" s="2"/>
      <c r="L117" s="2"/>
      <c r="M117" s="95"/>
      <c r="N117" s="132"/>
      <c r="O117" s="120">
        <f>IF(P117="","",MAX(O113:O116)+1)</f>
        <v>2</v>
      </c>
      <c r="P117" s="121">
        <f>IF(O111&gt;8,5,"")</f>
        <v>5</v>
      </c>
      <c r="Q117" s="113">
        <f>O117</f>
        <v>2</v>
      </c>
      <c r="R117" s="113"/>
      <c r="S117" s="113"/>
      <c r="T117" s="226" t="str">
        <f>UPPER(IF(O117="","",IF(ISTEXT(N117),N117,IF(AND(N111&gt;0,O117&gt;0),VLOOKUP(N111&amp;O117&amp;N112,I:K,2,FALSE),""))))</f>
        <v>X22</v>
      </c>
      <c r="U117" s="227"/>
      <c r="V117" s="133" t="str">
        <f>IF(T117&lt;&gt;"",CONCATENATE(VLOOKUP(T117,[1]zawodnicy!$A$1:$E$65536,2,FALSE)," ",VLOOKUP(T117,[1]zawodnicy!$A$1:$E$65536,3,FALSE)," - ",VLOOKUP(T117,[1]zawodnicy!$A$1:$E$65536,4,FALSE)),"")</f>
        <v>Elyzaveta NIKOLAEVA - Vinnica Ukraina</v>
      </c>
      <c r="W117" s="134"/>
      <c r="X117" s="228" t="str">
        <f>IF(ISBLANK(W118),IF(AND(LEN(T117)&gt;0,LEN(T119)=0),VLOOKUP(T117,[1]zawodnicy!$A$1:$E$65536,3,FALSE),IF(AND(LEN(T119)&gt;0,LEN(T117)=0),VLOOKUP(T119,[1]zawodnicy!$A$1:$E$65536,3,FALSE),"")),IF((VLOOKUP(W118,'[1]plan gier'!$X$1:$AF$65536,7,FALSE))="","",VLOOKUP(VLOOKUP(W118,'[1]plan gier'!$X$1:$AF$65536,7,FALSE),[1]zawodnicy!$A$1:$E$65536,3,FALSE)))</f>
        <v>NIKOLAEVA</v>
      </c>
      <c r="Y117" s="229"/>
      <c r="Z117" s="230"/>
      <c r="AA117" s="236" t="str">
        <f>IF(ISBLANK(Z116),"",IF((VLOOKUP(Z116,'[1]plan gier'!$X$1:$AF$65536,7,FALSE))="",L116,VLOOKUP(Z116,'[1]plan gier'!$X$1:$AF$65536,9,FALSE)))</f>
        <v>21:18,21:14</v>
      </c>
      <c r="AB117" s="237"/>
      <c r="AC117" s="240"/>
      <c r="AD117" s="174"/>
      <c r="AE117" s="174"/>
      <c r="AF117" s="174"/>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row>
    <row r="118" spans="1:63" ht="12.75" x14ac:dyDescent="0.2">
      <c r="A118" s="102">
        <f>W118</f>
        <v>0</v>
      </c>
      <c r="B118" s="2" t="str">
        <f>IF(TYPE(T117)=16,"",T117)</f>
        <v>X22</v>
      </c>
      <c r="C118" s="2" t="str">
        <f>IF(TYPE(T118)=16,"",T118)</f>
        <v>X24</v>
      </c>
      <c r="D118" s="2" t="str">
        <f>IF(TYPE(T119)=16,"",T119)</f>
        <v/>
      </c>
      <c r="E118" s="2" t="str">
        <f>IF(TYPE(T120)=16,"",T120)</f>
        <v/>
      </c>
      <c r="F118" s="2" t="str">
        <f>IF(A118=0,IF(AND(LEN(B118)&gt;1,LEN(D118)=0),VLOOKUP(B118,[1]zawodnicy!$A$1:$E$65536,1,FALSE),IF(AND(LEN(D118)&gt;1,LEN(B118)=0),VLOOKUP(D118,[1]zawodnicy!$A$1:$E$65536,1,FALSE),"")),IF((VLOOKUP(A118,'[1]plan gier'!$X$1:$AF$65536,7,FALSE))="","",VLOOKUP(VLOOKUP(A118,'[1]plan gier'!$X$1:$AF$65536,7,FALSE),[1]zawodnicy!$A$1:$E$65536,1,FALSE)))</f>
        <v>X22</v>
      </c>
      <c r="G118" s="2" t="str">
        <f>IF(A118=0,IF(AND(LEN(C118)&gt;1,LEN(E118)=0),VLOOKUP(C118,[1]zawodnicy!$A$1:$E$65536,1,FALSE),IF(AND(LEN(E118)&gt;1,LEN(C118)=0),VLOOKUP(E118,[1]zawodnicy!$A$1:$E$65536,1,FALSE),"")),IF((VLOOKUP(A118,'[1]plan gier'!$X$1:$AF$65536,8,FALSE))="","",VLOOKUP(VLOOKUP(A118,'[1]plan gier'!$X$1:$AF$65536,8,FALSE),[1]zawodnicy!$A$1:$E$65536,1,FALSE)))</f>
        <v>X24</v>
      </c>
      <c r="H118" s="2" t="str">
        <f>IF(A118=0,"",IF((VLOOKUP(A118,'[1]plan gier'!$X$1:$AF$65536,7,FALSE))="","",VLOOKUP(A118,'[1]plan gier'!$X$1:$AF$65536,9,FALSE)))</f>
        <v/>
      </c>
      <c r="L118" s="124" t="str">
        <f>IF(A118=0,"",IF(VLOOKUP(A118,'[1]plan gier'!A$1:S$65536,19,FALSE)="","",VLOOKUP(A118,'[1]plan gier'!A$1:S$65536,19,FALSE)))</f>
        <v/>
      </c>
      <c r="M118" s="2" t="str">
        <f>N112</f>
        <v>podwójna dziewcząt M</v>
      </c>
      <c r="N118" s="125"/>
      <c r="O118" s="121"/>
      <c r="P118" s="121"/>
      <c r="Q118" s="114"/>
      <c r="R118" s="114"/>
      <c r="S118" s="114"/>
      <c r="T118" s="224" t="str">
        <f>UPPER(IF(O117="","",IF(ISTEXT(N118),N118,IF(AND(N111&gt;0,O117&gt;0),VLOOKUP(N111&amp;O117&amp;N112,I:K,3,FALSE),""))))</f>
        <v>X24</v>
      </c>
      <c r="U118" s="225"/>
      <c r="V118" s="126" t="str">
        <f>IF(T118&lt;&gt;"",CONCATENATE(VLOOKUP(T118,[1]zawodnicy!$A$1:$E$65536,2,FALSE)," ",VLOOKUP(T118,[1]zawodnicy!$A$1:$E$65536,3,FALSE)," - ",VLOOKUP(T118,[1]zawodnicy!$A$1:$E$65536,4,FALSE)),"")</f>
        <v>Anna  POLISCHUK - Lwów Ukraina</v>
      </c>
      <c r="W118" s="127"/>
      <c r="X118" s="231" t="str">
        <f>IF(ISBLANK(W118),IF(AND(LEN(T118)&gt;0,LEN(T120)=0),VLOOKUP(T118,[1]zawodnicy!$A$1:$E$65536,3,FALSE),IF(AND(LEN(T120)&gt;0,LEN(T118)=0),VLOOKUP(T120,[1]zawodnicy!$A$1:$E$65536,3,FALSE),"")),IF((VLOOKUP(W118,'[1]plan gier'!$X$1:$AF$65536,8,FALSE))="","",VLOOKUP(VLOOKUP(W118,'[1]plan gier'!$X$1:$AF$65536,8,FALSE),[1]zawodnicy!$A$1:$E$65536,3,FALSE)))</f>
        <v>POLISCHUK</v>
      </c>
      <c r="Y118" s="232"/>
      <c r="Z118" s="233"/>
      <c r="AA118" s="177"/>
      <c r="AB118" s="177"/>
      <c r="AC118" s="178"/>
      <c r="AD118" s="174"/>
      <c r="AE118" s="174"/>
      <c r="AF118" s="174"/>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row>
    <row r="119" spans="1:63" ht="12.75" x14ac:dyDescent="0.2">
      <c r="J119" s="2"/>
      <c r="K119" s="2"/>
      <c r="L119" s="2"/>
      <c r="M119" s="95"/>
      <c r="N119" s="125"/>
      <c r="O119" s="120" t="str">
        <f>IF(P119="","",MAX(O113:O118)+1)</f>
        <v/>
      </c>
      <c r="P119" s="121" t="str">
        <f>IF(O111&gt;11,7,"")</f>
        <v/>
      </c>
      <c r="Q119" s="113" t="str">
        <f>O119</f>
        <v/>
      </c>
      <c r="R119" s="113"/>
      <c r="S119" s="113"/>
      <c r="T119" s="234" t="str">
        <f>UPPER(IF(O119="","",IF(ISTEXT(N119),N119,IF(AND(N111&gt;0,O119&gt;0),VLOOKUP(N111&amp;O119&amp;N112,I:K,2,FALSE),""))))</f>
        <v/>
      </c>
      <c r="U119" s="235"/>
      <c r="V119" s="122" t="str">
        <f>IF(T119&lt;&gt;"",CONCATENATE(VLOOKUP(T119,[1]zawodnicy!$A$1:$E$65536,2,FALSE)," ",VLOOKUP(T119,[1]zawodnicy!$A$1:$E$65536,3,FALSE)," - ",VLOOKUP(T119,[1]zawodnicy!$A$1:$E$65536,4,FALSE)),"")</f>
        <v/>
      </c>
      <c r="W119" s="128"/>
      <c r="X119" s="236" t="str">
        <f>IF(ISBLANK(W118),"",IF((VLOOKUP(W118,'[1]plan gier'!$X$1:$AF$65536,7,FALSE))="",L118,VLOOKUP(W118,'[1]plan gier'!$X$1:$AF$65536,9,FALSE)))</f>
        <v/>
      </c>
      <c r="Y119" s="237"/>
      <c r="Z119" s="237"/>
      <c r="AA119" s="177"/>
      <c r="AB119" s="177"/>
      <c r="AC119" s="116"/>
      <c r="AD119" s="229" t="str">
        <f>IF(ISBLANK(AC120),IF(AND(LEN(AA115)&gt;0,LEN(AA123)=0),AA115,IF(AND(LEN(AA123)&gt;0,LEN(AA115)=0),AA123,"")),IF((VLOOKUP(AC120,'[1]plan gier'!$X$1:$AF$65536,7,FALSE))="","",VLOOKUP(VLOOKUP(AC120,'[1]plan gier'!$X$1:$AF$65536,7,FALSE),[1]zawodnicy!$A$1:$E$65536,3,FALSE)))</f>
        <v>JAJKO</v>
      </c>
      <c r="AE119" s="229"/>
      <c r="AF119" s="229"/>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row>
    <row r="120" spans="1:63" ht="13.5" thickBot="1" x14ac:dyDescent="0.25">
      <c r="A120" s="171">
        <f>AC120</f>
        <v>439</v>
      </c>
      <c r="B120" s="2" t="str">
        <f>F116</f>
        <v>X22</v>
      </c>
      <c r="C120" s="2" t="str">
        <f>G116</f>
        <v>X24</v>
      </c>
      <c r="D120" s="2" t="str">
        <f>F124</f>
        <v>J4555</v>
      </c>
      <c r="E120" s="2" t="str">
        <f>G124</f>
        <v>R4591</v>
      </c>
      <c r="F120" s="2" t="str">
        <f>IF(A120=0,IF(AND(LEN(B120)&gt;0,LEN(D120)=0),B120,IF(AND(LEN(D120)&gt;0,LEN(B120)=0),D120,"")),IF((VLOOKUP(A120,'[1]plan gier'!$X$1:$AF$65536,7,FALSE))="","",VLOOKUP(VLOOKUP(A120,'[1]plan gier'!$X$1:$AF$65536,7,FALSE),[1]zawodnicy!$A$1:$E$65536,1,FALSE)))</f>
        <v>J4555</v>
      </c>
      <c r="G120" s="2" t="str">
        <f>IF(A120=0,IF(AND(LEN(C120)&gt;0,LEN(E120)=0),C120,IF(AND(LEN(E120)&gt;0,LEN(C120)=0),E120,"")),IF((VLOOKUP(A120,'[1]plan gier'!$X$1:$AF$65536,8,FALSE))="","",VLOOKUP(VLOOKUP(A120,'[1]plan gier'!$X$1:$AF$65536,8,FALSE),[1]zawodnicy!$A$1:$E$65536,1,FALSE)))</f>
        <v>R4591</v>
      </c>
      <c r="H120" s="2" t="str">
        <f>IF(A120=0,"",IF((VLOOKUP(A120,'[1]plan gier'!$X$1:$AF$65536,7,FALSE))="","",VLOOKUP(A120,'[1]plan gier'!$X$1:$AF$65536,9,FALSE)))</f>
        <v>21:11,21:18</v>
      </c>
      <c r="L120" s="124" t="str">
        <f>IF(A120=0,"",IF(VLOOKUP(A120,'[1]plan gier'!A$1:S$65536,19,FALSE)="","",VLOOKUP(A120,'[1]plan gier'!A$1:S$65536,19,FALSE)))</f>
        <v>nie 11:00</v>
      </c>
      <c r="M120" s="2" t="str">
        <f>N112</f>
        <v>podwójna dziewcząt M</v>
      </c>
      <c r="N120" s="129"/>
      <c r="O120" s="121"/>
      <c r="P120" s="121"/>
      <c r="Q120" s="114"/>
      <c r="R120" s="114"/>
      <c r="S120" s="114"/>
      <c r="T120" s="238" t="str">
        <f>UPPER(IF(O119="","",IF(ISTEXT(N120),N120,IF(AND(N111&gt;0,O119&gt;0),VLOOKUP(N111&amp;O119&amp;N112,I:K,3,FALSE),""))))</f>
        <v/>
      </c>
      <c r="U120" s="239"/>
      <c r="V120" s="130" t="str">
        <f>IF(T120&lt;&gt;"",CONCATENATE(VLOOKUP(T120,[1]zawodnicy!$A$1:$E$65536,2,FALSE)," ",VLOOKUP(T120,[1]zawodnicy!$A$1:$E$65536,3,FALSE)," - ",VLOOKUP(T120,[1]zawodnicy!$A$1:$E$65536,4,FALSE)),"")</f>
        <v/>
      </c>
      <c r="W120" s="176"/>
      <c r="X120" s="177"/>
      <c r="Y120" s="177"/>
      <c r="Z120" s="177"/>
      <c r="AA120" s="177"/>
      <c r="AB120" s="177"/>
      <c r="AC120" s="115">
        <v>439</v>
      </c>
      <c r="AD120" s="229" t="str">
        <f>IF(ISBLANK(AC120),IF(AND(LEN(AA116)&gt;0,LEN(AA124)=0),AA116,IF(AND(LEN(AA124)&gt;0,LEN(AA116)=0),AA124,"")),IF((VLOOKUP(AC120,'[1]plan gier'!$X$1:$AF$65536,8,FALSE))="","",VLOOKUP(VLOOKUP(AC120,'[1]plan gier'!$X$1:$AF$65536,8,FALSE),[1]zawodnicy!$A$1:$E$65536,3,FALSE)))</f>
        <v>RÓG</v>
      </c>
      <c r="AE120" s="229"/>
      <c r="AF120" s="229"/>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row>
    <row r="121" spans="1:63" ht="13.5" thickTop="1" x14ac:dyDescent="0.2">
      <c r="J121" s="2"/>
      <c r="K121" s="2"/>
      <c r="L121" s="2"/>
      <c r="M121" s="95"/>
      <c r="N121" s="132"/>
      <c r="O121" s="120">
        <f>IF(P121="","",MAX(O113:O120)+1)</f>
        <v>3</v>
      </c>
      <c r="P121" s="121">
        <f>IF(O111&gt;8,9,"")</f>
        <v>9</v>
      </c>
      <c r="Q121" s="113">
        <f>O121</f>
        <v>3</v>
      </c>
      <c r="R121" s="113"/>
      <c r="S121" s="113"/>
      <c r="T121" s="226" t="str">
        <f>UPPER(IF(O121="","",IF(ISTEXT(N121),N121,IF(AND(N111&gt;0,O121&gt;0),VLOOKUP(N111&amp;O121&amp;N112,I:K,2,FALSE),""))))</f>
        <v>M4748</v>
      </c>
      <c r="U121" s="227"/>
      <c r="V121" s="133" t="str">
        <f>IF(T121&lt;&gt;"",CONCATENATE(VLOOKUP(T121,[1]zawodnicy!$A$1:$E$65536,2,FALSE)," ",VLOOKUP(T121,[1]zawodnicy!$A$1:$E$65536,3,FALSE)," - ",VLOOKUP(T121,[1]zawodnicy!$A$1:$E$65536,4,FALSE)),"")</f>
        <v>Olga MIKSZA - KS Wesoła Warszawa</v>
      </c>
      <c r="W121" s="134"/>
      <c r="X121" s="228" t="str">
        <f>IF(ISBLANK(W122),IF(AND(LEN(T121)&gt;0,LEN(T123)=0),VLOOKUP(T121,[1]zawodnicy!$A$1:$E$65536,3,FALSE),IF(AND(LEN(T123)&gt;0,LEN(T121)=0),VLOOKUP(T123,[1]zawodnicy!$A$1:$E$65536,3,FALSE),"")),IF((VLOOKUP(W122,'[1]plan gier'!$X$1:$AF$65536,7,FALSE))="","",VLOOKUP(VLOOKUP(W122,'[1]plan gier'!$X$1:$AF$65536,7,FALSE),[1]zawodnicy!$A$1:$E$65536,3,FALSE)))</f>
        <v>MIKSZA</v>
      </c>
      <c r="Y121" s="229"/>
      <c r="Z121" s="229"/>
      <c r="AA121" s="177"/>
      <c r="AB121" s="177"/>
      <c r="AC121" s="116"/>
      <c r="AD121" s="236" t="str">
        <f>IF(ISBLANK(AC120),"",IF((VLOOKUP(AC120,'[1]plan gier'!$X$1:$AF$65536,7,FALSE))="",L120,VLOOKUP(AC120,'[1]plan gier'!$X$1:$AF$65536,9,FALSE)))</f>
        <v>21:11,21:18</v>
      </c>
      <c r="AE121" s="237"/>
      <c r="AF121" s="240"/>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row>
    <row r="122" spans="1:63" ht="12.75" x14ac:dyDescent="0.2">
      <c r="A122" s="102">
        <f>W122</f>
        <v>0</v>
      </c>
      <c r="B122" s="2" t="str">
        <f>IF(TYPE(T121)=16,"",T121)</f>
        <v>M4748</v>
      </c>
      <c r="C122" s="2" t="str">
        <f>IF(TYPE(T122)=16,"",T122)</f>
        <v>W4281</v>
      </c>
      <c r="D122" s="2" t="str">
        <f>IF(TYPE(T123)=16,"",T123)</f>
        <v/>
      </c>
      <c r="E122" s="2" t="str">
        <f>IF(TYPE(T124)=16,"",T124)</f>
        <v/>
      </c>
      <c r="F122" s="2" t="str">
        <f>IF(A122=0,IF(AND(LEN(B122)&gt;1,LEN(D122)=0),VLOOKUP(B122,[1]zawodnicy!$A$1:$E$65536,1,FALSE),IF(AND(LEN(D122)&gt;1,LEN(B122)=0),VLOOKUP(D122,[1]zawodnicy!$A$1:$E$65536,1,FALSE),"")),IF((VLOOKUP(A122,'[1]plan gier'!$X$1:$AF$65536,7,FALSE))="","",VLOOKUP(VLOOKUP(A122,'[1]plan gier'!$X$1:$AF$65536,7,FALSE),[1]zawodnicy!$A$1:$E$65536,1,FALSE)))</f>
        <v>M4748</v>
      </c>
      <c r="G122" s="2" t="str">
        <f>IF(A122=0,IF(AND(LEN(C122)&gt;1,LEN(E122)=0),VLOOKUP(C122,[1]zawodnicy!$A$1:$E$65536,1,FALSE),IF(AND(LEN(E122)&gt;1,LEN(C122)=0),VLOOKUP(E122,[1]zawodnicy!$A$1:$E$65536,1,FALSE),"")),IF((VLOOKUP(A122,'[1]plan gier'!$X$1:$AF$65536,8,FALSE))="","",VLOOKUP(VLOOKUP(A122,'[1]plan gier'!$X$1:$AF$65536,8,FALSE),[1]zawodnicy!$A$1:$E$65536,1,FALSE)))</f>
        <v>W4281</v>
      </c>
      <c r="H122" s="2" t="str">
        <f>IF(A122=0,"",IF((VLOOKUP(A122,'[1]plan gier'!$X$1:$AF$65536,7,FALSE))="","",VLOOKUP(A122,'[1]plan gier'!$X$1:$AF$65536,9,FALSE)))</f>
        <v/>
      </c>
      <c r="L122" s="124" t="str">
        <f>IF(A122=0,"",IF(VLOOKUP(A122,'[1]plan gier'!A$1:S$65536,19,FALSE)="","",VLOOKUP(A122,'[1]plan gier'!A$1:S$65536,19,FALSE)))</f>
        <v/>
      </c>
      <c r="M122" s="2" t="str">
        <f>N112</f>
        <v>podwójna dziewcząt M</v>
      </c>
      <c r="N122" s="125"/>
      <c r="O122" s="121"/>
      <c r="P122" s="121"/>
      <c r="Q122" s="114"/>
      <c r="R122" s="114"/>
      <c r="S122" s="114"/>
      <c r="T122" s="224" t="str">
        <f>UPPER(IF(O121="","",IF(ISTEXT(N122),N122,IF(AND(N111&gt;0,O121&gt;0),VLOOKUP(N111&amp;O121&amp;N112,I:K,3,FALSE),""))))</f>
        <v>W4281</v>
      </c>
      <c r="U122" s="225"/>
      <c r="V122" s="126" t="str">
        <f>IF(T122&lt;&gt;"",CONCATENATE(VLOOKUP(T122,[1]zawodnicy!$A$1:$E$65536,2,FALSE)," ",VLOOKUP(T122,[1]zawodnicy!$A$1:$E$65536,3,FALSE)," - ",VLOOKUP(T122,[1]zawodnicy!$A$1:$E$65536,4,FALSE)),"")</f>
        <v>Ida WIŚNIEWSKA - ----</v>
      </c>
      <c r="W122" s="127"/>
      <c r="X122" s="231" t="str">
        <f>IF(ISBLANK(W122),IF(AND(LEN(T122)&gt;0,LEN(T124)=0),VLOOKUP(T122,[1]zawodnicy!$A$1:$E$65536,3,FALSE),IF(AND(LEN(T124)&gt;0,LEN(T122)=0),VLOOKUP(T124,[1]zawodnicy!$A$1:$E$65536,3,FALSE),"")),IF((VLOOKUP(W122,'[1]plan gier'!$X$1:$AF$65536,8,FALSE))="","",VLOOKUP(VLOOKUP(W122,'[1]plan gier'!$X$1:$AF$65536,8,FALSE),[1]zawodnicy!$A$1:$E$65536,3,FALSE)))</f>
        <v>WIŚNIEWSKA</v>
      </c>
      <c r="Y122" s="232"/>
      <c r="Z122" s="232"/>
      <c r="AA122" s="177"/>
      <c r="AB122" s="177"/>
      <c r="AC122" s="178"/>
      <c r="AD122" s="177"/>
      <c r="AE122" s="177"/>
      <c r="AF122" s="178"/>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row>
    <row r="123" spans="1:63" ht="12.75" x14ac:dyDescent="0.2">
      <c r="J123" s="2"/>
      <c r="K123" s="2"/>
      <c r="L123" s="2"/>
      <c r="M123" s="95"/>
      <c r="N123" s="125"/>
      <c r="O123" s="120" t="str">
        <f>IF(P123="","",MAX(O113:O122)+1)</f>
        <v/>
      </c>
      <c r="P123" s="121" t="str">
        <f>IF(O111&gt;13,11,"")</f>
        <v/>
      </c>
      <c r="Q123" s="113" t="str">
        <f>O123</f>
        <v/>
      </c>
      <c r="R123" s="113"/>
      <c r="S123" s="113"/>
      <c r="T123" s="234" t="str">
        <f>UPPER(IF(O123="","",IF(ISTEXT(N123),N123,IF(AND(N111&gt;0,O123&gt;0),VLOOKUP(N111&amp;O123&amp;N112,I:K,2,FALSE),""))))</f>
        <v/>
      </c>
      <c r="U123" s="235"/>
      <c r="V123" s="122" t="str">
        <f>IF(T123&lt;&gt;"",CONCATENATE(VLOOKUP(T123,[1]zawodnicy!$A$1:$E$65536,2,FALSE)," ",VLOOKUP(T123,[1]zawodnicy!$A$1:$E$65536,3,FALSE)," - ",VLOOKUP(T123,[1]zawodnicy!$A$1:$E$65536,4,FALSE)),"")</f>
        <v/>
      </c>
      <c r="W123" s="128"/>
      <c r="X123" s="237" t="str">
        <f>IF(ISBLANK(W122),"",IF((VLOOKUP(W122,'[1]plan gier'!$X$1:$AF$65536,7,FALSE))="",L122,VLOOKUP(W122,'[1]plan gier'!$X$1:$AF$65536,9,FALSE)))</f>
        <v/>
      </c>
      <c r="Y123" s="237"/>
      <c r="Z123" s="240"/>
      <c r="AA123" s="229" t="str">
        <f>IF(ISBLANK(Z124),IF(AND(LEN(X121)&gt;0,LEN(X125)=0),X121,IF(AND(LEN(X125)&gt;0,LEN(X121)=0),X125,"")),IF((VLOOKUP(Z124,'[1]plan gier'!$X$1:$AF$65536,7,FALSE))="","",VLOOKUP(VLOOKUP(Z124,'[1]plan gier'!$X$1:$AF$65536,7,FALSE),[1]zawodnicy!$A$1:$E$65536,3,FALSE)))</f>
        <v>JAJKO</v>
      </c>
      <c r="AB123" s="229"/>
      <c r="AC123" s="230"/>
      <c r="AD123" s="177"/>
      <c r="AE123" s="177"/>
      <c r="AF123" s="178"/>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row>
    <row r="124" spans="1:63" ht="13.5" thickBot="1" x14ac:dyDescent="0.25">
      <c r="A124" s="111">
        <f>Z124</f>
        <v>422</v>
      </c>
      <c r="B124" s="2" t="str">
        <f>F122</f>
        <v>M4748</v>
      </c>
      <c r="C124" s="2" t="str">
        <f>G122</f>
        <v>W4281</v>
      </c>
      <c r="D124" s="2" t="str">
        <f>F126</f>
        <v>J4555</v>
      </c>
      <c r="E124" s="2" t="str">
        <f>G126</f>
        <v>R4591</v>
      </c>
      <c r="F124" s="2" t="str">
        <f>IF(A124=0,IF(AND(LEN(B124)&gt;0,LEN(D124)=0),B124,IF(AND(LEN(D124)&gt;0,LEN(B124)=0),D124,"")),IF((VLOOKUP(A124,'[1]plan gier'!$X$1:$AF$65536,7,FALSE))="","",VLOOKUP(VLOOKUP(A124,'[1]plan gier'!$X$1:$AF$65536,7,FALSE),[1]zawodnicy!$A$1:$E$65536,1,FALSE)))</f>
        <v>J4555</v>
      </c>
      <c r="G124" s="2" t="str">
        <f>IF(A124=0,IF(AND(LEN(C124)&gt;0,LEN(E124)=0),C124,IF(AND(LEN(E124)&gt;0,LEN(C124)=0),E124,"")),IF((VLOOKUP(A124,'[1]plan gier'!$X$1:$AF$65536,8,FALSE))="","",VLOOKUP(VLOOKUP(A124,'[1]plan gier'!$X$1:$AF$65536,8,FALSE),[1]zawodnicy!$A$1:$E$65536,1,FALSE)))</f>
        <v>R4591</v>
      </c>
      <c r="H124" s="2" t="str">
        <f>IF(A124=0,"",IF((VLOOKUP(A124,'[1]plan gier'!$X$1:$AF$65536,7,FALSE))="","",VLOOKUP(A124,'[1]plan gier'!$X$1:$AF$65536,9,FALSE)))</f>
        <v>19:21,21:12,21:15</v>
      </c>
      <c r="L124" s="124" t="str">
        <f>IF(A124=0,"",IF(VLOOKUP(A124,'[1]plan gier'!A$1:S$65536,19,FALSE)="","",VLOOKUP(A124,'[1]plan gier'!A$1:S$65536,19,FALSE)))</f>
        <v>nie 10:00</v>
      </c>
      <c r="M124" s="2" t="str">
        <f>N112</f>
        <v>podwójna dziewcząt M</v>
      </c>
      <c r="N124" s="129"/>
      <c r="O124" s="121"/>
      <c r="P124" s="121"/>
      <c r="Q124" s="114"/>
      <c r="R124" s="114"/>
      <c r="S124" s="114"/>
      <c r="T124" s="238" t="str">
        <f>UPPER(IF(O123="","",IF(ISTEXT(N124),N124,IF(AND(N111&gt;0,O123&gt;0),VLOOKUP(N111&amp;O123&amp;N112,I:K,3,FALSE),""))))</f>
        <v/>
      </c>
      <c r="U124" s="239"/>
      <c r="V124" s="130" t="str">
        <f>IF(T124&lt;&gt;"",CONCATENATE(VLOOKUP(T124,[1]zawodnicy!$A$1:$E$65536,2,FALSE)," ",VLOOKUP(T124,[1]zawodnicy!$A$1:$E$65536,3,FALSE)," - ",VLOOKUP(T124,[1]zawodnicy!$A$1:$E$65536,4,FALSE)),"")</f>
        <v/>
      </c>
      <c r="W124" s="176"/>
      <c r="X124" s="114"/>
      <c r="Y124" s="177"/>
      <c r="Z124" s="115">
        <v>422</v>
      </c>
      <c r="AA124" s="231" t="str">
        <f>IF(ISBLANK(Z124),IF(AND(LEN(X122)&gt;0,LEN(X126)=0),X122,IF(AND(LEN(X126)&gt;0,LEN(X122)=0),X126,"")),IF((VLOOKUP(Z124,'[1]plan gier'!$X$1:$AF$65536,8,FALSE))="","",VLOOKUP(VLOOKUP(Z124,'[1]plan gier'!$X$1:$AF$65536,8,FALSE),[1]zawodnicy!$A$1:$E$65536,3,FALSE)))</f>
        <v>RÓG</v>
      </c>
      <c r="AB124" s="232"/>
      <c r="AC124" s="233"/>
      <c r="AD124" s="177"/>
      <c r="AE124" s="177"/>
      <c r="AF124" s="178"/>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row>
    <row r="125" spans="1:63" ht="13.5" thickTop="1" x14ac:dyDescent="0.2">
      <c r="J125" s="2"/>
      <c r="K125" s="2"/>
      <c r="L125" s="2"/>
      <c r="M125" s="95"/>
      <c r="N125" s="132"/>
      <c r="O125" s="120">
        <f>IF(P125="","",MAX(O113:O124)+1)</f>
        <v>4</v>
      </c>
      <c r="P125" s="121">
        <f>IF(O111&gt;8,13,"")</f>
        <v>13</v>
      </c>
      <c r="Q125" s="113">
        <f>O125</f>
        <v>4</v>
      </c>
      <c r="R125" s="113"/>
      <c r="S125" s="113"/>
      <c r="T125" s="226" t="str">
        <f>UPPER(IF(O125="","",IF(ISTEXT(N125),N125,IF(AND(N111&gt;0,O125&gt;0),VLOOKUP(N111&amp;O125&amp;N112,I:K,2,FALSE),""))))</f>
        <v>J4555</v>
      </c>
      <c r="U125" s="227"/>
      <c r="V125" s="133" t="str">
        <f>IF(T125&lt;&gt;"",CONCATENATE(VLOOKUP(T125,[1]zawodnicy!$A$1:$E$65536,2,FALSE)," ",VLOOKUP(T125,[1]zawodnicy!$A$1:$E$65536,3,FALSE)," - ",VLOOKUP(T125,[1]zawodnicy!$A$1:$E$65536,4,FALSE)),"")</f>
        <v>Izabela JAJKO - UKS Orliki Ropica Polska</v>
      </c>
      <c r="W125" s="134"/>
      <c r="X125" s="228" t="str">
        <f>IF(ISBLANK(W126),IF(AND(LEN(T125)&gt;0,LEN(T127)=0),VLOOKUP(T125,[1]zawodnicy!$A$1:$E$65536,3,FALSE),IF(AND(LEN(T127)&gt;0,LEN(T125)=0),VLOOKUP(T127,[1]zawodnicy!$A$1:$E$65536,3,FALSE),"")),IF((VLOOKUP(W126,'[1]plan gier'!$X$1:$AF$65536,7,FALSE))="","",VLOOKUP(VLOOKUP(W126,'[1]plan gier'!$X$1:$AF$65536,7,FALSE),[1]zawodnicy!$A$1:$E$65536,3,FALSE)))</f>
        <v>JAJKO</v>
      </c>
      <c r="Y125" s="229"/>
      <c r="Z125" s="230"/>
      <c r="AA125" s="229" t="str">
        <f>IF(ISBLANK(Z124),"",IF((VLOOKUP(Z124,'[1]plan gier'!$X$1:$AF$65536,7,FALSE))="",L124,VLOOKUP(Z124,'[1]plan gier'!$X$1:$AF$65536,9,FALSE)))</f>
        <v>19:21,21:12,21:15</v>
      </c>
      <c r="AB125" s="229"/>
      <c r="AC125" s="229"/>
      <c r="AD125" s="229"/>
      <c r="AE125" s="229"/>
      <c r="AF125" s="230"/>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row>
    <row r="126" spans="1:63" ht="12.75" x14ac:dyDescent="0.2">
      <c r="A126" s="102">
        <f>W126</f>
        <v>0</v>
      </c>
      <c r="B126" s="2" t="str">
        <f>IF(TYPE(T125)=16,"",T125)</f>
        <v>J4555</v>
      </c>
      <c r="C126" s="2" t="str">
        <f>IF(TYPE(T126)=16,"",T126)</f>
        <v>R4591</v>
      </c>
      <c r="D126" s="2" t="str">
        <f>IF(TYPE(T127)=16,"",T127)</f>
        <v/>
      </c>
      <c r="E126" s="2" t="str">
        <f>IF(TYPE(T128)=16,"",T128)</f>
        <v/>
      </c>
      <c r="F126" s="2" t="str">
        <f>IF(A126=0,IF(AND(LEN(B126)&gt;1,LEN(D126)=0),VLOOKUP(B126,[1]zawodnicy!$A$1:$E$65536,1,FALSE),IF(AND(LEN(D126)&gt;1,LEN(B126)=0),VLOOKUP(D126,[1]zawodnicy!$A$1:$E$65536,1,FALSE),"")),IF((VLOOKUP(A126,'[1]plan gier'!$X$1:$AF$65536,7,FALSE))="","",VLOOKUP(VLOOKUP(A126,'[1]plan gier'!$X$1:$AF$65536,7,FALSE),[1]zawodnicy!$A$1:$E$65536,1,FALSE)))</f>
        <v>J4555</v>
      </c>
      <c r="G126" s="2" t="str">
        <f>IF(A126=0,IF(AND(LEN(C126)&gt;1,LEN(E126)=0),VLOOKUP(C126,[1]zawodnicy!$A$1:$E$65536,1,FALSE),IF(AND(LEN(E126)&gt;1,LEN(C126)=0),VLOOKUP(E126,[1]zawodnicy!$A$1:$E$65536,1,FALSE),"")),IF((VLOOKUP(A126,'[1]plan gier'!$X$1:$AF$65536,8,FALSE))="","",VLOOKUP(VLOOKUP(A126,'[1]plan gier'!$X$1:$AF$65536,8,FALSE),[1]zawodnicy!$A$1:$E$65536,1,FALSE)))</f>
        <v>R4591</v>
      </c>
      <c r="H126" s="2" t="str">
        <f>IF(A126=0,"",IF((VLOOKUP(A126,'[1]plan gier'!$X$1:$AF$65536,7,FALSE))="","",VLOOKUP(A126,'[1]plan gier'!$X$1:$AF$65536,9,FALSE)))</f>
        <v/>
      </c>
      <c r="L126" s="124" t="str">
        <f>IF(A126=0,"",IF(VLOOKUP(A126,'[1]plan gier'!A$1:S$65536,19,FALSE)="","",VLOOKUP(A126,'[1]plan gier'!A$1:S$65536,19,FALSE)))</f>
        <v/>
      </c>
      <c r="M126" s="2" t="str">
        <f>N112</f>
        <v>podwójna dziewcząt M</v>
      </c>
      <c r="N126" s="125"/>
      <c r="O126" s="121"/>
      <c r="P126" s="121"/>
      <c r="Q126" s="114"/>
      <c r="R126" s="114"/>
      <c r="S126" s="114"/>
      <c r="T126" s="224" t="str">
        <f>UPPER(IF(O125="","",IF(ISTEXT(N126),N126,IF(AND(N111&gt;0,O125&gt;0),VLOOKUP(N111&amp;O125&amp;N112,I:K,3,FALSE),""))))</f>
        <v>R4591</v>
      </c>
      <c r="U126" s="225"/>
      <c r="V126" s="126" t="str">
        <f>IF(T126&lt;&gt;"",CONCATENATE(VLOOKUP(T126,[1]zawodnicy!$A$1:$E$65536,2,FALSE)," ",VLOOKUP(T126,[1]zawodnicy!$A$1:$E$65536,3,FALSE)," - ",VLOOKUP(T126,[1]zawodnicy!$A$1:$E$65536,4,FALSE)),"")</f>
        <v>Natalia RÓG - MKS Stal Nowa Dęba</v>
      </c>
      <c r="W126" s="127"/>
      <c r="X126" s="231" t="str">
        <f>IF(ISBLANK(W126),IF(AND(LEN(T126)&gt;0,LEN(T128)=0),VLOOKUP(T126,[1]zawodnicy!$A$1:$E$65536,3,FALSE),IF(AND(LEN(T128)&gt;0,LEN(T126)=0),VLOOKUP(T128,[1]zawodnicy!$A$1:$E$65536,3,FALSE),"")),IF((VLOOKUP(W126,'[1]plan gier'!$X$1:$AF$65536,8,FALSE))="","",VLOOKUP(VLOOKUP(W126,'[1]plan gier'!$X$1:$AF$65536,8,FALSE),[1]zawodnicy!$A$1:$E$65536,3,FALSE)))</f>
        <v>RÓG</v>
      </c>
      <c r="Y126" s="232"/>
      <c r="Z126" s="233"/>
      <c r="AA126" s="179"/>
      <c r="AB126" s="179"/>
      <c r="AC126" s="179"/>
      <c r="AD126" s="180"/>
      <c r="AE126" s="180"/>
      <c r="AF126" s="181"/>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row>
    <row r="127" spans="1:63" ht="12.75" x14ac:dyDescent="0.2">
      <c r="J127" s="2"/>
      <c r="K127" s="2"/>
      <c r="L127" s="2"/>
      <c r="M127" s="95"/>
      <c r="N127" s="125"/>
      <c r="O127" s="120" t="str">
        <f>IF(P127="","",MAX(O113:O126)+1)</f>
        <v/>
      </c>
      <c r="P127" s="121" t="str">
        <f>IF(O111&gt;9,15,"")</f>
        <v/>
      </c>
      <c r="Q127" s="113" t="str">
        <f>O127</f>
        <v/>
      </c>
      <c r="R127" s="113"/>
      <c r="S127" s="113"/>
      <c r="T127" s="234" t="str">
        <f>UPPER(IF(O127="","",IF(ISTEXT(N127),N127,IF(AND(N111&gt;0,O127&gt;0),VLOOKUP(N111&amp;O127&amp;N112,I:K,2,FALSE),""))))</f>
        <v/>
      </c>
      <c r="U127" s="235"/>
      <c r="V127" s="122" t="str">
        <f>IF(T127&lt;&gt;"",CONCATENATE(VLOOKUP(T127,[1]zawodnicy!$A$1:$E$65536,2,FALSE)," ",VLOOKUP(T127,[1]zawodnicy!$A$1:$E$65536,3,FALSE)," - ",VLOOKUP(T127,[1]zawodnicy!$A$1:$E$65536,4,FALSE)),"")</f>
        <v/>
      </c>
      <c r="W127" s="128"/>
      <c r="X127" s="236" t="str">
        <f>IF(ISBLANK(W126),"",IF((VLOOKUP(W126,'[1]plan gier'!$X$1:$AF$65536,7,FALSE))="",L126,VLOOKUP(W126,'[1]plan gier'!$X$1:$AF$65536,9,FALSE)))</f>
        <v/>
      </c>
      <c r="Y127" s="237"/>
      <c r="Z127" s="237"/>
      <c r="AA127" s="179"/>
      <c r="AB127" s="179"/>
      <c r="AC127" s="182"/>
      <c r="AD127" s="229" t="str">
        <f>IF(ISBLANK(AC128),IF(AND(LEN(AD119)&gt;0,LEN(AD135)=0),AD119,IF(AND(LEN(AD135)&gt;0,LEN(AD119)=0),AD135,"")),IF((VLOOKUP(AC128,'[1]plan gier'!$X$1:$AF$65536,7,FALSE))="","",VLOOKUP(VLOOKUP(AC128,'[1]plan gier'!$X$1:$AF$65536,7,FALSE),[1]zawodnicy!$A$1:$E$65536,3,FALSE)))</f>
        <v>JAJKO</v>
      </c>
      <c r="AE127" s="229"/>
      <c r="AF127" s="230"/>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row>
    <row r="128" spans="1:63" ht="13.5" thickBot="1" x14ac:dyDescent="0.25">
      <c r="A128" s="172">
        <f>AC128</f>
        <v>448</v>
      </c>
      <c r="B128" s="2" t="str">
        <f>F120</f>
        <v>J4555</v>
      </c>
      <c r="C128" s="2" t="str">
        <f>G120</f>
        <v>R4591</v>
      </c>
      <c r="D128" s="2" t="str">
        <f>F136</f>
        <v>G4208</v>
      </c>
      <c r="E128" s="2" t="str">
        <f>G136</f>
        <v>M3746</v>
      </c>
      <c r="F128" s="2" t="str">
        <f>IF(A128=0,IF(AND(LEN(B128)&gt;0,LEN(D128)=0),B128,IF(AND(LEN(D128)&gt;0,LEN(B128)=0),D128,"")),IF((VLOOKUP(A128,'[1]plan gier'!$X$1:$AF$65536,7,FALSE))="","",VLOOKUP(VLOOKUP(A128,'[1]plan gier'!$X$1:$AF$65536,7,FALSE),[1]zawodnicy!$A$1:$E$65536,1,FALSE)))</f>
        <v>J4555</v>
      </c>
      <c r="G128" s="2" t="str">
        <f>IF(A128=0,IF(AND(LEN(C128)&gt;0,LEN(E128)=0),C128,IF(AND(LEN(E128)&gt;0,LEN(C128)=0),E128,"")),IF((VLOOKUP(A128,'[1]plan gier'!$X$1:$AF$65536,8,FALSE))="","",VLOOKUP(VLOOKUP(A128,'[1]plan gier'!$X$1:$AF$65536,8,FALSE),[1]zawodnicy!$A$1:$E$65536,1,FALSE)))</f>
        <v>R4591</v>
      </c>
      <c r="H128" s="2" t="str">
        <f>IF(A128=0,"",IF((VLOOKUP(A128,'[1]plan gier'!$X$1:$AF$65536,7,FALSE))="","",VLOOKUP(A128,'[1]plan gier'!$X$1:$AF$65536,9,FALSE)))</f>
        <v>11:21,22:20,21:13</v>
      </c>
      <c r="L128" s="124" t="str">
        <f>IF(A128=0,"",IF(VLOOKUP(A128,'[1]plan gier'!A$1:S$65536,19,FALSE)="","",VLOOKUP(A128,'[1]plan gier'!A$1:S$65536,19,FALSE)))</f>
        <v>nie 12:00</v>
      </c>
      <c r="M128" s="2" t="str">
        <f>N112</f>
        <v>podwójna dziewcząt M</v>
      </c>
      <c r="N128" s="129"/>
      <c r="O128" s="121"/>
      <c r="P128" s="121"/>
      <c r="Q128" s="114"/>
      <c r="R128" s="114"/>
      <c r="S128" s="114"/>
      <c r="T128" s="238" t="str">
        <f>UPPER(IF(O127="","",IF(ISTEXT(N128),N128,IF(AND(N111&gt;0,O127&gt;0),VLOOKUP(N111&amp;O127&amp;N112,I:K,3,FALSE),""))))</f>
        <v/>
      </c>
      <c r="U128" s="239"/>
      <c r="V128" s="130" t="str">
        <f>IF(T128&lt;&gt;"",CONCATENATE(VLOOKUP(T128,[1]zawodnicy!$A$1:$E$65536,2,FALSE)," ",VLOOKUP(T128,[1]zawodnicy!$A$1:$E$65536,3,FALSE)," - ",VLOOKUP(T128,[1]zawodnicy!$A$1:$E$65536,4,FALSE)),"")</f>
        <v/>
      </c>
      <c r="W128" s="176"/>
      <c r="X128" s="177"/>
      <c r="Y128" s="177"/>
      <c r="Z128" s="177"/>
      <c r="AA128" s="179"/>
      <c r="AB128" s="179"/>
      <c r="AC128" s="137">
        <v>448</v>
      </c>
      <c r="AD128" s="233" t="str">
        <f>IF(ISBLANK(AC128),IF(AND(LEN(AD120)&gt;0,LEN(AD136)=0),AD120,IF(AND(LEN(AD136)&gt;0,LEN(AD120)=0),AD136,"")),IF((VLOOKUP(AC128,'[1]plan gier'!$X$1:$AF$65536,8,FALSE))="","",VLOOKUP(VLOOKUP(AC128,'[1]plan gier'!$X$1:$AF$65536,8,FALSE),[1]zawodnicy!$A$1:$E$65536,3,FALSE)))</f>
        <v>RÓG</v>
      </c>
      <c r="AE128" s="233"/>
      <c r="AF128" s="233"/>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row>
    <row r="129" spans="1:63" ht="13.5" thickTop="1" x14ac:dyDescent="0.2">
      <c r="J129" s="2"/>
      <c r="K129" s="2"/>
      <c r="L129" s="2"/>
      <c r="M129" s="95"/>
      <c r="N129" s="132"/>
      <c r="O129" s="120">
        <f>IF(P129="","",MAX(O113:O128)+1)</f>
        <v>5</v>
      </c>
      <c r="P129" s="121">
        <f>IF(O111&gt;8,18,"")</f>
        <v>18</v>
      </c>
      <c r="Q129" s="113">
        <f>O129</f>
        <v>5</v>
      </c>
      <c r="R129" s="113"/>
      <c r="S129" s="113"/>
      <c r="T129" s="226" t="str">
        <f>UPPER(IF(O129="","",IF(ISTEXT(N129),N129,IF(AND(N111&gt;0,O129&gt;0),VLOOKUP(N111&amp;O129&amp;N112,I:K,2,FALSE),""))))</f>
        <v>X17</v>
      </c>
      <c r="U129" s="227"/>
      <c r="V129" s="133" t="str">
        <f>IF(T129&lt;&gt;"",CONCATENATE(VLOOKUP(T129,[1]zawodnicy!$A$1:$E$65536,2,FALSE)," ",VLOOKUP(T129,[1]zawodnicy!$A$1:$E$65536,3,FALSE)," - ",VLOOKUP(T129,[1]zawodnicy!$A$1:$E$65536,4,FALSE)),"")</f>
        <v>Anna BANDARENKA - Mińsk Białoruś</v>
      </c>
      <c r="W129" s="134"/>
      <c r="X129" s="228" t="str">
        <f>IF(ISBLANK(W130),IF(AND(LEN(T129)&gt;0,LEN(T131)=0),VLOOKUP(T129,[1]zawodnicy!$A$1:$E$65536,3,FALSE),IF(AND(LEN(T131)&gt;0,LEN(T129)=0),VLOOKUP(T131,[1]zawodnicy!$A$1:$E$65536,3,FALSE),"")),IF((VLOOKUP(W130,'[1]plan gier'!$X$1:$AF$65536,7,FALSE))="","",VLOOKUP(VLOOKUP(W130,'[1]plan gier'!$X$1:$AF$65536,7,FALSE),[1]zawodnicy!$A$1:$E$65536,3,FALSE)))</f>
        <v>BANDARENKA</v>
      </c>
      <c r="Y129" s="229"/>
      <c r="Z129" s="229"/>
      <c r="AA129" s="179"/>
      <c r="AB129" s="179"/>
      <c r="AC129" s="182"/>
      <c r="AD129" s="230" t="str">
        <f>IF(ISBLANK(AC128),"",IF((VLOOKUP(AC128,'[1]plan gier'!$X$1:$AF$65536,7,FALSE))="",L128,VLOOKUP(AC128,'[1]plan gier'!$X$1:$AF$65536,9,FALSE)))</f>
        <v>11:21,22:20,21:13</v>
      </c>
      <c r="AE129" s="230"/>
      <c r="AF129" s="230"/>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row>
    <row r="130" spans="1:63" ht="12.75" x14ac:dyDescent="0.2">
      <c r="A130" s="102">
        <f>W130</f>
        <v>391</v>
      </c>
      <c r="B130" s="2" t="str">
        <f>IF(TYPE(T129)=16,"",T129)</f>
        <v>X17</v>
      </c>
      <c r="C130" s="2" t="str">
        <f>IF(TYPE(T130)=16,"",T130)</f>
        <v>X06</v>
      </c>
      <c r="D130" s="2" t="str">
        <f>IF(TYPE(T131)=16,"",T131)</f>
        <v>K5033</v>
      </c>
      <c r="E130" s="2" t="str">
        <f>IF(TYPE(T132)=16,"",T132)</f>
        <v>P4197</v>
      </c>
      <c r="F130" s="2" t="str">
        <f>IF(A130=0,IF(AND(LEN(B130)&gt;1,LEN(D130)=0),VLOOKUP(B130,[1]zawodnicy!$A$1:$E$65536,1,FALSE),IF(AND(LEN(D130)&gt;1,LEN(B130)=0),VLOOKUP(D130,[1]zawodnicy!$A$1:$E$65536,1,FALSE),"")),IF((VLOOKUP(A130,'[1]plan gier'!$X$1:$AF$65536,7,FALSE))="","",VLOOKUP(VLOOKUP(A130,'[1]plan gier'!$X$1:$AF$65536,7,FALSE),[1]zawodnicy!$A$1:$E$65536,1,FALSE)))</f>
        <v>X17</v>
      </c>
      <c r="G130" s="2" t="str">
        <f>IF(A130=0,IF(AND(LEN(C130)&gt;1,LEN(E130)=0),VLOOKUP(C130,[1]zawodnicy!$A$1:$E$65536,1,FALSE),IF(AND(LEN(E130)&gt;1,LEN(C130)=0),VLOOKUP(E130,[1]zawodnicy!$A$1:$E$65536,1,FALSE),"")),IF((VLOOKUP(A130,'[1]plan gier'!$X$1:$AF$65536,8,FALSE))="","",VLOOKUP(VLOOKUP(A130,'[1]plan gier'!$X$1:$AF$65536,8,FALSE),[1]zawodnicy!$A$1:$E$65536,1,FALSE)))</f>
        <v>X06</v>
      </c>
      <c r="H130" s="2" t="str">
        <f>IF(A130=0,"",IF((VLOOKUP(A130,'[1]plan gier'!$X$1:$AF$65536,7,FALSE))="","",VLOOKUP(A130,'[1]plan gier'!$X$1:$AF$65536,9,FALSE)))</f>
        <v>21:19,21:12</v>
      </c>
      <c r="L130" s="124" t="str">
        <f>IF(A130=0,"",IF(VLOOKUP(A130,'[1]plan gier'!A$1:S$65536,19,FALSE)="","",VLOOKUP(A130,'[1]plan gier'!A$1:S$65536,19,FALSE)))</f>
        <v>sob 18:50</v>
      </c>
      <c r="M130" s="2" t="str">
        <f>N112</f>
        <v>podwójna dziewcząt M</v>
      </c>
      <c r="N130" s="125"/>
      <c r="O130" s="121"/>
      <c r="P130" s="121"/>
      <c r="Q130" s="114"/>
      <c r="R130" s="114"/>
      <c r="S130" s="114"/>
      <c r="T130" s="224" t="str">
        <f>UPPER(IF(O129="","",IF(ISTEXT(N130),N130,IF(AND(N111&gt;0,O129&gt;0),VLOOKUP(N111&amp;O129&amp;N112,I:K,3,FALSE),""))))</f>
        <v>X06</v>
      </c>
      <c r="U130" s="225"/>
      <c r="V130" s="126" t="str">
        <f>IF(T130&lt;&gt;"",CONCATENATE(VLOOKUP(T130,[1]zawodnicy!$A$1:$E$65536,2,FALSE)," ",VLOOKUP(T130,[1]zawodnicy!$A$1:$E$65536,3,FALSE)," - ",VLOOKUP(T130,[1]zawodnicy!$A$1:$E$65536,4,FALSE)),"")</f>
        <v>Uliana ZACHROVA - Brześć Białoruś</v>
      </c>
      <c r="W130" s="127">
        <v>391</v>
      </c>
      <c r="X130" s="231" t="str">
        <f>IF(ISBLANK(W130),IF(AND(LEN(T130)&gt;0,LEN(T132)=0),VLOOKUP(T130,[1]zawodnicy!$A$1:$E$65536,3,FALSE),IF(AND(LEN(T132)&gt;0,LEN(T130)=0),VLOOKUP(T132,[1]zawodnicy!$A$1:$E$65536,3,FALSE),"")),IF((VLOOKUP(W130,'[1]plan gier'!$X$1:$AF$65536,8,FALSE))="","",VLOOKUP(VLOOKUP(W130,'[1]plan gier'!$X$1:$AF$65536,8,FALSE),[1]zawodnicy!$A$1:$E$65536,3,FALSE)))</f>
        <v>ZACHROVA</v>
      </c>
      <c r="Y130" s="232"/>
      <c r="Z130" s="232"/>
      <c r="AA130" s="179"/>
      <c r="AB130" s="179"/>
      <c r="AC130" s="179"/>
      <c r="AD130" s="177"/>
      <c r="AE130" s="177"/>
      <c r="AF130" s="178"/>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row>
    <row r="131" spans="1:63" ht="12.75" x14ac:dyDescent="0.2">
      <c r="J131" s="2"/>
      <c r="K131" s="2"/>
      <c r="L131" s="2"/>
      <c r="M131" s="95"/>
      <c r="N131" s="125"/>
      <c r="O131" s="120">
        <f>IF(P131="","",MAX(O113:O130)+1)</f>
        <v>6</v>
      </c>
      <c r="P131" s="121">
        <f>IF(O111&gt;8,20,"")</f>
        <v>20</v>
      </c>
      <c r="Q131" s="113">
        <f>O131</f>
        <v>6</v>
      </c>
      <c r="R131" s="113"/>
      <c r="S131" s="113"/>
      <c r="T131" s="234" t="str">
        <f>UPPER(IF(O131="","",IF(ISTEXT(N131),N131,IF(AND(N111&gt;0,O131&gt;0),VLOOKUP(N111&amp;O131&amp;N112,I:K,2,FALSE),""))))</f>
        <v>K5033</v>
      </c>
      <c r="U131" s="235"/>
      <c r="V131" s="122" t="str">
        <f>IF(T131&lt;&gt;"",CONCATENATE(VLOOKUP(T131,[1]zawodnicy!$A$1:$E$65536,2,FALSE)," ",VLOOKUP(T131,[1]zawodnicy!$A$1:$E$65536,3,FALSE)," - ",VLOOKUP(T131,[1]zawodnicy!$A$1:$E$65536,4,FALSE)),"")</f>
        <v>Magdalena KULSKA - UKS Unia Bieruń</v>
      </c>
      <c r="W131" s="128"/>
      <c r="X131" s="237" t="str">
        <f>IF(ISBLANK(W130),"",IF((VLOOKUP(W130,'[1]plan gier'!$X$1:$AF$65536,7,FALSE))="",L130,VLOOKUP(W130,'[1]plan gier'!$X$1:$AF$65536,9,FALSE)))</f>
        <v>21:19,21:12</v>
      </c>
      <c r="Y131" s="237"/>
      <c r="Z131" s="240"/>
      <c r="AA131" s="229" t="str">
        <f>IF(ISBLANK(Z132),IF(AND(LEN(X129)&gt;0,LEN(X133)=0),X129,IF(AND(LEN(X133)&gt;0,LEN(X129)=0),X133,"")),IF((VLOOKUP(Z132,'[1]plan gier'!$X$1:$AF$65536,7,FALSE))="","",VLOOKUP(VLOOKUP(Z132,'[1]plan gier'!$X$1:$AF$65536,7,FALSE),[1]zawodnicy!$A$1:$E$65536,3,FALSE)))</f>
        <v>GOSZCZYŃSKA</v>
      </c>
      <c r="AB131" s="229"/>
      <c r="AC131" s="229"/>
      <c r="AD131" s="177"/>
      <c r="AE131" s="177"/>
      <c r="AF131" s="178"/>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row>
    <row r="132" spans="1:63" ht="13.5" thickBot="1" x14ac:dyDescent="0.25">
      <c r="A132" s="111">
        <f>Z132</f>
        <v>423</v>
      </c>
      <c r="B132" s="2" t="str">
        <f>F130</f>
        <v>X17</v>
      </c>
      <c r="C132" s="2" t="str">
        <f>G130</f>
        <v>X06</v>
      </c>
      <c r="D132" s="2" t="str">
        <f>F134</f>
        <v>G4208</v>
      </c>
      <c r="E132" s="2" t="str">
        <f>G134</f>
        <v>M3746</v>
      </c>
      <c r="F132" s="2" t="str">
        <f>IF(A132=0,IF(AND(LEN(B132)&gt;0,LEN(D132)=0),B132,IF(AND(LEN(D132)&gt;0,LEN(B132)=0),D132,"")),IF((VLOOKUP(A132,'[1]plan gier'!$X$1:$AF$65536,7,FALSE))="","",VLOOKUP(VLOOKUP(A132,'[1]plan gier'!$X$1:$AF$65536,7,FALSE),[1]zawodnicy!$A$1:$E$65536,1,FALSE)))</f>
        <v>G4208</v>
      </c>
      <c r="G132" s="2" t="str">
        <f>IF(A132=0,IF(AND(LEN(C132)&gt;0,LEN(E132)=0),C132,IF(AND(LEN(E132)&gt;0,LEN(C132)=0),E132,"")),IF((VLOOKUP(A132,'[1]plan gier'!$X$1:$AF$65536,8,FALSE))="","",VLOOKUP(VLOOKUP(A132,'[1]plan gier'!$X$1:$AF$65536,8,FALSE),[1]zawodnicy!$A$1:$E$65536,1,FALSE)))</f>
        <v>M3746</v>
      </c>
      <c r="H132" s="2" t="str">
        <f>IF(A132=0,"",IF((VLOOKUP(A132,'[1]plan gier'!$X$1:$AF$65536,7,FALSE))="","",VLOOKUP(A132,'[1]plan gier'!$X$1:$AF$65536,9,FALSE)))</f>
        <v>21:7,21:6</v>
      </c>
      <c r="L132" s="124" t="str">
        <f>IF(A132=0,"",IF(VLOOKUP(A132,'[1]plan gier'!A$1:S$65536,19,FALSE)="","",VLOOKUP(A132,'[1]plan gier'!A$1:S$65536,19,FALSE)))</f>
        <v>nie 10:00</v>
      </c>
      <c r="M132" s="2" t="str">
        <f>N112</f>
        <v>podwójna dziewcząt M</v>
      </c>
      <c r="N132" s="129"/>
      <c r="O132" s="121"/>
      <c r="P132" s="121"/>
      <c r="Q132" s="114"/>
      <c r="R132" s="114"/>
      <c r="S132" s="114"/>
      <c r="T132" s="238" t="str">
        <f>UPPER(IF(O131="","",IF(ISTEXT(N132),N132,IF(AND(N111&gt;0,O131&gt;0),VLOOKUP(N111&amp;O131&amp;N112,I:K,3,FALSE),""))))</f>
        <v>P4197</v>
      </c>
      <c r="U132" s="239"/>
      <c r="V132" s="130" t="str">
        <f>IF(T132&lt;&gt;"",CONCATENATE(VLOOKUP(T132,[1]zawodnicy!$A$1:$E$65536,2,FALSE)," ",VLOOKUP(T132,[1]zawodnicy!$A$1:$E$65536,3,FALSE)," - ",VLOOKUP(T132,[1]zawodnicy!$A$1:$E$65536,4,FALSE)),"")</f>
        <v>Zuzanna PARYSZ - UKS Unia Bieruń</v>
      </c>
      <c r="W132" s="176"/>
      <c r="X132" s="114"/>
      <c r="Y132" s="177"/>
      <c r="Z132" s="115">
        <v>423</v>
      </c>
      <c r="AA132" s="229" t="str">
        <f>IF(ISBLANK(Z132),IF(AND(LEN(X130)&gt;0,LEN(X134)=0),X130,IF(AND(LEN(X134)&gt;0,LEN(X130)=0),X134,"")),IF((VLOOKUP(Z132,'[1]plan gier'!$X$1:$AF$65536,8,FALSE))="","",VLOOKUP(VLOOKUP(Z132,'[1]plan gier'!$X$1:$AF$65536,8,FALSE),[1]zawodnicy!$A$1:$E$65536,3,FALSE)))</f>
        <v>MATYSIAK</v>
      </c>
      <c r="AB132" s="229"/>
      <c r="AC132" s="229"/>
      <c r="AD132" s="177"/>
      <c r="AE132" s="177"/>
      <c r="AF132" s="178"/>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row>
    <row r="133" spans="1:63" ht="13.5" thickTop="1" x14ac:dyDescent="0.2">
      <c r="J133" s="2"/>
      <c r="K133" s="2"/>
      <c r="L133" s="2"/>
      <c r="M133" s="95"/>
      <c r="N133" s="132"/>
      <c r="O133" s="120" t="str">
        <f>IF(P133="","",MAX(O113:O132)+1)</f>
        <v/>
      </c>
      <c r="P133" s="121" t="str">
        <f>IF(O111&gt;12,22,"")</f>
        <v/>
      </c>
      <c r="Q133" s="113" t="str">
        <f>O133</f>
        <v/>
      </c>
      <c r="R133" s="113"/>
      <c r="S133" s="113"/>
      <c r="T133" s="226" t="str">
        <f>UPPER(IF(O133="","",IF(ISTEXT(N133),N133,IF(AND(N111&gt;0,O133&gt;0),VLOOKUP(N111&amp;O133&amp;N112,I:K,2,FALSE),""))))</f>
        <v/>
      </c>
      <c r="U133" s="227"/>
      <c r="V133" s="133" t="str">
        <f>IF(T133&lt;&gt;"",CONCATENATE(VLOOKUP(T133,[1]zawodnicy!$A$1:$E$65536,2,FALSE)," ",VLOOKUP(T133,[1]zawodnicy!$A$1:$E$65536,3,FALSE)," - ",VLOOKUP(T133,[1]zawodnicy!$A$1:$E$65536,4,FALSE)),"")</f>
        <v/>
      </c>
      <c r="W133" s="134"/>
      <c r="X133" s="228" t="str">
        <f>IF(ISBLANK(W134),IF(AND(LEN(T133)&gt;0,LEN(T135)=0),VLOOKUP(T133,[1]zawodnicy!$A$1:$E$65536,3,FALSE),IF(AND(LEN(T135)&gt;0,LEN(T133)=0),VLOOKUP(T135,[1]zawodnicy!$A$1:$E$65536,3,FALSE),"")),IF((VLOOKUP(W134,'[1]plan gier'!$X$1:$AF$65536,7,FALSE))="","",VLOOKUP(VLOOKUP(W134,'[1]plan gier'!$X$1:$AF$65536,7,FALSE),[1]zawodnicy!$A$1:$E$65536,3,FALSE)))</f>
        <v>GOSZCZYŃSKA</v>
      </c>
      <c r="Y133" s="229"/>
      <c r="Z133" s="230"/>
      <c r="AA133" s="236" t="str">
        <f>IF(ISBLANK(Z132),"",IF((VLOOKUP(Z132,'[1]plan gier'!$X$1:$AF$65536,7,FALSE))="",L132,VLOOKUP(Z132,'[1]plan gier'!$X$1:$AF$65536,9,FALSE)))</f>
        <v>21:7,21:6</v>
      </c>
      <c r="AB133" s="237"/>
      <c r="AC133" s="240"/>
      <c r="AD133" s="177"/>
      <c r="AE133" s="177"/>
      <c r="AF133" s="178"/>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row>
    <row r="134" spans="1:63" ht="12.75" x14ac:dyDescent="0.2">
      <c r="A134" s="102">
        <f>W134</f>
        <v>0</v>
      </c>
      <c r="B134" s="2" t="str">
        <f>IF(TYPE(T133)=16,"",T133)</f>
        <v/>
      </c>
      <c r="C134" s="2" t="str">
        <f>IF(TYPE(T134)=16,"",T134)</f>
        <v/>
      </c>
      <c r="D134" s="2" t="str">
        <f>IF(TYPE(T135)=16,"",T135)</f>
        <v>G4208</v>
      </c>
      <c r="E134" s="2" t="str">
        <f>IF(TYPE(T136)=16,"",T136)</f>
        <v>M3746</v>
      </c>
      <c r="F134" s="2" t="str">
        <f>IF(A134=0,IF(AND(LEN(B134)&gt;1,LEN(D134)=0),VLOOKUP(B134,[1]zawodnicy!$A$1:$E$65536,1,FALSE),IF(AND(LEN(D134)&gt;1,LEN(B134)=0),VLOOKUP(D134,[1]zawodnicy!$A$1:$E$65536,1,FALSE),"")),IF((VLOOKUP(A134,'[1]plan gier'!$X$1:$AF$65536,7,FALSE))="","",VLOOKUP(VLOOKUP(A134,'[1]plan gier'!$X$1:$AF$65536,7,FALSE),[1]zawodnicy!$A$1:$E$65536,1,FALSE)))</f>
        <v>G4208</v>
      </c>
      <c r="G134" s="2" t="str">
        <f>IF(A134=0,IF(AND(LEN(C134)&gt;1,LEN(E134)=0),VLOOKUP(C134,[1]zawodnicy!$A$1:$E$65536,1,FALSE),IF(AND(LEN(E134)&gt;1,LEN(C134)=0),VLOOKUP(E134,[1]zawodnicy!$A$1:$E$65536,1,FALSE),"")),IF((VLOOKUP(A134,'[1]plan gier'!$X$1:$AF$65536,8,FALSE))="","",VLOOKUP(VLOOKUP(A134,'[1]plan gier'!$X$1:$AF$65536,8,FALSE),[1]zawodnicy!$A$1:$E$65536,1,FALSE)))</f>
        <v>M3746</v>
      </c>
      <c r="H134" s="2" t="str">
        <f>IF(A134=0,"",IF((VLOOKUP(A134,'[1]plan gier'!$X$1:$AF$65536,7,FALSE))="","",VLOOKUP(A134,'[1]plan gier'!$X$1:$AF$65536,9,FALSE)))</f>
        <v/>
      </c>
      <c r="L134" s="124" t="str">
        <f>IF(A134=0,"",IF(VLOOKUP(A134,'[1]plan gier'!A$1:S$65536,19,FALSE)="","",VLOOKUP(A134,'[1]plan gier'!A$1:S$65536,19,FALSE)))</f>
        <v/>
      </c>
      <c r="M134" s="2" t="str">
        <f>N112</f>
        <v>podwójna dziewcząt M</v>
      </c>
      <c r="N134" s="125"/>
      <c r="O134" s="121"/>
      <c r="P134" s="121"/>
      <c r="Q134" s="114"/>
      <c r="R134" s="114"/>
      <c r="S134" s="114"/>
      <c r="T134" s="224" t="str">
        <f>UPPER(IF(O133="","",IF(ISTEXT(N134),N134,IF(AND(N111&gt;0,O133&gt;0),VLOOKUP(N111&amp;O133&amp;N112,I:K,3,FALSE),""))))</f>
        <v/>
      </c>
      <c r="U134" s="225"/>
      <c r="V134" s="126" t="str">
        <f>IF(T134&lt;&gt;"",CONCATENATE(VLOOKUP(T134,[1]zawodnicy!$A$1:$E$65536,2,FALSE)," ",VLOOKUP(T134,[1]zawodnicy!$A$1:$E$65536,3,FALSE)," - ",VLOOKUP(T134,[1]zawodnicy!$A$1:$E$65536,4,FALSE)),"")</f>
        <v/>
      </c>
      <c r="W134" s="127"/>
      <c r="X134" s="231" t="str">
        <f>IF(ISBLANK(W134),IF(AND(LEN(T134)&gt;0,LEN(T136)=0),VLOOKUP(T134,[1]zawodnicy!$A$1:$E$65536,3,FALSE),IF(AND(LEN(T136)&gt;0,LEN(T134)=0),VLOOKUP(T136,[1]zawodnicy!$A$1:$E$65536,3,FALSE),"")),IF((VLOOKUP(W134,'[1]plan gier'!$X$1:$AF$65536,8,FALSE))="","",VLOOKUP(VLOOKUP(W134,'[1]plan gier'!$X$1:$AF$65536,8,FALSE),[1]zawodnicy!$A$1:$E$65536,3,FALSE)))</f>
        <v>MATYSIAK</v>
      </c>
      <c r="Y134" s="232"/>
      <c r="Z134" s="233"/>
      <c r="AA134" s="180"/>
      <c r="AB134" s="180"/>
      <c r="AC134" s="181"/>
      <c r="AD134" s="177"/>
      <c r="AE134" s="177"/>
      <c r="AF134" s="178"/>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row>
    <row r="135" spans="1:63" ht="12.75" x14ac:dyDescent="0.2">
      <c r="J135" s="2"/>
      <c r="K135" s="2"/>
      <c r="L135" s="2"/>
      <c r="M135" s="95"/>
      <c r="N135" s="125"/>
      <c r="O135" s="120">
        <f>IF(P135="","",MAX(O113:O134)+1)</f>
        <v>7</v>
      </c>
      <c r="P135" s="121">
        <f>IF(O111&gt;8,24,"")</f>
        <v>24</v>
      </c>
      <c r="Q135" s="113">
        <f>O135</f>
        <v>7</v>
      </c>
      <c r="R135" s="113"/>
      <c r="S135" s="113"/>
      <c r="T135" s="234" t="str">
        <f>UPPER(IF(O135="","",IF(ISTEXT(N135),N135,IF(AND(N111&gt;0,O135&gt;0),VLOOKUP(N111&amp;O135&amp;N112,I:K,2,FALSE),""))))</f>
        <v>G4208</v>
      </c>
      <c r="U135" s="235"/>
      <c r="V135" s="122" t="str">
        <f>IF(T135&lt;&gt;"",CONCATENATE(VLOOKUP(T135,[1]zawodnicy!$A$1:$E$65536,2,FALSE)," ",VLOOKUP(T135,[1]zawodnicy!$A$1:$E$65536,3,FALSE)," - ",VLOOKUP(T135,[1]zawodnicy!$A$1:$E$65536,4,FALSE)),"")</f>
        <v>Aleksandra GOSZCZYŃSKA - UKSB Milenium Warszawa</v>
      </c>
      <c r="W135" s="128"/>
      <c r="X135" s="236" t="str">
        <f>IF(ISBLANK(W134),"",IF((VLOOKUP(W134,'[1]plan gier'!$X$1:$AF$65536,7,FALSE))="",L134,VLOOKUP(W134,'[1]plan gier'!$X$1:$AF$65536,9,FALSE)))</f>
        <v/>
      </c>
      <c r="Y135" s="237"/>
      <c r="Z135" s="237"/>
      <c r="AA135" s="180"/>
      <c r="AB135" s="180"/>
      <c r="AC135" s="183"/>
      <c r="AD135" s="229" t="str">
        <f>IF(ISBLANK(AC136),IF(AND(LEN(AA131)&gt;0,LEN(AA139)=0),AA131,IF(AND(LEN(AA139)&gt;0,LEN(AA131)=0),AA139,"")),IF((VLOOKUP(AC136,'[1]plan gier'!$X$1:$AF$65536,7,FALSE))="","",VLOOKUP(VLOOKUP(AC136,'[1]plan gier'!$X$1:$AF$65536,7,FALSE),[1]zawodnicy!$A$1:$E$65536,3,FALSE)))</f>
        <v>GOSZCZYŃSKA</v>
      </c>
      <c r="AE135" s="229"/>
      <c r="AF135" s="230"/>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row>
    <row r="136" spans="1:63" ht="13.5" thickBot="1" x14ac:dyDescent="0.25">
      <c r="A136" s="171">
        <f>AC136</f>
        <v>440</v>
      </c>
      <c r="B136" s="2" t="str">
        <f>F132</f>
        <v>G4208</v>
      </c>
      <c r="C136" s="2" t="str">
        <f>G132</f>
        <v>M3746</v>
      </c>
      <c r="D136" s="2" t="str">
        <f>F140</f>
        <v>A4292</v>
      </c>
      <c r="E136" s="2" t="str">
        <f>G140</f>
        <v>P4786</v>
      </c>
      <c r="F136" s="2" t="str">
        <f>IF(A136=0,IF(AND(LEN(B136)&gt;0,LEN(D136)=0),B136,IF(AND(LEN(D136)&gt;0,LEN(B136)=0),D136,"")),IF((VLOOKUP(A136,'[1]plan gier'!$X$1:$AF$65536,7,FALSE))="","",VLOOKUP(VLOOKUP(A136,'[1]plan gier'!$X$1:$AF$65536,7,FALSE),[1]zawodnicy!$A$1:$E$65536,1,FALSE)))</f>
        <v>G4208</v>
      </c>
      <c r="G136" s="2" t="str">
        <f>IF(A136=0,IF(AND(LEN(C136)&gt;0,LEN(E136)=0),C136,IF(AND(LEN(E136)&gt;0,LEN(C136)=0),E136,"")),IF((VLOOKUP(A136,'[1]plan gier'!$X$1:$AF$65536,8,FALSE))="","",VLOOKUP(VLOOKUP(A136,'[1]plan gier'!$X$1:$AF$65536,8,FALSE),[1]zawodnicy!$A$1:$E$65536,1,FALSE)))</f>
        <v>M3746</v>
      </c>
      <c r="H136" s="2" t="str">
        <f>IF(A136=0,"",IF((VLOOKUP(A136,'[1]plan gier'!$X$1:$AF$65536,7,FALSE))="","",VLOOKUP(A136,'[1]plan gier'!$X$1:$AF$65536,9,FALSE)))</f>
        <v>20:22,21:12,21:18</v>
      </c>
      <c r="L136" s="124" t="str">
        <f>IF(A136=0,"",IF(VLOOKUP(A136,'[1]plan gier'!A$1:S$65536,19,FALSE)="","",VLOOKUP(A136,'[1]plan gier'!A$1:S$65536,19,FALSE)))</f>
        <v>nie 11:00</v>
      </c>
      <c r="M136" s="2" t="str">
        <f>N112</f>
        <v>podwójna dziewcząt M</v>
      </c>
      <c r="N136" s="129"/>
      <c r="O136" s="121"/>
      <c r="P136" s="121"/>
      <c r="Q136" s="114"/>
      <c r="R136" s="114"/>
      <c r="S136" s="114"/>
      <c r="T136" s="238" t="str">
        <f>UPPER(IF(O135="","",IF(ISTEXT(N136),N136,IF(AND(N111&gt;0,O135&gt;0),VLOOKUP(N111&amp;O135&amp;N112,I:K,3,FALSE),""))))</f>
        <v>M3746</v>
      </c>
      <c r="U136" s="239"/>
      <c r="V136" s="130" t="str">
        <f>IF(T136&lt;&gt;"",CONCATENATE(VLOOKUP(T136,[1]zawodnicy!$A$1:$E$65536,2,FALSE)," ",VLOOKUP(T136,[1]zawodnicy!$A$1:$E$65536,3,FALSE)," - ",VLOOKUP(T136,[1]zawodnicy!$A$1:$E$65536,4,FALSE)),"")</f>
        <v>Dorota MATYSIAK - KS Hubertus Zalesie Górne</v>
      </c>
      <c r="W136" s="176"/>
      <c r="X136" s="177"/>
      <c r="Y136" s="177"/>
      <c r="Z136" s="177"/>
      <c r="AA136" s="180"/>
      <c r="AB136" s="180"/>
      <c r="AC136" s="115">
        <v>440</v>
      </c>
      <c r="AD136" s="231" t="str">
        <f>IF(ISBLANK(AC136),IF(AND(LEN(AA132)&gt;0,LEN(AA140)=0),AA132,IF(AND(LEN(AA140)&gt;0,LEN(AA132)=0),AA140,"")),IF((VLOOKUP(AC136,'[1]plan gier'!$X$1:$AF$65536,8,FALSE))="","",VLOOKUP(VLOOKUP(AC136,'[1]plan gier'!$X$1:$AF$65536,8,FALSE),[1]zawodnicy!$A$1:$E$65536,3,FALSE)))</f>
        <v>MATYSIAK</v>
      </c>
      <c r="AE136" s="232"/>
      <c r="AF136" s="233"/>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row>
    <row r="137" spans="1:63" ht="13.5" thickTop="1" x14ac:dyDescent="0.2">
      <c r="J137" s="2"/>
      <c r="K137" s="2"/>
      <c r="L137" s="2"/>
      <c r="M137" s="95"/>
      <c r="N137" s="132"/>
      <c r="O137" s="120" t="str">
        <f>IF(P137="","",MAX(O113:O136)+1)</f>
        <v/>
      </c>
      <c r="P137" s="121" t="str">
        <f>IF(O111&gt;10,26,"")</f>
        <v/>
      </c>
      <c r="Q137" s="113" t="str">
        <f>O137</f>
        <v/>
      </c>
      <c r="R137" s="113"/>
      <c r="S137" s="113"/>
      <c r="T137" s="226" t="str">
        <f>UPPER(IF(O137="","",IF(ISTEXT(N137),N137,IF(AND(N111&gt;0,O137&gt;0),VLOOKUP(N111&amp;O137&amp;N112,I:K,2,FALSE),""))))</f>
        <v/>
      </c>
      <c r="U137" s="227"/>
      <c r="V137" s="133" t="str">
        <f>IF(T137&lt;&gt;"",CONCATENATE(VLOOKUP(T137,[1]zawodnicy!$A$1:$E$65536,2,FALSE)," ",VLOOKUP(T137,[1]zawodnicy!$A$1:$E$65536,3,FALSE)," - ",VLOOKUP(T137,[1]zawodnicy!$A$1:$E$65536,4,FALSE)),"")</f>
        <v/>
      </c>
      <c r="W137" s="134"/>
      <c r="X137" s="228" t="str">
        <f>IF(ISBLANK(W138),IF(AND(LEN(T137)&gt;0,LEN(T139)=0),VLOOKUP(T137,[1]zawodnicy!$A$1:$E$65536,3,FALSE),IF(AND(LEN(T139)&gt;0,LEN(T137)=0),VLOOKUP(T139,[1]zawodnicy!$A$1:$E$65536,3,FALSE),"")),IF((VLOOKUP(W138,'[1]plan gier'!$X$1:$AF$65536,7,FALSE))="","",VLOOKUP(VLOOKUP(W138,'[1]plan gier'!$X$1:$AF$65536,7,FALSE),[1]zawodnicy!$A$1:$E$65536,3,FALSE)))</f>
        <v>GAPIŃSKA</v>
      </c>
      <c r="Y137" s="229"/>
      <c r="Z137" s="229"/>
      <c r="AA137" s="180"/>
      <c r="AB137" s="180"/>
      <c r="AC137" s="183"/>
      <c r="AD137" s="229" t="str">
        <f>IF(ISBLANK(AC136),"",IF((VLOOKUP(AC136,'[1]plan gier'!$X$1:$AF$65536,7,FALSE))="",L136,VLOOKUP(AC136,'[1]plan gier'!$X$1:$AF$65536,9,FALSE)))</f>
        <v>20:22,21:12,21:18</v>
      </c>
      <c r="AE137" s="229"/>
      <c r="AF137" s="229"/>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row>
    <row r="138" spans="1:63" ht="12.75" x14ac:dyDescent="0.2">
      <c r="A138" s="102">
        <f>W138</f>
        <v>0</v>
      </c>
      <c r="B138" s="2" t="str">
        <f>IF(TYPE(T137)=16,"",T137)</f>
        <v/>
      </c>
      <c r="C138" s="2" t="str">
        <f>IF(TYPE(T138)=16,"",T138)</f>
        <v/>
      </c>
      <c r="D138" s="2" t="str">
        <f>IF(TYPE(T139)=16,"",T139)</f>
        <v>G5122</v>
      </c>
      <c r="E138" s="2" t="str">
        <f>IF(TYPE(T140)=16,"",T140)</f>
        <v>R4341</v>
      </c>
      <c r="F138" s="2" t="str">
        <f>IF(A138=0,IF(AND(LEN(B138)&gt;1,LEN(D138)=0),VLOOKUP(B138,[1]zawodnicy!$A$1:$E$65536,1,FALSE),IF(AND(LEN(D138)&gt;1,LEN(B138)=0),VLOOKUP(D138,[1]zawodnicy!$A$1:$E$65536,1,FALSE),"")),IF((VLOOKUP(A138,'[1]plan gier'!$X$1:$AF$65536,7,FALSE))="","",VLOOKUP(VLOOKUP(A138,'[1]plan gier'!$X$1:$AF$65536,7,FALSE),[1]zawodnicy!$A$1:$E$65536,1,FALSE)))</f>
        <v>G5122</v>
      </c>
      <c r="G138" s="2" t="str">
        <f>IF(A138=0,IF(AND(LEN(C138)&gt;1,LEN(E138)=0),VLOOKUP(C138,[1]zawodnicy!$A$1:$E$65536,1,FALSE),IF(AND(LEN(E138)&gt;1,LEN(C138)=0),VLOOKUP(E138,[1]zawodnicy!$A$1:$E$65536,1,FALSE),"")),IF((VLOOKUP(A138,'[1]plan gier'!$X$1:$AF$65536,8,FALSE))="","",VLOOKUP(VLOOKUP(A138,'[1]plan gier'!$X$1:$AF$65536,8,FALSE),[1]zawodnicy!$A$1:$E$65536,1,FALSE)))</f>
        <v>R4341</v>
      </c>
      <c r="H138" s="2" t="str">
        <f>IF(A138=0,"",IF((VLOOKUP(A138,'[1]plan gier'!$X$1:$AF$65536,7,FALSE))="","",VLOOKUP(A138,'[1]plan gier'!$X$1:$AF$65536,9,FALSE)))</f>
        <v/>
      </c>
      <c r="L138" s="124" t="str">
        <f>IF(A138=0,"",IF(VLOOKUP(A138,'[1]plan gier'!A$1:S$65536,19,FALSE)="","",VLOOKUP(A138,'[1]plan gier'!A$1:S$65536,19,FALSE)))</f>
        <v/>
      </c>
      <c r="M138" s="2" t="str">
        <f>N112</f>
        <v>podwójna dziewcząt M</v>
      </c>
      <c r="N138" s="125"/>
      <c r="O138" s="121"/>
      <c r="P138" s="121"/>
      <c r="Q138" s="114"/>
      <c r="R138" s="114"/>
      <c r="S138" s="114"/>
      <c r="T138" s="224" t="str">
        <f>UPPER(IF(O137="","",IF(ISTEXT(N138),N138,IF(AND(N111&gt;0,O137&gt;0),VLOOKUP(N111&amp;O137&amp;N112,I:K,3,FALSE),""))))</f>
        <v/>
      </c>
      <c r="U138" s="225"/>
      <c r="V138" s="126" t="str">
        <f>IF(T138&lt;&gt;"",CONCATENATE(VLOOKUP(T138,[1]zawodnicy!$A$1:$E$65536,2,FALSE)," ",VLOOKUP(T138,[1]zawodnicy!$A$1:$E$65536,3,FALSE)," - ",VLOOKUP(T138,[1]zawodnicy!$A$1:$E$65536,4,FALSE)),"")</f>
        <v/>
      </c>
      <c r="W138" s="127"/>
      <c r="X138" s="231" t="str">
        <f>IF(ISBLANK(W138),IF(AND(LEN(T138)&gt;0,LEN(T140)=0),VLOOKUP(T138,[1]zawodnicy!$A$1:$E$65536,3,FALSE),IF(AND(LEN(T140)&gt;0,LEN(T138)=0),VLOOKUP(T140,[1]zawodnicy!$A$1:$E$65536,3,FALSE),"")),IF((VLOOKUP(W138,'[1]plan gier'!$X$1:$AF$65536,8,FALSE))="","",VLOOKUP(VLOOKUP(W138,'[1]plan gier'!$X$1:$AF$65536,8,FALSE),[1]zawodnicy!$A$1:$E$65536,3,FALSE)))</f>
        <v>ROGUT</v>
      </c>
      <c r="Y138" s="232"/>
      <c r="Z138" s="232"/>
      <c r="AA138" s="180"/>
      <c r="AB138" s="180"/>
      <c r="AC138" s="181"/>
      <c r="AD138" s="174"/>
      <c r="AE138" s="174"/>
      <c r="AF138" s="174"/>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row>
    <row r="139" spans="1:63" ht="12.75" x14ac:dyDescent="0.2">
      <c r="J139" s="2"/>
      <c r="K139" s="2"/>
      <c r="L139" s="2"/>
      <c r="M139" s="95"/>
      <c r="N139" s="125"/>
      <c r="O139" s="120">
        <f>IF(P139="","",MAX(O113:O138)+1)</f>
        <v>8</v>
      </c>
      <c r="P139" s="121">
        <f>IF(O111&gt;8,28,"")</f>
        <v>28</v>
      </c>
      <c r="Q139" s="113">
        <f>O139</f>
        <v>8</v>
      </c>
      <c r="R139" s="113"/>
      <c r="S139" s="113"/>
      <c r="T139" s="234" t="str">
        <f>UPPER(IF(O139="","",IF(ISTEXT(N139),N139,IF(AND(N111&gt;0,O139&gt;0),VLOOKUP(N111&amp;O139&amp;N112,I:K,2,FALSE),""))))</f>
        <v>G5122</v>
      </c>
      <c r="U139" s="235"/>
      <c r="V139" s="122" t="str">
        <f>IF(T139&lt;&gt;"",CONCATENATE(VLOOKUP(T139,[1]zawodnicy!$A$1:$E$65536,2,FALSE)," ",VLOOKUP(T139,[1]zawodnicy!$A$1:$E$65536,3,FALSE)," - ",VLOOKUP(T139,[1]zawodnicy!$A$1:$E$65536,4,FALSE)),"")</f>
        <v>Weronika GAPIŃSKA - MLKS Solec Kuj.</v>
      </c>
      <c r="W139" s="128"/>
      <c r="X139" s="237" t="str">
        <f>IF(ISBLANK(W138),"",IF((VLOOKUP(W138,'[1]plan gier'!$X$1:$AF$65536,7,FALSE))="",L138,VLOOKUP(W138,'[1]plan gier'!$X$1:$AF$65536,9,FALSE)))</f>
        <v/>
      </c>
      <c r="Y139" s="237"/>
      <c r="Z139" s="240"/>
      <c r="AA139" s="229" t="str">
        <f>IF(ISBLANK(Z140),IF(AND(LEN(X137)&gt;0,LEN(X141)=0),X137,IF(AND(LEN(X141)&gt;0,LEN(X137)=0),X141,"")),IF((VLOOKUP(Z140,'[1]plan gier'!$X$1:$AF$65536,7,FALSE))="","",VLOOKUP(VLOOKUP(Z140,'[1]plan gier'!$X$1:$AF$65536,7,FALSE),[1]zawodnicy!$A$1:$E$65536,3,FALSE)))</f>
        <v>ADAMEK</v>
      </c>
      <c r="AB139" s="229"/>
      <c r="AC139" s="230"/>
      <c r="AD139" s="174"/>
      <c r="AE139" s="174"/>
      <c r="AF139" s="174"/>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row>
    <row r="140" spans="1:63" ht="13.5" thickBot="1" x14ac:dyDescent="0.25">
      <c r="A140" s="111">
        <f>Z140</f>
        <v>424</v>
      </c>
      <c r="B140" s="2" t="str">
        <f>F138</f>
        <v>G5122</v>
      </c>
      <c r="C140" s="2" t="str">
        <f>G138</f>
        <v>R4341</v>
      </c>
      <c r="D140" s="2" t="str">
        <f>F142</f>
        <v>A4292</v>
      </c>
      <c r="E140" s="2" t="str">
        <f>G142</f>
        <v>P4786</v>
      </c>
      <c r="F140" s="2" t="str">
        <f>IF(A140=0,IF(AND(LEN(B140)&gt;0,LEN(D140)=0),B140,IF(AND(LEN(D140)&gt;0,LEN(B140)=0),D140,"")),IF((VLOOKUP(A140,'[1]plan gier'!$X$1:$AF$65536,7,FALSE))="","",VLOOKUP(VLOOKUP(A140,'[1]plan gier'!$X$1:$AF$65536,7,FALSE),[1]zawodnicy!$A$1:$E$65536,1,FALSE)))</f>
        <v>A4292</v>
      </c>
      <c r="G140" s="2" t="str">
        <f>IF(A140=0,IF(AND(LEN(C140)&gt;0,LEN(E140)=0),C140,IF(AND(LEN(E140)&gt;0,LEN(C140)=0),E140,"")),IF((VLOOKUP(A140,'[1]plan gier'!$X$1:$AF$65536,8,FALSE))="","",VLOOKUP(VLOOKUP(A140,'[1]plan gier'!$X$1:$AF$65536,8,FALSE),[1]zawodnicy!$A$1:$E$65536,1,FALSE)))</f>
        <v>P4786</v>
      </c>
      <c r="H140" s="2" t="str">
        <f>IF(A140=0,"",IF((VLOOKUP(A140,'[1]plan gier'!$X$1:$AF$65536,7,FALSE))="","",VLOOKUP(A140,'[1]plan gier'!$X$1:$AF$65536,9,FALSE)))</f>
        <v>21:5,21:7</v>
      </c>
      <c r="L140" s="124" t="str">
        <f>IF(A140=0,"",IF(VLOOKUP(A140,'[1]plan gier'!A$1:S$65536,19,FALSE)="","",VLOOKUP(A140,'[1]plan gier'!A$1:S$65536,19,FALSE)))</f>
        <v>nie 10:00</v>
      </c>
      <c r="M140" s="2" t="str">
        <f>N112</f>
        <v>podwójna dziewcząt M</v>
      </c>
      <c r="N140" s="129"/>
      <c r="O140" s="121"/>
      <c r="P140" s="121"/>
      <c r="Q140" s="114"/>
      <c r="R140" s="114"/>
      <c r="S140" s="114"/>
      <c r="T140" s="238" t="str">
        <f>UPPER(IF(O139="","",IF(ISTEXT(N140),N140,IF(AND(N111&gt;0,O139&gt;0),VLOOKUP(N111&amp;O139&amp;N112,I:K,3,FALSE),""))))</f>
        <v>R4341</v>
      </c>
      <c r="U140" s="239"/>
      <c r="V140" s="130" t="str">
        <f>IF(T140&lt;&gt;"",CONCATENATE(VLOOKUP(T140,[1]zawodnicy!$A$1:$E$65536,2,FALSE)," ",VLOOKUP(T140,[1]zawodnicy!$A$1:$E$65536,3,FALSE)," - ",VLOOKUP(T140,[1]zawodnicy!$A$1:$E$65536,4,FALSE)),"")</f>
        <v>Małgorzata ROGUT - MLKS Solec Kuj.</v>
      </c>
      <c r="W140" s="176"/>
      <c r="X140" s="114"/>
      <c r="Y140" s="177"/>
      <c r="Z140" s="115">
        <v>424</v>
      </c>
      <c r="AA140" s="231" t="str">
        <f>IF(ISBLANK(Z140),IF(AND(LEN(X138)&gt;0,LEN(X142)=0),X138,IF(AND(LEN(X142)&gt;0,LEN(X138)=0),X142,"")),IF((VLOOKUP(Z140,'[1]plan gier'!$X$1:$AF$65536,8,FALSE))="","",VLOOKUP(VLOOKUP(Z140,'[1]plan gier'!$X$1:$AF$65536,8,FALSE),[1]zawodnicy!$A$1:$E$65536,3,FALSE)))</f>
        <v>PTAK</v>
      </c>
      <c r="AB140" s="232"/>
      <c r="AC140" s="233"/>
      <c r="AD140" s="174"/>
      <c r="AE140" s="174"/>
      <c r="AF140" s="174"/>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row>
    <row r="141" spans="1:63" ht="13.5" thickTop="1" x14ac:dyDescent="0.2">
      <c r="J141" s="2"/>
      <c r="K141" s="2"/>
      <c r="L141" s="2"/>
      <c r="M141" s="95"/>
      <c r="N141" s="132"/>
      <c r="O141" s="120" t="str">
        <f>IF(P141="","",MAX(O113:O140)+1)</f>
        <v/>
      </c>
      <c r="P141" s="121" t="str">
        <f>IF(O111&gt;14,30,"")</f>
        <v/>
      </c>
      <c r="Q141" s="113" t="str">
        <f>O141</f>
        <v/>
      </c>
      <c r="R141" s="113"/>
      <c r="S141" s="113"/>
      <c r="T141" s="226" t="str">
        <f>UPPER(IF(O141="","",IF(ISTEXT(N141),N141,IF(AND(N111&gt;0,O141&gt;0),VLOOKUP(N111&amp;O141&amp;N112,I:K,2,FALSE),""))))</f>
        <v/>
      </c>
      <c r="U141" s="227"/>
      <c r="V141" s="133" t="str">
        <f>IF(T141&lt;&gt;"",CONCATENATE(VLOOKUP(T141,[1]zawodnicy!$A$1:$E$65536,2,FALSE)," ",VLOOKUP(T141,[1]zawodnicy!$A$1:$E$65536,3,FALSE)," - ",VLOOKUP(T141,[1]zawodnicy!$A$1:$E$65536,4,FALSE)),"")</f>
        <v/>
      </c>
      <c r="W141" s="134"/>
      <c r="X141" s="228" t="str">
        <f>IF(ISBLANK(W142),IF(AND(LEN(T141)&gt;0,LEN(T143)=0),VLOOKUP(T141,[1]zawodnicy!$A$1:$E$65536,3,FALSE),IF(AND(LEN(T143)&gt;0,LEN(T141)=0),VLOOKUP(T143,[1]zawodnicy!$A$1:$E$65536,3,FALSE),"")),IF((VLOOKUP(W142,'[1]plan gier'!$X$1:$AF$65536,7,FALSE))="","",VLOOKUP(VLOOKUP(W142,'[1]plan gier'!$X$1:$AF$65536,7,FALSE),[1]zawodnicy!$A$1:$E$65536,3,FALSE)))</f>
        <v>ADAMEK</v>
      </c>
      <c r="Y141" s="229"/>
      <c r="Z141" s="230"/>
      <c r="AA141" s="229" t="str">
        <f>IF(ISBLANK(Z140),"",IF((VLOOKUP(Z140,'[1]plan gier'!$X$1:$AF$65536,7,FALSE))="",L140,VLOOKUP(Z140,'[1]plan gier'!$X$1:$AF$65536,9,FALSE)))</f>
        <v>21:5,21:7</v>
      </c>
      <c r="AB141" s="229"/>
      <c r="AC141" s="229"/>
      <c r="AD141" s="174"/>
      <c r="AE141" s="174"/>
      <c r="AF141" s="174"/>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row>
    <row r="142" spans="1:63" ht="12.75" x14ac:dyDescent="0.2">
      <c r="A142" s="102">
        <f>W142</f>
        <v>0</v>
      </c>
      <c r="B142" s="2" t="str">
        <f>IF(TYPE(T141)=16,"",T141)</f>
        <v/>
      </c>
      <c r="C142" s="2" t="str">
        <f>IF(TYPE(T142)=16,"",T142)</f>
        <v/>
      </c>
      <c r="D142" s="2" t="str">
        <f>IF(TYPE(T143)=16,"",T143)</f>
        <v>A4292</v>
      </c>
      <c r="E142" s="2" t="str">
        <f>IF(TYPE(T144)=16,"",T144)</f>
        <v>P4786</v>
      </c>
      <c r="F142" s="2" t="str">
        <f>IF(A142=0,IF(AND(LEN(B142)&gt;1,LEN(D142)=0),VLOOKUP(B142,[1]zawodnicy!$A$1:$E$65536,1,FALSE),IF(AND(LEN(D142)&gt;1,LEN(B142)=0),VLOOKUP(D142,[1]zawodnicy!$A$1:$E$65536,1,FALSE),"")),IF((VLOOKUP(A142,'[1]plan gier'!$X$1:$AF$65536,7,FALSE))="","",VLOOKUP(VLOOKUP(A142,'[1]plan gier'!$X$1:$AF$65536,7,FALSE),[1]zawodnicy!$A$1:$E$65536,1,FALSE)))</f>
        <v>A4292</v>
      </c>
      <c r="G142" s="2" t="str">
        <f>IF(A142=0,IF(AND(LEN(C142)&gt;1,LEN(E142)=0),VLOOKUP(C142,[1]zawodnicy!$A$1:$E$65536,1,FALSE),IF(AND(LEN(E142)&gt;1,LEN(C142)=0),VLOOKUP(E142,[1]zawodnicy!$A$1:$E$65536,1,FALSE),"")),IF((VLOOKUP(A142,'[1]plan gier'!$X$1:$AF$65536,8,FALSE))="","",VLOOKUP(VLOOKUP(A142,'[1]plan gier'!$X$1:$AF$65536,8,FALSE),[1]zawodnicy!$A$1:$E$65536,1,FALSE)))</f>
        <v>P4786</v>
      </c>
      <c r="H142" s="2" t="str">
        <f>IF(A142=0,"",IF((VLOOKUP(A142,'[1]plan gier'!$X$1:$AF$65536,7,FALSE))="","",VLOOKUP(A142,'[1]plan gier'!$X$1:$AF$65536,9,FALSE)))</f>
        <v/>
      </c>
      <c r="L142" s="124" t="str">
        <f>IF(A142=0,"",IF(VLOOKUP(A142,'[1]plan gier'!A$1:S$65536,19,FALSE)="","",VLOOKUP(A142,'[1]plan gier'!A$1:S$65536,19,FALSE)))</f>
        <v/>
      </c>
      <c r="M142" s="2" t="str">
        <f>N112</f>
        <v>podwójna dziewcząt M</v>
      </c>
      <c r="N142" s="125"/>
      <c r="O142" s="121"/>
      <c r="P142" s="121"/>
      <c r="Q142" s="114"/>
      <c r="R142" s="114"/>
      <c r="S142" s="114"/>
      <c r="T142" s="224" t="str">
        <f>UPPER(IF(O141="","",IF(ISTEXT(N142),N142,IF(AND(N111&gt;0,O141&gt;0),VLOOKUP(N111&amp;O141&amp;N112,I:K,3,FALSE),""))))</f>
        <v/>
      </c>
      <c r="U142" s="225"/>
      <c r="V142" s="126" t="str">
        <f>IF(T142&lt;&gt;"",CONCATENATE(VLOOKUP(T142,[1]zawodnicy!$A$1:$E$65536,2,FALSE)," ",VLOOKUP(T142,[1]zawodnicy!$A$1:$E$65536,3,FALSE)," - ",VLOOKUP(T142,[1]zawodnicy!$A$1:$E$65536,4,FALSE)),"")</f>
        <v/>
      </c>
      <c r="W142" s="127"/>
      <c r="X142" s="231" t="str">
        <f>IF(ISBLANK(W142),IF(AND(LEN(T142)&gt;0,LEN(T144)=0),VLOOKUP(T142,[1]zawodnicy!$A$1:$E$65536,3,FALSE),IF(AND(LEN(T144)&gt;0,LEN(T142)=0),VLOOKUP(T144,[1]zawodnicy!$A$1:$E$65536,3,FALSE),"")),IF((VLOOKUP(W142,'[1]plan gier'!$X$1:$AF$65536,8,FALSE))="","",VLOOKUP(VLOOKUP(W142,'[1]plan gier'!$X$1:$AF$65536,8,FALSE),[1]zawodnicy!$A$1:$E$65536,3,FALSE)))</f>
        <v>PTAK</v>
      </c>
      <c r="Y142" s="232"/>
      <c r="Z142" s="233"/>
      <c r="AA142" s="174"/>
      <c r="AB142" s="174"/>
      <c r="AC142" s="174"/>
      <c r="AD142" s="288"/>
      <c r="AE142" s="288"/>
      <c r="AF142" s="288"/>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row>
    <row r="143" spans="1:63" ht="12.75" x14ac:dyDescent="0.2">
      <c r="J143" s="2"/>
      <c r="K143" s="2"/>
      <c r="L143" s="2"/>
      <c r="M143" s="95"/>
      <c r="N143" s="125"/>
      <c r="O143" s="120">
        <f>IF(P143="","",MAX(O113:O142)+1)</f>
        <v>9</v>
      </c>
      <c r="P143" s="121">
        <f>IF(O111&gt;8,32,"")</f>
        <v>32</v>
      </c>
      <c r="Q143" s="113">
        <f>O143</f>
        <v>9</v>
      </c>
      <c r="R143" s="113"/>
      <c r="S143" s="113"/>
      <c r="T143" s="234" t="str">
        <f>UPPER(IF(O143="","",IF(ISTEXT(N143),N143,IF(AND(N111&gt;0,O143&gt;0),VLOOKUP(N111&amp;O143&amp;N112,I:K,2,FALSE),""))))</f>
        <v>A4292</v>
      </c>
      <c r="U143" s="235"/>
      <c r="V143" s="122" t="str">
        <f>IF(T143&lt;&gt;"",CONCATENATE(VLOOKUP(T143,[1]zawodnicy!$A$1:$E$65536,2,FALSE)," ",VLOOKUP(T143,[1]zawodnicy!$A$1:$E$65536,3,FALSE)," - ",VLOOKUP(T143,[1]zawodnicy!$A$1:$E$65536,4,FALSE)),"")</f>
        <v>Wiktoria ADAMEK - UKS Ząbkowice Dąbrowa Górn.</v>
      </c>
      <c r="W143" s="128"/>
      <c r="X143" s="236" t="str">
        <f>IF(ISBLANK(W142),"",IF((VLOOKUP(W142,'[1]plan gier'!$X$1:$AF$65536,7,FALSE))="",L142,VLOOKUP(W142,'[1]plan gier'!$X$1:$AF$65536,9,FALSE)))</f>
        <v/>
      </c>
      <c r="Y143" s="237"/>
      <c r="Z143" s="237"/>
      <c r="AC143" s="18"/>
      <c r="AD143" s="18"/>
      <c r="AE143" s="18"/>
      <c r="AF143" s="18"/>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row>
    <row r="144" spans="1:63" ht="12.75" x14ac:dyDescent="0.2">
      <c r="A144" s="135"/>
      <c r="J144" s="2"/>
      <c r="K144" s="2"/>
      <c r="L144" s="2"/>
      <c r="M144" s="95"/>
      <c r="N144" s="125"/>
      <c r="O144" s="121"/>
      <c r="P144" s="121"/>
      <c r="Q144" s="114"/>
      <c r="R144" s="114"/>
      <c r="S144" s="114"/>
      <c r="T144" s="224" t="str">
        <f>UPPER(IF(O143="","",IF(ISTEXT(N144),N144,IF(AND(N111&gt;0,O143&gt;0),VLOOKUP(N111&amp;O143&amp;N112,I:K,3,FALSE),""))))</f>
        <v>P4786</v>
      </c>
      <c r="U144" s="225"/>
      <c r="V144" s="126" t="str">
        <f>IF(T144&lt;&gt;"",CONCATENATE(VLOOKUP(T144,[1]zawodnicy!$A$1:$E$65536,2,FALSE)," ",VLOOKUP(T144,[1]zawodnicy!$A$1:$E$65536,3,FALSE)," - ",VLOOKUP(T144,[1]zawodnicy!$A$1:$E$65536,4,FALSE)),"")</f>
        <v>Aleksandra PTAK - STB Energia Lubliniec</v>
      </c>
      <c r="W144" s="184"/>
      <c r="X144" s="177"/>
      <c r="Y144" s="177"/>
      <c r="Z144" s="177"/>
      <c r="AC144" s="18"/>
      <c r="AD144" s="18"/>
      <c r="AE144" s="18"/>
      <c r="AF144" s="18"/>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row>
    <row r="145" spans="1:64" ht="11.45" customHeight="1" x14ac:dyDescent="0.2">
      <c r="T145" s="185"/>
      <c r="U145" s="185"/>
      <c r="V145" s="185"/>
      <c r="W145" s="185"/>
      <c r="X145" s="185"/>
      <c r="Y145" s="185"/>
      <c r="Z145" s="185"/>
      <c r="AA145" s="185"/>
      <c r="AB145" s="185"/>
      <c r="AC145" s="185"/>
      <c r="AD145" s="185"/>
      <c r="AE145" s="185"/>
      <c r="AF145" s="186"/>
    </row>
    <row r="146" spans="1:64" ht="11.45" customHeight="1" x14ac:dyDescent="0.2">
      <c r="M146" s="16"/>
      <c r="N146" s="17" t="s">
        <v>212</v>
      </c>
      <c r="R146" s="18"/>
      <c r="S146" s="18"/>
      <c r="T146" s="277" t="str">
        <f>"Gra "&amp;N146</f>
        <v>Gra podwójna chłopców M</v>
      </c>
      <c r="U146" s="277"/>
      <c r="V146" s="277"/>
      <c r="W146" s="277"/>
      <c r="X146" s="277"/>
      <c r="Y146" s="277"/>
      <c r="Z146" s="277"/>
      <c r="AA146" s="277"/>
      <c r="AB146" s="277"/>
      <c r="AC146" s="277"/>
      <c r="AD146" s="277"/>
      <c r="AE146" s="18"/>
    </row>
    <row r="147" spans="1:64" ht="11.45" customHeight="1" thickBot="1" x14ac:dyDescent="0.25"/>
    <row r="148" spans="1:64" ht="11.45" customHeight="1" thickBot="1" x14ac:dyDescent="0.25">
      <c r="B148" s="2" t="s">
        <v>63</v>
      </c>
      <c r="N148" s="138"/>
      <c r="O148" s="21">
        <v>1</v>
      </c>
      <c r="Q148" s="277" t="str">
        <f>"Grupa "&amp;O148&amp;"."</f>
        <v>Grupa 1.</v>
      </c>
      <c r="R148" s="277"/>
      <c r="S148" s="277"/>
      <c r="T148" s="22" t="s">
        <v>1</v>
      </c>
      <c r="U148" s="278" t="s">
        <v>2</v>
      </c>
      <c r="V148" s="279"/>
      <c r="W148" s="280"/>
      <c r="X148" s="22">
        <v>1</v>
      </c>
      <c r="Y148" s="139">
        <v>2</v>
      </c>
      <c r="Z148" s="23">
        <v>3</v>
      </c>
      <c r="AA148" s="140">
        <v>4</v>
      </c>
      <c r="AB148" s="141" t="s">
        <v>3</v>
      </c>
      <c r="AC148" s="142" t="s">
        <v>4</v>
      </c>
      <c r="AD148" s="26" t="s">
        <v>5</v>
      </c>
      <c r="AE148" s="143" t="s">
        <v>6</v>
      </c>
      <c r="AF148" s="12"/>
      <c r="AG148" s="12"/>
      <c r="AI148" s="273" t="s">
        <v>9</v>
      </c>
      <c r="AJ148" s="273"/>
      <c r="AK148" s="273"/>
      <c r="AL148" s="273"/>
      <c r="AM148" s="273"/>
      <c r="AN148" s="273"/>
      <c r="AO148" s="273" t="s">
        <v>10</v>
      </c>
      <c r="AP148" s="273"/>
      <c r="AQ148" s="273"/>
      <c r="AR148" s="273"/>
      <c r="AS148" s="273"/>
      <c r="AT148" s="273"/>
      <c r="BK148" s="19"/>
      <c r="BL148" s="20"/>
    </row>
    <row r="149" spans="1:64" ht="11.45" customHeight="1" x14ac:dyDescent="0.2">
      <c r="N149" s="29" t="s">
        <v>212</v>
      </c>
      <c r="Q149" s="274" t="s">
        <v>7</v>
      </c>
      <c r="R149" s="274"/>
      <c r="S149" s="275" t="s">
        <v>8</v>
      </c>
      <c r="T149" s="242">
        <v>1</v>
      </c>
      <c r="U149" s="244" t="str">
        <f>IF(AND(N150&lt;&gt;"",N151&lt;&gt;""),CONCATENATE(VLOOKUP(N150,[1]zawodnicy!$A$1:$E$65536,1,FALSE)," ",VLOOKUP(N150,[1]zawodnicy!$A$1:$E$65536,2,FALSE)," ",VLOOKUP(N150,[1]zawodnicy!$A$1:$E$65536,3,FALSE)," - ",VLOOKUP(N150,[1]zawodnicy!$A$1:$E$65536,4,FALSE)),"")</f>
        <v>A4673 Szymon ADAMCZUK - UKS Kiko Zamość</v>
      </c>
      <c r="V149" s="245"/>
      <c r="W149" s="246"/>
      <c r="X149" s="35"/>
      <c r="Y149" s="36" t="str">
        <f>IF(SUM(AO157:AP157)=0,"",AO157&amp;":"&amp;AP157)</f>
        <v>21:11</v>
      </c>
      <c r="Z149" s="36" t="str">
        <f>IF(SUM(AO152:AP152)=0,"",AO152&amp;":"&amp;AP152)</f>
        <v>21:17</v>
      </c>
      <c r="AA149" s="144" t="str">
        <f>IF(SUM(AO154:AP154)=0,"",AO154&amp;":"&amp;AP154)</f>
        <v>24:22</v>
      </c>
      <c r="AB149" s="242" t="str">
        <f>IF(SUM(AY152:BD152)=0,"",BE152&amp;":"&amp;BF152)</f>
        <v>129:91</v>
      </c>
      <c r="AC149" s="251" t="str">
        <f>IF(SUM(AY152:BD152)=0,"",BG152&amp;":"&amp;BH152)</f>
        <v>6:0</v>
      </c>
      <c r="AD149" s="251" t="str">
        <f>IF(SUM(AY152:BD152)=0,"",BI152&amp;":"&amp;BJ152)</f>
        <v>3:0</v>
      </c>
      <c r="AE149" s="254">
        <f>IF(SUM(BI152:BI155)&gt;0,BK152,"")</f>
        <v>1</v>
      </c>
      <c r="AF149" s="12"/>
      <c r="AG149" s="12"/>
      <c r="BK149" s="19"/>
      <c r="BL149" s="20"/>
    </row>
    <row r="150" spans="1:64" ht="11.45" customHeight="1" thickBot="1" x14ac:dyDescent="0.25">
      <c r="H150" s="10"/>
      <c r="I150" s="2" t="str">
        <f>"1"&amp;O148&amp;N149</f>
        <v>11podwójna chłopców M</v>
      </c>
      <c r="J150" s="10" t="str">
        <f>IF(AE149="","",IF(AE149=1,N150,IF(AE152=1,N153,IF(AE155=1,N156,IF(AE158=1,N159,"")))))</f>
        <v>A4673</v>
      </c>
      <c r="K150" s="10" t="str">
        <f>IF(AE149="","",IF(AE149=1,N151,IF(AE152=1,N154,IF(AE155=1,N157,IF(AE158=1,N160,"")))))</f>
        <v>J4677</v>
      </c>
      <c r="L150" s="10"/>
      <c r="N150" s="33" t="s">
        <v>213</v>
      </c>
      <c r="O150" s="34">
        <f>IF(O148&gt;0,(O148&amp;1)*1,"")</f>
        <v>11</v>
      </c>
      <c r="Q150" s="274"/>
      <c r="R150" s="274"/>
      <c r="S150" s="275"/>
      <c r="T150" s="242"/>
      <c r="U150" s="244" t="str">
        <f>IF(AND(N150&lt;&gt;"",N151=""),CONCATENATE(VLOOKUP(N150,[1]zawodnicy!$A$1:$E$65536,1,FALSE)," ",VLOOKUP(N150,[1]zawodnicy!$A$1:$E$65536,2,FALSE)," ",VLOOKUP(N150,[1]zawodnicy!$A$1:$E$65536,3,FALSE)," - ",VLOOKUP(N150,[1]zawodnicy!$A$1:$E$65536,4,FALSE)),"")</f>
        <v/>
      </c>
      <c r="V150" s="245"/>
      <c r="W150" s="246"/>
      <c r="X150" s="35"/>
      <c r="Y150" s="36" t="str">
        <f>IF(SUM(AQ157:AR157)=0,"",AQ157&amp;":"&amp;AR157)</f>
        <v>21:12</v>
      </c>
      <c r="Z150" s="36" t="str">
        <f>IF(SUM(AQ152:AR152)=0,"",AQ152&amp;":"&amp;AR152)</f>
        <v>21:16</v>
      </c>
      <c r="AA150" s="144" t="str">
        <f>IF(SUM(AQ154:AR154)=0,"",AQ154&amp;":"&amp;AR154)</f>
        <v>21:13</v>
      </c>
      <c r="AB150" s="242"/>
      <c r="AC150" s="251"/>
      <c r="AD150" s="251"/>
      <c r="AE150" s="254"/>
      <c r="AF150" s="12"/>
      <c r="AG150" s="12"/>
      <c r="BK150" s="19"/>
      <c r="BL150" s="20"/>
    </row>
    <row r="151" spans="1:64" ht="11.45" customHeight="1" thickBot="1" x14ac:dyDescent="0.25">
      <c r="J151" s="10"/>
      <c r="K151" s="28"/>
      <c r="L151" s="28"/>
      <c r="N151" s="38" t="s">
        <v>214</v>
      </c>
      <c r="O151" s="28"/>
      <c r="P151" s="28"/>
      <c r="Q151" s="274"/>
      <c r="R151" s="274"/>
      <c r="S151" s="275"/>
      <c r="T151" s="261"/>
      <c r="U151" s="265" t="str">
        <f>IF(N151&lt;&gt;"",CONCATENATE(VLOOKUP(N151,[1]zawodnicy!$A$1:$E$65536,1,FALSE)," ",VLOOKUP(N151,[1]zawodnicy!$A$1:$E$65536,2,FALSE)," ",VLOOKUP(N151,[1]zawodnicy!$A$1:$E$65536,3,FALSE)," - ",VLOOKUP(N151,[1]zawodnicy!$A$1:$E$65536,4,FALSE)),"")</f>
        <v>J4677 Adam JAGODA - UKS Kiko Zamość</v>
      </c>
      <c r="V151" s="266"/>
      <c r="W151" s="267"/>
      <c r="X151" s="35"/>
      <c r="Y151" s="39" t="str">
        <f>IF(SUM(AS157:AT157)=0,"",AS157&amp;":"&amp;AT157)</f>
        <v/>
      </c>
      <c r="Z151" s="39" t="str">
        <f>IF(SUM(AS152:AT152)=0,"",AS152&amp;":"&amp;AT152)</f>
        <v/>
      </c>
      <c r="AA151" s="145" t="str">
        <f>IF(SUM(AS154:AT154)=0,"",AS154&amp;":"&amp;AT154)</f>
        <v/>
      </c>
      <c r="AB151" s="242"/>
      <c r="AC151" s="251"/>
      <c r="AD151" s="251"/>
      <c r="AE151" s="254"/>
      <c r="AF151" s="12"/>
      <c r="AG151" s="12"/>
      <c r="AI151" s="283" t="s">
        <v>12</v>
      </c>
      <c r="AJ151" s="281"/>
      <c r="AK151" s="281" t="s">
        <v>13</v>
      </c>
      <c r="AL151" s="281"/>
      <c r="AM151" s="281" t="s">
        <v>14</v>
      </c>
      <c r="AN151" s="281"/>
      <c r="AO151" s="283" t="s">
        <v>12</v>
      </c>
      <c r="AP151" s="281"/>
      <c r="AQ151" s="281" t="s">
        <v>13</v>
      </c>
      <c r="AR151" s="281"/>
      <c r="AS151" s="281" t="s">
        <v>14</v>
      </c>
      <c r="AT151" s="282"/>
      <c r="AW151" s="283">
        <v>1</v>
      </c>
      <c r="AX151" s="281"/>
      <c r="AY151" s="281">
        <v>2</v>
      </c>
      <c r="AZ151" s="281"/>
      <c r="BA151" s="281">
        <v>3</v>
      </c>
      <c r="BB151" s="281"/>
      <c r="BC151" s="281">
        <v>4</v>
      </c>
      <c r="BD151" s="282"/>
      <c r="BE151" s="283" t="s">
        <v>3</v>
      </c>
      <c r="BF151" s="282"/>
      <c r="BG151" s="283" t="s">
        <v>4</v>
      </c>
      <c r="BH151" s="282"/>
      <c r="BI151" s="283" t="s">
        <v>5</v>
      </c>
      <c r="BJ151" s="268"/>
      <c r="BK151" s="41" t="s">
        <v>6</v>
      </c>
      <c r="BL151" s="20"/>
    </row>
    <row r="152" spans="1:64" ht="11.45" customHeight="1" x14ac:dyDescent="0.2">
      <c r="A152" s="19">
        <f t="shared" ref="A152:A157" si="15">S152</f>
        <v>69</v>
      </c>
      <c r="B152" s="19" t="str">
        <f>IF(N150="","",N150)</f>
        <v>A4673</v>
      </c>
      <c r="C152" s="19" t="str">
        <f>IF(N151="","",N151)</f>
        <v>J4677</v>
      </c>
      <c r="D152" s="19" t="str">
        <f>IF(N156="","",N156)</f>
        <v>K4579</v>
      </c>
      <c r="E152" s="19" t="str">
        <f>IF(N157="","",N157)</f>
        <v>S5541</v>
      </c>
      <c r="H152" s="10"/>
      <c r="I152" s="2" t="str">
        <f>"2"&amp;O148&amp;N149</f>
        <v>21podwójna chłopców M</v>
      </c>
      <c r="J152" s="10" t="str">
        <f>IF(AE152="","",IF(AE149=2,N150,IF(AE152=2,N153,IF(AE155=2,N156,IF(AE158=2,N159,"")))))</f>
        <v>K4613</v>
      </c>
      <c r="K152" s="10" t="str">
        <f>IF(AE152="","",IF(AE149=2,N151,IF(AE152=2,N154,IF(AE155=2,N157,IF(AE158=2,N160,"")))))</f>
        <v>L4716</v>
      </c>
      <c r="L152" s="10"/>
      <c r="M152" s="42" t="str">
        <f>N149</f>
        <v>podwójna chłopców M</v>
      </c>
      <c r="O152" s="28"/>
      <c r="P152" s="28"/>
      <c r="Q152" s="43" t="str">
        <f>IF(AU152&gt;0,"",IF(A152=0,"",IF(VLOOKUP(A152,'[1]plan gier'!A$1:S$65536,19,FALSE)="","",VLOOKUP(A152,'[1]plan gier'!A$1:S$65536,19,FALSE))))</f>
        <v/>
      </c>
      <c r="R152" s="44" t="s">
        <v>15</v>
      </c>
      <c r="S152" s="146">
        <v>69</v>
      </c>
      <c r="T152" s="241">
        <v>2</v>
      </c>
      <c r="U152" s="244" t="str">
        <f>IF(AND(N153&lt;&gt;"",N154&lt;&gt;""),CONCATENATE(VLOOKUP(N153,[1]zawodnicy!$A$1:$E$65536,1,FALSE)," ",VLOOKUP(N153,[1]zawodnicy!$A$1:$E$65536,2,FALSE)," ",VLOOKUP(N153,[1]zawodnicy!$A$1:$E$65536,3,FALSE)," - ",VLOOKUP(N153,[1]zawodnicy!$A$1:$E$65536,4,FALSE)),"")</f>
        <v>M5027 Kamil MACIOŁEK - MKS Strzelce Opolskie</v>
      </c>
      <c r="V152" s="245"/>
      <c r="W152" s="246"/>
      <c r="X152" s="46" t="str">
        <f>IF(SUM(AO157:AP157)=0,"",AP157&amp;":"&amp;AO157)</f>
        <v>11:21</v>
      </c>
      <c r="Y152" s="147"/>
      <c r="Z152" s="83" t="str">
        <f>IF(SUM(AO155:AP155)=0,"",AO155&amp;":"&amp;AP155)</f>
        <v>21:12</v>
      </c>
      <c r="AA152" s="48" t="str">
        <f>IF(SUM(AO153:AP153)=0,"",AO153&amp;":"&amp;AP153)</f>
        <v>8:21</v>
      </c>
      <c r="AB152" s="241" t="str">
        <f>IF(SUM(AW153:AX153,BA153:BD153)=0,"",BE153&amp;":"&amp;BF153)</f>
        <v>97:139</v>
      </c>
      <c r="AC152" s="250" t="str">
        <f>IF(SUM(AW153:AX153,BA153:BD153)=0,"",BG153&amp;":"&amp;BH153)</f>
        <v>1:6</v>
      </c>
      <c r="AD152" s="250" t="str">
        <f>IF(SUM(AW153:AX153,BA153:BD153)=0,"",BI153&amp;":"&amp;BJ153)</f>
        <v>0:3</v>
      </c>
      <c r="AE152" s="253">
        <f>IF(SUM(BI152:BI155)&gt;0,BK153,"")</f>
        <v>4</v>
      </c>
      <c r="AF152" s="12"/>
      <c r="AG152" s="12"/>
      <c r="AH152" s="44" t="s">
        <v>15</v>
      </c>
      <c r="AI152" s="148">
        <f>IF(ISBLANK(S152),"",VLOOKUP(S152,'[1]plan gier'!$X$1:$AN$65536,12,FALSE))</f>
        <v>21</v>
      </c>
      <c r="AJ152" s="52">
        <f>IF(ISBLANK(S152),"",VLOOKUP(S152,'[1]plan gier'!$X$1:$AN$65536,13,FALSE))</f>
        <v>17</v>
      </c>
      <c r="AK152" s="52">
        <f>IF(ISBLANK(S152),"",VLOOKUP(S152,'[1]plan gier'!$X$1:$AN$65536,14,FALSE))</f>
        <v>21</v>
      </c>
      <c r="AL152" s="52">
        <f>IF(ISBLANK(S152),"",VLOOKUP(S152,'[1]plan gier'!$X$1:$AN$65536,15,FALSE))</f>
        <v>16</v>
      </c>
      <c r="AM152" s="52">
        <f>IF(ISBLANK(S152),"",VLOOKUP(S152,'[1]plan gier'!$X$1:$AN$65536,16,FALSE))</f>
        <v>0</v>
      </c>
      <c r="AN152" s="52">
        <f>IF(ISBLANK(S152),"",VLOOKUP(S152,'[1]plan gier'!$X$1:$AN$65536,17,FALSE))</f>
        <v>0</v>
      </c>
      <c r="AO152" s="49">
        <f t="shared" ref="AO152:AT157" si="16">IF(AI152="",0,AI152)</f>
        <v>21</v>
      </c>
      <c r="AP152" s="50">
        <f t="shared" si="16"/>
        <v>17</v>
      </c>
      <c r="AQ152" s="50">
        <f t="shared" si="16"/>
        <v>21</v>
      </c>
      <c r="AR152" s="50">
        <f t="shared" si="16"/>
        <v>16</v>
      </c>
      <c r="AS152" s="50">
        <f t="shared" si="16"/>
        <v>0</v>
      </c>
      <c r="AT152" s="57">
        <f t="shared" si="16"/>
        <v>0</v>
      </c>
      <c r="AU152" s="149">
        <f t="shared" ref="AU152:AU157" si="17">SUM(AO152:AT152)</f>
        <v>75</v>
      </c>
      <c r="AV152" s="5">
        <v>1</v>
      </c>
      <c r="AW152" s="284"/>
      <c r="AX152" s="285"/>
      <c r="AY152" s="50">
        <f>IF(AI157&gt;AJ157,1,0)+IF(AK157&gt;AL157,1,0)+IF(AM157&gt;AN157,1,0)</f>
        <v>2</v>
      </c>
      <c r="AZ152" s="50">
        <f>AW153</f>
        <v>0</v>
      </c>
      <c r="BA152" s="50">
        <f>IF(AI152&gt;AJ152,1,0)+IF(AK152&gt;AL152,1,0)+IF(AM152&gt;AN152,1,0)</f>
        <v>2</v>
      </c>
      <c r="BB152" s="52">
        <f>AW154</f>
        <v>0</v>
      </c>
      <c r="BC152" s="150">
        <f>IF(AI154&gt;AJ154,1,0)+IF(AK154&gt;AL154,1,0)+IF(AM154&gt;AN154,1,0)</f>
        <v>2</v>
      </c>
      <c r="BD152" s="58">
        <f>AW155</f>
        <v>0</v>
      </c>
      <c r="BE152" s="148">
        <f>AO152+AQ152+AS152+AO154+AQ154+AS154+AO157+AQ157+AS157</f>
        <v>129</v>
      </c>
      <c r="BF152" s="151">
        <f>AP152+AR152+AT152+AP154+AR154+AT154+AP157+AR157+AT157</f>
        <v>91</v>
      </c>
      <c r="BG152" s="148">
        <f>AY152+BA152+BC152</f>
        <v>6</v>
      </c>
      <c r="BH152" s="152">
        <f>AZ152+BB152+BD152</f>
        <v>0</v>
      </c>
      <c r="BI152" s="148">
        <f>IF(AY152&gt;AZ152,1,0)+IF(BA152&gt;BB152,1,0)+IF(BC152&gt;BD152,1,0)</f>
        <v>3</v>
      </c>
      <c r="BJ152" s="152">
        <f>IF(AZ152&gt;AY152,1,0)+IF(BB152&gt;BA152,1,0)+IF(BD152&gt;BC152,1,0)</f>
        <v>0</v>
      </c>
      <c r="BK152" s="153">
        <f>IF(BI152+BJ152=0,"",IF(BL152=MAX(BL152:BL155),1,IF(BL152=LARGE(BL152:BL155,2),2,IF(BL152=MIN(BL152:BL155),4,3))))</f>
        <v>1</v>
      </c>
      <c r="BL152" s="60">
        <f>IF(BI152+BJ152&lt;&gt;0,BI152+1+(BG152-BH152)/100+(BE152-BF152)/100000+(BE152/BF152)/1000000,0)</f>
        <v>4.0603814175824171</v>
      </c>
    </row>
    <row r="153" spans="1:64" ht="11.45" customHeight="1" x14ac:dyDescent="0.2">
      <c r="A153" s="19">
        <f t="shared" si="15"/>
        <v>70</v>
      </c>
      <c r="B153" s="19" t="str">
        <f>IF(N153="","",N153)</f>
        <v>M5027</v>
      </c>
      <c r="C153" s="19" t="str">
        <f>IF(N154="","",N154)</f>
        <v>M4588</v>
      </c>
      <c r="D153" s="19" t="str">
        <f>IF(N159="","",N159)</f>
        <v>K4613</v>
      </c>
      <c r="E153" s="19" t="str">
        <f>IF(N160="","",N160)</f>
        <v>L4716</v>
      </c>
      <c r="J153" s="10"/>
      <c r="K153" s="19"/>
      <c r="L153" s="19"/>
      <c r="M153" s="42" t="str">
        <f>N149</f>
        <v>podwójna chłopców M</v>
      </c>
      <c r="N153" s="33" t="s">
        <v>215</v>
      </c>
      <c r="O153" s="34">
        <f>IF(O148&gt;0,(O148&amp;2)*1,"")</f>
        <v>12</v>
      </c>
      <c r="Q153" s="43" t="str">
        <f>IF(AU153&gt;0,"",IF(A153=0,"",IF(VLOOKUP(A153,'[1]plan gier'!A$1:S$65536,19,FALSE)="","",VLOOKUP(A153,'[1]plan gier'!A$1:S$65536,19,FALSE))))</f>
        <v/>
      </c>
      <c r="R153" s="44" t="s">
        <v>66</v>
      </c>
      <c r="S153" s="146">
        <v>70</v>
      </c>
      <c r="T153" s="242"/>
      <c r="U153" s="244" t="str">
        <f>IF(AND(N153&lt;&gt;"",N154=""),CONCATENATE(VLOOKUP(N153,[1]zawodnicy!$A$1:$E$65536,1,FALSE)," ",VLOOKUP(N153,[1]zawodnicy!$A$1:$E$65536,2,FALSE)," ",VLOOKUP(N153,[1]zawodnicy!$A$1:$E$65536,3,FALSE)," - ",VLOOKUP(N153,[1]zawodnicy!$A$1:$E$65536,4,FALSE)),"")</f>
        <v/>
      </c>
      <c r="V153" s="245"/>
      <c r="W153" s="246"/>
      <c r="X153" s="61" t="str">
        <f>IF(SUM(AQ157:AR157)=0,"",AR157&amp;":"&amp;AQ157)</f>
        <v>12:21</v>
      </c>
      <c r="Y153" s="154"/>
      <c r="Z153" s="36" t="str">
        <f>IF(SUM(AQ155:AR155)=0,"",AQ155&amp;":"&amp;AR155)</f>
        <v>16:21</v>
      </c>
      <c r="AA153" s="37" t="str">
        <f>IF(SUM(AQ153:AR153)=0,"",AQ153&amp;":"&amp;AR153)</f>
        <v>9:21</v>
      </c>
      <c r="AB153" s="242"/>
      <c r="AC153" s="251"/>
      <c r="AD153" s="251"/>
      <c r="AE153" s="254"/>
      <c r="AF153" s="12"/>
      <c r="AG153" s="12"/>
      <c r="AH153" s="44" t="s">
        <v>66</v>
      </c>
      <c r="AI153" s="49">
        <f>IF(ISBLANK(S153),"",VLOOKUP(S153,'[1]plan gier'!$X$1:$AN$65536,12,FALSE))</f>
        <v>8</v>
      </c>
      <c r="AJ153" s="50">
        <f>IF(ISBLANK(S153),"",VLOOKUP(S153,'[1]plan gier'!$X$1:$AN$65536,13,FALSE))</f>
        <v>21</v>
      </c>
      <c r="AK153" s="50">
        <f>IF(ISBLANK(S153),"",VLOOKUP(S153,'[1]plan gier'!$X$1:$AN$65536,14,FALSE))</f>
        <v>9</v>
      </c>
      <c r="AL153" s="50">
        <f>IF(ISBLANK(S153),"",VLOOKUP(S153,'[1]plan gier'!$X$1:$AN$65536,15,FALSE))</f>
        <v>21</v>
      </c>
      <c r="AM153" s="50">
        <f>IF(ISBLANK(S153),"",VLOOKUP(S153,'[1]plan gier'!$X$1:$AN$65536,16,FALSE))</f>
        <v>0</v>
      </c>
      <c r="AN153" s="50">
        <f>IF(ISBLANK(S153),"",VLOOKUP(S153,'[1]plan gier'!$X$1:$AN$65536,17,FALSE))</f>
        <v>0</v>
      </c>
      <c r="AO153" s="63">
        <f t="shared" si="16"/>
        <v>8</v>
      </c>
      <c r="AP153" s="64">
        <f t="shared" si="16"/>
        <v>21</v>
      </c>
      <c r="AQ153" s="64">
        <f t="shared" si="16"/>
        <v>9</v>
      </c>
      <c r="AR153" s="64">
        <f t="shared" si="16"/>
        <v>21</v>
      </c>
      <c r="AS153" s="64">
        <f t="shared" si="16"/>
        <v>0</v>
      </c>
      <c r="AT153" s="69">
        <f t="shared" si="16"/>
        <v>0</v>
      </c>
      <c r="AU153" s="149">
        <f t="shared" si="17"/>
        <v>59</v>
      </c>
      <c r="AV153" s="5">
        <v>2</v>
      </c>
      <c r="AW153" s="63">
        <f>IF(AI157&lt;AJ157,1,0)+IF(AK157&lt;AL157,1,0)+IF(AM157&lt;AN157,1,0)</f>
        <v>0</v>
      </c>
      <c r="AX153" s="64">
        <f>AY152</f>
        <v>2</v>
      </c>
      <c r="AY153" s="155"/>
      <c r="AZ153" s="156"/>
      <c r="BA153" s="64">
        <f>IF(AI155&gt;AJ155,1,0)+IF(AK155&gt;AL155,1,0)+IF(AM155&gt;AN155,1,0)</f>
        <v>1</v>
      </c>
      <c r="BB153" s="64">
        <f>AY154</f>
        <v>2</v>
      </c>
      <c r="BC153" s="157">
        <f>IF(AI153&gt;AJ153,1,0)+IF(AK153&gt;AL153,1,0)+IF(AM153&gt;AN153,1,0)</f>
        <v>0</v>
      </c>
      <c r="BD153" s="70">
        <f>AY155</f>
        <v>2</v>
      </c>
      <c r="BE153" s="63">
        <f>AO153+AQ153+AS153+AO155+AQ155+AS155+AP157+AR157+AT157</f>
        <v>97</v>
      </c>
      <c r="BF153" s="70">
        <f>AP153+AR153+AT153+AP155+AR155+AT155+AO157+AQ157+AS157</f>
        <v>139</v>
      </c>
      <c r="BG153" s="63">
        <f>AW153+BA153+BC153</f>
        <v>1</v>
      </c>
      <c r="BH153" s="69">
        <f>AX153+BB153+BD153</f>
        <v>6</v>
      </c>
      <c r="BI153" s="63">
        <f>IF(AW153&gt;AX153,1,0)+IF(BA153&gt;BB153,1,0)+IF(BC153&gt;BD153,1,0)</f>
        <v>0</v>
      </c>
      <c r="BJ153" s="69">
        <f>IF(AX153&gt;AW153,1,0)+IF(BB153&gt;BA153,1,0)+IF(BD153&gt;BC153,1,0)</f>
        <v>3</v>
      </c>
      <c r="BK153" s="71">
        <f>IF(BI153+BJ153=0,"",IF(BL153=MAX(BL152:BL155),1,IF(BL153=LARGE(BL152:BL155,2),2,IF(BL153=MIN(BL152:BL155),4,3))))</f>
        <v>4</v>
      </c>
      <c r="BL153" s="60">
        <f>IF(BI153+BJ153&lt;&gt;0,BI153+1+(BG153-BH153)/100+(BE153-BF153)/100000+(BE153/BF153)/1000000,0)</f>
        <v>0.94958069784172661</v>
      </c>
    </row>
    <row r="154" spans="1:64" ht="11.45" customHeight="1" x14ac:dyDescent="0.2">
      <c r="A154" s="19">
        <f t="shared" si="15"/>
        <v>135</v>
      </c>
      <c r="B154" s="19" t="str">
        <f>IF(N150="","",N150)</f>
        <v>A4673</v>
      </c>
      <c r="C154" s="19" t="str">
        <f>IF(N151="","",N151)</f>
        <v>J4677</v>
      </c>
      <c r="D154" s="19" t="str">
        <f>IF(N159="","",N159)</f>
        <v>K4613</v>
      </c>
      <c r="E154" s="19" t="str">
        <f>IF(N160="","",N160)</f>
        <v>L4716</v>
      </c>
      <c r="H154" s="10"/>
      <c r="I154" s="2" t="str">
        <f>"3"&amp;O148&amp;N149</f>
        <v>31podwójna chłopców M</v>
      </c>
      <c r="J154" s="10" t="str">
        <f>IF(AE155="","",IF(AE149=3,N150,IF(AE152=3,N153,IF(AE155=3,N156,IF(AE158=3,N159,"")))))</f>
        <v>K4579</v>
      </c>
      <c r="K154" s="10" t="str">
        <f>IF(AE155="","",IF(AE149=3,N151,IF(AE152=3,N154,IF(AE155=3,N157,IF(AE158=3,N160,"")))))</f>
        <v>S5541</v>
      </c>
      <c r="L154" s="10"/>
      <c r="M154" s="42" t="str">
        <f>N149</f>
        <v>podwójna chłopców M</v>
      </c>
      <c r="N154" s="38" t="s">
        <v>216</v>
      </c>
      <c r="O154" s="28"/>
      <c r="P154" s="28"/>
      <c r="Q154" s="43" t="str">
        <f>IF(AU154&gt;0,"",IF(A154=0,"",IF(VLOOKUP(A154,'[1]plan gier'!A$1:S$65536,19,FALSE)="","",VLOOKUP(A154,'[1]plan gier'!A$1:S$65536,19,FALSE))))</f>
        <v/>
      </c>
      <c r="R154" s="44" t="s">
        <v>68</v>
      </c>
      <c r="S154" s="146">
        <v>135</v>
      </c>
      <c r="T154" s="261"/>
      <c r="U154" s="265" t="str">
        <f>IF(N154&lt;&gt;"",CONCATENATE(VLOOKUP(N154,[1]zawodnicy!$A$1:$E$65536,1,FALSE)," ",VLOOKUP(N154,[1]zawodnicy!$A$1:$E$65536,2,FALSE)," ",VLOOKUP(N154,[1]zawodnicy!$A$1:$E$65536,3,FALSE)," - ",VLOOKUP(N154,[1]zawodnicy!$A$1:$E$65536,4,FALSE)),"")</f>
        <v>M4588 Jakub MINARTOWICZ - LKS Technik Głubczyce</v>
      </c>
      <c r="V154" s="266"/>
      <c r="W154" s="267"/>
      <c r="X154" s="73" t="str">
        <f>IF(SUM(AS157:AT157)=0,"",AT157&amp;":"&amp;AS157)</f>
        <v/>
      </c>
      <c r="Y154" s="154"/>
      <c r="Z154" s="39" t="str">
        <f>IF(SUM(AS155:AT155)=0,"",AS155&amp;":"&amp;AT155)</f>
        <v>20:22</v>
      </c>
      <c r="AA154" s="40" t="str">
        <f>IF(SUM(AS153:AT153)=0,"",AS153&amp;":"&amp;AT153)</f>
        <v/>
      </c>
      <c r="AB154" s="242"/>
      <c r="AC154" s="251"/>
      <c r="AD154" s="251"/>
      <c r="AE154" s="254"/>
      <c r="AF154" s="12"/>
      <c r="AG154" s="12"/>
      <c r="AH154" s="44" t="s">
        <v>68</v>
      </c>
      <c r="AI154" s="49">
        <f>IF(ISBLANK(S154),"",VLOOKUP(S154,'[1]plan gier'!$X$1:$AN$65536,12,FALSE))</f>
        <v>24</v>
      </c>
      <c r="AJ154" s="50">
        <f>IF(ISBLANK(S154),"",VLOOKUP(S154,'[1]plan gier'!$X$1:$AN$65536,13,FALSE))</f>
        <v>22</v>
      </c>
      <c r="AK154" s="50">
        <f>IF(ISBLANK(S154),"",VLOOKUP(S154,'[1]plan gier'!$X$1:$AN$65536,14,FALSE))</f>
        <v>21</v>
      </c>
      <c r="AL154" s="50">
        <f>IF(ISBLANK(S154),"",VLOOKUP(S154,'[1]plan gier'!$X$1:$AN$65536,15,FALSE))</f>
        <v>13</v>
      </c>
      <c r="AM154" s="50">
        <f>IF(ISBLANK(S154),"",VLOOKUP(S154,'[1]plan gier'!$X$1:$AN$65536,16,FALSE))</f>
        <v>0</v>
      </c>
      <c r="AN154" s="50">
        <f>IF(ISBLANK(S154),"",VLOOKUP(S154,'[1]plan gier'!$X$1:$AN$65536,17,FALSE))</f>
        <v>0</v>
      </c>
      <c r="AO154" s="63">
        <f t="shared" si="16"/>
        <v>24</v>
      </c>
      <c r="AP154" s="64">
        <f t="shared" si="16"/>
        <v>22</v>
      </c>
      <c r="AQ154" s="64">
        <f t="shared" si="16"/>
        <v>21</v>
      </c>
      <c r="AR154" s="64">
        <f t="shared" si="16"/>
        <v>13</v>
      </c>
      <c r="AS154" s="64">
        <f t="shared" si="16"/>
        <v>0</v>
      </c>
      <c r="AT154" s="69">
        <f t="shared" si="16"/>
        <v>0</v>
      </c>
      <c r="AU154" s="149">
        <f t="shared" si="17"/>
        <v>80</v>
      </c>
      <c r="AV154" s="5">
        <v>3</v>
      </c>
      <c r="AW154" s="63">
        <f>IF(AI152&lt;AJ152,1,0)+IF(AK152&lt;AL152,1,0)+IF(AM152&lt;AN152,1,0)</f>
        <v>0</v>
      </c>
      <c r="AX154" s="64">
        <f>BA152</f>
        <v>2</v>
      </c>
      <c r="AY154" s="64">
        <f>IF(AI155&lt;AJ155,1,0)+IF(AK155&lt;AL155,1,0)+IF(AM155&lt;AN155,1,0)</f>
        <v>2</v>
      </c>
      <c r="AZ154" s="64">
        <f>BA153</f>
        <v>1</v>
      </c>
      <c r="BA154" s="155"/>
      <c r="BB154" s="156"/>
      <c r="BC154" s="64">
        <f>IF(AI156&gt;AJ156,1,0)+IF(AK156&gt;AL156,1,0)+IF(AM156&gt;AN156,1,0)</f>
        <v>0</v>
      </c>
      <c r="BD154" s="70">
        <f>BA155</f>
        <v>2</v>
      </c>
      <c r="BE154" s="158">
        <f>AP152+AR152+AT152+AP155+AR155+AT155+AO156+AQ156+AS156</f>
        <v>124</v>
      </c>
      <c r="BF154" s="159">
        <f>AO152+AQ152+AS152+AO155+AQ155+AS155+AP156+AR156+AT156</f>
        <v>141</v>
      </c>
      <c r="BG154" s="158">
        <f>AW154+AY154+BC154</f>
        <v>2</v>
      </c>
      <c r="BH154" s="160">
        <f>AX154+AZ154+BD154</f>
        <v>5</v>
      </c>
      <c r="BI154" s="63">
        <f>IF(AW154&gt;AX154,1,0)+IF(AY154&gt;AZ154,1,0)+IF(BC154&gt;BD154,1,0)</f>
        <v>1</v>
      </c>
      <c r="BJ154" s="69">
        <f>IF(AX154&gt;AW154,1,0)+IF(AZ154&gt;AY154,1,0)+IF(BD154&gt;BC154,1,0)</f>
        <v>2</v>
      </c>
      <c r="BK154" s="71">
        <f>IF(BI154+BJ154=0,"",IF(BL154=MAX(BL152:BL155),1,IF(BL154=LARGE(BL152:BL155,2),2,IF(BL154=MIN(BL152:BL155),4,3))))</f>
        <v>3</v>
      </c>
      <c r="BL154" s="60">
        <f>IF(BI154+BJ154&lt;&gt;0,BI154+1+(BG154-BH154)/100+(BE154-BF154)/100000+(BE154/BF154)/1000000,0)</f>
        <v>1.969830879432624</v>
      </c>
    </row>
    <row r="155" spans="1:64" ht="11.45" customHeight="1" thickBot="1" x14ac:dyDescent="0.25">
      <c r="A155" s="19">
        <f t="shared" si="15"/>
        <v>136</v>
      </c>
      <c r="B155" s="19" t="str">
        <f>IF(N153="","",N153)</f>
        <v>M5027</v>
      </c>
      <c r="C155" s="19" t="str">
        <f>IF(N154="","",N154)</f>
        <v>M4588</v>
      </c>
      <c r="D155" s="19" t="str">
        <f>IF(N156="","",N156)</f>
        <v>K4579</v>
      </c>
      <c r="E155" s="19" t="str">
        <f>IF(N157="","",N157)</f>
        <v>S5541</v>
      </c>
      <c r="J155" s="10"/>
      <c r="K155" s="28"/>
      <c r="L155" s="28"/>
      <c r="M155" s="42" t="str">
        <f>N149</f>
        <v>podwójna chłopców M</v>
      </c>
      <c r="O155" s="28"/>
      <c r="P155" s="28"/>
      <c r="Q155" s="43" t="str">
        <f>IF(AU155&gt;0,"",IF(A155=0,"",IF(VLOOKUP(A155,'[1]plan gier'!A$1:S$65536,19,FALSE)="","",VLOOKUP(A155,'[1]plan gier'!A$1:S$65536,19,FALSE))))</f>
        <v/>
      </c>
      <c r="R155" s="44" t="s">
        <v>17</v>
      </c>
      <c r="S155" s="146">
        <v>136</v>
      </c>
      <c r="T155" s="241">
        <v>3</v>
      </c>
      <c r="U155" s="244" t="str">
        <f>IF(AND(N156&lt;&gt;"",N157&lt;&gt;""),CONCATENATE(VLOOKUP(N156,[1]zawodnicy!$A$1:$E$65536,1,FALSE)," ",VLOOKUP(N156,[1]zawodnicy!$A$1:$E$65536,2,FALSE)," ",VLOOKUP(N156,[1]zawodnicy!$A$1:$E$65536,3,FALSE)," - ",VLOOKUP(N156,[1]zawodnicy!$A$1:$E$65536,4,FALSE)),"")</f>
        <v>K4579 Miłosz KAIM - KS Masovia Płock</v>
      </c>
      <c r="V155" s="245"/>
      <c r="W155" s="246"/>
      <c r="X155" s="46" t="str">
        <f>IF(SUM(AO152:AP152)=0,"",AP152&amp;":"&amp;AO152)</f>
        <v>17:21</v>
      </c>
      <c r="Y155" s="83" t="str">
        <f>IF(SUM(AO155:AP155)=0,"",AP155&amp;":"&amp;AO155)</f>
        <v>12:21</v>
      </c>
      <c r="Z155" s="47"/>
      <c r="AA155" s="48" t="str">
        <f>IF(SUM(AO156:AP156)=0,"",AO156&amp;":"&amp;AP156)</f>
        <v>17:21</v>
      </c>
      <c r="AB155" s="241" t="str">
        <f>IF(SUM(AW154:AZ154,BC154:BD154)=0,"",BE154&amp;":"&amp;BF154)</f>
        <v>124:141</v>
      </c>
      <c r="AC155" s="250" t="str">
        <f>IF(SUM(AW154:AZ154,BC154:BD154)=0,"",BG154&amp;":"&amp;BH154)</f>
        <v>2:5</v>
      </c>
      <c r="AD155" s="250" t="str">
        <f>IF(SUM(AW154:AZ154,BC154:BD154)=0,"",BI154&amp;":"&amp;BJ154)</f>
        <v>1:2</v>
      </c>
      <c r="AE155" s="253">
        <f>IF(SUM(BI152:BI155)&gt;0,BK154,"")</f>
        <v>3</v>
      </c>
      <c r="AF155" s="12"/>
      <c r="AG155" s="12"/>
      <c r="AH155" s="44" t="s">
        <v>17</v>
      </c>
      <c r="AI155" s="49">
        <f>IF(ISBLANK(S155),"",VLOOKUP(S155,'[1]plan gier'!$X$1:$AN$65536,12,FALSE))</f>
        <v>21</v>
      </c>
      <c r="AJ155" s="50">
        <f>IF(ISBLANK(S155),"",VLOOKUP(S155,'[1]plan gier'!$X$1:$AN$65536,13,FALSE))</f>
        <v>12</v>
      </c>
      <c r="AK155" s="50">
        <f>IF(ISBLANK(S155),"",VLOOKUP(S155,'[1]plan gier'!$X$1:$AN$65536,14,FALSE))</f>
        <v>16</v>
      </c>
      <c r="AL155" s="50">
        <f>IF(ISBLANK(S155),"",VLOOKUP(S155,'[1]plan gier'!$X$1:$AN$65536,15,FALSE))</f>
        <v>21</v>
      </c>
      <c r="AM155" s="50">
        <f>IF(ISBLANK(S155),"",VLOOKUP(S155,'[1]plan gier'!$X$1:$AN$65536,16,FALSE))</f>
        <v>20</v>
      </c>
      <c r="AN155" s="50">
        <f>IF(ISBLANK(S155),"",VLOOKUP(S155,'[1]plan gier'!$X$1:$AN$65536,17,FALSE))</f>
        <v>22</v>
      </c>
      <c r="AO155" s="63">
        <f t="shared" si="16"/>
        <v>21</v>
      </c>
      <c r="AP155" s="64">
        <f t="shared" si="16"/>
        <v>12</v>
      </c>
      <c r="AQ155" s="64">
        <f t="shared" si="16"/>
        <v>16</v>
      </c>
      <c r="AR155" s="64">
        <f t="shared" si="16"/>
        <v>21</v>
      </c>
      <c r="AS155" s="64">
        <f t="shared" si="16"/>
        <v>20</v>
      </c>
      <c r="AT155" s="69">
        <f t="shared" si="16"/>
        <v>22</v>
      </c>
      <c r="AU155" s="149">
        <f t="shared" si="17"/>
        <v>112</v>
      </c>
      <c r="AV155" s="5">
        <v>4</v>
      </c>
      <c r="AW155" s="161">
        <f>IF(AI154&lt;AJ154,1,0)+IF(AK154&lt;AL154,1,0)+IF(AM154&lt;AN154,1,0)</f>
        <v>0</v>
      </c>
      <c r="AX155" s="162">
        <f>BC152</f>
        <v>2</v>
      </c>
      <c r="AY155" s="162">
        <f>IF(AI153&lt;AJ153,1,0)+IF(AK153&lt;AL153,1,0)+IF(AM153&lt;AN153,1,0)</f>
        <v>2</v>
      </c>
      <c r="AZ155" s="162">
        <f>BC153</f>
        <v>0</v>
      </c>
      <c r="BA155" s="75">
        <f>IF(AI156&lt;AJ156,1,0)+IF(AK156&lt;AL156,1,0)+IF(AM156&lt;AN156,1,0)</f>
        <v>2</v>
      </c>
      <c r="BB155" s="75">
        <f>BC154</f>
        <v>0</v>
      </c>
      <c r="BC155" s="163"/>
      <c r="BD155" s="164"/>
      <c r="BE155" s="74">
        <f>AP153+AR153+AT153+AP154+AR154+AT154+AP156+AR156+AT156</f>
        <v>119</v>
      </c>
      <c r="BF155" s="81">
        <f>AO153+AQ153+AS153+AO154+AQ154+AS154+AO156+AQ156+AS156</f>
        <v>98</v>
      </c>
      <c r="BG155" s="74">
        <f>AW155+AY155+BA155</f>
        <v>4</v>
      </c>
      <c r="BH155" s="80">
        <f>AX155+AZ155+BB155</f>
        <v>2</v>
      </c>
      <c r="BI155" s="74">
        <f>IF(AW155&gt;AX155,1,0)+IF(AY155&gt;AZ155,1,0)+IF(BA155&gt;BB155,1,0)</f>
        <v>2</v>
      </c>
      <c r="BJ155" s="80">
        <f>IF(AX155&gt;AW155,1,0)+IF(AZ155&gt;AY155,1,0)+IF(BB155&gt;BA155,1,0)</f>
        <v>1</v>
      </c>
      <c r="BK155" s="82">
        <f>IF(BI155+BJ155=0,"",IF(BL155=MAX(BL152:BL155),1,IF(BL155=LARGE(BL152:BL155,2),2,IF(BL155=MIN(BL152:BL155),4,3))))</f>
        <v>2</v>
      </c>
      <c r="BL155" s="60">
        <f>IF(BI155+BJ155&lt;&gt;0,BI155+1+(BG155-BH155)/100+(BE155-BF155)/100000+(BE155/BF155)/1000000,0)</f>
        <v>3.0202112142857143</v>
      </c>
    </row>
    <row r="156" spans="1:64" ht="11.45" customHeight="1" x14ac:dyDescent="0.2">
      <c r="A156" s="19">
        <f t="shared" si="15"/>
        <v>282</v>
      </c>
      <c r="B156" s="19" t="str">
        <f>IF(N156="","",N156)</f>
        <v>K4579</v>
      </c>
      <c r="C156" s="19" t="str">
        <f>IF(N157="","",N157)</f>
        <v>S5541</v>
      </c>
      <c r="D156" s="19" t="str">
        <f>IF(N159="","",N159)</f>
        <v>K4613</v>
      </c>
      <c r="E156" s="19" t="str">
        <f>IF(N160="","",N160)</f>
        <v>L4716</v>
      </c>
      <c r="H156" s="10"/>
      <c r="I156" s="2" t="str">
        <f>"4"&amp;O148&amp;N149</f>
        <v>41podwójna chłopców M</v>
      </c>
      <c r="J156" s="10" t="str">
        <f>IF(AE158="","",IF(AE149=4,N150,IF(AE152=4,N153,IF(AE155=4,N156,IF(AE158=4,N159,"")))))</f>
        <v>M5027</v>
      </c>
      <c r="K156" s="10" t="str">
        <f>IF(AE158="","",IF(AE149=4,N151,IF(AE152=4,N154,IF(AE155=4,N157,IF(AE158=4,N160,"")))))</f>
        <v>M4588</v>
      </c>
      <c r="L156" s="10"/>
      <c r="M156" s="42" t="str">
        <f>N149</f>
        <v>podwójna chłopców M</v>
      </c>
      <c r="N156" s="33" t="s">
        <v>217</v>
      </c>
      <c r="O156" s="34">
        <f>IF(O148&gt;0,(O148&amp;3)*1,"")</f>
        <v>13</v>
      </c>
      <c r="Q156" s="43" t="str">
        <f>IF(AU156&gt;0,"",IF(A156=0,"",IF(VLOOKUP(A156,'[1]plan gier'!A$1:S$65536,19,FALSE)="","",VLOOKUP(A156,'[1]plan gier'!A$1:S$65536,19,FALSE))))</f>
        <v/>
      </c>
      <c r="R156" s="44" t="s">
        <v>69</v>
      </c>
      <c r="S156" s="146">
        <v>282</v>
      </c>
      <c r="T156" s="242"/>
      <c r="U156" s="244" t="str">
        <f>IF(AND(N156&lt;&gt;"",N157=""),CONCATENATE(VLOOKUP(N156,[1]zawodnicy!$A$1:$E$65536,1,FALSE)," ",VLOOKUP(N156,[1]zawodnicy!$A$1:$E$65536,2,FALSE)," ",VLOOKUP(N156,[1]zawodnicy!$A$1:$E$65536,3,FALSE)," - ",VLOOKUP(N156,[1]zawodnicy!$A$1:$E$65536,4,FALSE)),"")</f>
        <v/>
      </c>
      <c r="V156" s="245"/>
      <c r="W156" s="246"/>
      <c r="X156" s="61" t="str">
        <f>IF(SUM(AQ152:AR152)=0,"",AR152&amp;":"&amp;AQ152)</f>
        <v>16:21</v>
      </c>
      <c r="Y156" s="36" t="str">
        <f>IF(SUM(AQ155:AR155)=0,"",AR155&amp;":"&amp;AQ155)</f>
        <v>21:16</v>
      </c>
      <c r="Z156" s="62"/>
      <c r="AA156" s="37" t="str">
        <f>IF(SUM(AQ156:AR156)=0,"",AQ156&amp;":"&amp;AR156)</f>
        <v>19:21</v>
      </c>
      <c r="AB156" s="242"/>
      <c r="AC156" s="251"/>
      <c r="AD156" s="251"/>
      <c r="AE156" s="254"/>
      <c r="AF156" s="12"/>
      <c r="AG156" s="12"/>
      <c r="AH156" s="44" t="s">
        <v>69</v>
      </c>
      <c r="AI156" s="49">
        <f>IF(ISBLANK(S156),"",VLOOKUP(S156,'[1]plan gier'!$X$1:$AN$65536,12,FALSE))</f>
        <v>17</v>
      </c>
      <c r="AJ156" s="50">
        <f>IF(ISBLANK(S156),"",VLOOKUP(S156,'[1]plan gier'!$X$1:$AN$65536,13,FALSE))</f>
        <v>21</v>
      </c>
      <c r="AK156" s="50">
        <f>IF(ISBLANK(S156),"",VLOOKUP(S156,'[1]plan gier'!$X$1:$AN$65536,14,FALSE))</f>
        <v>19</v>
      </c>
      <c r="AL156" s="50">
        <f>IF(ISBLANK(S156),"",VLOOKUP(S156,'[1]plan gier'!$X$1:$AN$65536,15,FALSE))</f>
        <v>21</v>
      </c>
      <c r="AM156" s="50">
        <f>IF(ISBLANK(S156),"",VLOOKUP(S156,'[1]plan gier'!$X$1:$AN$65536,16,FALSE))</f>
        <v>0</v>
      </c>
      <c r="AN156" s="50">
        <f>IF(ISBLANK(S156),"",VLOOKUP(S156,'[1]plan gier'!$X$1:$AN$65536,17,FALSE))</f>
        <v>0</v>
      </c>
      <c r="AO156" s="63">
        <f t="shared" si="16"/>
        <v>17</v>
      </c>
      <c r="AP156" s="64">
        <f t="shared" si="16"/>
        <v>21</v>
      </c>
      <c r="AQ156" s="64">
        <f t="shared" si="16"/>
        <v>19</v>
      </c>
      <c r="AR156" s="64">
        <f t="shared" si="16"/>
        <v>21</v>
      </c>
      <c r="AS156" s="64">
        <f t="shared" si="16"/>
        <v>0</v>
      </c>
      <c r="AT156" s="69">
        <f t="shared" si="16"/>
        <v>0</v>
      </c>
      <c r="AU156" s="149">
        <f t="shared" si="17"/>
        <v>78</v>
      </c>
      <c r="BE156" s="19">
        <f t="shared" ref="BE156:BJ156" si="18">SUM(BE152:BE155)</f>
        <v>469</v>
      </c>
      <c r="BF156" s="19">
        <f t="shared" si="18"/>
        <v>469</v>
      </c>
      <c r="BG156" s="19">
        <f t="shared" si="18"/>
        <v>13</v>
      </c>
      <c r="BH156" s="19">
        <f t="shared" si="18"/>
        <v>13</v>
      </c>
      <c r="BI156" s="19">
        <f t="shared" si="18"/>
        <v>6</v>
      </c>
      <c r="BJ156" s="19">
        <f t="shared" si="18"/>
        <v>6</v>
      </c>
      <c r="BK156" s="19"/>
      <c r="BL156" s="20"/>
    </row>
    <row r="157" spans="1:64" ht="11.45" customHeight="1" thickBot="1" x14ac:dyDescent="0.25">
      <c r="A157" s="19">
        <f t="shared" si="15"/>
        <v>283</v>
      </c>
      <c r="B157" s="19" t="str">
        <f>IF(N150="","",N150)</f>
        <v>A4673</v>
      </c>
      <c r="C157" s="19" t="str">
        <f>IF(N151="","",N151)</f>
        <v>J4677</v>
      </c>
      <c r="D157" s="19" t="str">
        <f>IF(N153="","",N153)</f>
        <v>M5027</v>
      </c>
      <c r="E157" s="19" t="str">
        <f>IF(N154="","",N154)</f>
        <v>M4588</v>
      </c>
      <c r="J157" s="28"/>
      <c r="K157" s="28"/>
      <c r="L157" s="28"/>
      <c r="M157" s="42" t="str">
        <f>N149</f>
        <v>podwójna chłopców M</v>
      </c>
      <c r="N157" s="38" t="s">
        <v>218</v>
      </c>
      <c r="O157" s="28"/>
      <c r="P157" s="28"/>
      <c r="Q157" s="43" t="str">
        <f>IF(AU157&gt;0,"",IF(A157=0,"",IF(VLOOKUP(A157,'[1]plan gier'!A$1:S$65536,19,FALSE)="","",VLOOKUP(A157,'[1]plan gier'!A$1:S$65536,19,FALSE))))</f>
        <v/>
      </c>
      <c r="R157" s="44" t="s">
        <v>18</v>
      </c>
      <c r="S157" s="146">
        <v>283</v>
      </c>
      <c r="T157" s="261"/>
      <c r="U157" s="265" t="str">
        <f>IF(N157&lt;&gt;"",CONCATENATE(VLOOKUP(N157,[1]zawodnicy!$A$1:$E$65536,1,FALSE)," ",VLOOKUP(N157,[1]zawodnicy!$A$1:$E$65536,2,FALSE)," ",VLOOKUP(N157,[1]zawodnicy!$A$1:$E$65536,3,FALSE)," - ",VLOOKUP(N157,[1]zawodnicy!$A$1:$E$65536,4,FALSE)),"")</f>
        <v>S5541 Kamil SOKOŁOWSKI - KS Masovia Płock</v>
      </c>
      <c r="V157" s="266"/>
      <c r="W157" s="267"/>
      <c r="X157" s="73" t="str">
        <f>IF(SUM(AS152:AT152)=0,"",AT152&amp;":"&amp;AS152)</f>
        <v/>
      </c>
      <c r="Y157" s="39" t="str">
        <f>IF(SUM(AS155:AT155)=0,"",AT155&amp;":"&amp;AS155)</f>
        <v>22:20</v>
      </c>
      <c r="Z157" s="62"/>
      <c r="AA157" s="40" t="str">
        <f>IF(SUM(AS156:AT156)=0,"",AS156&amp;":"&amp;AT156)</f>
        <v/>
      </c>
      <c r="AB157" s="242"/>
      <c r="AC157" s="251"/>
      <c r="AD157" s="251"/>
      <c r="AE157" s="254"/>
      <c r="AF157" s="12"/>
      <c r="AG157" s="12"/>
      <c r="AH157" s="44" t="s">
        <v>18</v>
      </c>
      <c r="AI157" s="161">
        <f>IF(ISBLANK(S157),"",VLOOKUP(S157,'[1]plan gier'!$X$1:$AN$65536,12,FALSE))</f>
        <v>21</v>
      </c>
      <c r="AJ157" s="162">
        <f>IF(ISBLANK(S157),"",VLOOKUP(S157,'[1]plan gier'!$X$1:$AN$65536,13,FALSE))</f>
        <v>11</v>
      </c>
      <c r="AK157" s="162">
        <f>IF(ISBLANK(S157),"",VLOOKUP(S157,'[1]plan gier'!$X$1:$AN$65536,14,FALSE))</f>
        <v>21</v>
      </c>
      <c r="AL157" s="162">
        <f>IF(ISBLANK(S157),"",VLOOKUP(S157,'[1]plan gier'!$X$1:$AN$65536,15,FALSE))</f>
        <v>12</v>
      </c>
      <c r="AM157" s="162">
        <f>IF(ISBLANK(S157),"",VLOOKUP(S157,'[1]plan gier'!$X$1:$AN$65536,16,FALSE))</f>
        <v>0</v>
      </c>
      <c r="AN157" s="162">
        <f>IF(ISBLANK(S157),"",VLOOKUP(S157,'[1]plan gier'!$X$1:$AN$65536,17,FALSE))</f>
        <v>0</v>
      </c>
      <c r="AO157" s="74">
        <f t="shared" si="16"/>
        <v>21</v>
      </c>
      <c r="AP157" s="75">
        <f t="shared" si="16"/>
        <v>11</v>
      </c>
      <c r="AQ157" s="75">
        <f t="shared" si="16"/>
        <v>21</v>
      </c>
      <c r="AR157" s="75">
        <f t="shared" si="16"/>
        <v>12</v>
      </c>
      <c r="AS157" s="75">
        <f t="shared" si="16"/>
        <v>0</v>
      </c>
      <c r="AT157" s="80">
        <f t="shared" si="16"/>
        <v>0</v>
      </c>
      <c r="AU157" s="149">
        <f t="shared" si="17"/>
        <v>65</v>
      </c>
      <c r="BK157" s="19"/>
      <c r="BL157" s="20"/>
    </row>
    <row r="158" spans="1:64" ht="11.45" customHeight="1" x14ac:dyDescent="0.2">
      <c r="A158" s="2"/>
      <c r="J158" s="28"/>
      <c r="K158" s="28"/>
      <c r="L158" s="28"/>
      <c r="O158" s="28"/>
      <c r="P158" s="28"/>
      <c r="Q158" s="2"/>
      <c r="R158" s="2"/>
      <c r="S158" s="2"/>
      <c r="T158" s="241">
        <v>4</v>
      </c>
      <c r="U158" s="244" t="str">
        <f>IF(AND(N159&lt;&gt;"",N160&lt;&gt;""),CONCATENATE(VLOOKUP(N159,[1]zawodnicy!$A$1:$E$65536,1,FALSE)," ",VLOOKUP(N159,[1]zawodnicy!$A$1:$E$65536,2,FALSE)," ",VLOOKUP(N159,[1]zawodnicy!$A$1:$E$65536,3,FALSE)," - ",VLOOKUP(N159,[1]zawodnicy!$A$1:$E$65536,4,FALSE)),"")</f>
        <v>K4613 Jakub KUFEL - UKS Orbitek Straszęcin</v>
      </c>
      <c r="V158" s="245"/>
      <c r="W158" s="246"/>
      <c r="X158" s="46" t="str">
        <f>IF(SUM(AO154:AP154)=0,"",AP154&amp;":"&amp;AO154)</f>
        <v>22:24</v>
      </c>
      <c r="Y158" s="83" t="str">
        <f>IF(SUM(AO153:AP153)=0,"",AP153&amp;":"&amp;AO153)</f>
        <v>21:8</v>
      </c>
      <c r="Z158" s="83" t="str">
        <f>IF(SUM(AO156:AP156)=0,"",AP156&amp;":"&amp;AO156)</f>
        <v>21:17</v>
      </c>
      <c r="AA158" s="165"/>
      <c r="AB158" s="241" t="str">
        <f>IF(SUM(AW155:BB155)=0,"",BE155&amp;":"&amp;BF155)</f>
        <v>119:98</v>
      </c>
      <c r="AC158" s="250" t="str">
        <f>IF(SUM(AW155:BB155)=0,"",BG155&amp;":"&amp;BH155)</f>
        <v>4:2</v>
      </c>
      <c r="AD158" s="250" t="str">
        <f>IF(SUM(AW155:BB155)=0,"",BI155&amp;":"&amp;BJ155)</f>
        <v>2:1</v>
      </c>
      <c r="AE158" s="253">
        <f>IF(SUM(BI152:BI155)&gt;0,BK155,"")</f>
        <v>2</v>
      </c>
      <c r="AF158" s="12"/>
      <c r="AG158" s="12"/>
      <c r="AH158" s="2"/>
      <c r="AI158" s="2"/>
      <c r="AJ158" s="2"/>
      <c r="AK158" s="2"/>
      <c r="AL158" s="2"/>
      <c r="AM158" s="2"/>
      <c r="AN158" s="2"/>
      <c r="AO158" s="2"/>
      <c r="AP158" s="2"/>
      <c r="AQ158" s="2"/>
      <c r="AR158" s="2"/>
      <c r="AS158" s="2"/>
      <c r="AT158" s="2"/>
      <c r="AU158" s="2"/>
      <c r="BK158" s="19"/>
      <c r="BL158" s="20"/>
    </row>
    <row r="159" spans="1:64" ht="11.45" customHeight="1" x14ac:dyDescent="0.2">
      <c r="A159" s="19"/>
      <c r="B159" s="19"/>
      <c r="C159" s="19"/>
      <c r="D159" s="19"/>
      <c r="E159" s="19"/>
      <c r="H159" s="10"/>
      <c r="J159" s="19"/>
      <c r="K159" s="19"/>
      <c r="L159" s="19"/>
      <c r="N159" s="33" t="s">
        <v>219</v>
      </c>
      <c r="O159" s="34">
        <f>IF(O148&gt;0,(O148&amp;4)*1,"")</f>
        <v>14</v>
      </c>
      <c r="Q159" s="85"/>
      <c r="R159" s="85"/>
      <c r="S159" s="85"/>
      <c r="T159" s="242"/>
      <c r="U159" s="244" t="str">
        <f>IF(AND(N159&lt;&gt;"",N160=""),CONCATENATE(VLOOKUP(N159,[1]zawodnicy!$A$1:$E$65536,1,FALSE)," ",VLOOKUP(N159,[1]zawodnicy!$A$1:$E$65536,2,FALSE)," ",VLOOKUP(N159,[1]zawodnicy!$A$1:$E$65536,3,FALSE)," - ",VLOOKUP(N159,[1]zawodnicy!$A$1:$E$65536,4,FALSE)),"")</f>
        <v/>
      </c>
      <c r="V159" s="245"/>
      <c r="W159" s="246"/>
      <c r="X159" s="61" t="str">
        <f>IF(SUM(AQ154:AR154)=0,"",AR154&amp;":"&amp;AQ154)</f>
        <v>13:21</v>
      </c>
      <c r="Y159" s="36" t="str">
        <f>IF(SUM(AQ153:AR153)=0,"",AR153&amp;":"&amp;AQ153)</f>
        <v>21:9</v>
      </c>
      <c r="Z159" s="36" t="str">
        <f>IF(SUM(AQ156:AR156)=0,"",AR156&amp;":"&amp;AQ156)</f>
        <v>21:19</v>
      </c>
      <c r="AA159" s="166"/>
      <c r="AB159" s="242"/>
      <c r="AC159" s="251"/>
      <c r="AD159" s="251"/>
      <c r="AE159" s="254"/>
      <c r="AF159" s="12"/>
      <c r="AG159" s="1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row>
    <row r="160" spans="1:64" ht="11.45" customHeight="1" thickBot="1" x14ac:dyDescent="0.25">
      <c r="A160" s="2"/>
      <c r="J160" s="28"/>
      <c r="K160" s="28"/>
      <c r="L160" s="28"/>
      <c r="N160" s="38" t="s">
        <v>220</v>
      </c>
      <c r="O160" s="28"/>
      <c r="P160" s="28"/>
      <c r="Q160" s="2"/>
      <c r="R160" s="2"/>
      <c r="S160" s="2"/>
      <c r="T160" s="243"/>
      <c r="U160" s="256" t="str">
        <f>IF(N160&lt;&gt;"",CONCATENATE(VLOOKUP(N160,[1]zawodnicy!$A$1:$E$65536,1,FALSE)," ",VLOOKUP(N160,[1]zawodnicy!$A$1:$E$65536,2,FALSE)," ",VLOOKUP(N160,[1]zawodnicy!$A$1:$E$65536,3,FALSE)," - ",VLOOKUP(N160,[1]zawodnicy!$A$1:$E$65536,4,FALSE)),"")</f>
        <v>L4716 Rafał LEJKO - MKS Stal Nowa Dęba</v>
      </c>
      <c r="V160" s="257"/>
      <c r="W160" s="258"/>
      <c r="X160" s="87" t="str">
        <f>IF(SUM(AS154:AT154)=0,"",AT154&amp;":"&amp;AS154)</f>
        <v/>
      </c>
      <c r="Y160" s="88" t="str">
        <f>IF(SUM(AS153:AT153)=0,"",AT153&amp;":"&amp;AS153)</f>
        <v/>
      </c>
      <c r="Z160" s="88" t="str">
        <f>IF(SUM(AS156:AT156)=0,"",AT156&amp;":"&amp;AS156)</f>
        <v/>
      </c>
      <c r="AA160" s="89"/>
      <c r="AB160" s="243"/>
      <c r="AC160" s="252"/>
      <c r="AD160" s="252"/>
      <c r="AE160" s="255"/>
      <c r="AF160" s="12"/>
      <c r="AG160" s="1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row>
    <row r="161" spans="1:64" ht="5.0999999999999996" customHeight="1" thickBot="1" x14ac:dyDescent="0.25">
      <c r="BK161" s="19"/>
      <c r="BL161" s="20"/>
    </row>
    <row r="162" spans="1:64" ht="11.45" customHeight="1" thickBot="1" x14ac:dyDescent="0.25">
      <c r="N162" s="11"/>
      <c r="O162" s="21">
        <v>2</v>
      </c>
      <c r="Q162" s="277" t="str">
        <f>"Grupa "&amp;O162&amp;"."</f>
        <v>Grupa 2.</v>
      </c>
      <c r="R162" s="277"/>
      <c r="S162" s="277"/>
      <c r="T162" s="22" t="s">
        <v>1</v>
      </c>
      <c r="U162" s="278" t="s">
        <v>2</v>
      </c>
      <c r="V162" s="279"/>
      <c r="W162" s="280"/>
      <c r="X162" s="22">
        <v>1</v>
      </c>
      <c r="Y162" s="23">
        <v>2</v>
      </c>
      <c r="Z162" s="24">
        <v>3</v>
      </c>
      <c r="AA162" s="25" t="s">
        <v>3</v>
      </c>
      <c r="AB162" s="26" t="s">
        <v>4</v>
      </c>
      <c r="AC162" s="26" t="s">
        <v>5</v>
      </c>
      <c r="AD162" s="27" t="s">
        <v>6</v>
      </c>
      <c r="AE162" s="2"/>
      <c r="AF162" s="12"/>
      <c r="AG162" s="12"/>
      <c r="BK162" s="19"/>
      <c r="BL162" s="20"/>
    </row>
    <row r="163" spans="1:64" ht="11.45" customHeight="1" x14ac:dyDescent="0.2">
      <c r="J163" s="28"/>
      <c r="K163" s="28"/>
      <c r="L163" s="28"/>
      <c r="N163" s="29" t="s">
        <v>212</v>
      </c>
      <c r="Q163" s="274" t="s">
        <v>7</v>
      </c>
      <c r="R163" s="274"/>
      <c r="S163" s="275" t="s">
        <v>8</v>
      </c>
      <c r="T163" s="276">
        <v>1</v>
      </c>
      <c r="U163" s="244" t="str">
        <f>IF(AND(N164&lt;&gt;"",N165&lt;&gt;""),CONCATENATE(VLOOKUP(N164,[1]zawodnicy!$A$1:$E$65536,1,FALSE)," ",VLOOKUP(N164,[1]zawodnicy!$A$1:$E$65536,2,FALSE)," ",VLOOKUP(N164,[1]zawodnicy!$A$1:$E$65536,3,FALSE)," - ",VLOOKUP(N164,[1]zawodnicy!$A$1:$E$65536,4,FALSE)),"")</f>
        <v>B4431 Michał BIENIA - UKS Aktywna Piątka Przemyśl</v>
      </c>
      <c r="V163" s="245"/>
      <c r="W163" s="246"/>
      <c r="X163" s="30"/>
      <c r="Y163" s="31" t="str">
        <f>IF(SUM(AO168:AP168)=0,"",AO168&amp;":"&amp;AP168)</f>
        <v>21:14</v>
      </c>
      <c r="Z163" s="32" t="str">
        <f>IF(SUM(AO166:AP166)=0,"",AO166&amp;":"&amp;AP166)</f>
        <v>21:10</v>
      </c>
      <c r="AA163" s="270" t="str">
        <f>IF(SUM(AY166:BB166)=0,"",BE166&amp;":"&amp;BF166)</f>
        <v>84:51</v>
      </c>
      <c r="AB163" s="271" t="str">
        <f>IF(SUM(AY166:BB166)=0,"",BG166&amp;":"&amp;BH166)</f>
        <v>4:0</v>
      </c>
      <c r="AC163" s="271" t="str">
        <f>IF(SUM(AY166:BB166)=0,"",BI166&amp;":"&amp;BJ166)</f>
        <v>2:0</v>
      </c>
      <c r="AD163" s="272">
        <f>IF(SUM(BI166:BI168)&gt;0,BK166,"")</f>
        <v>1</v>
      </c>
      <c r="AE163" s="2"/>
      <c r="AF163" s="12"/>
      <c r="AG163" s="12"/>
      <c r="AH163" s="14"/>
      <c r="AI163" s="273" t="s">
        <v>9</v>
      </c>
      <c r="AJ163" s="273"/>
      <c r="AK163" s="273"/>
      <c r="AL163" s="273"/>
      <c r="AM163" s="273"/>
      <c r="AN163" s="273"/>
      <c r="AO163" s="273" t="s">
        <v>10</v>
      </c>
      <c r="AP163" s="273"/>
      <c r="AQ163" s="273"/>
      <c r="AR163" s="273"/>
      <c r="AS163" s="273"/>
      <c r="AT163" s="273"/>
      <c r="BK163" s="19"/>
      <c r="BL163" s="20"/>
    </row>
    <row r="164" spans="1:64" ht="11.45" customHeight="1" thickBot="1" x14ac:dyDescent="0.25">
      <c r="I164" s="2" t="str">
        <f>"1"&amp;O162&amp;N163</f>
        <v>12podwójna chłopców M</v>
      </c>
      <c r="J164" s="10" t="str">
        <f>IF(AD163="","",IF(AD163=1,N164,IF(AD166=1,N167,IF(AD169=1,N170,""))))</f>
        <v>B4431</v>
      </c>
      <c r="K164" s="10" t="str">
        <f>IF(AD163="","",IF(AD163=1,N165,IF(AD166=1,N168,IF(AD169=1,N171,""))))</f>
        <v>K4432</v>
      </c>
      <c r="L164" s="10"/>
      <c r="N164" s="33" t="s">
        <v>221</v>
      </c>
      <c r="O164" s="34">
        <f>IF(O162&gt;0,(O162&amp;1)*1,"")</f>
        <v>21</v>
      </c>
      <c r="Q164" s="274"/>
      <c r="R164" s="274"/>
      <c r="S164" s="275"/>
      <c r="T164" s="242"/>
      <c r="U164" s="244" t="str">
        <f>IF(AND(N164&lt;&gt;"",N165=""),CONCATENATE(VLOOKUP(N164,[1]zawodnicy!$A$1:$E$65536,1,FALSE)," ",VLOOKUP(N164,[1]zawodnicy!$A$1:$E$65536,2,FALSE)," ",VLOOKUP(N164,[1]zawodnicy!$A$1:$E$65536,3,FALSE)," - ",VLOOKUP(N164,[1]zawodnicy!$A$1:$E$65536,4,FALSE)),"")</f>
        <v/>
      </c>
      <c r="V164" s="245"/>
      <c r="W164" s="246"/>
      <c r="X164" s="35"/>
      <c r="Y164" s="36" t="str">
        <f>IF(SUM(AQ168:AR168)=0,"",AQ168&amp;":"&amp;AR168)</f>
        <v>21:18</v>
      </c>
      <c r="Z164" s="37" t="str">
        <f>IF(SUM(AQ166:AR166)=0,"",AQ166&amp;":"&amp;AR166)</f>
        <v>21:9</v>
      </c>
      <c r="AA164" s="248"/>
      <c r="AB164" s="251"/>
      <c r="AC164" s="251"/>
      <c r="AD164" s="254"/>
      <c r="AE164" s="2"/>
      <c r="AF164" s="12"/>
      <c r="AG164" s="12"/>
      <c r="AH164" s="14"/>
      <c r="BE164" s="19">
        <f>SUM(BE166:BE168)</f>
        <v>238</v>
      </c>
      <c r="BF164" s="19">
        <f>SUM(BF166:BF168)</f>
        <v>238</v>
      </c>
      <c r="BG164" s="19">
        <f>SUM(BG166:BG168)</f>
        <v>7</v>
      </c>
      <c r="BH164" s="19">
        <f>SUM(BH166:BH168)</f>
        <v>7</v>
      </c>
      <c r="BK164" s="19"/>
      <c r="BL164" s="20"/>
    </row>
    <row r="165" spans="1:64" ht="11.45" customHeight="1" thickBot="1" x14ac:dyDescent="0.25">
      <c r="J165" s="10"/>
      <c r="K165" s="28"/>
      <c r="L165" s="28"/>
      <c r="N165" s="38" t="s">
        <v>222</v>
      </c>
      <c r="O165" s="28"/>
      <c r="P165" s="28"/>
      <c r="Q165" s="274"/>
      <c r="R165" s="274"/>
      <c r="S165" s="275"/>
      <c r="T165" s="261"/>
      <c r="U165" s="265" t="str">
        <f>IF(N165&lt;&gt;"",CONCATENATE(VLOOKUP(N165,[1]zawodnicy!$A$1:$E$65536,1,FALSE)," ",VLOOKUP(N165,[1]zawodnicy!$A$1:$E$65536,2,FALSE)," ",VLOOKUP(N165,[1]zawodnicy!$A$1:$E$65536,3,FALSE)," - ",VLOOKUP(N165,[1]zawodnicy!$A$1:$E$65536,4,FALSE)),"")</f>
        <v>K4432 Daniel KNAP - UKS Aktywna Piątka Przemyśl</v>
      </c>
      <c r="V165" s="266"/>
      <c r="W165" s="267"/>
      <c r="X165" s="35"/>
      <c r="Y165" s="39" t="str">
        <f>IF(SUM(AS168:AT168)=0,"",AS168&amp;":"&amp;AT168)</f>
        <v/>
      </c>
      <c r="Z165" s="40" t="str">
        <f>IF(SUM(AS166:AT166)=0,"",AS166&amp;":"&amp;AT166)</f>
        <v/>
      </c>
      <c r="AA165" s="262"/>
      <c r="AB165" s="263"/>
      <c r="AC165" s="263"/>
      <c r="AD165" s="264"/>
      <c r="AE165" s="2"/>
      <c r="AF165" s="12"/>
      <c r="AG165" s="12"/>
      <c r="AH165" s="14"/>
      <c r="AI165" s="259" t="s">
        <v>12</v>
      </c>
      <c r="AJ165" s="269"/>
      <c r="AK165" s="268" t="s">
        <v>13</v>
      </c>
      <c r="AL165" s="269"/>
      <c r="AM165" s="268" t="s">
        <v>14</v>
      </c>
      <c r="AN165" s="260"/>
      <c r="AO165" s="259" t="s">
        <v>12</v>
      </c>
      <c r="AP165" s="269"/>
      <c r="AQ165" s="268" t="s">
        <v>13</v>
      </c>
      <c r="AR165" s="269"/>
      <c r="AS165" s="268" t="s">
        <v>14</v>
      </c>
      <c r="AT165" s="269"/>
      <c r="AU165" s="12"/>
      <c r="AV165" s="12"/>
      <c r="AW165" s="259">
        <v>1</v>
      </c>
      <c r="AX165" s="269"/>
      <c r="AY165" s="268">
        <v>2</v>
      </c>
      <c r="AZ165" s="269"/>
      <c r="BA165" s="268">
        <v>3</v>
      </c>
      <c r="BB165" s="260"/>
      <c r="BE165" s="259" t="s">
        <v>3</v>
      </c>
      <c r="BF165" s="260"/>
      <c r="BG165" s="259" t="s">
        <v>4</v>
      </c>
      <c r="BH165" s="260"/>
      <c r="BI165" s="259" t="s">
        <v>5</v>
      </c>
      <c r="BJ165" s="260"/>
      <c r="BK165" s="41" t="s">
        <v>6</v>
      </c>
      <c r="BL165" s="20"/>
    </row>
    <row r="166" spans="1:64" ht="11.45" customHeight="1" x14ac:dyDescent="0.2">
      <c r="A166" s="19">
        <f>S166</f>
        <v>71</v>
      </c>
      <c r="B166" s="2" t="str">
        <f>IF(N164="","",N164)</f>
        <v>B4431</v>
      </c>
      <c r="C166" s="2" t="str">
        <f>IF(N165="","",N165)</f>
        <v>K4432</v>
      </c>
      <c r="D166" s="2" t="str">
        <f>IF(N170="","",N170)</f>
        <v>X02</v>
      </c>
      <c r="E166" s="2" t="str">
        <f>IF(N171="","",N171)</f>
        <v>X04</v>
      </c>
      <c r="I166" s="2" t="str">
        <f>"2"&amp;O162&amp;N163</f>
        <v>22podwójna chłopców M</v>
      </c>
      <c r="J166" s="10" t="str">
        <f>IF(AD166="","",IF(AD163=2,N164,IF(AD166=2,N167,IF(AD169=2,N170,""))))</f>
        <v>E4320</v>
      </c>
      <c r="K166" s="10" t="str">
        <f>IF(AD166="","",IF(AD163=2,N165,IF(AD166=2,N168,IF(AD169=2,N171,""))))</f>
        <v>W4657</v>
      </c>
      <c r="M166" s="42" t="str">
        <f>N163</f>
        <v>podwójna chłopców M</v>
      </c>
      <c r="O166" s="28"/>
      <c r="P166" s="28"/>
      <c r="Q166" s="43" t="str">
        <f>IF(AU166&gt;0,"",IF(A166=0,"",IF(VLOOKUP(A166,'[1]plan gier'!A$1:S$65536,19,FALSE)="","",VLOOKUP(A166,'[1]plan gier'!A$1:S$65536,19,FALSE))))</f>
        <v/>
      </c>
      <c r="R166" s="44" t="s">
        <v>15</v>
      </c>
      <c r="S166" s="45">
        <v>71</v>
      </c>
      <c r="T166" s="241">
        <v>2</v>
      </c>
      <c r="U166" s="244" t="str">
        <f>IF(AND(N167&lt;&gt;"",N168&lt;&gt;""),CONCATENATE(VLOOKUP(N167,[1]zawodnicy!$A$1:$E$65536,1,FALSE)," ",VLOOKUP(N167,[1]zawodnicy!$A$1:$E$65536,2,FALSE)," ",VLOOKUP(N167,[1]zawodnicy!$A$1:$E$65536,3,FALSE)," - ",VLOOKUP(N167,[1]zawodnicy!$A$1:$E$65536,4,FALSE)),"")</f>
        <v>E4320 Franciszek EBERT - KS Hubertus Zalesie Górne</v>
      </c>
      <c r="V166" s="245"/>
      <c r="W166" s="246"/>
      <c r="X166" s="46" t="str">
        <f>IF(SUM(AO168:AP168)=0,"",AP168&amp;":"&amp;AO168)</f>
        <v>14:21</v>
      </c>
      <c r="Y166" s="47"/>
      <c r="Z166" s="48" t="str">
        <f>IF(SUM(AO167:AP167)=0,"",AO167&amp;":"&amp;AP167)</f>
        <v>21:14</v>
      </c>
      <c r="AA166" s="247" t="str">
        <f>IF(SUM(AW167:AX167,BA167:BB167)=0,"",BE167&amp;":"&amp;BF167)</f>
        <v>93:84</v>
      </c>
      <c r="AB166" s="250" t="str">
        <f>IF(SUM(AW167:AX167,BA167:BB167)=0,"",BG167&amp;":"&amp;BH167)</f>
        <v>2:3</v>
      </c>
      <c r="AC166" s="250" t="str">
        <f>IF(SUM(AW167:AX167,BA167:BB167)=0,"",BI167&amp;":"&amp;BJ167)</f>
        <v>1:1</v>
      </c>
      <c r="AD166" s="253">
        <f>IF(SUM(BI166:BI168)&gt;0,BK167,"")</f>
        <v>2</v>
      </c>
      <c r="AE166" s="2"/>
      <c r="AF166" s="12"/>
      <c r="AG166" s="12"/>
      <c r="AH166" s="44" t="s">
        <v>15</v>
      </c>
      <c r="AI166" s="49">
        <f>IF(ISBLANK(S166),"",VLOOKUP(S166,'[1]plan gier'!$X$1:$AN$65536,12,FALSE))</f>
        <v>21</v>
      </c>
      <c r="AJ166" s="50">
        <f>IF(ISBLANK(S166),"",VLOOKUP(S166,'[1]plan gier'!$X$1:$AN$65536,13,FALSE))</f>
        <v>10</v>
      </c>
      <c r="AK166" s="50">
        <f>IF(ISBLANK(S166),"",VLOOKUP(S166,'[1]plan gier'!$X$1:$AN$65536,14,FALSE))</f>
        <v>21</v>
      </c>
      <c r="AL166" s="50">
        <f>IF(ISBLANK(S166),"",VLOOKUP(S166,'[1]plan gier'!$X$1:$AN$65536,15,FALSE))</f>
        <v>9</v>
      </c>
      <c r="AM166" s="50">
        <f>IF(ISBLANK(S166),"",VLOOKUP(S166,'[1]plan gier'!$X$1:$AN$65536,16,FALSE))</f>
        <v>0</v>
      </c>
      <c r="AN166" s="50">
        <f>IF(ISBLANK(S166),"",VLOOKUP(S166,'[1]plan gier'!$X$1:$AN$65536,17,FALSE))</f>
        <v>0</v>
      </c>
      <c r="AO166" s="51">
        <f t="shared" ref="AO166:AT168" si="19">IF(AI166="",0,AI166)</f>
        <v>21</v>
      </c>
      <c r="AP166" s="52">
        <f t="shared" si="19"/>
        <v>10</v>
      </c>
      <c r="AQ166" s="53">
        <f t="shared" si="19"/>
        <v>21</v>
      </c>
      <c r="AR166" s="52">
        <f t="shared" si="19"/>
        <v>9</v>
      </c>
      <c r="AS166" s="53">
        <f t="shared" si="19"/>
        <v>0</v>
      </c>
      <c r="AT166" s="52">
        <f t="shared" si="19"/>
        <v>0</v>
      </c>
      <c r="AU166" s="54">
        <f>SUM(AO166:AT166)</f>
        <v>61</v>
      </c>
      <c r="AV166" s="13">
        <v>1</v>
      </c>
      <c r="AW166" s="55"/>
      <c r="AX166" s="56"/>
      <c r="AY166" s="50">
        <f>IF(AI168&gt;AJ168,1,0)+IF(AK168&gt;AL168,1,0)+IF(AM168&gt;AN168,1,0)</f>
        <v>2</v>
      </c>
      <c r="AZ166" s="50">
        <f>AW167</f>
        <v>0</v>
      </c>
      <c r="BA166" s="50">
        <f>IF(AI166&gt;AJ166,1,0)+IF(AK166&gt;AL166,1,0)+IF(AM166&gt;AN166,1,0)</f>
        <v>2</v>
      </c>
      <c r="BB166" s="57">
        <f>AW168</f>
        <v>0</v>
      </c>
      <c r="BE166" s="49">
        <f>AO166+AQ166+AS166+AO168+AQ168+AS168</f>
        <v>84</v>
      </c>
      <c r="BF166" s="57">
        <f>AP166+AR166+AT166+AP168+AR168+AT168</f>
        <v>51</v>
      </c>
      <c r="BG166" s="49">
        <f>AY166+BA166</f>
        <v>4</v>
      </c>
      <c r="BH166" s="57">
        <f>AZ166+BB166</f>
        <v>0</v>
      </c>
      <c r="BI166" s="49">
        <f>IF(AY166&gt;AZ166,1,0)+IF(BA166&gt;BB166,1,0)</f>
        <v>2</v>
      </c>
      <c r="BJ166" s="58">
        <f>IF(AZ166&gt;AY166,1,0)+IF(BB166&gt;BA166,1,0)</f>
        <v>0</v>
      </c>
      <c r="BK166" s="59">
        <f>IF(BI166+BJ166=0,"",IF(BL166=MAX(BL166:BL168),1,IF(BL166=MIN(BL166:BL168),3,2)))</f>
        <v>1</v>
      </c>
      <c r="BL166" s="60">
        <f>IF(BI166+BJ166&lt;&gt;0,BI166+1+(BG166-BH166)/100+(BE166-BF166)/100000+(BE166/BF166)/1000000,0)</f>
        <v>3.0403316470588235</v>
      </c>
    </row>
    <row r="167" spans="1:64" ht="11.45" customHeight="1" x14ac:dyDescent="0.2">
      <c r="A167" s="19">
        <f>S167</f>
        <v>137</v>
      </c>
      <c r="B167" s="2" t="str">
        <f>IF(N167="","",N167)</f>
        <v>E4320</v>
      </c>
      <c r="C167" s="2" t="str">
        <f>IF(N168="","",N168)</f>
        <v>W4657</v>
      </c>
      <c r="D167" s="2" t="str">
        <f>IF(N170="","",N170)</f>
        <v>X02</v>
      </c>
      <c r="E167" s="2" t="str">
        <f>IF(N171="","",N171)</f>
        <v>X04</v>
      </c>
      <c r="J167" s="10"/>
      <c r="K167" s="19"/>
      <c r="M167" s="42" t="str">
        <f>N163</f>
        <v>podwójna chłopców M</v>
      </c>
      <c r="N167" s="33" t="s">
        <v>223</v>
      </c>
      <c r="O167" s="34">
        <f>IF(O162&gt;0,(O162&amp;2)*1,"")</f>
        <v>22</v>
      </c>
      <c r="Q167" s="43" t="str">
        <f>IF(AU167&gt;0,"",IF(A167=0,"",IF(VLOOKUP(A167,'[1]plan gier'!A$1:S$65536,19,FALSE)="","",VLOOKUP(A167,'[1]plan gier'!A$1:S$65536,19,FALSE))))</f>
        <v/>
      </c>
      <c r="R167" s="44" t="s">
        <v>17</v>
      </c>
      <c r="S167" s="45">
        <v>137</v>
      </c>
      <c r="T167" s="242"/>
      <c r="U167" s="244" t="str">
        <f>IF(AND(N167&lt;&gt;"",N168=""),CONCATENATE(VLOOKUP(N167,[1]zawodnicy!$A$1:$E$65536,1,FALSE)," ",VLOOKUP(N167,[1]zawodnicy!$A$1:$E$65536,2,FALSE)," ",VLOOKUP(N167,[1]zawodnicy!$A$1:$E$65536,3,FALSE)," - ",VLOOKUP(N167,[1]zawodnicy!$A$1:$E$65536,4,FALSE)),"")</f>
        <v/>
      </c>
      <c r="V167" s="245"/>
      <c r="W167" s="246"/>
      <c r="X167" s="61" t="str">
        <f>IF(SUM(AQ168:AR168)=0,"",AR168&amp;":"&amp;AQ168)</f>
        <v>18:21</v>
      </c>
      <c r="Y167" s="62"/>
      <c r="Z167" s="37" t="str">
        <f>IF(SUM(AQ167:AR167)=0,"",AQ167&amp;":"&amp;AR167)</f>
        <v>19:21</v>
      </c>
      <c r="AA167" s="248"/>
      <c r="AB167" s="251"/>
      <c r="AC167" s="251"/>
      <c r="AD167" s="254"/>
      <c r="AE167" s="2"/>
      <c r="AF167" s="12"/>
      <c r="AG167" s="12"/>
      <c r="AH167" s="44" t="s">
        <v>17</v>
      </c>
      <c r="AI167" s="63">
        <f>IF(ISBLANK(S167),"",VLOOKUP(S167,'[1]plan gier'!$X$1:$AN$65536,12,FALSE))</f>
        <v>21</v>
      </c>
      <c r="AJ167" s="64">
        <f>IF(ISBLANK(S167),"",VLOOKUP(S167,'[1]plan gier'!$X$1:$AN$65536,13,FALSE))</f>
        <v>14</v>
      </c>
      <c r="AK167" s="64">
        <f>IF(ISBLANK(S167),"",VLOOKUP(S167,'[1]plan gier'!$X$1:$AN$65536,14,FALSE))</f>
        <v>19</v>
      </c>
      <c r="AL167" s="64">
        <f>IF(ISBLANK(S167),"",VLOOKUP(S167,'[1]plan gier'!$X$1:$AN$65536,15,FALSE))</f>
        <v>21</v>
      </c>
      <c r="AM167" s="64">
        <f>IF(ISBLANK(S167),"",VLOOKUP(S167,'[1]plan gier'!$X$1:$AN$65536,16,FALSE))</f>
        <v>21</v>
      </c>
      <c r="AN167" s="64">
        <f>IF(ISBLANK(S167),"",VLOOKUP(S167,'[1]plan gier'!$X$1:$AN$65536,17,FALSE))</f>
        <v>7</v>
      </c>
      <c r="AO167" s="65">
        <f t="shared" si="19"/>
        <v>21</v>
      </c>
      <c r="AP167" s="64">
        <f t="shared" si="19"/>
        <v>14</v>
      </c>
      <c r="AQ167" s="66">
        <f t="shared" si="19"/>
        <v>19</v>
      </c>
      <c r="AR167" s="64">
        <f t="shared" si="19"/>
        <v>21</v>
      </c>
      <c r="AS167" s="66">
        <f t="shared" si="19"/>
        <v>21</v>
      </c>
      <c r="AT167" s="64">
        <f t="shared" si="19"/>
        <v>7</v>
      </c>
      <c r="AU167" s="54">
        <f>SUM(AO167:AT167)</f>
        <v>103</v>
      </c>
      <c r="AV167" s="13">
        <v>2</v>
      </c>
      <c r="AW167" s="63">
        <f>IF(AI168&lt;AJ168,1,0)+IF(AK168&lt;AL168,1,0)+IF(AM168&lt;AN168,1,0)</f>
        <v>0</v>
      </c>
      <c r="AX167" s="64">
        <f>AY166</f>
        <v>2</v>
      </c>
      <c r="AY167" s="67"/>
      <c r="AZ167" s="68"/>
      <c r="BA167" s="64">
        <f>IF(AI167&gt;AJ167,1,0)+IF(AK167&gt;AL167,1,0)+IF(AM167&gt;AN167,1,0)</f>
        <v>2</v>
      </c>
      <c r="BB167" s="69">
        <f>AY168</f>
        <v>1</v>
      </c>
      <c r="BE167" s="63">
        <f>AO167+AQ167+AS167+AP168+AR168+AT168</f>
        <v>93</v>
      </c>
      <c r="BF167" s="69">
        <f>AP167+AR167+AT167+AO168+AQ168+AS168</f>
        <v>84</v>
      </c>
      <c r="BG167" s="63">
        <f>AW167+BA167</f>
        <v>2</v>
      </c>
      <c r="BH167" s="69">
        <f>AX167+BB167</f>
        <v>3</v>
      </c>
      <c r="BI167" s="63">
        <f>IF(AW167&gt;AX167,1,0)+IF(BA167&gt;BB167,1,0)</f>
        <v>1</v>
      </c>
      <c r="BJ167" s="70">
        <f>IF(AX167&gt;AW167,1,0)+IF(BB167&gt;BA167,1,0)</f>
        <v>1</v>
      </c>
      <c r="BK167" s="71">
        <f>IF(BI167+BJ167=0,"",IF(BL167=MAX(BL166:BL168),1,IF(BL167=MIN(BL166:BL168),3,2)))</f>
        <v>2</v>
      </c>
      <c r="BL167" s="60">
        <f>IF(BI167+BJ167&lt;&gt;0,BI167+1+(BG167-BH167)/100+(BE167-BF167)/100000+(BE167/BF167)/1000000,0)</f>
        <v>1.9900911071428571</v>
      </c>
    </row>
    <row r="168" spans="1:64" ht="11.45" customHeight="1" thickBot="1" x14ac:dyDescent="0.25">
      <c r="A168" s="19">
        <f>S168</f>
        <v>284</v>
      </c>
      <c r="B168" s="2" t="str">
        <f>IF(N164="","",N164)</f>
        <v>B4431</v>
      </c>
      <c r="C168" s="2" t="str">
        <f>IF(N165="","",N165)</f>
        <v>K4432</v>
      </c>
      <c r="D168" s="2" t="str">
        <f>IF(N167="","",N167)</f>
        <v>E4320</v>
      </c>
      <c r="E168" s="2" t="str">
        <f>IF(N168="","",N168)</f>
        <v>W4657</v>
      </c>
      <c r="I168" s="2" t="str">
        <f>"3"&amp;O162&amp;N163</f>
        <v>32podwójna chłopców M</v>
      </c>
      <c r="J168" s="10" t="str">
        <f>IF(AD169="","",IF(AD163=3,N164,IF(AD166=3,N167,IF(AD169=3,N170,""))))</f>
        <v>X02</v>
      </c>
      <c r="K168" s="10" t="str">
        <f>IF(AD169="","",IF(AD163=3,N165,IF(AD166=3,N168,IF(AD169=3,N171,""))))</f>
        <v>X04</v>
      </c>
      <c r="M168" s="42" t="str">
        <f>N163</f>
        <v>podwójna chłopców M</v>
      </c>
      <c r="N168" s="38" t="s">
        <v>224</v>
      </c>
      <c r="O168" s="28"/>
      <c r="P168" s="28"/>
      <c r="Q168" s="43" t="str">
        <f>IF(AU168&gt;0,"",IF(A168=0,"",IF(VLOOKUP(A168,'[1]plan gier'!A$1:S$65536,19,FALSE)="","",VLOOKUP(A168,'[1]plan gier'!A$1:S$65536,19,FALSE))))</f>
        <v/>
      </c>
      <c r="R168" s="72" t="s">
        <v>18</v>
      </c>
      <c r="S168" s="45">
        <v>284</v>
      </c>
      <c r="T168" s="261"/>
      <c r="U168" s="265" t="str">
        <f>IF(N168&lt;&gt;"",CONCATENATE(VLOOKUP(N168,[1]zawodnicy!$A$1:$E$65536,1,FALSE)," ",VLOOKUP(N168,[1]zawodnicy!$A$1:$E$65536,2,FALSE)," ",VLOOKUP(N168,[1]zawodnicy!$A$1:$E$65536,3,FALSE)," - ",VLOOKUP(N168,[1]zawodnicy!$A$1:$E$65536,4,FALSE)),"")</f>
        <v>W4657 Aleksander WYŻYKOWSKI - KS Hubertus Zalesie Górne</v>
      </c>
      <c r="V168" s="266"/>
      <c r="W168" s="267"/>
      <c r="X168" s="73" t="str">
        <f>IF(SUM(AS168:AT168)=0,"",AT168&amp;":"&amp;AS168)</f>
        <v/>
      </c>
      <c r="Y168" s="62"/>
      <c r="Z168" s="40" t="str">
        <f>IF(SUM(AS167:AT167)=0,"",AS167&amp;":"&amp;AT167)</f>
        <v>21:7</v>
      </c>
      <c r="AA168" s="262"/>
      <c r="AB168" s="263"/>
      <c r="AC168" s="263"/>
      <c r="AD168" s="264"/>
      <c r="AE168" s="2"/>
      <c r="AF168" s="12"/>
      <c r="AG168" s="12"/>
      <c r="AH168" s="72" t="s">
        <v>18</v>
      </c>
      <c r="AI168" s="74">
        <f>IF(ISBLANK(S168),"",VLOOKUP(S168,'[1]plan gier'!$X$1:$AN$65536,12,FALSE))</f>
        <v>21</v>
      </c>
      <c r="AJ168" s="75">
        <f>IF(ISBLANK(S168),"",VLOOKUP(S168,'[1]plan gier'!$X$1:$AN$65536,13,FALSE))</f>
        <v>14</v>
      </c>
      <c r="AK168" s="75">
        <f>IF(ISBLANK(S168),"",VLOOKUP(S168,'[1]plan gier'!$X$1:$AN$65536,14,FALSE))</f>
        <v>21</v>
      </c>
      <c r="AL168" s="75">
        <f>IF(ISBLANK(S168),"",VLOOKUP(S168,'[1]plan gier'!$X$1:$AN$65536,15,FALSE))</f>
        <v>18</v>
      </c>
      <c r="AM168" s="75">
        <f>IF(ISBLANK(S168),"",VLOOKUP(S168,'[1]plan gier'!$X$1:$AN$65536,16,FALSE))</f>
        <v>0</v>
      </c>
      <c r="AN168" s="75">
        <f>IF(ISBLANK(S168),"",VLOOKUP(S168,'[1]plan gier'!$X$1:$AN$65536,17,FALSE))</f>
        <v>0</v>
      </c>
      <c r="AO168" s="76">
        <f t="shared" si="19"/>
        <v>21</v>
      </c>
      <c r="AP168" s="75">
        <f t="shared" si="19"/>
        <v>14</v>
      </c>
      <c r="AQ168" s="77">
        <f t="shared" si="19"/>
        <v>21</v>
      </c>
      <c r="AR168" s="75">
        <f t="shared" si="19"/>
        <v>18</v>
      </c>
      <c r="AS168" s="77">
        <f t="shared" si="19"/>
        <v>0</v>
      </c>
      <c r="AT168" s="75">
        <f t="shared" si="19"/>
        <v>0</v>
      </c>
      <c r="AU168" s="54">
        <f>SUM(AO168:AT168)</f>
        <v>74</v>
      </c>
      <c r="AV168" s="13">
        <v>3</v>
      </c>
      <c r="AW168" s="74">
        <f>IF(AI166&lt;AJ166,1,0)+IF(AK166&lt;AL166,1,0)+IF(AM166&lt;AN166,1,0)</f>
        <v>0</v>
      </c>
      <c r="AX168" s="75">
        <f>BA166</f>
        <v>2</v>
      </c>
      <c r="AY168" s="75">
        <f>IF(AI167&lt;AJ167,1,0)+IF(AK167&lt;AL167,1,0)+IF(AM167&lt;AN167,1,0)</f>
        <v>1</v>
      </c>
      <c r="AZ168" s="75">
        <f>BA167</f>
        <v>2</v>
      </c>
      <c r="BA168" s="78"/>
      <c r="BB168" s="79"/>
      <c r="BE168" s="74">
        <f>AP166+AR166+AT166+AP167+AR167+AT167</f>
        <v>61</v>
      </c>
      <c r="BF168" s="80">
        <f>AO166+AQ166+AS166+AO167+AQ167+AS167</f>
        <v>103</v>
      </c>
      <c r="BG168" s="74">
        <f>AW168+AY168</f>
        <v>1</v>
      </c>
      <c r="BH168" s="80">
        <f>AX168+AZ168</f>
        <v>4</v>
      </c>
      <c r="BI168" s="74">
        <f>IF(AW168&gt;AX168,1,0)+IF(AY168&gt;AZ168,1,0)</f>
        <v>0</v>
      </c>
      <c r="BJ168" s="81">
        <f>IF(AX168&gt;AW168,1,0)+IF(AZ168&gt;AY168,1,0)</f>
        <v>2</v>
      </c>
      <c r="BK168" s="82">
        <f>IF(BI168+BJ168=0,"",IF(BL168=MAX(BL166:BL168),1,IF(BL168=MIN(BL166:BL168),3,2)))</f>
        <v>3</v>
      </c>
      <c r="BL168" s="60">
        <f>IF(BI168+BJ168&lt;&gt;0,BI168+1+(BG168-BH168)/100+(BE168-BF168)/100000+(BE168/BF168)/1000000,0)</f>
        <v>0.96958059223300974</v>
      </c>
    </row>
    <row r="169" spans="1:64" ht="11.45" customHeight="1" x14ac:dyDescent="0.2">
      <c r="A169" s="2"/>
      <c r="J169" s="28"/>
      <c r="K169" s="28"/>
      <c r="L169" s="28"/>
      <c r="O169" s="28"/>
      <c r="P169" s="28"/>
      <c r="Q169" s="2"/>
      <c r="R169" s="2"/>
      <c r="S169" s="2"/>
      <c r="T169" s="241">
        <v>3</v>
      </c>
      <c r="U169" s="244" t="str">
        <f>IF(AND(N170&lt;&gt;"",N171&lt;&gt;""),CONCATENATE(VLOOKUP(N170,[1]zawodnicy!$A$1:$E$65536,1,FALSE)," ",VLOOKUP(N170,[1]zawodnicy!$A$1:$E$65536,2,FALSE)," ",VLOOKUP(N170,[1]zawodnicy!$A$1:$E$65536,3,FALSE)," - ",VLOOKUP(N170,[1]zawodnicy!$A$1:$E$65536,4,FALSE)),"")</f>
        <v>X02 Matas GELZINIS - Litwa</v>
      </c>
      <c r="V169" s="245"/>
      <c r="W169" s="246"/>
      <c r="X169" s="46" t="str">
        <f>IF(SUM(AO166:AP166)=0,"",AP166&amp;":"&amp;AO166)</f>
        <v>10:21</v>
      </c>
      <c r="Y169" s="83" t="str">
        <f>IF(SUM(AO167:AP167)=0,"",AP167&amp;":"&amp;AO167)</f>
        <v>14:21</v>
      </c>
      <c r="Z169" s="84"/>
      <c r="AA169" s="247" t="str">
        <f>IF(SUM(AW168:AZ168)=0,"",BE168&amp;":"&amp;BF168)</f>
        <v>61:103</v>
      </c>
      <c r="AB169" s="250" t="str">
        <f>IF(SUM(AW168:AZ168)=0,"",BG168&amp;":"&amp;BH168)</f>
        <v>1:4</v>
      </c>
      <c r="AC169" s="250" t="str">
        <f>IF(SUM(AW168:AZ168)=0,"",BI168&amp;":"&amp;BJ168)</f>
        <v>0:2</v>
      </c>
      <c r="AD169" s="253">
        <f>IF(SUM(BI166:BI168)&gt;0,BK168,"")</f>
        <v>3</v>
      </c>
      <c r="AE169" s="2"/>
      <c r="AF169" s="12"/>
      <c r="AG169" s="12"/>
      <c r="BE169" s="19">
        <f>SUM(BE166:BE168)</f>
        <v>238</v>
      </c>
      <c r="BF169" s="19">
        <f>SUM(BF166:BF168)</f>
        <v>238</v>
      </c>
      <c r="BG169" s="19">
        <f>SUM(BG166:BG168)</f>
        <v>7</v>
      </c>
      <c r="BH169" s="19">
        <f>SUM(BH166:BH168)</f>
        <v>7</v>
      </c>
      <c r="BK169" s="19"/>
      <c r="BL169" s="20"/>
    </row>
    <row r="170" spans="1:64" ht="11.45" customHeight="1" x14ac:dyDescent="0.2">
      <c r="A170" s="19"/>
      <c r="J170" s="19"/>
      <c r="K170" s="19"/>
      <c r="L170" s="19"/>
      <c r="N170" s="33" t="s">
        <v>225</v>
      </c>
      <c r="O170" s="34">
        <f>IF(O162&gt;0,(O162&amp;3)*1,"")</f>
        <v>23</v>
      </c>
      <c r="Q170" s="85"/>
      <c r="R170" s="85"/>
      <c r="S170" s="85"/>
      <c r="T170" s="242"/>
      <c r="U170" s="244" t="str">
        <f>IF(AND(N170&lt;&gt;"",N171=""),CONCATENATE(VLOOKUP(N170,[1]zawodnicy!$A$1:$E$65536,1,FALSE)," ",VLOOKUP(N170,[1]zawodnicy!$A$1:$E$65536,2,FALSE)," ",VLOOKUP(N170,[1]zawodnicy!$A$1:$E$65536,3,FALSE)," - ",VLOOKUP(N170,[1]zawodnicy!$A$1:$E$65536,4,FALSE)),"")</f>
        <v/>
      </c>
      <c r="V170" s="245"/>
      <c r="W170" s="246"/>
      <c r="X170" s="61" t="str">
        <f>IF(SUM(AQ166:AR166)=0,"",AR166&amp;":"&amp;AQ166)</f>
        <v>9:21</v>
      </c>
      <c r="Y170" s="36" t="str">
        <f>IF(SUM(AQ167:AR167)=0,"",AR167&amp;":"&amp;AQ167)</f>
        <v>21:19</v>
      </c>
      <c r="Z170" s="86"/>
      <c r="AA170" s="248"/>
      <c r="AB170" s="251"/>
      <c r="AC170" s="251"/>
      <c r="AD170" s="254"/>
      <c r="AE170" s="2"/>
      <c r="AF170" s="12"/>
      <c r="AG170" s="1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row>
    <row r="171" spans="1:64" ht="11.45" customHeight="1" thickBot="1" x14ac:dyDescent="0.25">
      <c r="A171" s="2"/>
      <c r="J171" s="28"/>
      <c r="K171" s="28"/>
      <c r="L171" s="28"/>
      <c r="N171" s="38" t="s">
        <v>226</v>
      </c>
      <c r="O171" s="28"/>
      <c r="P171" s="28"/>
      <c r="Q171" s="2"/>
      <c r="R171" s="2"/>
      <c r="S171" s="2"/>
      <c r="T171" s="243"/>
      <c r="U171" s="256" t="str">
        <f>IF(N171&lt;&gt;"",CONCATENATE(VLOOKUP(N171,[1]zawodnicy!$A$1:$E$65536,1,FALSE)," ",VLOOKUP(N171,[1]zawodnicy!$A$1:$E$65536,2,FALSE)," ",VLOOKUP(N171,[1]zawodnicy!$A$1:$E$65536,3,FALSE)," - ",VLOOKUP(N171,[1]zawodnicy!$A$1:$E$65536,4,FALSE)),"")</f>
        <v>X04 Mantes  MAULE - Litwa</v>
      </c>
      <c r="V171" s="257"/>
      <c r="W171" s="258"/>
      <c r="X171" s="87" t="str">
        <f>IF(SUM(AS166:AT166)=0,"",AT166&amp;":"&amp;AS166)</f>
        <v/>
      </c>
      <c r="Y171" s="88" t="str">
        <f>IF(SUM(AS167:AT167)=0,"",AT167&amp;":"&amp;AS167)</f>
        <v>7:21</v>
      </c>
      <c r="Z171" s="89"/>
      <c r="AA171" s="249"/>
      <c r="AB171" s="252"/>
      <c r="AC171" s="252"/>
      <c r="AD171" s="255"/>
      <c r="AE171" s="10"/>
      <c r="AF171" s="12"/>
      <c r="AG171" s="1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row>
    <row r="172" spans="1:64" s="19" customFormat="1" ht="5.0999999999999996" customHeight="1" thickBot="1" x14ac:dyDescent="0.25">
      <c r="M172" s="90"/>
      <c r="O172" s="90"/>
      <c r="P172" s="90"/>
      <c r="Q172" s="91"/>
      <c r="R172" s="91"/>
      <c r="S172" s="91"/>
      <c r="T172" s="91"/>
      <c r="U172" s="5"/>
      <c r="V172" s="5"/>
      <c r="W172" s="5"/>
      <c r="AA172" s="92"/>
      <c r="AB172" s="91"/>
      <c r="AC172" s="91"/>
      <c r="AD172" s="91"/>
      <c r="AE172" s="91"/>
      <c r="AF172" s="91"/>
      <c r="AI172" s="93"/>
      <c r="AJ172" s="94"/>
      <c r="AK172" s="94"/>
    </row>
    <row r="173" spans="1:64" ht="11.45" customHeight="1" thickBot="1" x14ac:dyDescent="0.25">
      <c r="N173" s="11"/>
      <c r="O173" s="21">
        <v>3</v>
      </c>
      <c r="Q173" s="277" t="str">
        <f>"Grupa "&amp;O173&amp;"."</f>
        <v>Grupa 3.</v>
      </c>
      <c r="R173" s="277"/>
      <c r="S173" s="277"/>
      <c r="T173" s="22" t="s">
        <v>1</v>
      </c>
      <c r="U173" s="278" t="s">
        <v>2</v>
      </c>
      <c r="V173" s="279"/>
      <c r="W173" s="280"/>
      <c r="X173" s="22">
        <v>1</v>
      </c>
      <c r="Y173" s="23">
        <v>2</v>
      </c>
      <c r="Z173" s="24">
        <v>3</v>
      </c>
      <c r="AA173" s="25" t="s">
        <v>3</v>
      </c>
      <c r="AB173" s="26" t="s">
        <v>4</v>
      </c>
      <c r="AC173" s="26" t="s">
        <v>5</v>
      </c>
      <c r="AD173" s="27" t="s">
        <v>6</v>
      </c>
      <c r="AE173" s="2"/>
      <c r="AF173" s="12"/>
      <c r="AG173" s="12"/>
      <c r="BK173" s="19"/>
      <c r="BL173" s="20"/>
    </row>
    <row r="174" spans="1:64" ht="11.45" customHeight="1" x14ac:dyDescent="0.2">
      <c r="J174" s="28"/>
      <c r="K174" s="28"/>
      <c r="L174" s="28"/>
      <c r="N174" s="29" t="s">
        <v>212</v>
      </c>
      <c r="Q174" s="274" t="s">
        <v>7</v>
      </c>
      <c r="R174" s="274"/>
      <c r="S174" s="275" t="s">
        <v>8</v>
      </c>
      <c r="T174" s="276">
        <v>1</v>
      </c>
      <c r="U174" s="244" t="str">
        <f>IF(AND(N175&lt;&gt;"",N176&lt;&gt;""),CONCATENATE(VLOOKUP(N175,[1]zawodnicy!$A$1:$E$65536,1,FALSE)," ",VLOOKUP(N175,[1]zawodnicy!$A$1:$E$65536,2,FALSE)," ",VLOOKUP(N175,[1]zawodnicy!$A$1:$E$65536,3,FALSE)," - ",VLOOKUP(N175,[1]zawodnicy!$A$1:$E$65536,4,FALSE)),"")</f>
        <v>P4121 Konrad PŁOCH - UKS Start Widełka</v>
      </c>
      <c r="V174" s="245"/>
      <c r="W174" s="246"/>
      <c r="X174" s="30"/>
      <c r="Y174" s="31" t="str">
        <f>IF(SUM(AO179:AP179)=0,"",AO179&amp;":"&amp;AP179)</f>
        <v>21:0</v>
      </c>
      <c r="Z174" s="32" t="str">
        <f>IF(SUM(AO177:AP177)=0,"",AO177&amp;":"&amp;AP177)</f>
        <v>21:6</v>
      </c>
      <c r="AA174" s="270" t="str">
        <f>IF(SUM(AY177:BB177)=0,"",BE177&amp;":"&amp;BF177)</f>
        <v>84:13</v>
      </c>
      <c r="AB174" s="271" t="str">
        <f>IF(SUM(AY177:BB177)=0,"",BG177&amp;":"&amp;BH177)</f>
        <v>4:0</v>
      </c>
      <c r="AC174" s="271" t="str">
        <f>IF(SUM(AY177:BB177)=0,"",BI177&amp;":"&amp;BJ177)</f>
        <v>2:0</v>
      </c>
      <c r="AD174" s="272">
        <f>IF(SUM(BI177:BI179)&gt;0,BK177,"")</f>
        <v>1</v>
      </c>
      <c r="AE174" s="2"/>
      <c r="AF174" s="12"/>
      <c r="AG174" s="12"/>
      <c r="AH174" s="14"/>
      <c r="AI174" s="273" t="s">
        <v>9</v>
      </c>
      <c r="AJ174" s="273"/>
      <c r="AK174" s="273"/>
      <c r="AL174" s="273"/>
      <c r="AM174" s="273"/>
      <c r="AN174" s="273"/>
      <c r="AO174" s="273" t="s">
        <v>10</v>
      </c>
      <c r="AP174" s="273"/>
      <c r="AQ174" s="273"/>
      <c r="AR174" s="273"/>
      <c r="AS174" s="273"/>
      <c r="AT174" s="273"/>
      <c r="BK174" s="19"/>
      <c r="BL174" s="20"/>
    </row>
    <row r="175" spans="1:64" ht="11.45" customHeight="1" thickBot="1" x14ac:dyDescent="0.25">
      <c r="I175" s="2" t="str">
        <f>"1"&amp;O173&amp;N174</f>
        <v>13podwójna chłopców M</v>
      </c>
      <c r="J175" s="10" t="str">
        <f>IF(AD174="","",IF(AD174=1,N175,IF(AD177=1,N178,IF(AD180=1,N181,""))))</f>
        <v>P4121</v>
      </c>
      <c r="K175" s="10" t="str">
        <f>IF(AD174="","",IF(AD174=1,N176,IF(AD177=1,N179,IF(AD180=1,N182,""))))</f>
        <v>P4530</v>
      </c>
      <c r="L175" s="10"/>
      <c r="N175" s="33" t="s">
        <v>227</v>
      </c>
      <c r="O175" s="34">
        <f>IF(O173&gt;0,(O173&amp;1)*1,"")</f>
        <v>31</v>
      </c>
      <c r="Q175" s="274"/>
      <c r="R175" s="274"/>
      <c r="S175" s="275"/>
      <c r="T175" s="242"/>
      <c r="U175" s="244" t="str">
        <f>IF(AND(N175&lt;&gt;"",N176=""),CONCATENATE(VLOOKUP(N175,[1]zawodnicy!$A$1:$E$65536,1,FALSE)," ",VLOOKUP(N175,[1]zawodnicy!$A$1:$E$65536,2,FALSE)," ",VLOOKUP(N175,[1]zawodnicy!$A$1:$E$65536,3,FALSE)," - ",VLOOKUP(N175,[1]zawodnicy!$A$1:$E$65536,4,FALSE)),"")</f>
        <v/>
      </c>
      <c r="V175" s="245"/>
      <c r="W175" s="246"/>
      <c r="X175" s="35"/>
      <c r="Y175" s="36" t="str">
        <f>IF(SUM(AQ179:AR179)=0,"",AQ179&amp;":"&amp;AR179)</f>
        <v>21:0</v>
      </c>
      <c r="Z175" s="37" t="str">
        <f>IF(SUM(AQ177:AR177)=0,"",AQ177&amp;":"&amp;AR177)</f>
        <v>21:7</v>
      </c>
      <c r="AA175" s="248"/>
      <c r="AB175" s="251"/>
      <c r="AC175" s="251"/>
      <c r="AD175" s="254"/>
      <c r="AE175" s="2"/>
      <c r="AF175" s="12"/>
      <c r="AG175" s="12"/>
      <c r="AH175" s="14"/>
      <c r="BE175" s="19">
        <f>SUM(BE177:BE179)</f>
        <v>139</v>
      </c>
      <c r="BF175" s="19">
        <f>SUM(BF177:BF179)</f>
        <v>139</v>
      </c>
      <c r="BG175" s="19">
        <f>SUM(BG177:BG179)</f>
        <v>6</v>
      </c>
      <c r="BH175" s="19">
        <f>SUM(BH177:BH179)</f>
        <v>6</v>
      </c>
      <c r="BK175" s="19"/>
      <c r="BL175" s="20"/>
    </row>
    <row r="176" spans="1:64" ht="11.45" customHeight="1" thickBot="1" x14ac:dyDescent="0.25">
      <c r="J176" s="10"/>
      <c r="K176" s="28"/>
      <c r="L176" s="28"/>
      <c r="N176" s="38" t="s">
        <v>228</v>
      </c>
      <c r="O176" s="28"/>
      <c r="P176" s="28"/>
      <c r="Q176" s="274"/>
      <c r="R176" s="274"/>
      <c r="S176" s="275"/>
      <c r="T176" s="261"/>
      <c r="U176" s="265" t="str">
        <f>IF(N176&lt;&gt;"",CONCATENATE(VLOOKUP(N176,[1]zawodnicy!$A$1:$E$65536,1,FALSE)," ",VLOOKUP(N176,[1]zawodnicy!$A$1:$E$65536,2,FALSE)," ",VLOOKUP(N176,[1]zawodnicy!$A$1:$E$65536,3,FALSE)," - ",VLOOKUP(N176,[1]zawodnicy!$A$1:$E$65536,4,FALSE)),"")</f>
        <v>P4530 Krzysztof PŁOCH - UKS Start Widełka</v>
      </c>
      <c r="V176" s="266"/>
      <c r="W176" s="267"/>
      <c r="X176" s="35"/>
      <c r="Y176" s="39" t="str">
        <f>IF(SUM(AS179:AT179)=0,"",AS179&amp;":"&amp;AT179)</f>
        <v/>
      </c>
      <c r="Z176" s="40" t="str">
        <f>IF(SUM(AS177:AT177)=0,"",AS177&amp;":"&amp;AT177)</f>
        <v/>
      </c>
      <c r="AA176" s="262"/>
      <c r="AB176" s="263"/>
      <c r="AC176" s="263"/>
      <c r="AD176" s="264"/>
      <c r="AE176" s="2"/>
      <c r="AF176" s="12"/>
      <c r="AG176" s="12"/>
      <c r="AH176" s="14"/>
      <c r="AI176" s="259" t="s">
        <v>12</v>
      </c>
      <c r="AJ176" s="269"/>
      <c r="AK176" s="268" t="s">
        <v>13</v>
      </c>
      <c r="AL176" s="269"/>
      <c r="AM176" s="268" t="s">
        <v>14</v>
      </c>
      <c r="AN176" s="260"/>
      <c r="AO176" s="259" t="s">
        <v>12</v>
      </c>
      <c r="AP176" s="269"/>
      <c r="AQ176" s="268" t="s">
        <v>13</v>
      </c>
      <c r="AR176" s="269"/>
      <c r="AS176" s="268" t="s">
        <v>14</v>
      </c>
      <c r="AT176" s="269"/>
      <c r="AU176" s="12"/>
      <c r="AV176" s="12"/>
      <c r="AW176" s="259">
        <v>1</v>
      </c>
      <c r="AX176" s="269"/>
      <c r="AY176" s="268">
        <v>2</v>
      </c>
      <c r="AZ176" s="269"/>
      <c r="BA176" s="268">
        <v>3</v>
      </c>
      <c r="BB176" s="260"/>
      <c r="BE176" s="259" t="s">
        <v>3</v>
      </c>
      <c r="BF176" s="260"/>
      <c r="BG176" s="259" t="s">
        <v>4</v>
      </c>
      <c r="BH176" s="260"/>
      <c r="BI176" s="259" t="s">
        <v>5</v>
      </c>
      <c r="BJ176" s="260"/>
      <c r="BK176" s="41" t="s">
        <v>6</v>
      </c>
      <c r="BL176" s="20"/>
    </row>
    <row r="177" spans="1:64" ht="11.45" customHeight="1" x14ac:dyDescent="0.2">
      <c r="A177" s="19">
        <f>S177</f>
        <v>72</v>
      </c>
      <c r="B177" s="2" t="str">
        <f>IF(N175="","",N175)</f>
        <v>P4121</v>
      </c>
      <c r="C177" s="2" t="str">
        <f>IF(N176="","",N176)</f>
        <v>P4530</v>
      </c>
      <c r="D177" s="2" t="str">
        <f>IF(N181="","",N181)</f>
        <v>F4652</v>
      </c>
      <c r="E177" s="2" t="str">
        <f>IF(N182="","",N182)</f>
        <v>W4651</v>
      </c>
      <c r="I177" s="2" t="str">
        <f>"2"&amp;O173&amp;N174</f>
        <v>23podwójna chłopców M</v>
      </c>
      <c r="J177" s="10" t="str">
        <f>IF(AD177="","",IF(AD174=2,N175,IF(AD177=2,N178,IF(AD180=2,N181,""))))</f>
        <v>F4652</v>
      </c>
      <c r="K177" s="10" t="str">
        <f>IF(AD177="","",IF(AD174=2,N176,IF(AD177=2,N179,IF(AD180=2,N182,""))))</f>
        <v>W4651</v>
      </c>
      <c r="M177" s="42" t="str">
        <f>N174</f>
        <v>podwójna chłopców M</v>
      </c>
      <c r="O177" s="28"/>
      <c r="P177" s="28"/>
      <c r="Q177" s="43" t="str">
        <f>IF(AU177&gt;0,"",IF(A177=0,"",IF(VLOOKUP(A177,'[1]plan gier'!A$1:S$65536,19,FALSE)="","",VLOOKUP(A177,'[1]plan gier'!A$1:S$65536,19,FALSE))))</f>
        <v/>
      </c>
      <c r="R177" s="44" t="s">
        <v>15</v>
      </c>
      <c r="S177" s="45">
        <v>72</v>
      </c>
      <c r="T177" s="241">
        <v>2</v>
      </c>
      <c r="U177" s="244" t="str">
        <f>IF(AND(N178&lt;&gt;"",N179&lt;&gt;""),CONCATENATE(VLOOKUP(N178,[1]zawodnicy!$A$1:$E$65536,1,FALSE)," ",VLOOKUP(N178,[1]zawodnicy!$A$1:$E$65536,2,FALSE)," ",VLOOKUP(N178,[1]zawodnicy!$A$1:$E$65536,3,FALSE)," - ",VLOOKUP(N178,[1]zawodnicy!$A$1:$E$65536,4,FALSE)),"")</f>
        <v>M4817 Arkadiusz MIECZKOWSKI - UKS Hubal Białystok</v>
      </c>
      <c r="V177" s="245"/>
      <c r="W177" s="246"/>
      <c r="X177" s="46" t="str">
        <f>IF(SUM(AO179:AP179)=0,"",AP179&amp;":"&amp;AO179)</f>
        <v>0:21</v>
      </c>
      <c r="Y177" s="47"/>
      <c r="Z177" s="48" t="str">
        <f>IF(SUM(AO178:AP178)=0,"",AO178&amp;":"&amp;AP178)</f>
        <v>0:21</v>
      </c>
      <c r="AA177" s="247" t="str">
        <f>IF(SUM(AW178:AX178,BA178:BB178)=0,"",BE178&amp;":"&amp;BF178)</f>
        <v>0:84</v>
      </c>
      <c r="AB177" s="250" t="str">
        <f>IF(SUM(AW178:AX178,BA178:BB178)=0,"",BG178&amp;":"&amp;BH178)</f>
        <v>0:4</v>
      </c>
      <c r="AC177" s="250" t="str">
        <f>IF(SUM(AW178:AX178,BA178:BB178)=0,"",BI178&amp;":"&amp;BJ178)</f>
        <v>0:2</v>
      </c>
      <c r="AD177" s="253">
        <f>IF(SUM(BI177:BI179)&gt;0,BK178,"")</f>
        <v>3</v>
      </c>
      <c r="AE177" s="2"/>
      <c r="AF177" s="12"/>
      <c r="AG177" s="12"/>
      <c r="AH177" s="44" t="s">
        <v>15</v>
      </c>
      <c r="AI177" s="49">
        <f>IF(ISBLANK(S177),"",VLOOKUP(S177,'[1]plan gier'!$X$1:$AN$65536,12,FALSE))</f>
        <v>21</v>
      </c>
      <c r="AJ177" s="50">
        <f>IF(ISBLANK(S177),"",VLOOKUP(S177,'[1]plan gier'!$X$1:$AN$65536,13,FALSE))</f>
        <v>6</v>
      </c>
      <c r="AK177" s="50">
        <f>IF(ISBLANK(S177),"",VLOOKUP(S177,'[1]plan gier'!$X$1:$AN$65536,14,FALSE))</f>
        <v>21</v>
      </c>
      <c r="AL177" s="50">
        <f>IF(ISBLANK(S177),"",VLOOKUP(S177,'[1]plan gier'!$X$1:$AN$65536,15,FALSE))</f>
        <v>7</v>
      </c>
      <c r="AM177" s="50">
        <f>IF(ISBLANK(S177),"",VLOOKUP(S177,'[1]plan gier'!$X$1:$AN$65536,16,FALSE))</f>
        <v>0</v>
      </c>
      <c r="AN177" s="50">
        <f>IF(ISBLANK(S177),"",VLOOKUP(S177,'[1]plan gier'!$X$1:$AN$65536,17,FALSE))</f>
        <v>0</v>
      </c>
      <c r="AO177" s="51">
        <f t="shared" ref="AO177:AT179" si="20">IF(AI177="",0,AI177)</f>
        <v>21</v>
      </c>
      <c r="AP177" s="52">
        <f t="shared" si="20"/>
        <v>6</v>
      </c>
      <c r="AQ177" s="53">
        <f t="shared" si="20"/>
        <v>21</v>
      </c>
      <c r="AR177" s="52">
        <f t="shared" si="20"/>
        <v>7</v>
      </c>
      <c r="AS177" s="53">
        <f t="shared" si="20"/>
        <v>0</v>
      </c>
      <c r="AT177" s="52">
        <f t="shared" si="20"/>
        <v>0</v>
      </c>
      <c r="AU177" s="54">
        <f>SUM(AO177:AT177)</f>
        <v>55</v>
      </c>
      <c r="AV177" s="13">
        <v>1</v>
      </c>
      <c r="AW177" s="55"/>
      <c r="AX177" s="56"/>
      <c r="AY177" s="50">
        <f>IF(AI179&gt;AJ179,1,0)+IF(AK179&gt;AL179,1,0)+IF(AM179&gt;AN179,1,0)</f>
        <v>2</v>
      </c>
      <c r="AZ177" s="50">
        <f>AW178</f>
        <v>0</v>
      </c>
      <c r="BA177" s="50">
        <f>IF(AI177&gt;AJ177,1,0)+IF(AK177&gt;AL177,1,0)+IF(AM177&gt;AN177,1,0)</f>
        <v>2</v>
      </c>
      <c r="BB177" s="57">
        <f>AW179</f>
        <v>0</v>
      </c>
      <c r="BE177" s="49">
        <f>AO177+AQ177+AS177+AO179+AQ179+AS179</f>
        <v>84</v>
      </c>
      <c r="BF177" s="57">
        <f>AP177+AR177+AT177+AP179+AR179+AT179</f>
        <v>13</v>
      </c>
      <c r="BG177" s="49">
        <f>AY177+BA177</f>
        <v>4</v>
      </c>
      <c r="BH177" s="57">
        <f>AZ177+BB177</f>
        <v>0</v>
      </c>
      <c r="BI177" s="49">
        <f>IF(AY177&gt;AZ177,1,0)+IF(BA177&gt;BB177,1,0)</f>
        <v>2</v>
      </c>
      <c r="BJ177" s="58">
        <f>IF(AZ177&gt;AY177,1,0)+IF(BB177&gt;BA177,1,0)</f>
        <v>0</v>
      </c>
      <c r="BK177" s="59">
        <f>IF(BI177+BJ177=0,"",IF(BL177=MAX(BL177:BL179),1,IF(BL177=MIN(BL177:BL179),3,2)))</f>
        <v>1</v>
      </c>
      <c r="BL177" s="60">
        <f>IF(BI177+BJ177&lt;&gt;0,BI177+1+(BG177-BH177)/100+(BE177-BF177)/100000+(BE177/BF177)/1000000,0)</f>
        <v>3.0407164615384619</v>
      </c>
    </row>
    <row r="178" spans="1:64" ht="11.45" customHeight="1" x14ac:dyDescent="0.2">
      <c r="A178" s="19">
        <f>S178</f>
        <v>138</v>
      </c>
      <c r="B178" s="2" t="str">
        <f>IF(N178="","",N178)</f>
        <v>M4817</v>
      </c>
      <c r="C178" s="2" t="str">
        <f>IF(N179="","",N179)</f>
        <v>P4726</v>
      </c>
      <c r="D178" s="2" t="str">
        <f>IF(N181="","",N181)</f>
        <v>F4652</v>
      </c>
      <c r="E178" s="2" t="str">
        <f>IF(N182="","",N182)</f>
        <v>W4651</v>
      </c>
      <c r="J178" s="10"/>
      <c r="K178" s="19"/>
      <c r="M178" s="42" t="str">
        <f>N174</f>
        <v>podwójna chłopców M</v>
      </c>
      <c r="N178" s="33" t="s">
        <v>229</v>
      </c>
      <c r="O178" s="34">
        <f>IF(O173&gt;0,(O173&amp;2)*1,"")</f>
        <v>32</v>
      </c>
      <c r="Q178" s="43" t="str">
        <f>IF(AU178&gt;0,"",IF(A178=0,"",IF(VLOOKUP(A178,'[1]plan gier'!A$1:S$65536,19,FALSE)="","",VLOOKUP(A178,'[1]plan gier'!A$1:S$65536,19,FALSE))))</f>
        <v/>
      </c>
      <c r="R178" s="44" t="s">
        <v>17</v>
      </c>
      <c r="S178" s="45">
        <v>138</v>
      </c>
      <c r="T178" s="242"/>
      <c r="U178" s="244" t="str">
        <f>IF(AND(N178&lt;&gt;"",N179=""),CONCATENATE(VLOOKUP(N178,[1]zawodnicy!$A$1:$E$65536,1,FALSE)," ",VLOOKUP(N178,[1]zawodnicy!$A$1:$E$65536,2,FALSE)," ",VLOOKUP(N178,[1]zawodnicy!$A$1:$E$65536,3,FALSE)," - ",VLOOKUP(N178,[1]zawodnicy!$A$1:$E$65536,4,FALSE)),"")</f>
        <v/>
      </c>
      <c r="V178" s="245"/>
      <c r="W178" s="246"/>
      <c r="X178" s="61" t="str">
        <f>IF(SUM(AQ179:AR179)=0,"",AR179&amp;":"&amp;AQ179)</f>
        <v>0:21</v>
      </c>
      <c r="Y178" s="62"/>
      <c r="Z178" s="37" t="str">
        <f>IF(SUM(AQ178:AR178)=0,"",AQ178&amp;":"&amp;AR178)</f>
        <v>0:21</v>
      </c>
      <c r="AA178" s="248"/>
      <c r="AB178" s="251"/>
      <c r="AC178" s="251"/>
      <c r="AD178" s="254"/>
      <c r="AE178" s="2"/>
      <c r="AF178" s="12"/>
      <c r="AG178" s="12"/>
      <c r="AH178" s="44" t="s">
        <v>17</v>
      </c>
      <c r="AI178" s="63">
        <f>IF(ISBLANK(S178),"",VLOOKUP(S178,'[1]plan gier'!$X$1:$AN$65536,12,FALSE))</f>
        <v>0</v>
      </c>
      <c r="AJ178" s="64">
        <f>IF(ISBLANK(S178),"",VLOOKUP(S178,'[1]plan gier'!$X$1:$AN$65536,13,FALSE))</f>
        <v>21</v>
      </c>
      <c r="AK178" s="64">
        <f>IF(ISBLANK(S178),"",VLOOKUP(S178,'[1]plan gier'!$X$1:$AN$65536,14,FALSE))</f>
        <v>0</v>
      </c>
      <c r="AL178" s="64">
        <f>IF(ISBLANK(S178),"",VLOOKUP(S178,'[1]plan gier'!$X$1:$AN$65536,15,FALSE))</f>
        <v>21</v>
      </c>
      <c r="AM178" s="64">
        <f>IF(ISBLANK(S178),"",VLOOKUP(S178,'[1]plan gier'!$X$1:$AN$65536,16,FALSE))</f>
        <v>0</v>
      </c>
      <c r="AN178" s="64">
        <f>IF(ISBLANK(S178),"",VLOOKUP(S178,'[1]plan gier'!$X$1:$AN$65536,17,FALSE))</f>
        <v>0</v>
      </c>
      <c r="AO178" s="65">
        <f t="shared" si="20"/>
        <v>0</v>
      </c>
      <c r="AP178" s="64">
        <f t="shared" si="20"/>
        <v>21</v>
      </c>
      <c r="AQ178" s="66">
        <f t="shared" si="20"/>
        <v>0</v>
      </c>
      <c r="AR178" s="64">
        <f t="shared" si="20"/>
        <v>21</v>
      </c>
      <c r="AS178" s="66">
        <f t="shared" si="20"/>
        <v>0</v>
      </c>
      <c r="AT178" s="64">
        <f t="shared" si="20"/>
        <v>0</v>
      </c>
      <c r="AU178" s="54">
        <f>SUM(AO178:AT178)</f>
        <v>42</v>
      </c>
      <c r="AV178" s="13">
        <v>2</v>
      </c>
      <c r="AW178" s="63">
        <f>IF(AI179&lt;AJ179,1,0)+IF(AK179&lt;AL179,1,0)+IF(AM179&lt;AN179,1,0)</f>
        <v>0</v>
      </c>
      <c r="AX178" s="64">
        <f>AY177</f>
        <v>2</v>
      </c>
      <c r="AY178" s="67"/>
      <c r="AZ178" s="68"/>
      <c r="BA178" s="64">
        <f>IF(AI178&gt;AJ178,1,0)+IF(AK178&gt;AL178,1,0)+IF(AM178&gt;AN178,1,0)</f>
        <v>0</v>
      </c>
      <c r="BB178" s="69">
        <f>AY179</f>
        <v>2</v>
      </c>
      <c r="BE178" s="63">
        <f>AO178+AQ178+AS178+AP179+AR179+AT179</f>
        <v>0</v>
      </c>
      <c r="BF178" s="69">
        <f>AP178+AR178+AT178+AO179+AQ179+AS179</f>
        <v>84</v>
      </c>
      <c r="BG178" s="63">
        <f>AW178+BA178</f>
        <v>0</v>
      </c>
      <c r="BH178" s="69">
        <f>AX178+BB178</f>
        <v>4</v>
      </c>
      <c r="BI178" s="63">
        <f>IF(AW178&gt;AX178,1,0)+IF(BA178&gt;BB178,1,0)</f>
        <v>0</v>
      </c>
      <c r="BJ178" s="70">
        <f>IF(AX178&gt;AW178,1,0)+IF(BB178&gt;BA178,1,0)</f>
        <v>2</v>
      </c>
      <c r="BK178" s="71">
        <f>IF(BI178+BJ178=0,"",IF(BL178=MAX(BL177:BL179),1,IF(BL178=MIN(BL177:BL179),3,2)))</f>
        <v>3</v>
      </c>
      <c r="BL178" s="60">
        <f>IF(BI178+BJ178&lt;&gt;0,BI178+1+(BG178-BH178)/100+(BE178-BF178)/100000+(BE178/BF178)/1000000,0)</f>
        <v>0.95916000000000001</v>
      </c>
    </row>
    <row r="179" spans="1:64" ht="11.45" customHeight="1" thickBot="1" x14ac:dyDescent="0.25">
      <c r="A179" s="19">
        <f>S179</f>
        <v>285</v>
      </c>
      <c r="B179" s="2" t="str">
        <f>IF(N175="","",N175)</f>
        <v>P4121</v>
      </c>
      <c r="C179" s="2" t="str">
        <f>IF(N176="","",N176)</f>
        <v>P4530</v>
      </c>
      <c r="D179" s="2" t="str">
        <f>IF(N178="","",N178)</f>
        <v>M4817</v>
      </c>
      <c r="E179" s="2" t="str">
        <f>IF(N179="","",N179)</f>
        <v>P4726</v>
      </c>
      <c r="I179" s="2" t="str">
        <f>"3"&amp;O173&amp;N174</f>
        <v>33podwójna chłopców M</v>
      </c>
      <c r="J179" s="10" t="str">
        <f>IF(AD180="","",IF(AD174=3,N175,IF(AD177=3,N178,IF(AD180=3,N181,""))))</f>
        <v>M4817</v>
      </c>
      <c r="K179" s="10" t="str">
        <f>IF(AD180="","",IF(AD174=3,N176,IF(AD177=3,N179,IF(AD180=3,N182,""))))</f>
        <v>P4726</v>
      </c>
      <c r="M179" s="42" t="str">
        <f>N174</f>
        <v>podwójna chłopców M</v>
      </c>
      <c r="N179" s="38" t="s">
        <v>230</v>
      </c>
      <c r="O179" s="28"/>
      <c r="P179" s="28"/>
      <c r="Q179" s="43" t="str">
        <f>IF(AU179&gt;0,"",IF(A179=0,"",IF(VLOOKUP(A179,'[1]plan gier'!A$1:S$65536,19,FALSE)="","",VLOOKUP(A179,'[1]plan gier'!A$1:S$65536,19,FALSE))))</f>
        <v/>
      </c>
      <c r="R179" s="72" t="s">
        <v>18</v>
      </c>
      <c r="S179" s="45">
        <v>285</v>
      </c>
      <c r="T179" s="261"/>
      <c r="U179" s="265" t="str">
        <f>IF(N179&lt;&gt;"",CONCATENATE(VLOOKUP(N179,[1]zawodnicy!$A$1:$E$65536,1,FALSE)," ",VLOOKUP(N179,[1]zawodnicy!$A$1:$E$65536,2,FALSE)," ",VLOOKUP(N179,[1]zawodnicy!$A$1:$E$65536,3,FALSE)," - ",VLOOKUP(N179,[1]zawodnicy!$A$1:$E$65536,4,FALSE)),"")</f>
        <v>P4726 Paweł POLAKOWSKI - UKS Hubal Białystok</v>
      </c>
      <c r="V179" s="266"/>
      <c r="W179" s="267"/>
      <c r="X179" s="73" t="str">
        <f>IF(SUM(AS179:AT179)=0,"",AT179&amp;":"&amp;AS179)</f>
        <v/>
      </c>
      <c r="Y179" s="62"/>
      <c r="Z179" s="40" t="str">
        <f>IF(SUM(AS178:AT178)=0,"",AS178&amp;":"&amp;AT178)</f>
        <v/>
      </c>
      <c r="AA179" s="262"/>
      <c r="AB179" s="263"/>
      <c r="AC179" s="263"/>
      <c r="AD179" s="264"/>
      <c r="AE179" s="2"/>
      <c r="AF179" s="12"/>
      <c r="AG179" s="12"/>
      <c r="AH179" s="72" t="s">
        <v>18</v>
      </c>
      <c r="AI179" s="74">
        <f>IF(ISBLANK(S179),"",VLOOKUP(S179,'[1]plan gier'!$X$1:$AN$65536,12,FALSE))</f>
        <v>21</v>
      </c>
      <c r="AJ179" s="75">
        <f>IF(ISBLANK(S179),"",VLOOKUP(S179,'[1]plan gier'!$X$1:$AN$65536,13,FALSE))</f>
        <v>0</v>
      </c>
      <c r="AK179" s="75">
        <f>IF(ISBLANK(S179),"",VLOOKUP(S179,'[1]plan gier'!$X$1:$AN$65536,14,FALSE))</f>
        <v>21</v>
      </c>
      <c r="AL179" s="75">
        <f>IF(ISBLANK(S179),"",VLOOKUP(S179,'[1]plan gier'!$X$1:$AN$65536,15,FALSE))</f>
        <v>0</v>
      </c>
      <c r="AM179" s="75">
        <f>IF(ISBLANK(S179),"",VLOOKUP(S179,'[1]plan gier'!$X$1:$AN$65536,16,FALSE))</f>
        <v>0</v>
      </c>
      <c r="AN179" s="75">
        <f>IF(ISBLANK(S179),"",VLOOKUP(S179,'[1]plan gier'!$X$1:$AN$65536,17,FALSE))</f>
        <v>0</v>
      </c>
      <c r="AO179" s="76">
        <f t="shared" si="20"/>
        <v>21</v>
      </c>
      <c r="AP179" s="75">
        <f t="shared" si="20"/>
        <v>0</v>
      </c>
      <c r="AQ179" s="77">
        <f t="shared" si="20"/>
        <v>21</v>
      </c>
      <c r="AR179" s="75">
        <f t="shared" si="20"/>
        <v>0</v>
      </c>
      <c r="AS179" s="77">
        <f t="shared" si="20"/>
        <v>0</v>
      </c>
      <c r="AT179" s="75">
        <f t="shared" si="20"/>
        <v>0</v>
      </c>
      <c r="AU179" s="54">
        <f>SUM(AO179:AT179)</f>
        <v>42</v>
      </c>
      <c r="AV179" s="13">
        <v>3</v>
      </c>
      <c r="AW179" s="74">
        <f>IF(AI177&lt;AJ177,1,0)+IF(AK177&lt;AL177,1,0)+IF(AM177&lt;AN177,1,0)</f>
        <v>0</v>
      </c>
      <c r="AX179" s="75">
        <f>BA177</f>
        <v>2</v>
      </c>
      <c r="AY179" s="75">
        <f>IF(AI178&lt;AJ178,1,0)+IF(AK178&lt;AL178,1,0)+IF(AM178&lt;AN178,1,0)</f>
        <v>2</v>
      </c>
      <c r="AZ179" s="75">
        <f>BA178</f>
        <v>0</v>
      </c>
      <c r="BA179" s="78"/>
      <c r="BB179" s="79"/>
      <c r="BE179" s="74">
        <f>AP177+AR177+AT177+AP178+AR178+AT178</f>
        <v>55</v>
      </c>
      <c r="BF179" s="80">
        <f>AO177+AQ177+AS177+AO178+AQ178+AS178</f>
        <v>42</v>
      </c>
      <c r="BG179" s="74">
        <f>AW179+AY179</f>
        <v>2</v>
      </c>
      <c r="BH179" s="80">
        <f>AX179+AZ179</f>
        <v>2</v>
      </c>
      <c r="BI179" s="74">
        <f>IF(AW179&gt;AX179,1,0)+IF(AY179&gt;AZ179,1,0)</f>
        <v>1</v>
      </c>
      <c r="BJ179" s="81">
        <f>IF(AX179&gt;AW179,1,0)+IF(AZ179&gt;AY179,1,0)</f>
        <v>1</v>
      </c>
      <c r="BK179" s="82">
        <f>IF(BI179+BJ179=0,"",IF(BL179=MAX(BL177:BL179),1,IF(BL179=MIN(BL177:BL179),3,2)))</f>
        <v>2</v>
      </c>
      <c r="BL179" s="60">
        <f>IF(BI179+BJ179&lt;&gt;0,BI179+1+(BG179-BH179)/100+(BE179-BF179)/100000+(BE179/BF179)/1000000,0)</f>
        <v>2.0001313095238094</v>
      </c>
    </row>
    <row r="180" spans="1:64" ht="11.45" customHeight="1" x14ac:dyDescent="0.2">
      <c r="A180" s="2"/>
      <c r="J180" s="28"/>
      <c r="K180" s="28"/>
      <c r="L180" s="28"/>
      <c r="O180" s="28"/>
      <c r="P180" s="28"/>
      <c r="Q180" s="2"/>
      <c r="R180" s="2"/>
      <c r="S180" s="2"/>
      <c r="T180" s="241">
        <v>3</v>
      </c>
      <c r="U180" s="244" t="str">
        <f>IF(AND(N181&lt;&gt;"",N182&lt;&gt;""),CONCATENATE(VLOOKUP(N181,[1]zawodnicy!$A$1:$E$65536,1,FALSE)," ",VLOOKUP(N181,[1]zawodnicy!$A$1:$E$65536,2,FALSE)," ",VLOOKUP(N181,[1]zawodnicy!$A$1:$E$65536,3,FALSE)," - ",VLOOKUP(N181,[1]zawodnicy!$A$1:$E$65536,4,FALSE)),"")</f>
        <v>F4652 Kamil FRĄTCZAK - UKS Iskra Sarbice</v>
      </c>
      <c r="V180" s="245"/>
      <c r="W180" s="246"/>
      <c r="X180" s="46" t="str">
        <f>IF(SUM(AO177:AP177)=0,"",AP177&amp;":"&amp;AO177)</f>
        <v>6:21</v>
      </c>
      <c r="Y180" s="83" t="str">
        <f>IF(SUM(AO178:AP178)=0,"",AP178&amp;":"&amp;AO178)</f>
        <v>21:0</v>
      </c>
      <c r="Z180" s="84"/>
      <c r="AA180" s="247" t="str">
        <f>IF(SUM(AW179:AZ179)=0,"",BE179&amp;":"&amp;BF179)</f>
        <v>55:42</v>
      </c>
      <c r="AB180" s="250" t="str">
        <f>IF(SUM(AW179:AZ179)=0,"",BG179&amp;":"&amp;BH179)</f>
        <v>2:2</v>
      </c>
      <c r="AC180" s="250" t="str">
        <f>IF(SUM(AW179:AZ179)=0,"",BI179&amp;":"&amp;BJ179)</f>
        <v>1:1</v>
      </c>
      <c r="AD180" s="253">
        <f>IF(SUM(BI177:BI179)&gt;0,BK179,"")</f>
        <v>2</v>
      </c>
      <c r="AE180" s="2"/>
      <c r="AF180" s="12"/>
      <c r="AG180" s="12"/>
      <c r="BE180" s="19">
        <f>SUM(BE177:BE179)</f>
        <v>139</v>
      </c>
      <c r="BF180" s="19">
        <f>SUM(BF177:BF179)</f>
        <v>139</v>
      </c>
      <c r="BG180" s="19">
        <f>SUM(BG177:BG179)</f>
        <v>6</v>
      </c>
      <c r="BH180" s="19">
        <f>SUM(BH177:BH179)</f>
        <v>6</v>
      </c>
      <c r="BK180" s="19"/>
      <c r="BL180" s="20"/>
    </row>
    <row r="181" spans="1:64" ht="11.45" customHeight="1" x14ac:dyDescent="0.2">
      <c r="A181" s="19"/>
      <c r="J181" s="19"/>
      <c r="K181" s="19"/>
      <c r="L181" s="19"/>
      <c r="N181" s="33" t="s">
        <v>231</v>
      </c>
      <c r="O181" s="34">
        <f>IF(O173&gt;0,(O173&amp;3)*1,"")</f>
        <v>33</v>
      </c>
      <c r="Q181" s="85"/>
      <c r="R181" s="85"/>
      <c r="S181" s="85"/>
      <c r="T181" s="242"/>
      <c r="U181" s="244" t="str">
        <f>IF(AND(N181&lt;&gt;"",N182=""),CONCATENATE(VLOOKUP(N181,[1]zawodnicy!$A$1:$E$65536,1,FALSE)," ",VLOOKUP(N181,[1]zawodnicy!$A$1:$E$65536,2,FALSE)," ",VLOOKUP(N181,[1]zawodnicy!$A$1:$E$65536,3,FALSE)," - ",VLOOKUP(N181,[1]zawodnicy!$A$1:$E$65536,4,FALSE)),"")</f>
        <v/>
      </c>
      <c r="V181" s="245"/>
      <c r="W181" s="246"/>
      <c r="X181" s="61" t="str">
        <f>IF(SUM(AQ177:AR177)=0,"",AR177&amp;":"&amp;AQ177)</f>
        <v>7:21</v>
      </c>
      <c r="Y181" s="36" t="str">
        <f>IF(SUM(AQ178:AR178)=0,"",AR178&amp;":"&amp;AQ178)</f>
        <v>21:0</v>
      </c>
      <c r="Z181" s="86"/>
      <c r="AA181" s="248"/>
      <c r="AB181" s="251"/>
      <c r="AC181" s="251"/>
      <c r="AD181" s="254"/>
      <c r="AE181" s="2"/>
      <c r="AF181" s="12"/>
      <c r="AG181" s="1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row>
    <row r="182" spans="1:64" ht="11.45" customHeight="1" thickBot="1" x14ac:dyDescent="0.25">
      <c r="A182" s="2"/>
      <c r="J182" s="28"/>
      <c r="K182" s="28"/>
      <c r="L182" s="28"/>
      <c r="N182" s="38" t="s">
        <v>232</v>
      </c>
      <c r="O182" s="28"/>
      <c r="P182" s="28"/>
      <c r="Q182" s="2"/>
      <c r="R182" s="2"/>
      <c r="S182" s="2"/>
      <c r="T182" s="243"/>
      <c r="U182" s="256" t="str">
        <f>IF(N182&lt;&gt;"",CONCATENATE(VLOOKUP(N182,[1]zawodnicy!$A$1:$E$65536,1,FALSE)," ",VLOOKUP(N182,[1]zawodnicy!$A$1:$E$65536,2,FALSE)," ",VLOOKUP(N182,[1]zawodnicy!$A$1:$E$65536,3,FALSE)," - ",VLOOKUP(N182,[1]zawodnicy!$A$1:$E$65536,4,FALSE)),"")</f>
        <v>W4651 Mateusz WUDARSKI - UKS Iskra Sarbice</v>
      </c>
      <c r="V182" s="257"/>
      <c r="W182" s="258"/>
      <c r="X182" s="87" t="str">
        <f>IF(SUM(AS177:AT177)=0,"",AT177&amp;":"&amp;AS177)</f>
        <v/>
      </c>
      <c r="Y182" s="88" t="str">
        <f>IF(SUM(AS178:AT178)=0,"",AT178&amp;":"&amp;AS178)</f>
        <v/>
      </c>
      <c r="Z182" s="89"/>
      <c r="AA182" s="249"/>
      <c r="AB182" s="252"/>
      <c r="AC182" s="252"/>
      <c r="AD182" s="255"/>
      <c r="AE182" s="10"/>
      <c r="AF182" s="12"/>
      <c r="AG182" s="1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row>
    <row r="183" spans="1:64" s="19" customFormat="1" ht="5.0999999999999996" customHeight="1" thickBot="1" x14ac:dyDescent="0.25">
      <c r="M183" s="90"/>
      <c r="O183" s="90"/>
      <c r="P183" s="90"/>
      <c r="Q183" s="91"/>
      <c r="R183" s="91"/>
      <c r="S183" s="91"/>
      <c r="T183" s="91"/>
      <c r="U183" s="5"/>
      <c r="V183" s="5"/>
      <c r="W183" s="5"/>
      <c r="AA183" s="92"/>
      <c r="AB183" s="91"/>
      <c r="AC183" s="91"/>
      <c r="AD183" s="91"/>
      <c r="AE183" s="91"/>
      <c r="AF183" s="91"/>
      <c r="AI183" s="93"/>
      <c r="AJ183" s="94"/>
      <c r="AK183" s="94"/>
    </row>
    <row r="184" spans="1:64" ht="11.45" customHeight="1" thickBot="1" x14ac:dyDescent="0.25">
      <c r="N184" s="11"/>
      <c r="O184" s="21">
        <v>4</v>
      </c>
      <c r="Q184" s="277" t="str">
        <f>"Grupa "&amp;O184&amp;"."</f>
        <v>Grupa 4.</v>
      </c>
      <c r="R184" s="277"/>
      <c r="S184" s="277"/>
      <c r="T184" s="22" t="s">
        <v>1</v>
      </c>
      <c r="U184" s="278" t="s">
        <v>2</v>
      </c>
      <c r="V184" s="279"/>
      <c r="W184" s="280"/>
      <c r="X184" s="22">
        <v>1</v>
      </c>
      <c r="Y184" s="23">
        <v>2</v>
      </c>
      <c r="Z184" s="24">
        <v>3</v>
      </c>
      <c r="AA184" s="25" t="s">
        <v>3</v>
      </c>
      <c r="AB184" s="26" t="s">
        <v>4</v>
      </c>
      <c r="AC184" s="26" t="s">
        <v>5</v>
      </c>
      <c r="AD184" s="27" t="s">
        <v>6</v>
      </c>
      <c r="AE184" s="2"/>
      <c r="AF184" s="12"/>
      <c r="AG184" s="12"/>
      <c r="BK184" s="19"/>
      <c r="BL184" s="20"/>
    </row>
    <row r="185" spans="1:64" ht="11.45" customHeight="1" x14ac:dyDescent="0.2">
      <c r="J185" s="28"/>
      <c r="K185" s="28"/>
      <c r="L185" s="28"/>
      <c r="N185" s="29" t="s">
        <v>212</v>
      </c>
      <c r="Q185" s="274" t="s">
        <v>7</v>
      </c>
      <c r="R185" s="274"/>
      <c r="S185" s="275" t="s">
        <v>8</v>
      </c>
      <c r="T185" s="276">
        <v>1</v>
      </c>
      <c r="U185" s="244" t="str">
        <f>IF(AND(N186&lt;&gt;"",N187&lt;&gt;""),CONCATENATE(VLOOKUP(N186,[1]zawodnicy!$A$1:$E$65536,1,FALSE)," ",VLOOKUP(N186,[1]zawodnicy!$A$1:$E$65536,2,FALSE)," ",VLOOKUP(N186,[1]zawodnicy!$A$1:$E$65536,3,FALSE)," - ",VLOOKUP(N186,[1]zawodnicy!$A$1:$E$65536,4,FALSE)),"")</f>
        <v>K4283 Filip KRUKOWSKI - SKB Suwałki</v>
      </c>
      <c r="V185" s="245"/>
      <c r="W185" s="246"/>
      <c r="X185" s="30"/>
      <c r="Y185" s="31" t="str">
        <f>IF(SUM(AO190:AP190)=0,"",AO190&amp;":"&amp;AP190)</f>
        <v>11:21</v>
      </c>
      <c r="Z185" s="32" t="str">
        <f>IF(SUM(AO188:AP188)=0,"",AO188&amp;":"&amp;AP188)</f>
        <v>21:9</v>
      </c>
      <c r="AA185" s="270" t="str">
        <f>IF(SUM(AY188:BB188)=0,"",BE188&amp;":"&amp;BF188)</f>
        <v>96:71</v>
      </c>
      <c r="AB185" s="271" t="str">
        <f>IF(SUM(AY188:BB188)=0,"",BG188&amp;":"&amp;BH188)</f>
        <v>4:1</v>
      </c>
      <c r="AC185" s="271" t="str">
        <f>IF(SUM(AY188:BB188)=0,"",BI188&amp;":"&amp;BJ188)</f>
        <v>2:0</v>
      </c>
      <c r="AD185" s="272">
        <f>IF(SUM(BI188:BI190)&gt;0,BK188,"")</f>
        <v>1</v>
      </c>
      <c r="AE185" s="2"/>
      <c r="AF185" s="12"/>
      <c r="AG185" s="12"/>
      <c r="AH185" s="14"/>
      <c r="AI185" s="273" t="s">
        <v>9</v>
      </c>
      <c r="AJ185" s="273"/>
      <c r="AK185" s="273"/>
      <c r="AL185" s="273"/>
      <c r="AM185" s="273"/>
      <c r="AN185" s="273"/>
      <c r="AO185" s="273" t="s">
        <v>10</v>
      </c>
      <c r="AP185" s="273"/>
      <c r="AQ185" s="273"/>
      <c r="AR185" s="273"/>
      <c r="AS185" s="273"/>
      <c r="AT185" s="273"/>
      <c r="BK185" s="19"/>
      <c r="BL185" s="20"/>
    </row>
    <row r="186" spans="1:64" ht="11.45" customHeight="1" thickBot="1" x14ac:dyDescent="0.25">
      <c r="I186" s="2" t="str">
        <f>"1"&amp;O184&amp;N185</f>
        <v>14podwójna chłopców M</v>
      </c>
      <c r="J186" s="10" t="str">
        <f>IF(AD185="","",IF(AD185=1,N186,IF(AD188=1,N189,IF(AD191=1,N192,""))))</f>
        <v>K4283</v>
      </c>
      <c r="K186" s="10" t="str">
        <f>IF(AD185="","",IF(AD185=1,N187,IF(AD188=1,N190,IF(AD191=1,N193,""))))</f>
        <v>S4287</v>
      </c>
      <c r="L186" s="10"/>
      <c r="N186" s="33" t="s">
        <v>233</v>
      </c>
      <c r="O186" s="34">
        <f>IF(O184&gt;0,(O184&amp;1)*1,"")</f>
        <v>41</v>
      </c>
      <c r="Q186" s="274"/>
      <c r="R186" s="274"/>
      <c r="S186" s="275"/>
      <c r="T186" s="242"/>
      <c r="U186" s="244" t="str">
        <f>IF(AND(N186&lt;&gt;"",N187=""),CONCATENATE(VLOOKUP(N186,[1]zawodnicy!$A$1:$E$65536,1,FALSE)," ",VLOOKUP(N186,[1]zawodnicy!$A$1:$E$65536,2,FALSE)," ",VLOOKUP(N186,[1]zawodnicy!$A$1:$E$65536,3,FALSE)," - ",VLOOKUP(N186,[1]zawodnicy!$A$1:$E$65536,4,FALSE)),"")</f>
        <v/>
      </c>
      <c r="V186" s="245"/>
      <c r="W186" s="246"/>
      <c r="X186" s="35"/>
      <c r="Y186" s="36" t="str">
        <f>IF(SUM(AQ190:AR190)=0,"",AQ190&amp;":"&amp;AR190)</f>
        <v>22:20</v>
      </c>
      <c r="Z186" s="37" t="str">
        <f>IF(SUM(AQ188:AR188)=0,"",AQ188&amp;":"&amp;AR188)</f>
        <v>21:11</v>
      </c>
      <c r="AA186" s="248"/>
      <c r="AB186" s="251"/>
      <c r="AC186" s="251"/>
      <c r="AD186" s="254"/>
      <c r="AE186" s="2"/>
      <c r="AF186" s="12"/>
      <c r="AG186" s="12"/>
      <c r="AH186" s="14"/>
      <c r="BE186" s="19">
        <f>SUM(BE188:BE190)</f>
        <v>237</v>
      </c>
      <c r="BF186" s="19">
        <f>SUM(BF188:BF190)</f>
        <v>237</v>
      </c>
      <c r="BG186" s="19">
        <f>SUM(BG188:BG190)</f>
        <v>7</v>
      </c>
      <c r="BH186" s="19">
        <f>SUM(BH188:BH190)</f>
        <v>7</v>
      </c>
      <c r="BK186" s="19"/>
      <c r="BL186" s="20"/>
    </row>
    <row r="187" spans="1:64" ht="11.45" customHeight="1" thickBot="1" x14ac:dyDescent="0.25">
      <c r="J187" s="10"/>
      <c r="K187" s="28"/>
      <c r="L187" s="28"/>
      <c r="N187" s="38" t="s">
        <v>234</v>
      </c>
      <c r="O187" s="28"/>
      <c r="P187" s="28"/>
      <c r="Q187" s="274"/>
      <c r="R187" s="274"/>
      <c r="S187" s="275"/>
      <c r="T187" s="261"/>
      <c r="U187" s="265" t="str">
        <f>IF(N187&lt;&gt;"",CONCATENATE(VLOOKUP(N187,[1]zawodnicy!$A$1:$E$65536,1,FALSE)," ",VLOOKUP(N187,[1]zawodnicy!$A$1:$E$65536,2,FALSE)," ",VLOOKUP(N187,[1]zawodnicy!$A$1:$E$65536,3,FALSE)," - ",VLOOKUP(N187,[1]zawodnicy!$A$1:$E$65536,4,FALSE)),"")</f>
        <v>S4287 Michał SOBOLEWSKI - SKB Suwałki</v>
      </c>
      <c r="V187" s="266"/>
      <c r="W187" s="267"/>
      <c r="X187" s="35"/>
      <c r="Y187" s="39" t="str">
        <f>IF(SUM(AS190:AT190)=0,"",AS190&amp;":"&amp;AT190)</f>
        <v>21:10</v>
      </c>
      <c r="Z187" s="40" t="str">
        <f>IF(SUM(AS188:AT188)=0,"",AS188&amp;":"&amp;AT188)</f>
        <v/>
      </c>
      <c r="AA187" s="262"/>
      <c r="AB187" s="263"/>
      <c r="AC187" s="263"/>
      <c r="AD187" s="264"/>
      <c r="AE187" s="2"/>
      <c r="AF187" s="12"/>
      <c r="AG187" s="12"/>
      <c r="AH187" s="14"/>
      <c r="AI187" s="259" t="s">
        <v>12</v>
      </c>
      <c r="AJ187" s="269"/>
      <c r="AK187" s="268" t="s">
        <v>13</v>
      </c>
      <c r="AL187" s="269"/>
      <c r="AM187" s="268" t="s">
        <v>14</v>
      </c>
      <c r="AN187" s="260"/>
      <c r="AO187" s="259" t="s">
        <v>12</v>
      </c>
      <c r="AP187" s="269"/>
      <c r="AQ187" s="268" t="s">
        <v>13</v>
      </c>
      <c r="AR187" s="269"/>
      <c r="AS187" s="268" t="s">
        <v>14</v>
      </c>
      <c r="AT187" s="269"/>
      <c r="AU187" s="12"/>
      <c r="AV187" s="12"/>
      <c r="AW187" s="259">
        <v>1</v>
      </c>
      <c r="AX187" s="269"/>
      <c r="AY187" s="268">
        <v>2</v>
      </c>
      <c r="AZ187" s="269"/>
      <c r="BA187" s="268">
        <v>3</v>
      </c>
      <c r="BB187" s="260"/>
      <c r="BE187" s="259" t="s">
        <v>3</v>
      </c>
      <c r="BF187" s="260"/>
      <c r="BG187" s="259" t="s">
        <v>4</v>
      </c>
      <c r="BH187" s="260"/>
      <c r="BI187" s="259" t="s">
        <v>5</v>
      </c>
      <c r="BJ187" s="260"/>
      <c r="BK187" s="41" t="s">
        <v>6</v>
      </c>
      <c r="BL187" s="20"/>
    </row>
    <row r="188" spans="1:64" ht="11.45" customHeight="1" x14ac:dyDescent="0.2">
      <c r="A188" s="19">
        <f>S188</f>
        <v>73</v>
      </c>
      <c r="B188" s="2" t="str">
        <f>IF(N186="","",N186)</f>
        <v>K4283</v>
      </c>
      <c r="C188" s="2" t="str">
        <f>IF(N187="","",N187)</f>
        <v>S4287</v>
      </c>
      <c r="D188" s="2" t="str">
        <f>IF(N192="","",N192)</f>
        <v>K5874</v>
      </c>
      <c r="E188" s="2" t="str">
        <f>IF(N193="","",N193)</f>
        <v>R4718</v>
      </c>
      <c r="I188" s="2" t="str">
        <f>"2"&amp;O184&amp;N185</f>
        <v>24podwójna chłopców M</v>
      </c>
      <c r="J188" s="10" t="str">
        <f>IF(AD188="","",IF(AD185=2,N186,IF(AD188=2,N189,IF(AD191=2,N192,""))))</f>
        <v>L4473</v>
      </c>
      <c r="K188" s="10" t="str">
        <f>IF(AD188="","",IF(AD185=2,N187,IF(AD188=2,N190,IF(AD191=2,N193,""))))</f>
        <v>M3747</v>
      </c>
      <c r="M188" s="42" t="str">
        <f>N185</f>
        <v>podwójna chłopców M</v>
      </c>
      <c r="O188" s="28"/>
      <c r="P188" s="28"/>
      <c r="Q188" s="43" t="str">
        <f>IF(AU188&gt;0,"",IF(A188=0,"",IF(VLOOKUP(A188,'[1]plan gier'!A$1:S$65536,19,FALSE)="","",VLOOKUP(A188,'[1]plan gier'!A$1:S$65536,19,FALSE))))</f>
        <v/>
      </c>
      <c r="R188" s="44" t="s">
        <v>15</v>
      </c>
      <c r="S188" s="45">
        <v>73</v>
      </c>
      <c r="T188" s="241">
        <v>2</v>
      </c>
      <c r="U188" s="244" t="str">
        <f>IF(AND(N189&lt;&gt;"",N190&lt;&gt;""),CONCATENATE(VLOOKUP(N189,[1]zawodnicy!$A$1:$E$65536,1,FALSE)," ",VLOOKUP(N189,[1]zawodnicy!$A$1:$E$65536,2,FALSE)," ",VLOOKUP(N189,[1]zawodnicy!$A$1:$E$65536,3,FALSE)," - ",VLOOKUP(N189,[1]zawodnicy!$A$1:$E$65536,4,FALSE)),"")</f>
        <v>L4473 Jan LEWANDOWSKI - BKS Kolejarz Częstochowa</v>
      </c>
      <c r="V188" s="245"/>
      <c r="W188" s="246"/>
      <c r="X188" s="46" t="str">
        <f>IF(SUM(AO190:AP190)=0,"",AP190&amp;":"&amp;AO190)</f>
        <v>21:11</v>
      </c>
      <c r="Y188" s="47"/>
      <c r="Z188" s="48" t="str">
        <f>IF(SUM(AO189:AP189)=0,"",AO189&amp;":"&amp;AP189)</f>
        <v>21:13</v>
      </c>
      <c r="AA188" s="247" t="str">
        <f>IF(SUM(AW189:AX189,BA189:BB189)=0,"",BE189&amp;":"&amp;BF189)</f>
        <v>93:82</v>
      </c>
      <c r="AB188" s="250" t="str">
        <f>IF(SUM(AW189:AX189,BA189:BB189)=0,"",BG189&amp;":"&amp;BH189)</f>
        <v>3:2</v>
      </c>
      <c r="AC188" s="250" t="str">
        <f>IF(SUM(AW189:AX189,BA189:BB189)=0,"",BI189&amp;":"&amp;BJ189)</f>
        <v>1:1</v>
      </c>
      <c r="AD188" s="253">
        <f>IF(SUM(BI188:BI190)&gt;0,BK189,"")</f>
        <v>2</v>
      </c>
      <c r="AE188" s="2"/>
      <c r="AF188" s="12"/>
      <c r="AG188" s="12"/>
      <c r="AH188" s="44" t="s">
        <v>15</v>
      </c>
      <c r="AI188" s="49">
        <f>IF(ISBLANK(S188),"",VLOOKUP(S188,'[1]plan gier'!$X$1:$AN$65536,12,FALSE))</f>
        <v>21</v>
      </c>
      <c r="AJ188" s="50">
        <f>IF(ISBLANK(S188),"",VLOOKUP(S188,'[1]plan gier'!$X$1:$AN$65536,13,FALSE))</f>
        <v>9</v>
      </c>
      <c r="AK188" s="50">
        <f>IF(ISBLANK(S188),"",VLOOKUP(S188,'[1]plan gier'!$X$1:$AN$65536,14,FALSE))</f>
        <v>21</v>
      </c>
      <c r="AL188" s="50">
        <f>IF(ISBLANK(S188),"",VLOOKUP(S188,'[1]plan gier'!$X$1:$AN$65536,15,FALSE))</f>
        <v>11</v>
      </c>
      <c r="AM188" s="50">
        <f>IF(ISBLANK(S188),"",VLOOKUP(S188,'[1]plan gier'!$X$1:$AN$65536,16,FALSE))</f>
        <v>0</v>
      </c>
      <c r="AN188" s="50">
        <f>IF(ISBLANK(S188),"",VLOOKUP(S188,'[1]plan gier'!$X$1:$AN$65536,17,FALSE))</f>
        <v>0</v>
      </c>
      <c r="AO188" s="51">
        <f t="shared" ref="AO188:AT190" si="21">IF(AI188="",0,AI188)</f>
        <v>21</v>
      </c>
      <c r="AP188" s="52">
        <f t="shared" si="21"/>
        <v>9</v>
      </c>
      <c r="AQ188" s="53">
        <f t="shared" si="21"/>
        <v>21</v>
      </c>
      <c r="AR188" s="52">
        <f t="shared" si="21"/>
        <v>11</v>
      </c>
      <c r="AS188" s="53">
        <f t="shared" si="21"/>
        <v>0</v>
      </c>
      <c r="AT188" s="52">
        <f t="shared" si="21"/>
        <v>0</v>
      </c>
      <c r="AU188" s="54">
        <f>SUM(AO188:AT188)</f>
        <v>62</v>
      </c>
      <c r="AV188" s="13">
        <v>1</v>
      </c>
      <c r="AW188" s="55"/>
      <c r="AX188" s="56"/>
      <c r="AY188" s="50">
        <f>IF(AI190&gt;AJ190,1,0)+IF(AK190&gt;AL190,1,0)+IF(AM190&gt;AN190,1,0)</f>
        <v>2</v>
      </c>
      <c r="AZ188" s="50">
        <f>AW189</f>
        <v>1</v>
      </c>
      <c r="BA188" s="50">
        <f>IF(AI188&gt;AJ188,1,0)+IF(AK188&gt;AL188,1,0)+IF(AM188&gt;AN188,1,0)</f>
        <v>2</v>
      </c>
      <c r="BB188" s="57">
        <f>AW190</f>
        <v>0</v>
      </c>
      <c r="BE188" s="49">
        <f>AO188+AQ188+AS188+AO190+AQ190+AS190</f>
        <v>96</v>
      </c>
      <c r="BF188" s="57">
        <f>AP188+AR188+AT188+AP190+AR190+AT190</f>
        <v>71</v>
      </c>
      <c r="BG188" s="49">
        <f>AY188+BA188</f>
        <v>4</v>
      </c>
      <c r="BH188" s="57">
        <f>AZ188+BB188</f>
        <v>1</v>
      </c>
      <c r="BI188" s="49">
        <f>IF(AY188&gt;AZ188,1,0)+IF(BA188&gt;BB188,1,0)</f>
        <v>2</v>
      </c>
      <c r="BJ188" s="58">
        <f>IF(AZ188&gt;AY188,1,0)+IF(BB188&gt;BA188,1,0)</f>
        <v>0</v>
      </c>
      <c r="BK188" s="59">
        <f>IF(BI188+BJ188=0,"",IF(BL188=MAX(BL188:BL190),1,IF(BL188=MIN(BL188:BL190),3,2)))</f>
        <v>1</v>
      </c>
      <c r="BL188" s="60">
        <f>IF(BI188+BJ188&lt;&gt;0,BI188+1+(BG188-BH188)/100+(BE188-BF188)/100000+(BE188/BF188)/1000000,0)</f>
        <v>3.0302513521126757</v>
      </c>
    </row>
    <row r="189" spans="1:64" ht="11.45" customHeight="1" x14ac:dyDescent="0.2">
      <c r="A189" s="19">
        <f>S189</f>
        <v>139</v>
      </c>
      <c r="B189" s="2" t="str">
        <f>IF(N189="","",N189)</f>
        <v>L4473</v>
      </c>
      <c r="C189" s="2" t="str">
        <f>IF(N190="","",N190)</f>
        <v>M3747</v>
      </c>
      <c r="D189" s="2" t="str">
        <f>IF(N192="","",N192)</f>
        <v>K5874</v>
      </c>
      <c r="E189" s="2" t="str">
        <f>IF(N193="","",N193)</f>
        <v>R4718</v>
      </c>
      <c r="J189" s="10"/>
      <c r="K189" s="19"/>
      <c r="M189" s="42" t="str">
        <f>N185</f>
        <v>podwójna chłopców M</v>
      </c>
      <c r="N189" s="33" t="s">
        <v>235</v>
      </c>
      <c r="O189" s="34">
        <f>IF(O184&gt;0,(O184&amp;2)*1,"")</f>
        <v>42</v>
      </c>
      <c r="Q189" s="43" t="str">
        <f>IF(AU189&gt;0,"",IF(A189=0,"",IF(VLOOKUP(A189,'[1]plan gier'!A$1:S$65536,19,FALSE)="","",VLOOKUP(A189,'[1]plan gier'!A$1:S$65536,19,FALSE))))</f>
        <v/>
      </c>
      <c r="R189" s="44" t="s">
        <v>17</v>
      </c>
      <c r="S189" s="45">
        <v>139</v>
      </c>
      <c r="T189" s="242"/>
      <c r="U189" s="244" t="str">
        <f>IF(AND(N189&lt;&gt;"",N190=""),CONCATENATE(VLOOKUP(N189,[1]zawodnicy!$A$1:$E$65536,1,FALSE)," ",VLOOKUP(N189,[1]zawodnicy!$A$1:$E$65536,2,FALSE)," ",VLOOKUP(N189,[1]zawodnicy!$A$1:$E$65536,3,FALSE)," - ",VLOOKUP(N189,[1]zawodnicy!$A$1:$E$65536,4,FALSE)),"")</f>
        <v/>
      </c>
      <c r="V189" s="245"/>
      <c r="W189" s="246"/>
      <c r="X189" s="61" t="str">
        <f>IF(SUM(AQ190:AR190)=0,"",AR190&amp;":"&amp;AQ190)</f>
        <v>20:22</v>
      </c>
      <c r="Y189" s="62"/>
      <c r="Z189" s="37" t="str">
        <f>IF(SUM(AQ189:AR189)=0,"",AQ189&amp;":"&amp;AR189)</f>
        <v>21:15</v>
      </c>
      <c r="AA189" s="248"/>
      <c r="AB189" s="251"/>
      <c r="AC189" s="251"/>
      <c r="AD189" s="254"/>
      <c r="AE189" s="2"/>
      <c r="AF189" s="12"/>
      <c r="AG189" s="12"/>
      <c r="AH189" s="44" t="s">
        <v>17</v>
      </c>
      <c r="AI189" s="63">
        <f>IF(ISBLANK(S189),"",VLOOKUP(S189,'[1]plan gier'!$X$1:$AN$65536,12,FALSE))</f>
        <v>21</v>
      </c>
      <c r="AJ189" s="64">
        <f>IF(ISBLANK(S189),"",VLOOKUP(S189,'[1]plan gier'!$X$1:$AN$65536,13,FALSE))</f>
        <v>13</v>
      </c>
      <c r="AK189" s="64">
        <f>IF(ISBLANK(S189),"",VLOOKUP(S189,'[1]plan gier'!$X$1:$AN$65536,14,FALSE))</f>
        <v>21</v>
      </c>
      <c r="AL189" s="64">
        <f>IF(ISBLANK(S189),"",VLOOKUP(S189,'[1]plan gier'!$X$1:$AN$65536,15,FALSE))</f>
        <v>15</v>
      </c>
      <c r="AM189" s="64">
        <f>IF(ISBLANK(S189),"",VLOOKUP(S189,'[1]plan gier'!$X$1:$AN$65536,16,FALSE))</f>
        <v>0</v>
      </c>
      <c r="AN189" s="64">
        <f>IF(ISBLANK(S189),"",VLOOKUP(S189,'[1]plan gier'!$X$1:$AN$65536,17,FALSE))</f>
        <v>0</v>
      </c>
      <c r="AO189" s="65">
        <f t="shared" si="21"/>
        <v>21</v>
      </c>
      <c r="AP189" s="64">
        <f t="shared" si="21"/>
        <v>13</v>
      </c>
      <c r="AQ189" s="66">
        <f t="shared" si="21"/>
        <v>21</v>
      </c>
      <c r="AR189" s="64">
        <f t="shared" si="21"/>
        <v>15</v>
      </c>
      <c r="AS189" s="66">
        <f t="shared" si="21"/>
        <v>0</v>
      </c>
      <c r="AT189" s="64">
        <f t="shared" si="21"/>
        <v>0</v>
      </c>
      <c r="AU189" s="54">
        <f>SUM(AO189:AT189)</f>
        <v>70</v>
      </c>
      <c r="AV189" s="13">
        <v>2</v>
      </c>
      <c r="AW189" s="63">
        <f>IF(AI190&lt;AJ190,1,0)+IF(AK190&lt;AL190,1,0)+IF(AM190&lt;AN190,1,0)</f>
        <v>1</v>
      </c>
      <c r="AX189" s="64">
        <f>AY188</f>
        <v>2</v>
      </c>
      <c r="AY189" s="67"/>
      <c r="AZ189" s="68"/>
      <c r="BA189" s="64">
        <f>IF(AI189&gt;AJ189,1,0)+IF(AK189&gt;AL189,1,0)+IF(AM189&gt;AN189,1,0)</f>
        <v>2</v>
      </c>
      <c r="BB189" s="69">
        <f>AY190</f>
        <v>0</v>
      </c>
      <c r="BE189" s="63">
        <f>AO189+AQ189+AS189+AP190+AR190+AT190</f>
        <v>93</v>
      </c>
      <c r="BF189" s="69">
        <f>AP189+AR189+AT189+AO190+AQ190+AS190</f>
        <v>82</v>
      </c>
      <c r="BG189" s="63">
        <f>AW189+BA189</f>
        <v>3</v>
      </c>
      <c r="BH189" s="69">
        <f>AX189+BB189</f>
        <v>2</v>
      </c>
      <c r="BI189" s="63">
        <f>IF(AW189&gt;AX189,1,0)+IF(BA189&gt;BB189,1,0)</f>
        <v>1</v>
      </c>
      <c r="BJ189" s="70">
        <f>IF(AX189&gt;AW189,1,0)+IF(BB189&gt;BA189,1,0)</f>
        <v>1</v>
      </c>
      <c r="BK189" s="71">
        <f>IF(BI189+BJ189=0,"",IF(BL189=MAX(BL188:BL190),1,IF(BL189=MIN(BL188:BL190),3,2)))</f>
        <v>2</v>
      </c>
      <c r="BL189" s="60">
        <f>IF(BI189+BJ189&lt;&gt;0,BI189+1+(BG189-BH189)/100+(BE189-BF189)/100000+(BE189/BF189)/1000000,0)</f>
        <v>2.0101111341463409</v>
      </c>
    </row>
    <row r="190" spans="1:64" ht="11.45" customHeight="1" thickBot="1" x14ac:dyDescent="0.25">
      <c r="A190" s="19">
        <f>S190</f>
        <v>286</v>
      </c>
      <c r="B190" s="2" t="str">
        <f>IF(N186="","",N186)</f>
        <v>K4283</v>
      </c>
      <c r="C190" s="2" t="str">
        <f>IF(N187="","",N187)</f>
        <v>S4287</v>
      </c>
      <c r="D190" s="2" t="str">
        <f>IF(N189="","",N189)</f>
        <v>L4473</v>
      </c>
      <c r="E190" s="2" t="str">
        <f>IF(N190="","",N190)</f>
        <v>M3747</v>
      </c>
      <c r="I190" s="2" t="str">
        <f>"3"&amp;O184&amp;N185</f>
        <v>34podwójna chłopców M</v>
      </c>
      <c r="J190" s="10" t="str">
        <f>IF(AD191="","",IF(AD185=3,N186,IF(AD188=3,N189,IF(AD191=3,N192,""))))</f>
        <v>K5874</v>
      </c>
      <c r="K190" s="10" t="str">
        <f>IF(AD191="","",IF(AD185=3,N187,IF(AD188=3,N190,IF(AD191=3,N193,""))))</f>
        <v>R4718</v>
      </c>
      <c r="M190" s="42" t="str">
        <f>N185</f>
        <v>podwójna chłopców M</v>
      </c>
      <c r="N190" s="38" t="s">
        <v>236</v>
      </c>
      <c r="O190" s="28"/>
      <c r="P190" s="28"/>
      <c r="Q190" s="43" t="str">
        <f>IF(AU190&gt;0,"",IF(A190=0,"",IF(VLOOKUP(A190,'[1]plan gier'!A$1:S$65536,19,FALSE)="","",VLOOKUP(A190,'[1]plan gier'!A$1:S$65536,19,FALSE))))</f>
        <v/>
      </c>
      <c r="R190" s="72" t="s">
        <v>18</v>
      </c>
      <c r="S190" s="45">
        <v>286</v>
      </c>
      <c r="T190" s="261"/>
      <c r="U190" s="265" t="str">
        <f>IF(N190&lt;&gt;"",CONCATENATE(VLOOKUP(N190,[1]zawodnicy!$A$1:$E$65536,1,FALSE)," ",VLOOKUP(N190,[1]zawodnicy!$A$1:$E$65536,2,FALSE)," ",VLOOKUP(N190,[1]zawodnicy!$A$1:$E$65536,3,FALSE)," - ",VLOOKUP(N190,[1]zawodnicy!$A$1:$E$65536,4,FALSE)),"")</f>
        <v>M3747 Michał MATYSIAK - KS Hubertus Zalesie Górne</v>
      </c>
      <c r="V190" s="266"/>
      <c r="W190" s="267"/>
      <c r="X190" s="73" t="str">
        <f>IF(SUM(AS190:AT190)=0,"",AT190&amp;":"&amp;AS190)</f>
        <v>10:21</v>
      </c>
      <c r="Y190" s="62"/>
      <c r="Z190" s="40" t="str">
        <f>IF(SUM(AS189:AT189)=0,"",AS189&amp;":"&amp;AT189)</f>
        <v/>
      </c>
      <c r="AA190" s="262"/>
      <c r="AB190" s="263"/>
      <c r="AC190" s="263"/>
      <c r="AD190" s="264"/>
      <c r="AE190" s="2"/>
      <c r="AF190" s="12"/>
      <c r="AG190" s="12"/>
      <c r="AH190" s="72" t="s">
        <v>18</v>
      </c>
      <c r="AI190" s="74">
        <f>IF(ISBLANK(S190),"",VLOOKUP(S190,'[1]plan gier'!$X$1:$AN$65536,12,FALSE))</f>
        <v>11</v>
      </c>
      <c r="AJ190" s="75">
        <f>IF(ISBLANK(S190),"",VLOOKUP(S190,'[1]plan gier'!$X$1:$AN$65536,13,FALSE))</f>
        <v>21</v>
      </c>
      <c r="AK190" s="75">
        <f>IF(ISBLANK(S190),"",VLOOKUP(S190,'[1]plan gier'!$X$1:$AN$65536,14,FALSE))</f>
        <v>22</v>
      </c>
      <c r="AL190" s="75">
        <f>IF(ISBLANK(S190),"",VLOOKUP(S190,'[1]plan gier'!$X$1:$AN$65536,15,FALSE))</f>
        <v>20</v>
      </c>
      <c r="AM190" s="75">
        <f>IF(ISBLANK(S190),"",VLOOKUP(S190,'[1]plan gier'!$X$1:$AN$65536,16,FALSE))</f>
        <v>21</v>
      </c>
      <c r="AN190" s="75">
        <f>IF(ISBLANK(S190),"",VLOOKUP(S190,'[1]plan gier'!$X$1:$AN$65536,17,FALSE))</f>
        <v>10</v>
      </c>
      <c r="AO190" s="76">
        <f t="shared" si="21"/>
        <v>11</v>
      </c>
      <c r="AP190" s="75">
        <f t="shared" si="21"/>
        <v>21</v>
      </c>
      <c r="AQ190" s="77">
        <f t="shared" si="21"/>
        <v>22</v>
      </c>
      <c r="AR190" s="75">
        <f t="shared" si="21"/>
        <v>20</v>
      </c>
      <c r="AS190" s="77">
        <f t="shared" si="21"/>
        <v>21</v>
      </c>
      <c r="AT190" s="75">
        <f t="shared" si="21"/>
        <v>10</v>
      </c>
      <c r="AU190" s="54">
        <f>SUM(AO190:AT190)</f>
        <v>105</v>
      </c>
      <c r="AV190" s="13">
        <v>3</v>
      </c>
      <c r="AW190" s="74">
        <f>IF(AI188&lt;AJ188,1,0)+IF(AK188&lt;AL188,1,0)+IF(AM188&lt;AN188,1,0)</f>
        <v>0</v>
      </c>
      <c r="AX190" s="75">
        <f>BA188</f>
        <v>2</v>
      </c>
      <c r="AY190" s="75">
        <f>IF(AI189&lt;AJ189,1,0)+IF(AK189&lt;AL189,1,0)+IF(AM189&lt;AN189,1,0)</f>
        <v>0</v>
      </c>
      <c r="AZ190" s="75">
        <f>BA189</f>
        <v>2</v>
      </c>
      <c r="BA190" s="78"/>
      <c r="BB190" s="79"/>
      <c r="BE190" s="74">
        <f>AP188+AR188+AT188+AP189+AR189+AT189</f>
        <v>48</v>
      </c>
      <c r="BF190" s="80">
        <f>AO188+AQ188+AS188+AO189+AQ189+AS189</f>
        <v>84</v>
      </c>
      <c r="BG190" s="74">
        <f>AW190+AY190</f>
        <v>0</v>
      </c>
      <c r="BH190" s="80">
        <f>AX190+AZ190</f>
        <v>4</v>
      </c>
      <c r="BI190" s="74">
        <f>IF(AW190&gt;AX190,1,0)+IF(AY190&gt;AZ190,1,0)</f>
        <v>0</v>
      </c>
      <c r="BJ190" s="81">
        <f>IF(AX190&gt;AW190,1,0)+IF(AZ190&gt;AY190,1,0)</f>
        <v>2</v>
      </c>
      <c r="BK190" s="82">
        <f>IF(BI190+BJ190=0,"",IF(BL190=MAX(BL188:BL190),1,IF(BL190=MIN(BL188:BL190),3,2)))</f>
        <v>3</v>
      </c>
      <c r="BL190" s="60">
        <f>IF(BI190+BJ190&lt;&gt;0,BI190+1+(BG190-BH190)/100+(BE190-BF190)/100000+(BE190/BF190)/1000000,0)</f>
        <v>0.9596405714285714</v>
      </c>
    </row>
    <row r="191" spans="1:64" ht="11.45" customHeight="1" x14ac:dyDescent="0.2">
      <c r="A191" s="2"/>
      <c r="J191" s="28"/>
      <c r="K191" s="28"/>
      <c r="L191" s="28"/>
      <c r="O191" s="28"/>
      <c r="P191" s="28"/>
      <c r="Q191" s="2"/>
      <c r="R191" s="2"/>
      <c r="S191" s="2"/>
      <c r="T191" s="241">
        <v>3</v>
      </c>
      <c r="U191" s="244" t="str">
        <f>IF(AND(N192&lt;&gt;"",N193&lt;&gt;""),CONCATENATE(VLOOKUP(N192,[1]zawodnicy!$A$1:$E$65536,1,FALSE)," ",VLOOKUP(N192,[1]zawodnicy!$A$1:$E$65536,2,FALSE)," ",VLOOKUP(N192,[1]zawodnicy!$A$1:$E$65536,3,FALSE)," - ",VLOOKUP(N192,[1]zawodnicy!$A$1:$E$65536,4,FALSE)),"")</f>
        <v>K5874 Maciej KURAN - ----</v>
      </c>
      <c r="V191" s="245"/>
      <c r="W191" s="246"/>
      <c r="X191" s="46" t="str">
        <f>IF(SUM(AO188:AP188)=0,"",AP188&amp;":"&amp;AO188)</f>
        <v>9:21</v>
      </c>
      <c r="Y191" s="83" t="str">
        <f>IF(SUM(AO189:AP189)=0,"",AP189&amp;":"&amp;AO189)</f>
        <v>13:21</v>
      </c>
      <c r="Z191" s="84"/>
      <c r="AA191" s="247" t="str">
        <f>IF(SUM(AW190:AZ190)=0,"",BE190&amp;":"&amp;BF190)</f>
        <v>48:84</v>
      </c>
      <c r="AB191" s="250" t="str">
        <f>IF(SUM(AW190:AZ190)=0,"",BG190&amp;":"&amp;BH190)</f>
        <v>0:4</v>
      </c>
      <c r="AC191" s="250" t="str">
        <f>IF(SUM(AW190:AZ190)=0,"",BI190&amp;":"&amp;BJ190)</f>
        <v>0:2</v>
      </c>
      <c r="AD191" s="253">
        <f>IF(SUM(BI188:BI190)&gt;0,BK190,"")</f>
        <v>3</v>
      </c>
      <c r="AE191" s="2"/>
      <c r="AF191" s="12"/>
      <c r="AG191" s="12"/>
      <c r="BE191" s="19">
        <f>SUM(BE188:BE190)</f>
        <v>237</v>
      </c>
      <c r="BF191" s="19">
        <f>SUM(BF188:BF190)</f>
        <v>237</v>
      </c>
      <c r="BG191" s="19">
        <f>SUM(BG188:BG190)</f>
        <v>7</v>
      </c>
      <c r="BH191" s="19">
        <f>SUM(BH188:BH190)</f>
        <v>7</v>
      </c>
      <c r="BK191" s="19"/>
      <c r="BL191" s="20"/>
    </row>
    <row r="192" spans="1:64" ht="11.45" customHeight="1" x14ac:dyDescent="0.2">
      <c r="A192" s="19"/>
      <c r="J192" s="19"/>
      <c r="K192" s="19"/>
      <c r="L192" s="19"/>
      <c r="N192" s="33" t="s">
        <v>237</v>
      </c>
      <c r="O192" s="34">
        <f>IF(O184&gt;0,(O184&amp;3)*1,"")</f>
        <v>43</v>
      </c>
      <c r="Q192" s="85"/>
      <c r="R192" s="85"/>
      <c r="S192" s="85"/>
      <c r="T192" s="242"/>
      <c r="U192" s="244" t="str">
        <f>IF(AND(N192&lt;&gt;"",N193=""),CONCATENATE(VLOOKUP(N192,[1]zawodnicy!$A$1:$E$65536,1,FALSE)," ",VLOOKUP(N192,[1]zawodnicy!$A$1:$E$65536,2,FALSE)," ",VLOOKUP(N192,[1]zawodnicy!$A$1:$E$65536,3,FALSE)," - ",VLOOKUP(N192,[1]zawodnicy!$A$1:$E$65536,4,FALSE)),"")</f>
        <v/>
      </c>
      <c r="V192" s="245"/>
      <c r="W192" s="246"/>
      <c r="X192" s="61" t="str">
        <f>IF(SUM(AQ188:AR188)=0,"",AR188&amp;":"&amp;AQ188)</f>
        <v>11:21</v>
      </c>
      <c r="Y192" s="36" t="str">
        <f>IF(SUM(AQ189:AR189)=0,"",AR189&amp;":"&amp;AQ189)</f>
        <v>15:21</v>
      </c>
      <c r="Z192" s="86"/>
      <c r="AA192" s="248"/>
      <c r="AB192" s="251"/>
      <c r="AC192" s="251"/>
      <c r="AD192" s="254"/>
      <c r="AE192" s="2"/>
      <c r="AF192" s="12"/>
      <c r="AG192" s="1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row>
    <row r="193" spans="1:64" ht="11.45" customHeight="1" thickBot="1" x14ac:dyDescent="0.25">
      <c r="A193" s="2"/>
      <c r="J193" s="28"/>
      <c r="K193" s="28"/>
      <c r="L193" s="28"/>
      <c r="N193" s="38" t="s">
        <v>238</v>
      </c>
      <c r="O193" s="28"/>
      <c r="P193" s="28"/>
      <c r="Q193" s="2"/>
      <c r="R193" s="2"/>
      <c r="S193" s="2"/>
      <c r="T193" s="243"/>
      <c r="U193" s="256" t="str">
        <f>IF(N193&lt;&gt;"",CONCATENATE(VLOOKUP(N193,[1]zawodnicy!$A$1:$E$65536,1,FALSE)," ",VLOOKUP(N193,[1]zawodnicy!$A$1:$E$65536,2,FALSE)," ",VLOOKUP(N193,[1]zawodnicy!$A$1:$E$65536,3,FALSE)," - ",VLOOKUP(N193,[1]zawodnicy!$A$1:$E$65536,4,FALSE)),"")</f>
        <v>R4718 Patryk RÓG - MKS Stal Nowa Dęba</v>
      </c>
      <c r="V193" s="257"/>
      <c r="W193" s="258"/>
      <c r="X193" s="87" t="str">
        <f>IF(SUM(AS188:AT188)=0,"",AT188&amp;":"&amp;AS188)</f>
        <v/>
      </c>
      <c r="Y193" s="88" t="str">
        <f>IF(SUM(AS189:AT189)=0,"",AT189&amp;":"&amp;AS189)</f>
        <v/>
      </c>
      <c r="Z193" s="89"/>
      <c r="AA193" s="249"/>
      <c r="AB193" s="252"/>
      <c r="AC193" s="252"/>
      <c r="AD193" s="255"/>
      <c r="AE193" s="10"/>
      <c r="AF193" s="12"/>
      <c r="AG193" s="1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row>
    <row r="194" spans="1:64" s="19" customFormat="1" ht="5.0999999999999996" customHeight="1" thickBot="1" x14ac:dyDescent="0.25">
      <c r="M194" s="90"/>
      <c r="O194" s="90"/>
      <c r="P194" s="90"/>
      <c r="Q194" s="91"/>
      <c r="R194" s="91"/>
      <c r="S194" s="91"/>
      <c r="T194" s="91"/>
      <c r="U194" s="5"/>
      <c r="V194" s="5"/>
      <c r="W194" s="5"/>
      <c r="AA194" s="92"/>
      <c r="AB194" s="91"/>
      <c r="AC194" s="91"/>
      <c r="AD194" s="91"/>
      <c r="AE194" s="91"/>
      <c r="AF194" s="91"/>
      <c r="AI194" s="93"/>
      <c r="AJ194" s="94"/>
      <c r="AK194" s="94"/>
    </row>
    <row r="195" spans="1:64" ht="11.45" customHeight="1" thickBot="1" x14ac:dyDescent="0.25">
      <c r="N195" s="11"/>
      <c r="O195" s="21">
        <v>5</v>
      </c>
      <c r="Q195" s="277" t="str">
        <f>"Grupa "&amp;O195&amp;"."</f>
        <v>Grupa 5.</v>
      </c>
      <c r="R195" s="277"/>
      <c r="S195" s="277"/>
      <c r="T195" s="22" t="s">
        <v>1</v>
      </c>
      <c r="U195" s="278" t="s">
        <v>2</v>
      </c>
      <c r="V195" s="279"/>
      <c r="W195" s="280"/>
      <c r="X195" s="22">
        <v>1</v>
      </c>
      <c r="Y195" s="23">
        <v>2</v>
      </c>
      <c r="Z195" s="24">
        <v>3</v>
      </c>
      <c r="AA195" s="25" t="s">
        <v>3</v>
      </c>
      <c r="AB195" s="26" t="s">
        <v>4</v>
      </c>
      <c r="AC195" s="26" t="s">
        <v>5</v>
      </c>
      <c r="AD195" s="27" t="s">
        <v>6</v>
      </c>
      <c r="AE195" s="2"/>
      <c r="AF195" s="12"/>
      <c r="AG195" s="12"/>
      <c r="BK195" s="19"/>
      <c r="BL195" s="20"/>
    </row>
    <row r="196" spans="1:64" ht="11.45" customHeight="1" x14ac:dyDescent="0.2">
      <c r="J196" s="28"/>
      <c r="K196" s="28"/>
      <c r="L196" s="28"/>
      <c r="N196" s="29" t="s">
        <v>212</v>
      </c>
      <c r="Q196" s="274" t="s">
        <v>7</v>
      </c>
      <c r="R196" s="274"/>
      <c r="S196" s="275" t="s">
        <v>8</v>
      </c>
      <c r="T196" s="276">
        <v>1</v>
      </c>
      <c r="U196" s="244" t="str">
        <f>IF(AND(N197&lt;&gt;"",N198&lt;&gt;""),CONCATENATE(VLOOKUP(N197,[1]zawodnicy!$A$1:$E$65536,1,FALSE)," ",VLOOKUP(N197,[1]zawodnicy!$A$1:$E$65536,2,FALSE)," ",VLOOKUP(N197,[1]zawodnicy!$A$1:$E$65536,3,FALSE)," - ",VLOOKUP(N197,[1]zawodnicy!$A$1:$E$65536,4,FALSE)),"")</f>
        <v>F4551 Grzegorz FRAŚ - MKS Spartakus Niepołomice</v>
      </c>
      <c r="V196" s="245"/>
      <c r="W196" s="246"/>
      <c r="X196" s="30"/>
      <c r="Y196" s="31" t="str">
        <f>IF(SUM(AO201:AP201)=0,"",AO201&amp;":"&amp;AP201)</f>
        <v>21:15</v>
      </c>
      <c r="Z196" s="32" t="str">
        <f>IF(SUM(AO199:AP199)=0,"",AO199&amp;":"&amp;AP199)</f>
        <v>21:16</v>
      </c>
      <c r="AA196" s="270" t="str">
        <f>IF(SUM(AY199:BB199)=0,"",BE199&amp;":"&amp;BF199)</f>
        <v>103:71</v>
      </c>
      <c r="AB196" s="271" t="str">
        <f>IF(SUM(AY199:BB199)=0,"",BG199&amp;":"&amp;BH199)</f>
        <v>4:1</v>
      </c>
      <c r="AC196" s="271" t="str">
        <f>IF(SUM(AY199:BB199)=0,"",BI199&amp;":"&amp;BJ199)</f>
        <v>2:0</v>
      </c>
      <c r="AD196" s="272">
        <f>IF(SUM(BI199:BI201)&gt;0,BK199,"")</f>
        <v>1</v>
      </c>
      <c r="AE196" s="2"/>
      <c r="AF196" s="12"/>
      <c r="AG196" s="12"/>
      <c r="AH196" s="14"/>
      <c r="AI196" s="273" t="s">
        <v>9</v>
      </c>
      <c r="AJ196" s="273"/>
      <c r="AK196" s="273"/>
      <c r="AL196" s="273"/>
      <c r="AM196" s="273"/>
      <c r="AN196" s="273"/>
      <c r="AO196" s="273" t="s">
        <v>10</v>
      </c>
      <c r="AP196" s="273"/>
      <c r="AQ196" s="273"/>
      <c r="AR196" s="273"/>
      <c r="AS196" s="273"/>
      <c r="AT196" s="273"/>
      <c r="BK196" s="19"/>
      <c r="BL196" s="20"/>
    </row>
    <row r="197" spans="1:64" ht="11.45" customHeight="1" thickBot="1" x14ac:dyDescent="0.25">
      <c r="I197" s="2" t="str">
        <f>"1"&amp;O195&amp;N196</f>
        <v>15podwójna chłopców M</v>
      </c>
      <c r="J197" s="10" t="str">
        <f>IF(AD196="","",IF(AD196=1,N197,IF(AD199=1,N200,IF(AD202=1,N203,""))))</f>
        <v>F4551</v>
      </c>
      <c r="K197" s="10" t="str">
        <f>IF(AD196="","",IF(AD196=1,N198,IF(AD199=1,N201,IF(AD202=1,N204,""))))</f>
        <v>K4556</v>
      </c>
      <c r="L197" s="10"/>
      <c r="N197" s="33" t="s">
        <v>239</v>
      </c>
      <c r="O197" s="34">
        <f>IF(O195&gt;0,(O195&amp;1)*1,"")</f>
        <v>51</v>
      </c>
      <c r="Q197" s="274"/>
      <c r="R197" s="274"/>
      <c r="S197" s="275"/>
      <c r="T197" s="242"/>
      <c r="U197" s="244" t="str">
        <f>IF(AND(N197&lt;&gt;"",N198=""),CONCATENATE(VLOOKUP(N197,[1]zawodnicy!$A$1:$E$65536,1,FALSE)," ",VLOOKUP(N197,[1]zawodnicy!$A$1:$E$65536,2,FALSE)," ",VLOOKUP(N197,[1]zawodnicy!$A$1:$E$65536,3,FALSE)," - ",VLOOKUP(N197,[1]zawodnicy!$A$1:$E$65536,4,FALSE)),"")</f>
        <v/>
      </c>
      <c r="V197" s="245"/>
      <c r="W197" s="246"/>
      <c r="X197" s="35"/>
      <c r="Y197" s="36" t="str">
        <f>IF(SUM(AQ201:AR201)=0,"",AQ201&amp;":"&amp;AR201)</f>
        <v>21:5</v>
      </c>
      <c r="Z197" s="37" t="str">
        <f>IF(SUM(AQ199:AR199)=0,"",AQ199&amp;":"&amp;AR199)</f>
        <v>19:21</v>
      </c>
      <c r="AA197" s="248"/>
      <c r="AB197" s="251"/>
      <c r="AC197" s="251"/>
      <c r="AD197" s="254"/>
      <c r="AE197" s="2"/>
      <c r="AF197" s="12"/>
      <c r="AG197" s="12"/>
      <c r="AH197" s="14"/>
      <c r="BE197" s="19">
        <f>SUM(BE199:BE201)</f>
        <v>246</v>
      </c>
      <c r="BF197" s="19">
        <f>SUM(BF199:BF201)</f>
        <v>246</v>
      </c>
      <c r="BG197" s="19">
        <f>SUM(BG199:BG201)</f>
        <v>7</v>
      </c>
      <c r="BH197" s="19">
        <f>SUM(BH199:BH201)</f>
        <v>7</v>
      </c>
      <c r="BK197" s="19"/>
      <c r="BL197" s="20"/>
    </row>
    <row r="198" spans="1:64" ht="11.45" customHeight="1" thickBot="1" x14ac:dyDescent="0.25">
      <c r="J198" s="10"/>
      <c r="K198" s="28"/>
      <c r="L198" s="28"/>
      <c r="N198" s="38" t="s">
        <v>240</v>
      </c>
      <c r="O198" s="28"/>
      <c r="P198" s="28"/>
      <c r="Q198" s="274"/>
      <c r="R198" s="274"/>
      <c r="S198" s="275"/>
      <c r="T198" s="261"/>
      <c r="U198" s="265" t="str">
        <f>IF(N198&lt;&gt;"",CONCATENATE(VLOOKUP(N198,[1]zawodnicy!$A$1:$E$65536,1,FALSE)," ",VLOOKUP(N198,[1]zawodnicy!$A$1:$E$65536,2,FALSE)," ",VLOOKUP(N198,[1]zawodnicy!$A$1:$E$65536,3,FALSE)," - ",VLOOKUP(N198,[1]zawodnicy!$A$1:$E$65536,4,FALSE)),"")</f>
        <v>K4556 Piotr KUKUŁA - UKS Orliki Ropica Polska</v>
      </c>
      <c r="V198" s="266"/>
      <c r="W198" s="267"/>
      <c r="X198" s="35"/>
      <c r="Y198" s="39" t="str">
        <f>IF(SUM(AS201:AT201)=0,"",AS201&amp;":"&amp;AT201)</f>
        <v/>
      </c>
      <c r="Z198" s="40" t="str">
        <f>IF(SUM(AS199:AT199)=0,"",AS199&amp;":"&amp;AT199)</f>
        <v>21:14</v>
      </c>
      <c r="AA198" s="262"/>
      <c r="AB198" s="263"/>
      <c r="AC198" s="263"/>
      <c r="AD198" s="264"/>
      <c r="AE198" s="2"/>
      <c r="AF198" s="12"/>
      <c r="AG198" s="12"/>
      <c r="AH198" s="14"/>
      <c r="AI198" s="259" t="s">
        <v>12</v>
      </c>
      <c r="AJ198" s="269"/>
      <c r="AK198" s="268" t="s">
        <v>13</v>
      </c>
      <c r="AL198" s="269"/>
      <c r="AM198" s="268" t="s">
        <v>14</v>
      </c>
      <c r="AN198" s="260"/>
      <c r="AO198" s="259" t="s">
        <v>12</v>
      </c>
      <c r="AP198" s="269"/>
      <c r="AQ198" s="268" t="s">
        <v>13</v>
      </c>
      <c r="AR198" s="269"/>
      <c r="AS198" s="268" t="s">
        <v>14</v>
      </c>
      <c r="AT198" s="269"/>
      <c r="AU198" s="12"/>
      <c r="AV198" s="12"/>
      <c r="AW198" s="259">
        <v>1</v>
      </c>
      <c r="AX198" s="269"/>
      <c r="AY198" s="268">
        <v>2</v>
      </c>
      <c r="AZ198" s="269"/>
      <c r="BA198" s="268">
        <v>3</v>
      </c>
      <c r="BB198" s="260"/>
      <c r="BE198" s="259" t="s">
        <v>3</v>
      </c>
      <c r="BF198" s="260"/>
      <c r="BG198" s="259" t="s">
        <v>4</v>
      </c>
      <c r="BH198" s="260"/>
      <c r="BI198" s="259" t="s">
        <v>5</v>
      </c>
      <c r="BJ198" s="260"/>
      <c r="BK198" s="41" t="s">
        <v>6</v>
      </c>
      <c r="BL198" s="20"/>
    </row>
    <row r="199" spans="1:64" ht="11.45" customHeight="1" x14ac:dyDescent="0.2">
      <c r="A199" s="19">
        <f>S199</f>
        <v>74</v>
      </c>
      <c r="B199" s="2" t="str">
        <f>IF(N197="","",N197)</f>
        <v>F4551</v>
      </c>
      <c r="C199" s="2" t="str">
        <f>IF(N198="","",N198)</f>
        <v>K4556</v>
      </c>
      <c r="D199" s="2" t="str">
        <f>IF(N203="","",N203)</f>
        <v>X23</v>
      </c>
      <c r="E199" s="2" t="str">
        <f>IF(N204="","",N204)</f>
        <v>X15</v>
      </c>
      <c r="I199" s="2" t="str">
        <f>"2"&amp;O195&amp;N196</f>
        <v>25podwójna chłopców M</v>
      </c>
      <c r="J199" s="10" t="str">
        <f>IF(AD199="","",IF(AD196=2,N197,IF(AD199=2,N200,IF(AD202=2,N203,""))))</f>
        <v>X23</v>
      </c>
      <c r="K199" s="10" t="str">
        <f>IF(AD199="","",IF(AD196=2,N198,IF(AD199=2,N201,IF(AD202=2,N204,""))))</f>
        <v>X15</v>
      </c>
      <c r="M199" s="42" t="str">
        <f>N196</f>
        <v>podwójna chłopców M</v>
      </c>
      <c r="O199" s="28"/>
      <c r="P199" s="28"/>
      <c r="Q199" s="43" t="str">
        <f>IF(AU199&gt;0,"",IF(A199=0,"",IF(VLOOKUP(A199,'[1]plan gier'!A$1:S$65536,19,FALSE)="","",VLOOKUP(A199,'[1]plan gier'!A$1:S$65536,19,FALSE))))</f>
        <v/>
      </c>
      <c r="R199" s="44" t="s">
        <v>15</v>
      </c>
      <c r="S199" s="45">
        <v>74</v>
      </c>
      <c r="T199" s="241">
        <v>2</v>
      </c>
      <c r="U199" s="244" t="str">
        <f>IF(AND(N200&lt;&gt;"",N201&lt;&gt;""),CONCATENATE(VLOOKUP(N200,[1]zawodnicy!$A$1:$E$65536,1,FALSE)," ",VLOOKUP(N200,[1]zawodnicy!$A$1:$E$65536,2,FALSE)," ",VLOOKUP(N200,[1]zawodnicy!$A$1:$E$65536,3,FALSE)," - ",VLOOKUP(N200,[1]zawodnicy!$A$1:$E$65536,4,FALSE)),"")</f>
        <v>J4722 Mikołaj JÓŹWIAK - KS Hubertus Zalesie Górne</v>
      </c>
      <c r="V199" s="245"/>
      <c r="W199" s="246"/>
      <c r="X199" s="46" t="str">
        <f>IF(SUM(AO201:AP201)=0,"",AP201&amp;":"&amp;AO201)</f>
        <v>15:21</v>
      </c>
      <c r="Y199" s="47"/>
      <c r="Z199" s="48" t="str">
        <f>IF(SUM(AO200:AP200)=0,"",AO200&amp;":"&amp;AP200)</f>
        <v>17:21</v>
      </c>
      <c r="AA199" s="247" t="str">
        <f>IF(SUM(AW200:AX200,BA200:BB200)=0,"",BE200&amp;":"&amp;BF200)</f>
        <v>50:84</v>
      </c>
      <c r="AB199" s="250" t="str">
        <f>IF(SUM(AW200:AX200,BA200:BB200)=0,"",BG200&amp;":"&amp;BH200)</f>
        <v>0:4</v>
      </c>
      <c r="AC199" s="250" t="str">
        <f>IF(SUM(AW200:AX200,BA200:BB200)=0,"",BI200&amp;":"&amp;BJ200)</f>
        <v>0:2</v>
      </c>
      <c r="AD199" s="253">
        <f>IF(SUM(BI199:BI201)&gt;0,BK200,"")</f>
        <v>3</v>
      </c>
      <c r="AE199" s="2"/>
      <c r="AF199" s="12"/>
      <c r="AG199" s="12"/>
      <c r="AH199" s="44" t="s">
        <v>15</v>
      </c>
      <c r="AI199" s="49">
        <f>IF(ISBLANK(S199),"",VLOOKUP(S199,'[1]plan gier'!$X$1:$AN$65536,12,FALSE))</f>
        <v>21</v>
      </c>
      <c r="AJ199" s="50">
        <f>IF(ISBLANK(S199),"",VLOOKUP(S199,'[1]plan gier'!$X$1:$AN$65536,13,FALSE))</f>
        <v>16</v>
      </c>
      <c r="AK199" s="50">
        <f>IF(ISBLANK(S199),"",VLOOKUP(S199,'[1]plan gier'!$X$1:$AN$65536,14,FALSE))</f>
        <v>19</v>
      </c>
      <c r="AL199" s="50">
        <f>IF(ISBLANK(S199),"",VLOOKUP(S199,'[1]plan gier'!$X$1:$AN$65536,15,FALSE))</f>
        <v>21</v>
      </c>
      <c r="AM199" s="50">
        <f>IF(ISBLANK(S199),"",VLOOKUP(S199,'[1]plan gier'!$X$1:$AN$65536,16,FALSE))</f>
        <v>21</v>
      </c>
      <c r="AN199" s="50">
        <f>IF(ISBLANK(S199),"",VLOOKUP(S199,'[1]plan gier'!$X$1:$AN$65536,17,FALSE))</f>
        <v>14</v>
      </c>
      <c r="AO199" s="51">
        <f t="shared" ref="AO199:AT201" si="22">IF(AI199="",0,AI199)</f>
        <v>21</v>
      </c>
      <c r="AP199" s="52">
        <f t="shared" si="22"/>
        <v>16</v>
      </c>
      <c r="AQ199" s="53">
        <f t="shared" si="22"/>
        <v>19</v>
      </c>
      <c r="AR199" s="52">
        <f t="shared" si="22"/>
        <v>21</v>
      </c>
      <c r="AS199" s="53">
        <f t="shared" si="22"/>
        <v>21</v>
      </c>
      <c r="AT199" s="52">
        <f t="shared" si="22"/>
        <v>14</v>
      </c>
      <c r="AU199" s="54">
        <f>SUM(AO199:AT199)</f>
        <v>112</v>
      </c>
      <c r="AV199" s="13">
        <v>1</v>
      </c>
      <c r="AW199" s="55"/>
      <c r="AX199" s="56"/>
      <c r="AY199" s="50">
        <f>IF(AI201&gt;AJ201,1,0)+IF(AK201&gt;AL201,1,0)+IF(AM201&gt;AN201,1,0)</f>
        <v>2</v>
      </c>
      <c r="AZ199" s="50">
        <f>AW200</f>
        <v>0</v>
      </c>
      <c r="BA199" s="50">
        <f>IF(AI199&gt;AJ199,1,0)+IF(AK199&gt;AL199,1,0)+IF(AM199&gt;AN199,1,0)</f>
        <v>2</v>
      </c>
      <c r="BB199" s="57">
        <f>AW201</f>
        <v>1</v>
      </c>
      <c r="BE199" s="49">
        <f>AO199+AQ199+AS199+AO201+AQ201+AS201</f>
        <v>103</v>
      </c>
      <c r="BF199" s="57">
        <f>AP199+AR199+AT199+AP201+AR201+AT201</f>
        <v>71</v>
      </c>
      <c r="BG199" s="49">
        <f>AY199+BA199</f>
        <v>4</v>
      </c>
      <c r="BH199" s="57">
        <f>AZ199+BB199</f>
        <v>1</v>
      </c>
      <c r="BI199" s="49">
        <f>IF(AY199&gt;AZ199,1,0)+IF(BA199&gt;BB199,1,0)</f>
        <v>2</v>
      </c>
      <c r="BJ199" s="58">
        <f>IF(AZ199&gt;AY199,1,0)+IF(BB199&gt;BA199,1,0)</f>
        <v>0</v>
      </c>
      <c r="BK199" s="59">
        <f>IF(BI199+BJ199=0,"",IF(BL199=MAX(BL199:BL201),1,IF(BL199=MIN(BL199:BL201),3,2)))</f>
        <v>1</v>
      </c>
      <c r="BL199" s="60">
        <f>IF(BI199+BJ199&lt;&gt;0,BI199+1+(BG199-BH199)/100+(BE199-BF199)/100000+(BE199/BF199)/1000000,0)</f>
        <v>3.0303214507042249</v>
      </c>
    </row>
    <row r="200" spans="1:64" ht="11.45" customHeight="1" x14ac:dyDescent="0.2">
      <c r="A200" s="19">
        <f>S200</f>
        <v>140</v>
      </c>
      <c r="B200" s="2" t="str">
        <f>IF(N200="","",N200)</f>
        <v>J4722</v>
      </c>
      <c r="C200" s="2" t="str">
        <f>IF(N201="","",N201)</f>
        <v>T4723</v>
      </c>
      <c r="D200" s="2" t="str">
        <f>IF(N203="","",N203)</f>
        <v>X23</v>
      </c>
      <c r="E200" s="2" t="str">
        <f>IF(N204="","",N204)</f>
        <v>X15</v>
      </c>
      <c r="J200" s="10"/>
      <c r="K200" s="19"/>
      <c r="M200" s="42" t="str">
        <f>N196</f>
        <v>podwójna chłopców M</v>
      </c>
      <c r="N200" s="33" t="s">
        <v>241</v>
      </c>
      <c r="O200" s="34">
        <f>IF(O195&gt;0,(O195&amp;2)*1,"")</f>
        <v>52</v>
      </c>
      <c r="Q200" s="43" t="str">
        <f>IF(AU200&gt;0,"",IF(A200=0,"",IF(VLOOKUP(A200,'[1]plan gier'!A$1:S$65536,19,FALSE)="","",VLOOKUP(A200,'[1]plan gier'!A$1:S$65536,19,FALSE))))</f>
        <v/>
      </c>
      <c r="R200" s="44" t="s">
        <v>17</v>
      </c>
      <c r="S200" s="45">
        <v>140</v>
      </c>
      <c r="T200" s="242"/>
      <c r="U200" s="244" t="str">
        <f>IF(AND(N200&lt;&gt;"",N201=""),CONCATENATE(VLOOKUP(N200,[1]zawodnicy!$A$1:$E$65536,1,FALSE)," ",VLOOKUP(N200,[1]zawodnicy!$A$1:$E$65536,2,FALSE)," ",VLOOKUP(N200,[1]zawodnicy!$A$1:$E$65536,3,FALSE)," - ",VLOOKUP(N200,[1]zawodnicy!$A$1:$E$65536,4,FALSE)),"")</f>
        <v/>
      </c>
      <c r="V200" s="245"/>
      <c r="W200" s="246"/>
      <c r="X200" s="61" t="str">
        <f>IF(SUM(AQ201:AR201)=0,"",AR201&amp;":"&amp;AQ201)</f>
        <v>5:21</v>
      </c>
      <c r="Y200" s="62"/>
      <c r="Z200" s="37" t="str">
        <f>IF(SUM(AQ200:AR200)=0,"",AQ200&amp;":"&amp;AR200)</f>
        <v>13:21</v>
      </c>
      <c r="AA200" s="248"/>
      <c r="AB200" s="251"/>
      <c r="AC200" s="251"/>
      <c r="AD200" s="254"/>
      <c r="AE200" s="2"/>
      <c r="AF200" s="12"/>
      <c r="AG200" s="12"/>
      <c r="AH200" s="44" t="s">
        <v>17</v>
      </c>
      <c r="AI200" s="63">
        <f>IF(ISBLANK(S200),"",VLOOKUP(S200,'[1]plan gier'!$X$1:$AN$65536,12,FALSE))</f>
        <v>17</v>
      </c>
      <c r="AJ200" s="64">
        <f>IF(ISBLANK(S200),"",VLOOKUP(S200,'[1]plan gier'!$X$1:$AN$65536,13,FALSE))</f>
        <v>21</v>
      </c>
      <c r="AK200" s="64">
        <f>IF(ISBLANK(S200),"",VLOOKUP(S200,'[1]plan gier'!$X$1:$AN$65536,14,FALSE))</f>
        <v>13</v>
      </c>
      <c r="AL200" s="64">
        <f>IF(ISBLANK(S200),"",VLOOKUP(S200,'[1]plan gier'!$X$1:$AN$65536,15,FALSE))</f>
        <v>21</v>
      </c>
      <c r="AM200" s="64">
        <f>IF(ISBLANK(S200),"",VLOOKUP(S200,'[1]plan gier'!$X$1:$AN$65536,16,FALSE))</f>
        <v>0</v>
      </c>
      <c r="AN200" s="64">
        <f>IF(ISBLANK(S200),"",VLOOKUP(S200,'[1]plan gier'!$X$1:$AN$65536,17,FALSE))</f>
        <v>0</v>
      </c>
      <c r="AO200" s="65">
        <f t="shared" si="22"/>
        <v>17</v>
      </c>
      <c r="AP200" s="64">
        <f t="shared" si="22"/>
        <v>21</v>
      </c>
      <c r="AQ200" s="66">
        <f t="shared" si="22"/>
        <v>13</v>
      </c>
      <c r="AR200" s="64">
        <f t="shared" si="22"/>
        <v>21</v>
      </c>
      <c r="AS200" s="66">
        <f t="shared" si="22"/>
        <v>0</v>
      </c>
      <c r="AT200" s="64">
        <f t="shared" si="22"/>
        <v>0</v>
      </c>
      <c r="AU200" s="54">
        <f>SUM(AO200:AT200)</f>
        <v>72</v>
      </c>
      <c r="AV200" s="13">
        <v>2</v>
      </c>
      <c r="AW200" s="63">
        <f>IF(AI201&lt;AJ201,1,0)+IF(AK201&lt;AL201,1,0)+IF(AM201&lt;AN201,1,0)</f>
        <v>0</v>
      </c>
      <c r="AX200" s="64">
        <f>AY199</f>
        <v>2</v>
      </c>
      <c r="AY200" s="67"/>
      <c r="AZ200" s="68"/>
      <c r="BA200" s="64">
        <f>IF(AI200&gt;AJ200,1,0)+IF(AK200&gt;AL200,1,0)+IF(AM200&gt;AN200,1,0)</f>
        <v>0</v>
      </c>
      <c r="BB200" s="69">
        <f>AY201</f>
        <v>2</v>
      </c>
      <c r="BE200" s="63">
        <f>AO200+AQ200+AS200+AP201+AR201+AT201</f>
        <v>50</v>
      </c>
      <c r="BF200" s="69">
        <f>AP200+AR200+AT200+AO201+AQ201+AS201</f>
        <v>84</v>
      </c>
      <c r="BG200" s="63">
        <f>AW200+BA200</f>
        <v>0</v>
      </c>
      <c r="BH200" s="69">
        <f>AX200+BB200</f>
        <v>4</v>
      </c>
      <c r="BI200" s="63">
        <f>IF(AW200&gt;AX200,1,0)+IF(BA200&gt;BB200,1,0)</f>
        <v>0</v>
      </c>
      <c r="BJ200" s="70">
        <f>IF(AX200&gt;AW200,1,0)+IF(BB200&gt;BA200,1,0)</f>
        <v>2</v>
      </c>
      <c r="BK200" s="71">
        <f>IF(BI200+BJ200=0,"",IF(BL200=MAX(BL199:BL201),1,IF(BL200=MIN(BL199:BL201),3,2)))</f>
        <v>3</v>
      </c>
      <c r="BL200" s="60">
        <f>IF(BI200+BJ200&lt;&gt;0,BI200+1+(BG200-BH200)/100+(BE200-BF200)/100000+(BE200/BF200)/1000000,0)</f>
        <v>0.95966059523809522</v>
      </c>
    </row>
    <row r="201" spans="1:64" ht="11.45" customHeight="1" thickBot="1" x14ac:dyDescent="0.25">
      <c r="A201" s="19">
        <f>S201</f>
        <v>287</v>
      </c>
      <c r="B201" s="2" t="str">
        <f>IF(N197="","",N197)</f>
        <v>F4551</v>
      </c>
      <c r="C201" s="2" t="str">
        <f>IF(N198="","",N198)</f>
        <v>K4556</v>
      </c>
      <c r="D201" s="2" t="str">
        <f>IF(N200="","",N200)</f>
        <v>J4722</v>
      </c>
      <c r="E201" s="2" t="str">
        <f>IF(N201="","",N201)</f>
        <v>T4723</v>
      </c>
      <c r="I201" s="2" t="str">
        <f>"3"&amp;O195&amp;N196</f>
        <v>35podwójna chłopców M</v>
      </c>
      <c r="J201" s="10" t="str">
        <f>IF(AD202="","",IF(AD196=3,N197,IF(AD199=3,N200,IF(AD202=3,N203,""))))</f>
        <v>J4722</v>
      </c>
      <c r="K201" s="10" t="str">
        <f>IF(AD202="","",IF(AD196=3,N198,IF(AD199=3,N201,IF(AD202=3,N204,""))))</f>
        <v>T4723</v>
      </c>
      <c r="M201" s="42" t="str">
        <f>N196</f>
        <v>podwójna chłopców M</v>
      </c>
      <c r="N201" s="38" t="s">
        <v>242</v>
      </c>
      <c r="O201" s="28"/>
      <c r="P201" s="28"/>
      <c r="Q201" s="43" t="str">
        <f>IF(AU201&gt;0,"",IF(A201=0,"",IF(VLOOKUP(A201,'[1]plan gier'!A$1:S$65536,19,FALSE)="","",VLOOKUP(A201,'[1]plan gier'!A$1:S$65536,19,FALSE))))</f>
        <v/>
      </c>
      <c r="R201" s="72" t="s">
        <v>18</v>
      </c>
      <c r="S201" s="45">
        <v>287</v>
      </c>
      <c r="T201" s="261"/>
      <c r="U201" s="265" t="str">
        <f>IF(N201&lt;&gt;"",CONCATENATE(VLOOKUP(N201,[1]zawodnicy!$A$1:$E$65536,1,FALSE)," ",VLOOKUP(N201,[1]zawodnicy!$A$1:$E$65536,2,FALSE)," ",VLOOKUP(N201,[1]zawodnicy!$A$1:$E$65536,3,FALSE)," - ",VLOOKUP(N201,[1]zawodnicy!$A$1:$E$65536,4,FALSE)),"")</f>
        <v>T4723 Dominik TELAKOWIEC - KS Hubertus Zalesie Górne</v>
      </c>
      <c r="V201" s="266"/>
      <c r="W201" s="267"/>
      <c r="X201" s="73" t="str">
        <f>IF(SUM(AS201:AT201)=0,"",AT201&amp;":"&amp;AS201)</f>
        <v/>
      </c>
      <c r="Y201" s="62"/>
      <c r="Z201" s="40" t="str">
        <f>IF(SUM(AS200:AT200)=0,"",AS200&amp;":"&amp;AT200)</f>
        <v/>
      </c>
      <c r="AA201" s="262"/>
      <c r="AB201" s="263"/>
      <c r="AC201" s="263"/>
      <c r="AD201" s="264"/>
      <c r="AE201" s="2"/>
      <c r="AF201" s="12"/>
      <c r="AG201" s="12"/>
      <c r="AH201" s="72" t="s">
        <v>18</v>
      </c>
      <c r="AI201" s="74">
        <f>IF(ISBLANK(S201),"",VLOOKUP(S201,'[1]plan gier'!$X$1:$AN$65536,12,FALSE))</f>
        <v>21</v>
      </c>
      <c r="AJ201" s="75">
        <f>IF(ISBLANK(S201),"",VLOOKUP(S201,'[1]plan gier'!$X$1:$AN$65536,13,FALSE))</f>
        <v>15</v>
      </c>
      <c r="AK201" s="75">
        <f>IF(ISBLANK(S201),"",VLOOKUP(S201,'[1]plan gier'!$X$1:$AN$65536,14,FALSE))</f>
        <v>21</v>
      </c>
      <c r="AL201" s="75">
        <f>IF(ISBLANK(S201),"",VLOOKUP(S201,'[1]plan gier'!$X$1:$AN$65536,15,FALSE))</f>
        <v>5</v>
      </c>
      <c r="AM201" s="75">
        <f>IF(ISBLANK(S201),"",VLOOKUP(S201,'[1]plan gier'!$X$1:$AN$65536,16,FALSE))</f>
        <v>0</v>
      </c>
      <c r="AN201" s="75">
        <f>IF(ISBLANK(S201),"",VLOOKUP(S201,'[1]plan gier'!$X$1:$AN$65536,17,FALSE))</f>
        <v>0</v>
      </c>
      <c r="AO201" s="76">
        <f t="shared" si="22"/>
        <v>21</v>
      </c>
      <c r="AP201" s="75">
        <f t="shared" si="22"/>
        <v>15</v>
      </c>
      <c r="AQ201" s="77">
        <f t="shared" si="22"/>
        <v>21</v>
      </c>
      <c r="AR201" s="75">
        <f t="shared" si="22"/>
        <v>5</v>
      </c>
      <c r="AS201" s="77">
        <f t="shared" si="22"/>
        <v>0</v>
      </c>
      <c r="AT201" s="75">
        <f t="shared" si="22"/>
        <v>0</v>
      </c>
      <c r="AU201" s="54">
        <f>SUM(AO201:AT201)</f>
        <v>62</v>
      </c>
      <c r="AV201" s="13">
        <v>3</v>
      </c>
      <c r="AW201" s="74">
        <f>IF(AI199&lt;AJ199,1,0)+IF(AK199&lt;AL199,1,0)+IF(AM199&lt;AN199,1,0)</f>
        <v>1</v>
      </c>
      <c r="AX201" s="75">
        <f>BA199</f>
        <v>2</v>
      </c>
      <c r="AY201" s="75">
        <f>IF(AI200&lt;AJ200,1,0)+IF(AK200&lt;AL200,1,0)+IF(AM200&lt;AN200,1,0)</f>
        <v>2</v>
      </c>
      <c r="AZ201" s="75">
        <f>BA200</f>
        <v>0</v>
      </c>
      <c r="BA201" s="78"/>
      <c r="BB201" s="79"/>
      <c r="BE201" s="74">
        <f>AP199+AR199+AT199+AP200+AR200+AT200</f>
        <v>93</v>
      </c>
      <c r="BF201" s="80">
        <f>AO199+AQ199+AS199+AO200+AQ200+AS200</f>
        <v>91</v>
      </c>
      <c r="BG201" s="74">
        <f>AW201+AY201</f>
        <v>3</v>
      </c>
      <c r="BH201" s="80">
        <f>AX201+AZ201</f>
        <v>2</v>
      </c>
      <c r="BI201" s="74">
        <f>IF(AW201&gt;AX201,1,0)+IF(AY201&gt;AZ201,1,0)</f>
        <v>1</v>
      </c>
      <c r="BJ201" s="81">
        <f>IF(AX201&gt;AW201,1,0)+IF(AZ201&gt;AY201,1,0)</f>
        <v>1</v>
      </c>
      <c r="BK201" s="82">
        <f>IF(BI201+BJ201=0,"",IF(BL201=MAX(BL199:BL201),1,IF(BL201=MIN(BL199:BL201),3,2)))</f>
        <v>2</v>
      </c>
      <c r="BL201" s="60">
        <f>IF(BI201+BJ201&lt;&gt;0,BI201+1+(BG201-BH201)/100+(BE201-BF201)/100000+(BE201/BF201)/1000000,0)</f>
        <v>2.0100210219780217</v>
      </c>
    </row>
    <row r="202" spans="1:64" ht="11.45" customHeight="1" x14ac:dyDescent="0.2">
      <c r="A202" s="2"/>
      <c r="J202" s="28"/>
      <c r="K202" s="28"/>
      <c r="L202" s="28"/>
      <c r="O202" s="28"/>
      <c r="P202" s="28"/>
      <c r="Q202" s="2"/>
      <c r="R202" s="2"/>
      <c r="S202" s="2"/>
      <c r="T202" s="241">
        <v>3</v>
      </c>
      <c r="U202" s="244" t="str">
        <f>IF(AND(N203&lt;&gt;"",N204&lt;&gt;""),CONCATENATE(VLOOKUP(N203,[1]zawodnicy!$A$1:$E$65536,1,FALSE)," ",VLOOKUP(N203,[1]zawodnicy!$A$1:$E$65536,2,FALSE)," ",VLOOKUP(N203,[1]zawodnicy!$A$1:$E$65536,3,FALSE)," - ",VLOOKUP(N203,[1]zawodnicy!$A$1:$E$65536,4,FALSE)),"")</f>
        <v>X23 Bogdan BRYCHUK - Vinnica Ukraina</v>
      </c>
      <c r="V202" s="245"/>
      <c r="W202" s="246"/>
      <c r="X202" s="46" t="str">
        <f>IF(SUM(AO199:AP199)=0,"",AP199&amp;":"&amp;AO199)</f>
        <v>16:21</v>
      </c>
      <c r="Y202" s="83" t="str">
        <f>IF(SUM(AO200:AP200)=0,"",AP200&amp;":"&amp;AO200)</f>
        <v>21:17</v>
      </c>
      <c r="Z202" s="84"/>
      <c r="AA202" s="247" t="str">
        <f>IF(SUM(AW201:AZ201)=0,"",BE201&amp;":"&amp;BF201)</f>
        <v>93:91</v>
      </c>
      <c r="AB202" s="250" t="str">
        <f>IF(SUM(AW201:AZ201)=0,"",BG201&amp;":"&amp;BH201)</f>
        <v>3:2</v>
      </c>
      <c r="AC202" s="250" t="str">
        <f>IF(SUM(AW201:AZ201)=0,"",BI201&amp;":"&amp;BJ201)</f>
        <v>1:1</v>
      </c>
      <c r="AD202" s="253">
        <f>IF(SUM(BI199:BI201)&gt;0,BK201,"")</f>
        <v>2</v>
      </c>
      <c r="AE202" s="2"/>
      <c r="AF202" s="12"/>
      <c r="AG202" s="12"/>
      <c r="BE202" s="19">
        <f>SUM(BE199:BE201)</f>
        <v>246</v>
      </c>
      <c r="BF202" s="19">
        <f>SUM(BF199:BF201)</f>
        <v>246</v>
      </c>
      <c r="BG202" s="19">
        <f>SUM(BG199:BG201)</f>
        <v>7</v>
      </c>
      <c r="BH202" s="19">
        <f>SUM(BH199:BH201)</f>
        <v>7</v>
      </c>
      <c r="BK202" s="19"/>
      <c r="BL202" s="20"/>
    </row>
    <row r="203" spans="1:64" ht="11.45" customHeight="1" x14ac:dyDescent="0.2">
      <c r="A203" s="19"/>
      <c r="J203" s="19"/>
      <c r="K203" s="19"/>
      <c r="L203" s="19"/>
      <c r="N203" s="33" t="s">
        <v>243</v>
      </c>
      <c r="O203" s="34">
        <f>IF(O195&gt;0,(O195&amp;3)*1,"")</f>
        <v>53</v>
      </c>
      <c r="Q203" s="85"/>
      <c r="R203" s="85"/>
      <c r="S203" s="85"/>
      <c r="T203" s="242"/>
      <c r="U203" s="244" t="str">
        <f>IF(AND(N203&lt;&gt;"",N204=""),CONCATENATE(VLOOKUP(N203,[1]zawodnicy!$A$1:$E$65536,1,FALSE)," ",VLOOKUP(N203,[1]zawodnicy!$A$1:$E$65536,2,FALSE)," ",VLOOKUP(N203,[1]zawodnicy!$A$1:$E$65536,3,FALSE)," - ",VLOOKUP(N203,[1]zawodnicy!$A$1:$E$65536,4,FALSE)),"")</f>
        <v/>
      </c>
      <c r="V203" s="245"/>
      <c r="W203" s="246"/>
      <c r="X203" s="61" t="str">
        <f>IF(SUM(AQ199:AR199)=0,"",AR199&amp;":"&amp;AQ199)</f>
        <v>21:19</v>
      </c>
      <c r="Y203" s="36" t="str">
        <f>IF(SUM(AQ200:AR200)=0,"",AR200&amp;":"&amp;AQ200)</f>
        <v>21:13</v>
      </c>
      <c r="Z203" s="86"/>
      <c r="AA203" s="248"/>
      <c r="AB203" s="251"/>
      <c r="AC203" s="251"/>
      <c r="AD203" s="254"/>
      <c r="AE203" s="2"/>
      <c r="AF203" s="12"/>
      <c r="AG203" s="1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row>
    <row r="204" spans="1:64" ht="11.45" customHeight="1" thickBot="1" x14ac:dyDescent="0.25">
      <c r="A204" s="2"/>
      <c r="J204" s="28"/>
      <c r="K204" s="28"/>
      <c r="L204" s="28"/>
      <c r="N204" s="38" t="s">
        <v>244</v>
      </c>
      <c r="O204" s="28"/>
      <c r="P204" s="28"/>
      <c r="Q204" s="2"/>
      <c r="R204" s="2"/>
      <c r="S204" s="2"/>
      <c r="T204" s="243"/>
      <c r="U204" s="256" t="str">
        <f>IF(N204&lt;&gt;"",CONCATENATE(VLOOKUP(N204,[1]zawodnicy!$A$1:$E$65536,1,FALSE)," ",VLOOKUP(N204,[1]zawodnicy!$A$1:$E$65536,2,FALSE)," ",VLOOKUP(N204,[1]zawodnicy!$A$1:$E$65536,3,FALSE)," - ",VLOOKUP(N204,[1]zawodnicy!$A$1:$E$65536,4,FALSE)),"")</f>
        <v>X15 Ilya SHCHARBENKA - Mińsk Białoruś</v>
      </c>
      <c r="V204" s="257"/>
      <c r="W204" s="258"/>
      <c r="X204" s="87" t="str">
        <f>IF(SUM(AS199:AT199)=0,"",AT199&amp;":"&amp;AS199)</f>
        <v>14:21</v>
      </c>
      <c r="Y204" s="88" t="str">
        <f>IF(SUM(AS200:AT200)=0,"",AT200&amp;":"&amp;AS200)</f>
        <v/>
      </c>
      <c r="Z204" s="89"/>
      <c r="AA204" s="249"/>
      <c r="AB204" s="252"/>
      <c r="AC204" s="252"/>
      <c r="AD204" s="255"/>
      <c r="AE204" s="10"/>
      <c r="AF204" s="12"/>
      <c r="AG204" s="1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row>
    <row r="205" spans="1:64" s="19" customFormat="1" ht="5.0999999999999996" customHeight="1" thickBot="1" x14ac:dyDescent="0.25">
      <c r="M205" s="90"/>
      <c r="O205" s="90"/>
      <c r="P205" s="90"/>
      <c r="Q205" s="91"/>
      <c r="R205" s="91"/>
      <c r="S205" s="91"/>
      <c r="T205" s="91"/>
      <c r="U205" s="5"/>
      <c r="V205" s="5"/>
      <c r="W205" s="5"/>
      <c r="AA205" s="92"/>
      <c r="AB205" s="91"/>
      <c r="AC205" s="91"/>
      <c r="AD205" s="91"/>
      <c r="AE205" s="91"/>
      <c r="AF205" s="91"/>
      <c r="AI205" s="93"/>
      <c r="AJ205" s="94"/>
      <c r="AK205" s="94"/>
    </row>
    <row r="206" spans="1:64" ht="11.45" customHeight="1" thickBot="1" x14ac:dyDescent="0.25">
      <c r="N206" s="11"/>
      <c r="O206" s="21">
        <v>6</v>
      </c>
      <c r="Q206" s="277" t="str">
        <f>"Grupa "&amp;O206&amp;"."</f>
        <v>Grupa 6.</v>
      </c>
      <c r="R206" s="277"/>
      <c r="S206" s="277"/>
      <c r="T206" s="22" t="s">
        <v>1</v>
      </c>
      <c r="U206" s="278" t="s">
        <v>2</v>
      </c>
      <c r="V206" s="279"/>
      <c r="W206" s="280"/>
      <c r="X206" s="22">
        <v>1</v>
      </c>
      <c r="Y206" s="23">
        <v>2</v>
      </c>
      <c r="Z206" s="24">
        <v>3</v>
      </c>
      <c r="AA206" s="25" t="s">
        <v>3</v>
      </c>
      <c r="AB206" s="26" t="s">
        <v>4</v>
      </c>
      <c r="AC206" s="26" t="s">
        <v>5</v>
      </c>
      <c r="AD206" s="27" t="s">
        <v>6</v>
      </c>
      <c r="AE206" s="2"/>
      <c r="AF206" s="12"/>
      <c r="AG206" s="12"/>
      <c r="BK206" s="19"/>
      <c r="BL206" s="20"/>
    </row>
    <row r="207" spans="1:64" ht="11.45" customHeight="1" x14ac:dyDescent="0.2">
      <c r="J207" s="28"/>
      <c r="K207" s="28"/>
      <c r="L207" s="28"/>
      <c r="N207" s="29" t="s">
        <v>212</v>
      </c>
      <c r="Q207" s="274" t="s">
        <v>7</v>
      </c>
      <c r="R207" s="274"/>
      <c r="S207" s="275" t="s">
        <v>8</v>
      </c>
      <c r="T207" s="276">
        <v>1</v>
      </c>
      <c r="U207" s="244" t="str">
        <f>IF(AND(N208&lt;&gt;"",N209&lt;&gt;""),CONCATENATE(VLOOKUP(N208,[1]zawodnicy!$A$1:$E$65536,1,FALSE)," ",VLOOKUP(N208,[1]zawodnicy!$A$1:$E$65536,2,FALSE)," ",VLOOKUP(N208,[1]zawodnicy!$A$1:$E$65536,3,FALSE)," - ",VLOOKUP(N208,[1]zawodnicy!$A$1:$E$65536,4,FALSE)),"")</f>
        <v>C3670 Robert CYBULSKI - MKB Lednik Miastko</v>
      </c>
      <c r="V207" s="245"/>
      <c r="W207" s="246"/>
      <c r="X207" s="30"/>
      <c r="Y207" s="31" t="str">
        <f>IF(SUM(AO212:AP212)=0,"",AO212&amp;":"&amp;AP212)</f>
        <v>21:18</v>
      </c>
      <c r="Z207" s="32" t="str">
        <f>IF(SUM(AO210:AP210)=0,"",AO210&amp;":"&amp;AP210)</f>
        <v>21:3</v>
      </c>
      <c r="AA207" s="270" t="str">
        <f>IF(SUM(AY210:BB210)=0,"",BE210&amp;":"&amp;BF210)</f>
        <v>84:46</v>
      </c>
      <c r="AB207" s="271" t="str">
        <f>IF(SUM(AY210:BB210)=0,"",BG210&amp;":"&amp;BH210)</f>
        <v>4:0</v>
      </c>
      <c r="AC207" s="271" t="str">
        <f>IF(SUM(AY210:BB210)=0,"",BI210&amp;":"&amp;BJ210)</f>
        <v>2:0</v>
      </c>
      <c r="AD207" s="272">
        <f>IF(SUM(BI210:BI212)&gt;0,BK210,"")</f>
        <v>1</v>
      </c>
      <c r="AE207" s="2"/>
      <c r="AF207" s="12"/>
      <c r="AG207" s="12"/>
      <c r="AH207" s="14"/>
      <c r="AI207" s="273" t="s">
        <v>9</v>
      </c>
      <c r="AJ207" s="273"/>
      <c r="AK207" s="273"/>
      <c r="AL207" s="273"/>
      <c r="AM207" s="273"/>
      <c r="AN207" s="273"/>
      <c r="AO207" s="273" t="s">
        <v>10</v>
      </c>
      <c r="AP207" s="273"/>
      <c r="AQ207" s="273"/>
      <c r="AR207" s="273"/>
      <c r="AS207" s="273"/>
      <c r="AT207" s="273"/>
      <c r="BK207" s="19"/>
      <c r="BL207" s="20"/>
    </row>
    <row r="208" spans="1:64" ht="11.45" customHeight="1" thickBot="1" x14ac:dyDescent="0.25">
      <c r="I208" s="2" t="str">
        <f>"1"&amp;O206&amp;N207</f>
        <v>16podwójna chłopców M</v>
      </c>
      <c r="J208" s="10" t="str">
        <f>IF(AD207="","",IF(AD207=1,N208,IF(AD210=1,N211,IF(AD213=1,N214,""))))</f>
        <v>C3670</v>
      </c>
      <c r="K208" s="10" t="str">
        <f>IF(AD207="","",IF(AD207=1,N209,IF(AD210=1,N212,IF(AD213=1,N215,""))))</f>
        <v>S3748</v>
      </c>
      <c r="L208" s="10"/>
      <c r="N208" s="33" t="s">
        <v>245</v>
      </c>
      <c r="O208" s="34">
        <f>IF(O206&gt;0,(O206&amp;1)*1,"")</f>
        <v>61</v>
      </c>
      <c r="Q208" s="274"/>
      <c r="R208" s="274"/>
      <c r="S208" s="275"/>
      <c r="T208" s="242"/>
      <c r="U208" s="244" t="str">
        <f>IF(AND(N208&lt;&gt;"",N209=""),CONCATENATE(VLOOKUP(N208,[1]zawodnicy!$A$1:$E$65536,1,FALSE)," ",VLOOKUP(N208,[1]zawodnicy!$A$1:$E$65536,2,FALSE)," ",VLOOKUP(N208,[1]zawodnicy!$A$1:$E$65536,3,FALSE)," - ",VLOOKUP(N208,[1]zawodnicy!$A$1:$E$65536,4,FALSE)),"")</f>
        <v/>
      </c>
      <c r="V208" s="245"/>
      <c r="W208" s="246"/>
      <c r="X208" s="35"/>
      <c r="Y208" s="36" t="str">
        <f>IF(SUM(AQ212:AR212)=0,"",AQ212&amp;":"&amp;AR212)</f>
        <v>21:15</v>
      </c>
      <c r="Z208" s="37" t="str">
        <f>IF(SUM(AQ210:AR210)=0,"",AQ210&amp;":"&amp;AR210)</f>
        <v>21:10</v>
      </c>
      <c r="AA208" s="248"/>
      <c r="AB208" s="251"/>
      <c r="AC208" s="251"/>
      <c r="AD208" s="254"/>
      <c r="AE208" s="2"/>
      <c r="AF208" s="12"/>
      <c r="AG208" s="12"/>
      <c r="AH208" s="14"/>
      <c r="BE208" s="19">
        <f>SUM(BE210:BE212)</f>
        <v>242</v>
      </c>
      <c r="BF208" s="19">
        <f>SUM(BF210:BF212)</f>
        <v>242</v>
      </c>
      <c r="BG208" s="19">
        <f>SUM(BG210:BG212)</f>
        <v>7</v>
      </c>
      <c r="BH208" s="19">
        <f>SUM(BH210:BH212)</f>
        <v>7</v>
      </c>
      <c r="BK208" s="19"/>
      <c r="BL208" s="20"/>
    </row>
    <row r="209" spans="1:64" ht="11.45" customHeight="1" thickBot="1" x14ac:dyDescent="0.25">
      <c r="J209" s="10"/>
      <c r="K209" s="28"/>
      <c r="L209" s="28"/>
      <c r="N209" s="38" t="s">
        <v>246</v>
      </c>
      <c r="O209" s="28"/>
      <c r="P209" s="28"/>
      <c r="Q209" s="274"/>
      <c r="R209" s="274"/>
      <c r="S209" s="275"/>
      <c r="T209" s="261"/>
      <c r="U209" s="265" t="str">
        <f>IF(N209&lt;&gt;"",CONCATENATE(VLOOKUP(N209,[1]zawodnicy!$A$1:$E$65536,1,FALSE)," ",VLOOKUP(N209,[1]zawodnicy!$A$1:$E$65536,2,FALSE)," ",VLOOKUP(N209,[1]zawodnicy!$A$1:$E$65536,3,FALSE)," - ",VLOOKUP(N209,[1]zawodnicy!$A$1:$E$65536,4,FALSE)),"")</f>
        <v>S3748 Adam SZOLC - KS Hubertus Zalesie Górne</v>
      </c>
      <c r="V209" s="266"/>
      <c r="W209" s="267"/>
      <c r="X209" s="35"/>
      <c r="Y209" s="39" t="str">
        <f>IF(SUM(AS212:AT212)=0,"",AS212&amp;":"&amp;AT212)</f>
        <v/>
      </c>
      <c r="Z209" s="40" t="str">
        <f>IF(SUM(AS210:AT210)=0,"",AS210&amp;":"&amp;AT210)</f>
        <v/>
      </c>
      <c r="AA209" s="262"/>
      <c r="AB209" s="263"/>
      <c r="AC209" s="263"/>
      <c r="AD209" s="264"/>
      <c r="AE209" s="2"/>
      <c r="AF209" s="12"/>
      <c r="AG209" s="12"/>
      <c r="AH209" s="14"/>
      <c r="AI209" s="259" t="s">
        <v>12</v>
      </c>
      <c r="AJ209" s="269"/>
      <c r="AK209" s="268" t="s">
        <v>13</v>
      </c>
      <c r="AL209" s="269"/>
      <c r="AM209" s="268" t="s">
        <v>14</v>
      </c>
      <c r="AN209" s="260"/>
      <c r="AO209" s="259" t="s">
        <v>12</v>
      </c>
      <c r="AP209" s="269"/>
      <c r="AQ209" s="268" t="s">
        <v>13</v>
      </c>
      <c r="AR209" s="269"/>
      <c r="AS209" s="268" t="s">
        <v>14</v>
      </c>
      <c r="AT209" s="269"/>
      <c r="AU209" s="12"/>
      <c r="AV209" s="12"/>
      <c r="AW209" s="259">
        <v>1</v>
      </c>
      <c r="AX209" s="269"/>
      <c r="AY209" s="268">
        <v>2</v>
      </c>
      <c r="AZ209" s="269"/>
      <c r="BA209" s="268">
        <v>3</v>
      </c>
      <c r="BB209" s="260"/>
      <c r="BE209" s="259" t="s">
        <v>3</v>
      </c>
      <c r="BF209" s="260"/>
      <c r="BG209" s="259" t="s">
        <v>4</v>
      </c>
      <c r="BH209" s="260"/>
      <c r="BI209" s="259" t="s">
        <v>5</v>
      </c>
      <c r="BJ209" s="260"/>
      <c r="BK209" s="41" t="s">
        <v>6</v>
      </c>
      <c r="BL209" s="20"/>
    </row>
    <row r="210" spans="1:64" ht="11.45" customHeight="1" x14ac:dyDescent="0.2">
      <c r="A210" s="19">
        <f>S210</f>
        <v>75</v>
      </c>
      <c r="B210" s="2" t="str">
        <f>IF(N208="","",N208)</f>
        <v>C3670</v>
      </c>
      <c r="C210" s="2" t="str">
        <f>IF(N209="","",N209)</f>
        <v>S3748</v>
      </c>
      <c r="D210" s="2" t="str">
        <f>IF(N214="","",N214)</f>
        <v>G5275</v>
      </c>
      <c r="E210" s="2" t="str">
        <f>IF(N215="","",N215)</f>
        <v>K4676</v>
      </c>
      <c r="I210" s="2" t="str">
        <f>"2"&amp;O206&amp;N207</f>
        <v>26podwójna chłopców M</v>
      </c>
      <c r="J210" s="10" t="str">
        <f>IF(AD210="","",IF(AD207=2,N208,IF(AD210=2,N211,IF(AD213=2,N214,""))))</f>
        <v>M4170</v>
      </c>
      <c r="K210" s="10" t="str">
        <f>IF(AD210="","",IF(AD207=2,N209,IF(AD210=2,N212,IF(AD213=2,N215,""))))</f>
        <v>W4753</v>
      </c>
      <c r="M210" s="42" t="str">
        <f>N207</f>
        <v>podwójna chłopców M</v>
      </c>
      <c r="O210" s="28"/>
      <c r="P210" s="28"/>
      <c r="Q210" s="43" t="str">
        <f>IF(AU210&gt;0,"",IF(A210=0,"",IF(VLOOKUP(A210,'[1]plan gier'!A$1:S$65536,19,FALSE)="","",VLOOKUP(A210,'[1]plan gier'!A$1:S$65536,19,FALSE))))</f>
        <v/>
      </c>
      <c r="R210" s="44" t="s">
        <v>15</v>
      </c>
      <c r="S210" s="45">
        <v>75</v>
      </c>
      <c r="T210" s="241">
        <v>2</v>
      </c>
      <c r="U210" s="244" t="str">
        <f>IF(AND(N211&lt;&gt;"",N212&lt;&gt;""),CONCATENATE(VLOOKUP(N211,[1]zawodnicy!$A$1:$E$65536,1,FALSE)," ",VLOOKUP(N211,[1]zawodnicy!$A$1:$E$65536,2,FALSE)," ",VLOOKUP(N211,[1]zawodnicy!$A$1:$E$65536,3,FALSE)," - ",VLOOKUP(N211,[1]zawodnicy!$A$1:$E$65536,4,FALSE)),"")</f>
        <v>M4170 Kamil MICHAŁEK - UKS Orbitek Straszęcin</v>
      </c>
      <c r="V210" s="245"/>
      <c r="W210" s="246"/>
      <c r="X210" s="46" t="str">
        <f>IF(SUM(AO212:AP212)=0,"",AP212&amp;":"&amp;AO212)</f>
        <v>18:21</v>
      </c>
      <c r="Y210" s="47"/>
      <c r="Z210" s="48" t="str">
        <f>IF(SUM(AO211:AP211)=0,"",AO211&amp;":"&amp;AP211)</f>
        <v>21:19</v>
      </c>
      <c r="AA210" s="247" t="str">
        <f>IF(SUM(AW211:AX211,BA211:BB211)=0,"",BE211&amp;":"&amp;BF211)</f>
        <v>95:92</v>
      </c>
      <c r="AB210" s="250" t="str">
        <f>IF(SUM(AW211:AX211,BA211:BB211)=0,"",BG211&amp;":"&amp;BH211)</f>
        <v>2:3</v>
      </c>
      <c r="AC210" s="250" t="str">
        <f>IF(SUM(AW211:AX211,BA211:BB211)=0,"",BI211&amp;":"&amp;BJ211)</f>
        <v>1:1</v>
      </c>
      <c r="AD210" s="253">
        <f>IF(SUM(BI210:BI212)&gt;0,BK211,"")</f>
        <v>2</v>
      </c>
      <c r="AE210" s="2"/>
      <c r="AF210" s="12"/>
      <c r="AG210" s="12"/>
      <c r="AH210" s="44" t="s">
        <v>15</v>
      </c>
      <c r="AI210" s="49">
        <f>IF(ISBLANK(S210),"",VLOOKUP(S210,'[1]plan gier'!$X$1:$AN$65536,12,FALSE))</f>
        <v>21</v>
      </c>
      <c r="AJ210" s="50">
        <f>IF(ISBLANK(S210),"",VLOOKUP(S210,'[1]plan gier'!$X$1:$AN$65536,13,FALSE))</f>
        <v>3</v>
      </c>
      <c r="AK210" s="50">
        <f>IF(ISBLANK(S210),"",VLOOKUP(S210,'[1]plan gier'!$X$1:$AN$65536,14,FALSE))</f>
        <v>21</v>
      </c>
      <c r="AL210" s="50">
        <f>IF(ISBLANK(S210),"",VLOOKUP(S210,'[1]plan gier'!$X$1:$AN$65536,15,FALSE))</f>
        <v>10</v>
      </c>
      <c r="AM210" s="50">
        <f>IF(ISBLANK(S210),"",VLOOKUP(S210,'[1]plan gier'!$X$1:$AN$65536,16,FALSE))</f>
        <v>0</v>
      </c>
      <c r="AN210" s="50">
        <f>IF(ISBLANK(S210),"",VLOOKUP(S210,'[1]plan gier'!$X$1:$AN$65536,17,FALSE))</f>
        <v>0</v>
      </c>
      <c r="AO210" s="51">
        <f t="shared" ref="AO210:AT212" si="23">IF(AI210="",0,AI210)</f>
        <v>21</v>
      </c>
      <c r="AP210" s="52">
        <f t="shared" si="23"/>
        <v>3</v>
      </c>
      <c r="AQ210" s="53">
        <f t="shared" si="23"/>
        <v>21</v>
      </c>
      <c r="AR210" s="52">
        <f t="shared" si="23"/>
        <v>10</v>
      </c>
      <c r="AS210" s="53">
        <f t="shared" si="23"/>
        <v>0</v>
      </c>
      <c r="AT210" s="52">
        <f t="shared" si="23"/>
        <v>0</v>
      </c>
      <c r="AU210" s="54">
        <f>SUM(AO210:AT210)</f>
        <v>55</v>
      </c>
      <c r="AV210" s="13">
        <v>1</v>
      </c>
      <c r="AW210" s="55"/>
      <c r="AX210" s="56"/>
      <c r="AY210" s="50">
        <f>IF(AI212&gt;AJ212,1,0)+IF(AK212&gt;AL212,1,0)+IF(AM212&gt;AN212,1,0)</f>
        <v>2</v>
      </c>
      <c r="AZ210" s="50">
        <f>AW211</f>
        <v>0</v>
      </c>
      <c r="BA210" s="50">
        <f>IF(AI210&gt;AJ210,1,0)+IF(AK210&gt;AL210,1,0)+IF(AM210&gt;AN210,1,0)</f>
        <v>2</v>
      </c>
      <c r="BB210" s="57">
        <f>AW212</f>
        <v>0</v>
      </c>
      <c r="BE210" s="49">
        <f>AO210+AQ210+AS210+AO212+AQ212+AS212</f>
        <v>84</v>
      </c>
      <c r="BF210" s="57">
        <f>AP210+AR210+AT210+AP212+AR212+AT212</f>
        <v>46</v>
      </c>
      <c r="BG210" s="49">
        <f>AY210+BA210</f>
        <v>4</v>
      </c>
      <c r="BH210" s="57">
        <f>AZ210+BB210</f>
        <v>0</v>
      </c>
      <c r="BI210" s="49">
        <f>IF(AY210&gt;AZ210,1,0)+IF(BA210&gt;BB210,1,0)</f>
        <v>2</v>
      </c>
      <c r="BJ210" s="58">
        <f>IF(AZ210&gt;AY210,1,0)+IF(BB210&gt;BA210,1,0)</f>
        <v>0</v>
      </c>
      <c r="BK210" s="59">
        <f>IF(BI210+BJ210=0,"",IF(BL210=MAX(BL210:BL212),1,IF(BL210=MIN(BL210:BL212),3,2)))</f>
        <v>1</v>
      </c>
      <c r="BL210" s="60">
        <f>IF(BI210+BJ210&lt;&gt;0,BI210+1+(BG210-BH210)/100+(BE210-BF210)/100000+(BE210/BF210)/1000000,0)</f>
        <v>3.0403818260869562</v>
      </c>
    </row>
    <row r="211" spans="1:64" ht="11.45" customHeight="1" x14ac:dyDescent="0.2">
      <c r="A211" s="19">
        <f>S211</f>
        <v>141</v>
      </c>
      <c r="B211" s="2" t="str">
        <f>IF(N211="","",N211)</f>
        <v>M4170</v>
      </c>
      <c r="C211" s="2" t="str">
        <f>IF(N212="","",N212)</f>
        <v>W4753</v>
      </c>
      <c r="D211" s="2" t="str">
        <f>IF(N214="","",N214)</f>
        <v>G5275</v>
      </c>
      <c r="E211" s="2" t="str">
        <f>IF(N215="","",N215)</f>
        <v>K4676</v>
      </c>
      <c r="J211" s="10"/>
      <c r="K211" s="19"/>
      <c r="M211" s="42" t="str">
        <f>N207</f>
        <v>podwójna chłopców M</v>
      </c>
      <c r="N211" s="33" t="s">
        <v>247</v>
      </c>
      <c r="O211" s="34">
        <f>IF(O206&gt;0,(O206&amp;2)*1,"")</f>
        <v>62</v>
      </c>
      <c r="Q211" s="43" t="str">
        <f>IF(AU211&gt;0,"",IF(A211=0,"",IF(VLOOKUP(A211,'[1]plan gier'!A$1:S$65536,19,FALSE)="","",VLOOKUP(A211,'[1]plan gier'!A$1:S$65536,19,FALSE))))</f>
        <v/>
      </c>
      <c r="R211" s="44" t="s">
        <v>17</v>
      </c>
      <c r="S211" s="45">
        <v>141</v>
      </c>
      <c r="T211" s="242"/>
      <c r="U211" s="244" t="str">
        <f>IF(AND(N211&lt;&gt;"",N212=""),CONCATENATE(VLOOKUP(N211,[1]zawodnicy!$A$1:$E$65536,1,FALSE)," ",VLOOKUP(N211,[1]zawodnicy!$A$1:$E$65536,2,FALSE)," ",VLOOKUP(N211,[1]zawodnicy!$A$1:$E$65536,3,FALSE)," - ",VLOOKUP(N211,[1]zawodnicy!$A$1:$E$65536,4,FALSE)),"")</f>
        <v/>
      </c>
      <c r="V211" s="245"/>
      <c r="W211" s="246"/>
      <c r="X211" s="61" t="str">
        <f>IF(SUM(AQ212:AR212)=0,"",AR212&amp;":"&amp;AQ212)</f>
        <v>15:21</v>
      </c>
      <c r="Y211" s="62"/>
      <c r="Z211" s="37" t="str">
        <f>IF(SUM(AQ211:AR211)=0,"",AQ211&amp;":"&amp;AR211)</f>
        <v>20:22</v>
      </c>
      <c r="AA211" s="248"/>
      <c r="AB211" s="251"/>
      <c r="AC211" s="251"/>
      <c r="AD211" s="254"/>
      <c r="AE211" s="2"/>
      <c r="AF211" s="12"/>
      <c r="AG211" s="12"/>
      <c r="AH211" s="44" t="s">
        <v>17</v>
      </c>
      <c r="AI211" s="63">
        <f>IF(ISBLANK(S211),"",VLOOKUP(S211,'[1]plan gier'!$X$1:$AN$65536,12,FALSE))</f>
        <v>21</v>
      </c>
      <c r="AJ211" s="64">
        <f>IF(ISBLANK(S211),"",VLOOKUP(S211,'[1]plan gier'!$X$1:$AN$65536,13,FALSE))</f>
        <v>19</v>
      </c>
      <c r="AK211" s="64">
        <f>IF(ISBLANK(S211),"",VLOOKUP(S211,'[1]plan gier'!$X$1:$AN$65536,14,FALSE))</f>
        <v>20</v>
      </c>
      <c r="AL211" s="64">
        <f>IF(ISBLANK(S211),"",VLOOKUP(S211,'[1]plan gier'!$X$1:$AN$65536,15,FALSE))</f>
        <v>22</v>
      </c>
      <c r="AM211" s="64">
        <f>IF(ISBLANK(S211),"",VLOOKUP(S211,'[1]plan gier'!$X$1:$AN$65536,16,FALSE))</f>
        <v>21</v>
      </c>
      <c r="AN211" s="64">
        <f>IF(ISBLANK(S211),"",VLOOKUP(S211,'[1]plan gier'!$X$1:$AN$65536,17,FALSE))</f>
        <v>9</v>
      </c>
      <c r="AO211" s="65">
        <f t="shared" si="23"/>
        <v>21</v>
      </c>
      <c r="AP211" s="64">
        <f t="shared" si="23"/>
        <v>19</v>
      </c>
      <c r="AQ211" s="66">
        <f t="shared" si="23"/>
        <v>20</v>
      </c>
      <c r="AR211" s="64">
        <f t="shared" si="23"/>
        <v>22</v>
      </c>
      <c r="AS211" s="66">
        <f t="shared" si="23"/>
        <v>21</v>
      </c>
      <c r="AT211" s="64">
        <f t="shared" si="23"/>
        <v>9</v>
      </c>
      <c r="AU211" s="54">
        <f>SUM(AO211:AT211)</f>
        <v>112</v>
      </c>
      <c r="AV211" s="13">
        <v>2</v>
      </c>
      <c r="AW211" s="63">
        <f>IF(AI212&lt;AJ212,1,0)+IF(AK212&lt;AL212,1,0)+IF(AM212&lt;AN212,1,0)</f>
        <v>0</v>
      </c>
      <c r="AX211" s="64">
        <f>AY210</f>
        <v>2</v>
      </c>
      <c r="AY211" s="67"/>
      <c r="AZ211" s="68"/>
      <c r="BA211" s="64">
        <f>IF(AI211&gt;AJ211,1,0)+IF(AK211&gt;AL211,1,0)+IF(AM211&gt;AN211,1,0)</f>
        <v>2</v>
      </c>
      <c r="BB211" s="69">
        <f>AY212</f>
        <v>1</v>
      </c>
      <c r="BE211" s="63">
        <f>AO211+AQ211+AS211+AP212+AR212+AT212</f>
        <v>95</v>
      </c>
      <c r="BF211" s="69">
        <f>AP211+AR211+AT211+AO212+AQ212+AS212</f>
        <v>92</v>
      </c>
      <c r="BG211" s="63">
        <f>AW211+BA211</f>
        <v>2</v>
      </c>
      <c r="BH211" s="69">
        <f>AX211+BB211</f>
        <v>3</v>
      </c>
      <c r="BI211" s="63">
        <f>IF(AW211&gt;AX211,1,0)+IF(BA211&gt;BB211,1,0)</f>
        <v>1</v>
      </c>
      <c r="BJ211" s="70">
        <f>IF(AX211&gt;AW211,1,0)+IF(BB211&gt;BA211,1,0)</f>
        <v>1</v>
      </c>
      <c r="BK211" s="71">
        <f>IF(BI211+BJ211=0,"",IF(BL211=MAX(BL210:BL212),1,IF(BL211=MIN(BL210:BL212),3,2)))</f>
        <v>2</v>
      </c>
      <c r="BL211" s="60">
        <f>IF(BI211+BJ211&lt;&gt;0,BI211+1+(BG211-BH211)/100+(BE211-BF211)/100000+(BE211/BF211)/1000000,0)</f>
        <v>1.9900310326086956</v>
      </c>
    </row>
    <row r="212" spans="1:64" ht="11.45" customHeight="1" thickBot="1" x14ac:dyDescent="0.25">
      <c r="A212" s="19">
        <f>S212</f>
        <v>288</v>
      </c>
      <c r="B212" s="2" t="str">
        <f>IF(N208="","",N208)</f>
        <v>C3670</v>
      </c>
      <c r="C212" s="2" t="str">
        <f>IF(N209="","",N209)</f>
        <v>S3748</v>
      </c>
      <c r="D212" s="2" t="str">
        <f>IF(N211="","",N211)</f>
        <v>M4170</v>
      </c>
      <c r="E212" s="2" t="str">
        <f>IF(N212="","",N212)</f>
        <v>W4753</v>
      </c>
      <c r="I212" s="2" t="str">
        <f>"3"&amp;O206&amp;N207</f>
        <v>36podwójna chłopców M</v>
      </c>
      <c r="J212" s="10" t="str">
        <f>IF(AD213="","",IF(AD207=3,N208,IF(AD210=3,N211,IF(AD213=3,N214,""))))</f>
        <v>G5275</v>
      </c>
      <c r="K212" s="10" t="str">
        <f>IF(AD213="","",IF(AD207=3,N209,IF(AD210=3,N212,IF(AD213=3,N215,""))))</f>
        <v>K4676</v>
      </c>
      <c r="M212" s="42" t="str">
        <f>N207</f>
        <v>podwójna chłopców M</v>
      </c>
      <c r="N212" s="38" t="s">
        <v>248</v>
      </c>
      <c r="O212" s="28"/>
      <c r="P212" s="28"/>
      <c r="Q212" s="43" t="str">
        <f>IF(AU212&gt;0,"",IF(A212=0,"",IF(VLOOKUP(A212,'[1]plan gier'!A$1:S$65536,19,FALSE)="","",VLOOKUP(A212,'[1]plan gier'!A$1:S$65536,19,FALSE))))</f>
        <v/>
      </c>
      <c r="R212" s="72" t="s">
        <v>18</v>
      </c>
      <c r="S212" s="45">
        <v>288</v>
      </c>
      <c r="T212" s="261"/>
      <c r="U212" s="265" t="str">
        <f>IF(N212&lt;&gt;"",CONCATENATE(VLOOKUP(N212,[1]zawodnicy!$A$1:$E$65536,1,FALSE)," ",VLOOKUP(N212,[1]zawodnicy!$A$1:$E$65536,2,FALSE)," ",VLOOKUP(N212,[1]zawodnicy!$A$1:$E$65536,3,FALSE)," - ",VLOOKUP(N212,[1]zawodnicy!$A$1:$E$65536,4,FALSE)),"")</f>
        <v>W4753 Natan VOGT - MMKS Kędzierzyn-Koźle</v>
      </c>
      <c r="V212" s="266"/>
      <c r="W212" s="267"/>
      <c r="X212" s="73" t="str">
        <f>IF(SUM(AS212:AT212)=0,"",AT212&amp;":"&amp;AS212)</f>
        <v/>
      </c>
      <c r="Y212" s="62"/>
      <c r="Z212" s="40" t="str">
        <f>IF(SUM(AS211:AT211)=0,"",AS211&amp;":"&amp;AT211)</f>
        <v>21:9</v>
      </c>
      <c r="AA212" s="262"/>
      <c r="AB212" s="263"/>
      <c r="AC212" s="263"/>
      <c r="AD212" s="264"/>
      <c r="AE212" s="2"/>
      <c r="AF212" s="12"/>
      <c r="AG212" s="12"/>
      <c r="AH212" s="72" t="s">
        <v>18</v>
      </c>
      <c r="AI212" s="74">
        <f>IF(ISBLANK(S212),"",VLOOKUP(S212,'[1]plan gier'!$X$1:$AN$65536,12,FALSE))</f>
        <v>21</v>
      </c>
      <c r="AJ212" s="75">
        <f>IF(ISBLANK(S212),"",VLOOKUP(S212,'[1]plan gier'!$X$1:$AN$65536,13,FALSE))</f>
        <v>18</v>
      </c>
      <c r="AK212" s="75">
        <f>IF(ISBLANK(S212),"",VLOOKUP(S212,'[1]plan gier'!$X$1:$AN$65536,14,FALSE))</f>
        <v>21</v>
      </c>
      <c r="AL212" s="75">
        <f>IF(ISBLANK(S212),"",VLOOKUP(S212,'[1]plan gier'!$X$1:$AN$65536,15,FALSE))</f>
        <v>15</v>
      </c>
      <c r="AM212" s="75">
        <f>IF(ISBLANK(S212),"",VLOOKUP(S212,'[1]plan gier'!$X$1:$AN$65536,16,FALSE))</f>
        <v>0</v>
      </c>
      <c r="AN212" s="75">
        <f>IF(ISBLANK(S212),"",VLOOKUP(S212,'[1]plan gier'!$X$1:$AN$65536,17,FALSE))</f>
        <v>0</v>
      </c>
      <c r="AO212" s="76">
        <f t="shared" si="23"/>
        <v>21</v>
      </c>
      <c r="AP212" s="75">
        <f t="shared" si="23"/>
        <v>18</v>
      </c>
      <c r="AQ212" s="77">
        <f t="shared" si="23"/>
        <v>21</v>
      </c>
      <c r="AR212" s="75">
        <f t="shared" si="23"/>
        <v>15</v>
      </c>
      <c r="AS212" s="77">
        <f t="shared" si="23"/>
        <v>0</v>
      </c>
      <c r="AT212" s="75">
        <f t="shared" si="23"/>
        <v>0</v>
      </c>
      <c r="AU212" s="54">
        <f>SUM(AO212:AT212)</f>
        <v>75</v>
      </c>
      <c r="AV212" s="13">
        <v>3</v>
      </c>
      <c r="AW212" s="74">
        <f>IF(AI210&lt;AJ210,1,0)+IF(AK210&lt;AL210,1,0)+IF(AM210&lt;AN210,1,0)</f>
        <v>0</v>
      </c>
      <c r="AX212" s="75">
        <f>BA210</f>
        <v>2</v>
      </c>
      <c r="AY212" s="75">
        <f>IF(AI211&lt;AJ211,1,0)+IF(AK211&lt;AL211,1,0)+IF(AM211&lt;AN211,1,0)</f>
        <v>1</v>
      </c>
      <c r="AZ212" s="75">
        <f>BA211</f>
        <v>2</v>
      </c>
      <c r="BA212" s="78"/>
      <c r="BB212" s="79"/>
      <c r="BE212" s="74">
        <f>AP210+AR210+AT210+AP211+AR211+AT211</f>
        <v>63</v>
      </c>
      <c r="BF212" s="80">
        <f>AO210+AQ210+AS210+AO211+AQ211+AS211</f>
        <v>104</v>
      </c>
      <c r="BG212" s="74">
        <f>AW212+AY212</f>
        <v>1</v>
      </c>
      <c r="BH212" s="80">
        <f>AX212+AZ212</f>
        <v>4</v>
      </c>
      <c r="BI212" s="74">
        <f>IF(AW212&gt;AX212,1,0)+IF(AY212&gt;AZ212,1,0)</f>
        <v>0</v>
      </c>
      <c r="BJ212" s="81">
        <f>IF(AX212&gt;AW212,1,0)+IF(AZ212&gt;AY212,1,0)</f>
        <v>2</v>
      </c>
      <c r="BK212" s="82">
        <f>IF(BI212+BJ212=0,"",IF(BL212=MAX(BL210:BL212),1,IF(BL212=MIN(BL210:BL212),3,2)))</f>
        <v>3</v>
      </c>
      <c r="BL212" s="60">
        <f>IF(BI212+BJ212&lt;&gt;0,BI212+1+(BG212-BH212)/100+(BE212-BF212)/100000+(BE212/BF212)/1000000,0)</f>
        <v>0.96959060576923073</v>
      </c>
    </row>
    <row r="213" spans="1:64" ht="11.45" customHeight="1" x14ac:dyDescent="0.2">
      <c r="A213" s="2"/>
      <c r="J213" s="28"/>
      <c r="K213" s="28"/>
      <c r="L213" s="28"/>
      <c r="O213" s="28"/>
      <c r="P213" s="28"/>
      <c r="Q213" s="2"/>
      <c r="R213" s="2"/>
      <c r="S213" s="2"/>
      <c r="T213" s="241">
        <v>3</v>
      </c>
      <c r="U213" s="244" t="str">
        <f>IF(AND(N214&lt;&gt;"",N215&lt;&gt;""),CONCATENATE(VLOOKUP(N214,[1]zawodnicy!$A$1:$E$65536,1,FALSE)," ",VLOOKUP(N214,[1]zawodnicy!$A$1:$E$65536,2,FALSE)," ",VLOOKUP(N214,[1]zawodnicy!$A$1:$E$65536,3,FALSE)," - ",VLOOKUP(N214,[1]zawodnicy!$A$1:$E$65536,4,FALSE)),"")</f>
        <v>G5275 Konrad GORGOL - PMKS Chrobry Piotrowice</v>
      </c>
      <c r="V213" s="245"/>
      <c r="W213" s="246"/>
      <c r="X213" s="46" t="str">
        <f>IF(SUM(AO210:AP210)=0,"",AP210&amp;":"&amp;AO210)</f>
        <v>3:21</v>
      </c>
      <c r="Y213" s="83" t="str">
        <f>IF(SUM(AO211:AP211)=0,"",AP211&amp;":"&amp;AO211)</f>
        <v>19:21</v>
      </c>
      <c r="Z213" s="84"/>
      <c r="AA213" s="247" t="str">
        <f>IF(SUM(AW212:AZ212)=0,"",BE212&amp;":"&amp;BF212)</f>
        <v>63:104</v>
      </c>
      <c r="AB213" s="250" t="str">
        <f>IF(SUM(AW212:AZ212)=0,"",BG212&amp;":"&amp;BH212)</f>
        <v>1:4</v>
      </c>
      <c r="AC213" s="250" t="str">
        <f>IF(SUM(AW212:AZ212)=0,"",BI212&amp;":"&amp;BJ212)</f>
        <v>0:2</v>
      </c>
      <c r="AD213" s="253">
        <f>IF(SUM(BI210:BI212)&gt;0,BK212,"")</f>
        <v>3</v>
      </c>
      <c r="AE213" s="2"/>
      <c r="AF213" s="12"/>
      <c r="AG213" s="12"/>
      <c r="BE213" s="19">
        <f>SUM(BE210:BE212)</f>
        <v>242</v>
      </c>
      <c r="BF213" s="19">
        <f>SUM(BF210:BF212)</f>
        <v>242</v>
      </c>
      <c r="BG213" s="19">
        <f>SUM(BG210:BG212)</f>
        <v>7</v>
      </c>
      <c r="BH213" s="19">
        <f>SUM(BH210:BH212)</f>
        <v>7</v>
      </c>
      <c r="BK213" s="19"/>
      <c r="BL213" s="20"/>
    </row>
    <row r="214" spans="1:64" ht="11.45" customHeight="1" x14ac:dyDescent="0.2">
      <c r="A214" s="19"/>
      <c r="J214" s="19"/>
      <c r="K214" s="19"/>
      <c r="L214" s="19"/>
      <c r="N214" s="33" t="s">
        <v>249</v>
      </c>
      <c r="O214" s="34">
        <f>IF(O206&gt;0,(O206&amp;3)*1,"")</f>
        <v>63</v>
      </c>
      <c r="Q214" s="85"/>
      <c r="R214" s="85"/>
      <c r="S214" s="85"/>
      <c r="T214" s="242"/>
      <c r="U214" s="244" t="str">
        <f>IF(AND(N214&lt;&gt;"",N215=""),CONCATENATE(VLOOKUP(N214,[1]zawodnicy!$A$1:$E$65536,1,FALSE)," ",VLOOKUP(N214,[1]zawodnicy!$A$1:$E$65536,2,FALSE)," ",VLOOKUP(N214,[1]zawodnicy!$A$1:$E$65536,3,FALSE)," - ",VLOOKUP(N214,[1]zawodnicy!$A$1:$E$65536,4,FALSE)),"")</f>
        <v/>
      </c>
      <c r="V214" s="245"/>
      <c r="W214" s="246"/>
      <c r="X214" s="61" t="str">
        <f>IF(SUM(AQ210:AR210)=0,"",AR210&amp;":"&amp;AQ210)</f>
        <v>10:21</v>
      </c>
      <c r="Y214" s="36" t="str">
        <f>IF(SUM(AQ211:AR211)=0,"",AR211&amp;":"&amp;AQ211)</f>
        <v>22:20</v>
      </c>
      <c r="Z214" s="86"/>
      <c r="AA214" s="248"/>
      <c r="AB214" s="251"/>
      <c r="AC214" s="251"/>
      <c r="AD214" s="254"/>
      <c r="AE214" s="2"/>
      <c r="AF214" s="12"/>
      <c r="AG214" s="1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row>
    <row r="215" spans="1:64" ht="11.45" customHeight="1" thickBot="1" x14ac:dyDescent="0.25">
      <c r="A215" s="2"/>
      <c r="J215" s="28"/>
      <c r="K215" s="28"/>
      <c r="L215" s="28"/>
      <c r="N215" s="38" t="s">
        <v>250</v>
      </c>
      <c r="O215" s="28"/>
      <c r="P215" s="28"/>
      <c r="Q215" s="2"/>
      <c r="R215" s="2"/>
      <c r="S215" s="2"/>
      <c r="T215" s="243"/>
      <c r="U215" s="256" t="str">
        <f>IF(N215&lt;&gt;"",CONCATENATE(VLOOKUP(N215,[1]zawodnicy!$A$1:$E$65536,1,FALSE)," ",VLOOKUP(N215,[1]zawodnicy!$A$1:$E$65536,2,FALSE)," ",VLOOKUP(N215,[1]zawodnicy!$A$1:$E$65536,3,FALSE)," - ",VLOOKUP(N215,[1]zawodnicy!$A$1:$E$65536,4,FALSE)),"")</f>
        <v>K4676 Damian KASPERSKI - UKS Kiko Zamość</v>
      </c>
      <c r="V215" s="257"/>
      <c r="W215" s="258"/>
      <c r="X215" s="87" t="str">
        <f>IF(SUM(AS210:AT210)=0,"",AT210&amp;":"&amp;AS210)</f>
        <v/>
      </c>
      <c r="Y215" s="88" t="str">
        <f>IF(SUM(AS211:AT211)=0,"",AT211&amp;":"&amp;AS211)</f>
        <v>9:21</v>
      </c>
      <c r="Z215" s="89"/>
      <c r="AA215" s="249"/>
      <c r="AB215" s="252"/>
      <c r="AC215" s="252"/>
      <c r="AD215" s="255"/>
      <c r="AE215" s="10"/>
      <c r="AF215" s="12"/>
      <c r="AG215" s="1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row>
    <row r="216" spans="1:64" s="19" customFormat="1" ht="5.0999999999999996" customHeight="1" thickBot="1" x14ac:dyDescent="0.25">
      <c r="M216" s="90"/>
      <c r="O216" s="90"/>
      <c r="P216" s="90"/>
      <c r="Q216" s="91"/>
      <c r="R216" s="91"/>
      <c r="S216" s="91"/>
      <c r="T216" s="91"/>
      <c r="U216" s="5"/>
      <c r="V216" s="5"/>
      <c r="W216" s="5"/>
      <c r="AA216" s="92"/>
      <c r="AB216" s="91"/>
      <c r="AC216" s="91"/>
      <c r="AD216" s="91"/>
      <c r="AE216" s="91"/>
      <c r="AF216" s="91"/>
      <c r="AI216" s="93"/>
      <c r="AJ216" s="94"/>
      <c r="AK216" s="94"/>
    </row>
    <row r="217" spans="1:64" ht="11.45" customHeight="1" thickBot="1" x14ac:dyDescent="0.25">
      <c r="N217" s="11"/>
      <c r="O217" s="21">
        <v>7</v>
      </c>
      <c r="Q217" s="277" t="str">
        <f>"Grupa "&amp;O217&amp;"."</f>
        <v>Grupa 7.</v>
      </c>
      <c r="R217" s="277"/>
      <c r="S217" s="277"/>
      <c r="T217" s="22" t="s">
        <v>1</v>
      </c>
      <c r="U217" s="278" t="s">
        <v>2</v>
      </c>
      <c r="V217" s="279"/>
      <c r="W217" s="280"/>
      <c r="X217" s="22">
        <v>1</v>
      </c>
      <c r="Y217" s="23">
        <v>2</v>
      </c>
      <c r="Z217" s="24">
        <v>3</v>
      </c>
      <c r="AA217" s="25" t="s">
        <v>3</v>
      </c>
      <c r="AB217" s="26" t="s">
        <v>4</v>
      </c>
      <c r="AC217" s="26" t="s">
        <v>5</v>
      </c>
      <c r="AD217" s="27" t="s">
        <v>6</v>
      </c>
      <c r="AE217" s="2"/>
      <c r="AF217" s="12"/>
      <c r="AG217" s="12"/>
      <c r="BK217" s="19"/>
      <c r="BL217" s="20"/>
    </row>
    <row r="218" spans="1:64" ht="11.45" customHeight="1" x14ac:dyDescent="0.2">
      <c r="J218" s="28"/>
      <c r="K218" s="28"/>
      <c r="L218" s="28"/>
      <c r="N218" s="29" t="s">
        <v>212</v>
      </c>
      <c r="Q218" s="274" t="s">
        <v>7</v>
      </c>
      <c r="R218" s="274"/>
      <c r="S218" s="275" t="s">
        <v>8</v>
      </c>
      <c r="T218" s="276">
        <v>1</v>
      </c>
      <c r="U218" s="244" t="str">
        <f>IF(AND(N219&lt;&gt;"",N220&lt;&gt;""),CONCATENATE(VLOOKUP(N219,[1]zawodnicy!$A$1:$E$65536,1,FALSE)," ",VLOOKUP(N219,[1]zawodnicy!$A$1:$E$65536,2,FALSE)," ",VLOOKUP(N219,[1]zawodnicy!$A$1:$E$65536,3,FALSE)," - ",VLOOKUP(N219,[1]zawodnicy!$A$1:$E$65536,4,FALSE)),"")</f>
        <v>G4577 Jakub GIREŃ - MKS Strzelce Opolskie</v>
      </c>
      <c r="V218" s="245"/>
      <c r="W218" s="246"/>
      <c r="X218" s="30"/>
      <c r="Y218" s="31" t="str">
        <f>IF(SUM(AO223:AP223)=0,"",AO223&amp;":"&amp;AP223)</f>
        <v>21:7</v>
      </c>
      <c r="Z218" s="32" t="str">
        <f>IF(SUM(AO221:AP221)=0,"",AO221&amp;":"&amp;AP221)</f>
        <v>21:0</v>
      </c>
      <c r="AA218" s="270" t="str">
        <f>IF(SUM(AY221:BB221)=0,"",BE221&amp;":"&amp;BF221)</f>
        <v>84:9</v>
      </c>
      <c r="AB218" s="271" t="str">
        <f>IF(SUM(AY221:BB221)=0,"",BG221&amp;":"&amp;BH221)</f>
        <v>4:0</v>
      </c>
      <c r="AC218" s="271" t="str">
        <f>IF(SUM(AY221:BB221)=0,"",BI221&amp;":"&amp;BJ221)</f>
        <v>2:0</v>
      </c>
      <c r="AD218" s="272">
        <f>IF(SUM(BI221:BI223)&gt;0,BK221,"")</f>
        <v>1</v>
      </c>
      <c r="AE218" s="2"/>
      <c r="AF218" s="12"/>
      <c r="AG218" s="12"/>
      <c r="AH218" s="14"/>
      <c r="AI218" s="273" t="s">
        <v>9</v>
      </c>
      <c r="AJ218" s="273"/>
      <c r="AK218" s="273"/>
      <c r="AL218" s="273"/>
      <c r="AM218" s="273"/>
      <c r="AN218" s="273"/>
      <c r="AO218" s="273" t="s">
        <v>10</v>
      </c>
      <c r="AP218" s="273"/>
      <c r="AQ218" s="273"/>
      <c r="AR218" s="273"/>
      <c r="AS218" s="273"/>
      <c r="AT218" s="273"/>
      <c r="BK218" s="19"/>
      <c r="BL218" s="20"/>
    </row>
    <row r="219" spans="1:64" ht="11.45" customHeight="1" thickBot="1" x14ac:dyDescent="0.25">
      <c r="I219" s="2" t="str">
        <f>"1"&amp;O217&amp;N218</f>
        <v>17podwójna chłopców M</v>
      </c>
      <c r="J219" s="10" t="str">
        <f>IF(AD218="","",IF(AD218=1,N219,IF(AD221=1,N222,IF(AD224=1,N225,""))))</f>
        <v>G4577</v>
      </c>
      <c r="K219" s="10" t="str">
        <f>IF(AD218="","",IF(AD218=1,N220,IF(AD221=1,N223,IF(AD224=1,N226,""))))</f>
        <v>K4563</v>
      </c>
      <c r="L219" s="10"/>
      <c r="N219" s="33" t="s">
        <v>251</v>
      </c>
      <c r="O219" s="34">
        <f>IF(O217&gt;0,(O217&amp;1)*1,"")</f>
        <v>71</v>
      </c>
      <c r="Q219" s="274"/>
      <c r="R219" s="274"/>
      <c r="S219" s="275"/>
      <c r="T219" s="242"/>
      <c r="U219" s="244" t="str">
        <f>IF(AND(N219&lt;&gt;"",N220=""),CONCATENATE(VLOOKUP(N219,[1]zawodnicy!$A$1:$E$65536,1,FALSE)," ",VLOOKUP(N219,[1]zawodnicy!$A$1:$E$65536,2,FALSE)," ",VLOOKUP(N219,[1]zawodnicy!$A$1:$E$65536,3,FALSE)," - ",VLOOKUP(N219,[1]zawodnicy!$A$1:$E$65536,4,FALSE)),"")</f>
        <v/>
      </c>
      <c r="V219" s="245"/>
      <c r="W219" s="246"/>
      <c r="X219" s="35"/>
      <c r="Y219" s="36" t="str">
        <f>IF(SUM(AQ223:AR223)=0,"",AQ223&amp;":"&amp;AR223)</f>
        <v>21:2</v>
      </c>
      <c r="Z219" s="37" t="str">
        <f>IF(SUM(AQ221:AR221)=0,"",AQ221&amp;":"&amp;AR221)</f>
        <v>21:0</v>
      </c>
      <c r="AA219" s="248"/>
      <c r="AB219" s="251"/>
      <c r="AC219" s="251"/>
      <c r="AD219" s="254"/>
      <c r="AE219" s="2"/>
      <c r="AF219" s="12"/>
      <c r="AG219" s="12"/>
      <c r="AH219" s="14"/>
      <c r="BE219" s="19">
        <f>SUM(BE221:BE223)</f>
        <v>135</v>
      </c>
      <c r="BF219" s="19">
        <f>SUM(BF221:BF223)</f>
        <v>135</v>
      </c>
      <c r="BG219" s="19">
        <f>SUM(BG221:BG223)</f>
        <v>6</v>
      </c>
      <c r="BH219" s="19">
        <f>SUM(BH221:BH223)</f>
        <v>6</v>
      </c>
      <c r="BK219" s="19"/>
      <c r="BL219" s="20"/>
    </row>
    <row r="220" spans="1:64" ht="11.45" customHeight="1" thickBot="1" x14ac:dyDescent="0.25">
      <c r="J220" s="10"/>
      <c r="K220" s="28"/>
      <c r="L220" s="28"/>
      <c r="N220" s="38" t="s">
        <v>252</v>
      </c>
      <c r="O220" s="28"/>
      <c r="P220" s="28"/>
      <c r="Q220" s="274"/>
      <c r="R220" s="274"/>
      <c r="S220" s="275"/>
      <c r="T220" s="261"/>
      <c r="U220" s="265" t="str">
        <f>IF(N220&lt;&gt;"",CONCATENATE(VLOOKUP(N220,[1]zawodnicy!$A$1:$E$65536,1,FALSE)," ",VLOOKUP(N220,[1]zawodnicy!$A$1:$E$65536,2,FALSE)," ",VLOOKUP(N220,[1]zawodnicy!$A$1:$E$65536,3,FALSE)," - ",VLOOKUP(N220,[1]zawodnicy!$A$1:$E$65536,4,FALSE)),"")</f>
        <v>K4563 Kordian KOBYLNIK - LKS Technik Głubczyce</v>
      </c>
      <c r="V220" s="266"/>
      <c r="W220" s="267"/>
      <c r="X220" s="35"/>
      <c r="Y220" s="39" t="str">
        <f>IF(SUM(AS223:AT223)=0,"",AS223&amp;":"&amp;AT223)</f>
        <v/>
      </c>
      <c r="Z220" s="40" t="str">
        <f>IF(SUM(AS221:AT221)=0,"",AS221&amp;":"&amp;AT221)</f>
        <v/>
      </c>
      <c r="AA220" s="262"/>
      <c r="AB220" s="263"/>
      <c r="AC220" s="263"/>
      <c r="AD220" s="264"/>
      <c r="AE220" s="2"/>
      <c r="AF220" s="12"/>
      <c r="AG220" s="12"/>
      <c r="AH220" s="14"/>
      <c r="AI220" s="259" t="s">
        <v>12</v>
      </c>
      <c r="AJ220" s="269"/>
      <c r="AK220" s="268" t="s">
        <v>13</v>
      </c>
      <c r="AL220" s="269"/>
      <c r="AM220" s="268" t="s">
        <v>14</v>
      </c>
      <c r="AN220" s="260"/>
      <c r="AO220" s="259" t="s">
        <v>12</v>
      </c>
      <c r="AP220" s="269"/>
      <c r="AQ220" s="268" t="s">
        <v>13</v>
      </c>
      <c r="AR220" s="269"/>
      <c r="AS220" s="268" t="s">
        <v>14</v>
      </c>
      <c r="AT220" s="269"/>
      <c r="AU220" s="12"/>
      <c r="AV220" s="12"/>
      <c r="AW220" s="259">
        <v>1</v>
      </c>
      <c r="AX220" s="269"/>
      <c r="AY220" s="268">
        <v>2</v>
      </c>
      <c r="AZ220" s="269"/>
      <c r="BA220" s="268">
        <v>3</v>
      </c>
      <c r="BB220" s="260"/>
      <c r="BE220" s="259" t="s">
        <v>3</v>
      </c>
      <c r="BF220" s="260"/>
      <c r="BG220" s="259" t="s">
        <v>4</v>
      </c>
      <c r="BH220" s="260"/>
      <c r="BI220" s="259" t="s">
        <v>5</v>
      </c>
      <c r="BJ220" s="260"/>
      <c r="BK220" s="41" t="s">
        <v>6</v>
      </c>
      <c r="BL220" s="20"/>
    </row>
    <row r="221" spans="1:64" ht="11.45" customHeight="1" x14ac:dyDescent="0.2">
      <c r="A221" s="19">
        <f>S221</f>
        <v>76</v>
      </c>
      <c r="B221" s="2" t="str">
        <f>IF(N219="","",N219)</f>
        <v>G4577</v>
      </c>
      <c r="C221" s="2" t="str">
        <f>IF(N220="","",N220)</f>
        <v>K4563</v>
      </c>
      <c r="D221" s="2" t="str">
        <f>IF(N225="","",N225)</f>
        <v>K4124</v>
      </c>
      <c r="E221" s="2" t="str">
        <f>IF(N226="","",N226)</f>
        <v>R5482</v>
      </c>
      <c r="I221" s="2" t="str">
        <f>"2"&amp;O217&amp;N218</f>
        <v>27podwójna chłopców M</v>
      </c>
      <c r="J221" s="10" t="str">
        <f>IF(AD221="","",IF(AD218=2,N219,IF(AD221=2,N222,IF(AD224=2,N225,""))))</f>
        <v>K5132</v>
      </c>
      <c r="K221" s="10" t="str">
        <f>IF(AD221="","",IF(AD218=2,N220,IF(AD221=2,N223,IF(AD224=2,N226,""))))</f>
        <v>S5947</v>
      </c>
      <c r="M221" s="42" t="str">
        <f>N218</f>
        <v>podwójna chłopców M</v>
      </c>
      <c r="O221" s="28"/>
      <c r="P221" s="28"/>
      <c r="Q221" s="43" t="str">
        <f>IF(AU221&gt;0,"",IF(A221=0,"",IF(VLOOKUP(A221,'[1]plan gier'!A$1:S$65536,19,FALSE)="","",VLOOKUP(A221,'[1]plan gier'!A$1:S$65536,19,FALSE))))</f>
        <v/>
      </c>
      <c r="R221" s="44" t="s">
        <v>15</v>
      </c>
      <c r="S221" s="45">
        <v>76</v>
      </c>
      <c r="T221" s="241">
        <v>2</v>
      </c>
      <c r="U221" s="244" t="str">
        <f>IF(AND(N222&lt;&gt;"",N223&lt;&gt;""),CONCATENATE(VLOOKUP(N222,[1]zawodnicy!$A$1:$E$65536,1,FALSE)," ",VLOOKUP(N222,[1]zawodnicy!$A$1:$E$65536,2,FALSE)," ",VLOOKUP(N222,[1]zawodnicy!$A$1:$E$65536,3,FALSE)," - ",VLOOKUP(N222,[1]zawodnicy!$A$1:$E$65536,4,FALSE)),"")</f>
        <v>K5132 Piotr KRAJEWSKI - UKSB Milenium Warszawa</v>
      </c>
      <c r="V221" s="245"/>
      <c r="W221" s="246"/>
      <c r="X221" s="46" t="str">
        <f>IF(SUM(AO223:AP223)=0,"",AP223&amp;":"&amp;AO223)</f>
        <v>7:21</v>
      </c>
      <c r="Y221" s="47"/>
      <c r="Z221" s="48" t="str">
        <f>IF(SUM(AO222:AP222)=0,"",AO222&amp;":"&amp;AP222)</f>
        <v>21:0</v>
      </c>
      <c r="AA221" s="247" t="str">
        <f>IF(SUM(AW222:AX222,BA222:BB222)=0,"",BE222&amp;":"&amp;BF222)</f>
        <v>51:42</v>
      </c>
      <c r="AB221" s="250" t="str">
        <f>IF(SUM(AW222:AX222,BA222:BB222)=0,"",BG222&amp;":"&amp;BH222)</f>
        <v>2:2</v>
      </c>
      <c r="AC221" s="250" t="str">
        <f>IF(SUM(AW222:AX222,BA222:BB222)=0,"",BI222&amp;":"&amp;BJ222)</f>
        <v>1:1</v>
      </c>
      <c r="AD221" s="253">
        <f>IF(SUM(BI221:BI223)&gt;0,BK222,"")</f>
        <v>2</v>
      </c>
      <c r="AE221" s="2"/>
      <c r="AF221" s="12"/>
      <c r="AG221" s="12"/>
      <c r="AH221" s="44" t="s">
        <v>15</v>
      </c>
      <c r="AI221" s="49">
        <f>IF(ISBLANK(S221),"",VLOOKUP(S221,'[1]plan gier'!$X$1:$AN$65536,12,FALSE))</f>
        <v>21</v>
      </c>
      <c r="AJ221" s="50">
        <f>IF(ISBLANK(S221),"",VLOOKUP(S221,'[1]plan gier'!$X$1:$AN$65536,13,FALSE))</f>
        <v>0</v>
      </c>
      <c r="AK221" s="50">
        <f>IF(ISBLANK(S221),"",VLOOKUP(S221,'[1]plan gier'!$X$1:$AN$65536,14,FALSE))</f>
        <v>21</v>
      </c>
      <c r="AL221" s="50">
        <f>IF(ISBLANK(S221),"",VLOOKUP(S221,'[1]plan gier'!$X$1:$AN$65536,15,FALSE))</f>
        <v>0</v>
      </c>
      <c r="AM221" s="50">
        <f>IF(ISBLANK(S221),"",VLOOKUP(S221,'[1]plan gier'!$X$1:$AN$65536,16,FALSE))</f>
        <v>0</v>
      </c>
      <c r="AN221" s="50">
        <f>IF(ISBLANK(S221),"",VLOOKUP(S221,'[1]plan gier'!$X$1:$AN$65536,17,FALSE))</f>
        <v>0</v>
      </c>
      <c r="AO221" s="51">
        <f t="shared" ref="AO221:AT223" si="24">IF(AI221="",0,AI221)</f>
        <v>21</v>
      </c>
      <c r="AP221" s="52">
        <f t="shared" si="24"/>
        <v>0</v>
      </c>
      <c r="AQ221" s="53">
        <f t="shared" si="24"/>
        <v>21</v>
      </c>
      <c r="AR221" s="52">
        <f t="shared" si="24"/>
        <v>0</v>
      </c>
      <c r="AS221" s="53">
        <f t="shared" si="24"/>
        <v>0</v>
      </c>
      <c r="AT221" s="52">
        <f t="shared" si="24"/>
        <v>0</v>
      </c>
      <c r="AU221" s="54">
        <f>SUM(AO221:AT221)</f>
        <v>42</v>
      </c>
      <c r="AV221" s="13">
        <v>1</v>
      </c>
      <c r="AW221" s="55"/>
      <c r="AX221" s="56"/>
      <c r="AY221" s="50">
        <f>IF(AI223&gt;AJ223,1,0)+IF(AK223&gt;AL223,1,0)+IF(AM223&gt;AN223,1,0)</f>
        <v>2</v>
      </c>
      <c r="AZ221" s="50">
        <f>AW222</f>
        <v>0</v>
      </c>
      <c r="BA221" s="50">
        <f>IF(AI221&gt;AJ221,1,0)+IF(AK221&gt;AL221,1,0)+IF(AM221&gt;AN221,1,0)</f>
        <v>2</v>
      </c>
      <c r="BB221" s="57">
        <f>AW223</f>
        <v>0</v>
      </c>
      <c r="BE221" s="49">
        <f>AO221+AQ221+AS221+AO223+AQ223+AS223</f>
        <v>84</v>
      </c>
      <c r="BF221" s="57">
        <f>AP221+AR221+AT221+AP223+AR223+AT223</f>
        <v>9</v>
      </c>
      <c r="BG221" s="49">
        <f>AY221+BA221</f>
        <v>4</v>
      </c>
      <c r="BH221" s="57">
        <f>AZ221+BB221</f>
        <v>0</v>
      </c>
      <c r="BI221" s="49">
        <f>IF(AY221&gt;AZ221,1,0)+IF(BA221&gt;BB221,1,0)</f>
        <v>2</v>
      </c>
      <c r="BJ221" s="58">
        <f>IF(AZ221&gt;AY221,1,0)+IF(BB221&gt;BA221,1,0)</f>
        <v>0</v>
      </c>
      <c r="BK221" s="59">
        <f>IF(BI221+BJ221=0,"",IF(BL221=MAX(BL221:BL223),1,IF(BL221=MIN(BL221:BL223),3,2)))</f>
        <v>1</v>
      </c>
      <c r="BL221" s="60">
        <f>IF(BI221+BJ221&lt;&gt;0,BI221+1+(BG221-BH221)/100+(BE221-BF221)/100000+(BE221/BF221)/1000000,0)</f>
        <v>3.0407593333333334</v>
      </c>
    </row>
    <row r="222" spans="1:64" ht="11.45" customHeight="1" x14ac:dyDescent="0.2">
      <c r="A222" s="19">
        <f>S222</f>
        <v>142</v>
      </c>
      <c r="B222" s="2" t="str">
        <f>IF(N222="","",N222)</f>
        <v>K5132</v>
      </c>
      <c r="C222" s="2" t="str">
        <f>IF(N223="","",N223)</f>
        <v>S5947</v>
      </c>
      <c r="D222" s="2" t="str">
        <f>IF(N225="","",N225)</f>
        <v>K4124</v>
      </c>
      <c r="E222" s="2" t="str">
        <f>IF(N226="","",N226)</f>
        <v>R5482</v>
      </c>
      <c r="J222" s="10"/>
      <c r="K222" s="19"/>
      <c r="M222" s="42" t="str">
        <f>N218</f>
        <v>podwójna chłopców M</v>
      </c>
      <c r="N222" s="33" t="s">
        <v>253</v>
      </c>
      <c r="O222" s="34">
        <f>IF(O217&gt;0,(O217&amp;2)*1,"")</f>
        <v>72</v>
      </c>
      <c r="Q222" s="43" t="str">
        <f>IF(AU222&gt;0,"",IF(A222=0,"",IF(VLOOKUP(A222,'[1]plan gier'!A$1:S$65536,19,FALSE)="","",VLOOKUP(A222,'[1]plan gier'!A$1:S$65536,19,FALSE))))</f>
        <v/>
      </c>
      <c r="R222" s="44" t="s">
        <v>17</v>
      </c>
      <c r="S222" s="45">
        <v>142</v>
      </c>
      <c r="T222" s="242"/>
      <c r="U222" s="244" t="str">
        <f>IF(AND(N222&lt;&gt;"",N223=""),CONCATENATE(VLOOKUP(N222,[1]zawodnicy!$A$1:$E$65536,1,FALSE)," ",VLOOKUP(N222,[1]zawodnicy!$A$1:$E$65536,2,FALSE)," ",VLOOKUP(N222,[1]zawodnicy!$A$1:$E$65536,3,FALSE)," - ",VLOOKUP(N222,[1]zawodnicy!$A$1:$E$65536,4,FALSE)),"")</f>
        <v/>
      </c>
      <c r="V222" s="245"/>
      <c r="W222" s="246"/>
      <c r="X222" s="61" t="str">
        <f>IF(SUM(AQ223:AR223)=0,"",AR223&amp;":"&amp;AQ223)</f>
        <v>2:21</v>
      </c>
      <c r="Y222" s="62"/>
      <c r="Z222" s="37" t="str">
        <f>IF(SUM(AQ222:AR222)=0,"",AQ222&amp;":"&amp;AR222)</f>
        <v>21:0</v>
      </c>
      <c r="AA222" s="248"/>
      <c r="AB222" s="251"/>
      <c r="AC222" s="251"/>
      <c r="AD222" s="254"/>
      <c r="AE222" s="2"/>
      <c r="AF222" s="12"/>
      <c r="AG222" s="12"/>
      <c r="AH222" s="44" t="s">
        <v>17</v>
      </c>
      <c r="AI222" s="63">
        <f>IF(ISBLANK(S222),"",VLOOKUP(S222,'[1]plan gier'!$X$1:$AN$65536,12,FALSE))</f>
        <v>21</v>
      </c>
      <c r="AJ222" s="64">
        <f>IF(ISBLANK(S222),"",VLOOKUP(S222,'[1]plan gier'!$X$1:$AN$65536,13,FALSE))</f>
        <v>0</v>
      </c>
      <c r="AK222" s="64">
        <f>IF(ISBLANK(S222),"",VLOOKUP(S222,'[1]plan gier'!$X$1:$AN$65536,14,FALSE))</f>
        <v>21</v>
      </c>
      <c r="AL222" s="64">
        <f>IF(ISBLANK(S222),"",VLOOKUP(S222,'[1]plan gier'!$X$1:$AN$65536,15,FALSE))</f>
        <v>0</v>
      </c>
      <c r="AM222" s="64">
        <f>IF(ISBLANK(S222),"",VLOOKUP(S222,'[1]plan gier'!$X$1:$AN$65536,16,FALSE))</f>
        <v>0</v>
      </c>
      <c r="AN222" s="64">
        <f>IF(ISBLANK(S222),"",VLOOKUP(S222,'[1]plan gier'!$X$1:$AN$65536,17,FALSE))</f>
        <v>0</v>
      </c>
      <c r="AO222" s="65">
        <f t="shared" si="24"/>
        <v>21</v>
      </c>
      <c r="AP222" s="64">
        <f t="shared" si="24"/>
        <v>0</v>
      </c>
      <c r="AQ222" s="66">
        <f t="shared" si="24"/>
        <v>21</v>
      </c>
      <c r="AR222" s="64">
        <f t="shared" si="24"/>
        <v>0</v>
      </c>
      <c r="AS222" s="66">
        <f t="shared" si="24"/>
        <v>0</v>
      </c>
      <c r="AT222" s="64">
        <f t="shared" si="24"/>
        <v>0</v>
      </c>
      <c r="AU222" s="54">
        <f>SUM(AO222:AT222)</f>
        <v>42</v>
      </c>
      <c r="AV222" s="13">
        <v>2</v>
      </c>
      <c r="AW222" s="63">
        <f>IF(AI223&lt;AJ223,1,0)+IF(AK223&lt;AL223,1,0)+IF(AM223&lt;AN223,1,0)</f>
        <v>0</v>
      </c>
      <c r="AX222" s="64">
        <f>AY221</f>
        <v>2</v>
      </c>
      <c r="AY222" s="67"/>
      <c r="AZ222" s="68"/>
      <c r="BA222" s="64">
        <f>IF(AI222&gt;AJ222,1,0)+IF(AK222&gt;AL222,1,0)+IF(AM222&gt;AN222,1,0)</f>
        <v>2</v>
      </c>
      <c r="BB222" s="69">
        <f>AY223</f>
        <v>0</v>
      </c>
      <c r="BE222" s="63">
        <f>AO222+AQ222+AS222+AP223+AR223+AT223</f>
        <v>51</v>
      </c>
      <c r="BF222" s="69">
        <f>AP222+AR222+AT222+AO223+AQ223+AS223</f>
        <v>42</v>
      </c>
      <c r="BG222" s="63">
        <f>AW222+BA222</f>
        <v>2</v>
      </c>
      <c r="BH222" s="69">
        <f>AX222+BB222</f>
        <v>2</v>
      </c>
      <c r="BI222" s="63">
        <f>IF(AW222&gt;AX222,1,0)+IF(BA222&gt;BB222,1,0)</f>
        <v>1</v>
      </c>
      <c r="BJ222" s="70">
        <f>IF(AX222&gt;AW222,1,0)+IF(BB222&gt;BA222,1,0)</f>
        <v>1</v>
      </c>
      <c r="BK222" s="71">
        <f>IF(BI222+BJ222=0,"",IF(BL222=MAX(BL221:BL223),1,IF(BL222=MIN(BL221:BL223),3,2)))</f>
        <v>2</v>
      </c>
      <c r="BL222" s="60">
        <f>IF(BI222+BJ222&lt;&gt;0,BI222+1+(BG222-BH222)/100+(BE222-BF222)/100000+(BE222/BF222)/1000000,0)</f>
        <v>2.0000912142857143</v>
      </c>
    </row>
    <row r="223" spans="1:64" ht="11.45" customHeight="1" thickBot="1" x14ac:dyDescent="0.25">
      <c r="A223" s="19">
        <f>S223</f>
        <v>289</v>
      </c>
      <c r="B223" s="2" t="str">
        <f>IF(N219="","",N219)</f>
        <v>G4577</v>
      </c>
      <c r="C223" s="2" t="str">
        <f>IF(N220="","",N220)</f>
        <v>K4563</v>
      </c>
      <c r="D223" s="2" t="str">
        <f>IF(N222="","",N222)</f>
        <v>K5132</v>
      </c>
      <c r="E223" s="2" t="str">
        <f>IF(N223="","",N223)</f>
        <v>S5947</v>
      </c>
      <c r="I223" s="2" t="str">
        <f>"3"&amp;O217&amp;N218</f>
        <v>37podwójna chłopców M</v>
      </c>
      <c r="J223" s="10" t="str">
        <f>IF(AD224="","",IF(AD218=3,N219,IF(AD221=3,N222,IF(AD224=3,N225,""))))</f>
        <v>K4124</v>
      </c>
      <c r="K223" s="10" t="str">
        <f>IF(AD224="","",IF(AD218=3,N220,IF(AD221=3,N223,IF(AD224=3,N226,""))))</f>
        <v>R5482</v>
      </c>
      <c r="M223" s="42" t="str">
        <f>N218</f>
        <v>podwójna chłopców M</v>
      </c>
      <c r="N223" s="38" t="s">
        <v>254</v>
      </c>
      <c r="O223" s="28"/>
      <c r="P223" s="28"/>
      <c r="Q223" s="43" t="str">
        <f>IF(AU223&gt;0,"",IF(A223=0,"",IF(VLOOKUP(A223,'[1]plan gier'!A$1:S$65536,19,FALSE)="","",VLOOKUP(A223,'[1]plan gier'!A$1:S$65536,19,FALSE))))</f>
        <v/>
      </c>
      <c r="R223" s="72" t="s">
        <v>18</v>
      </c>
      <c r="S223" s="45">
        <v>289</v>
      </c>
      <c r="T223" s="261"/>
      <c r="U223" s="265" t="str">
        <f>IF(N223&lt;&gt;"",CONCATENATE(VLOOKUP(N223,[1]zawodnicy!$A$1:$E$65536,1,FALSE)," ",VLOOKUP(N223,[1]zawodnicy!$A$1:$E$65536,2,FALSE)," ",VLOOKUP(N223,[1]zawodnicy!$A$1:$E$65536,3,FALSE)," - ",VLOOKUP(N223,[1]zawodnicy!$A$1:$E$65536,4,FALSE)),"")</f>
        <v>S5947 Mateusz SADOWSKI - UKSB Milenium Warszawa</v>
      </c>
      <c r="V223" s="266"/>
      <c r="W223" s="267"/>
      <c r="X223" s="73" t="str">
        <f>IF(SUM(AS223:AT223)=0,"",AT223&amp;":"&amp;AS223)</f>
        <v/>
      </c>
      <c r="Y223" s="62"/>
      <c r="Z223" s="40" t="str">
        <f>IF(SUM(AS222:AT222)=0,"",AS222&amp;":"&amp;AT222)</f>
        <v/>
      </c>
      <c r="AA223" s="262"/>
      <c r="AB223" s="263"/>
      <c r="AC223" s="263"/>
      <c r="AD223" s="264"/>
      <c r="AE223" s="2"/>
      <c r="AF223" s="12"/>
      <c r="AG223" s="12"/>
      <c r="AH223" s="72" t="s">
        <v>18</v>
      </c>
      <c r="AI223" s="74">
        <f>IF(ISBLANK(S223),"",VLOOKUP(S223,'[1]plan gier'!$X$1:$AN$65536,12,FALSE))</f>
        <v>21</v>
      </c>
      <c r="AJ223" s="75">
        <f>IF(ISBLANK(S223),"",VLOOKUP(S223,'[1]plan gier'!$X$1:$AN$65536,13,FALSE))</f>
        <v>7</v>
      </c>
      <c r="AK223" s="75">
        <f>IF(ISBLANK(S223),"",VLOOKUP(S223,'[1]plan gier'!$X$1:$AN$65536,14,FALSE))</f>
        <v>21</v>
      </c>
      <c r="AL223" s="75">
        <f>IF(ISBLANK(S223),"",VLOOKUP(S223,'[1]plan gier'!$X$1:$AN$65536,15,FALSE))</f>
        <v>2</v>
      </c>
      <c r="AM223" s="75">
        <f>IF(ISBLANK(S223),"",VLOOKUP(S223,'[1]plan gier'!$X$1:$AN$65536,16,FALSE))</f>
        <v>0</v>
      </c>
      <c r="AN223" s="75">
        <f>IF(ISBLANK(S223),"",VLOOKUP(S223,'[1]plan gier'!$X$1:$AN$65536,17,FALSE))</f>
        <v>0</v>
      </c>
      <c r="AO223" s="76">
        <f t="shared" si="24"/>
        <v>21</v>
      </c>
      <c r="AP223" s="75">
        <f t="shared" si="24"/>
        <v>7</v>
      </c>
      <c r="AQ223" s="77">
        <f t="shared" si="24"/>
        <v>21</v>
      </c>
      <c r="AR223" s="75">
        <f t="shared" si="24"/>
        <v>2</v>
      </c>
      <c r="AS223" s="77">
        <f t="shared" si="24"/>
        <v>0</v>
      </c>
      <c r="AT223" s="75">
        <f t="shared" si="24"/>
        <v>0</v>
      </c>
      <c r="AU223" s="54">
        <f>SUM(AO223:AT223)</f>
        <v>51</v>
      </c>
      <c r="AV223" s="13">
        <v>3</v>
      </c>
      <c r="AW223" s="74">
        <f>IF(AI221&lt;AJ221,1,0)+IF(AK221&lt;AL221,1,0)+IF(AM221&lt;AN221,1,0)</f>
        <v>0</v>
      </c>
      <c r="AX223" s="75">
        <f>BA221</f>
        <v>2</v>
      </c>
      <c r="AY223" s="75">
        <f>IF(AI222&lt;AJ222,1,0)+IF(AK222&lt;AL222,1,0)+IF(AM222&lt;AN222,1,0)</f>
        <v>0</v>
      </c>
      <c r="AZ223" s="75">
        <f>BA222</f>
        <v>2</v>
      </c>
      <c r="BA223" s="78"/>
      <c r="BB223" s="79"/>
      <c r="BE223" s="74">
        <f>AP221+AR221+AT221+AP222+AR222+AT222</f>
        <v>0</v>
      </c>
      <c r="BF223" s="80">
        <f>AO221+AQ221+AS221+AO222+AQ222+AS222</f>
        <v>84</v>
      </c>
      <c r="BG223" s="74">
        <f>AW223+AY223</f>
        <v>0</v>
      </c>
      <c r="BH223" s="80">
        <f>AX223+AZ223</f>
        <v>4</v>
      </c>
      <c r="BI223" s="74">
        <f>IF(AW223&gt;AX223,1,0)+IF(AY223&gt;AZ223,1,0)</f>
        <v>0</v>
      </c>
      <c r="BJ223" s="81">
        <f>IF(AX223&gt;AW223,1,0)+IF(AZ223&gt;AY223,1,0)</f>
        <v>2</v>
      </c>
      <c r="BK223" s="82">
        <f>IF(BI223+BJ223=0,"",IF(BL223=MAX(BL221:BL223),1,IF(BL223=MIN(BL221:BL223),3,2)))</f>
        <v>3</v>
      </c>
      <c r="BL223" s="60">
        <f>IF(BI223+BJ223&lt;&gt;0,BI223+1+(BG223-BH223)/100+(BE223-BF223)/100000+(BE223/BF223)/1000000,0)</f>
        <v>0.95916000000000001</v>
      </c>
    </row>
    <row r="224" spans="1:64" ht="11.45" customHeight="1" x14ac:dyDescent="0.2">
      <c r="A224" s="2"/>
      <c r="J224" s="28"/>
      <c r="K224" s="28"/>
      <c r="L224" s="28"/>
      <c r="O224" s="28"/>
      <c r="P224" s="28"/>
      <c r="Q224" s="2"/>
      <c r="R224" s="2"/>
      <c r="S224" s="2"/>
      <c r="T224" s="241">
        <v>3</v>
      </c>
      <c r="U224" s="244" t="str">
        <f>IF(AND(N225&lt;&gt;"",N226&lt;&gt;""),CONCATENATE(VLOOKUP(N225,[1]zawodnicy!$A$1:$E$65536,1,FALSE)," ",VLOOKUP(N225,[1]zawodnicy!$A$1:$E$65536,2,FALSE)," ",VLOOKUP(N225,[1]zawodnicy!$A$1:$E$65536,3,FALSE)," - ",VLOOKUP(N225,[1]zawodnicy!$A$1:$E$65536,4,FALSE)),"")</f>
        <v>K4124 Adam KRZYMOWSKI - ŚKBad Harcownik Warszawa</v>
      </c>
      <c r="V224" s="245"/>
      <c r="W224" s="246"/>
      <c r="X224" s="46" t="str">
        <f>IF(SUM(AO221:AP221)=0,"",AP221&amp;":"&amp;AO221)</f>
        <v>0:21</v>
      </c>
      <c r="Y224" s="83" t="str">
        <f>IF(SUM(AO222:AP222)=0,"",AP222&amp;":"&amp;AO222)</f>
        <v>0:21</v>
      </c>
      <c r="Z224" s="84"/>
      <c r="AA224" s="247" t="str">
        <f>IF(SUM(AW223:AZ223)=0,"",BE223&amp;":"&amp;BF223)</f>
        <v>0:84</v>
      </c>
      <c r="AB224" s="250" t="str">
        <f>IF(SUM(AW223:AZ223)=0,"",BG223&amp;":"&amp;BH223)</f>
        <v>0:4</v>
      </c>
      <c r="AC224" s="250" t="str">
        <f>IF(SUM(AW223:AZ223)=0,"",BI223&amp;":"&amp;BJ223)</f>
        <v>0:2</v>
      </c>
      <c r="AD224" s="253">
        <f>IF(SUM(BI221:BI223)&gt;0,BK223,"")</f>
        <v>3</v>
      </c>
      <c r="AE224" s="2"/>
      <c r="AF224" s="12"/>
      <c r="AG224" s="12"/>
      <c r="BE224" s="19">
        <f>SUM(BE221:BE223)</f>
        <v>135</v>
      </c>
      <c r="BF224" s="19">
        <f>SUM(BF221:BF223)</f>
        <v>135</v>
      </c>
      <c r="BG224" s="19">
        <f>SUM(BG221:BG223)</f>
        <v>6</v>
      </c>
      <c r="BH224" s="19">
        <f>SUM(BH221:BH223)</f>
        <v>6</v>
      </c>
      <c r="BK224" s="19"/>
      <c r="BL224" s="20"/>
    </row>
    <row r="225" spans="1:64" ht="11.45" customHeight="1" x14ac:dyDescent="0.2">
      <c r="A225" s="19"/>
      <c r="J225" s="19"/>
      <c r="K225" s="19"/>
      <c r="L225" s="19"/>
      <c r="N225" s="33" t="s">
        <v>255</v>
      </c>
      <c r="O225" s="34">
        <f>IF(O217&gt;0,(O217&amp;3)*1,"")</f>
        <v>73</v>
      </c>
      <c r="Q225" s="85"/>
      <c r="R225" s="85"/>
      <c r="S225" s="85"/>
      <c r="T225" s="242"/>
      <c r="U225" s="244" t="str">
        <f>IF(AND(N225&lt;&gt;"",N226=""),CONCATENATE(VLOOKUP(N225,[1]zawodnicy!$A$1:$E$65536,1,FALSE)," ",VLOOKUP(N225,[1]zawodnicy!$A$1:$E$65536,2,FALSE)," ",VLOOKUP(N225,[1]zawodnicy!$A$1:$E$65536,3,FALSE)," - ",VLOOKUP(N225,[1]zawodnicy!$A$1:$E$65536,4,FALSE)),"")</f>
        <v/>
      </c>
      <c r="V225" s="245"/>
      <c r="W225" s="246"/>
      <c r="X225" s="61" t="str">
        <f>IF(SUM(AQ221:AR221)=0,"",AR221&amp;":"&amp;AQ221)</f>
        <v>0:21</v>
      </c>
      <c r="Y225" s="36" t="str">
        <f>IF(SUM(AQ222:AR222)=0,"",AR222&amp;":"&amp;AQ222)</f>
        <v>0:21</v>
      </c>
      <c r="Z225" s="86"/>
      <c r="AA225" s="248"/>
      <c r="AB225" s="251"/>
      <c r="AC225" s="251"/>
      <c r="AD225" s="254"/>
      <c r="AE225" s="2"/>
      <c r="AF225" s="12"/>
      <c r="AG225" s="1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row>
    <row r="226" spans="1:64" ht="11.45" customHeight="1" thickBot="1" x14ac:dyDescent="0.25">
      <c r="A226" s="2"/>
      <c r="J226" s="28"/>
      <c r="K226" s="28"/>
      <c r="L226" s="28"/>
      <c r="N226" s="38" t="s">
        <v>256</v>
      </c>
      <c r="O226" s="28"/>
      <c r="P226" s="28"/>
      <c r="Q226" s="2"/>
      <c r="R226" s="2"/>
      <c r="S226" s="2"/>
      <c r="T226" s="243"/>
      <c r="U226" s="256" t="str">
        <f>IF(N226&lt;&gt;"",CONCATENATE(VLOOKUP(N226,[1]zawodnicy!$A$1:$E$65536,1,FALSE)," ",VLOOKUP(N226,[1]zawodnicy!$A$1:$E$65536,2,FALSE)," ",VLOOKUP(N226,[1]zawodnicy!$A$1:$E$65536,3,FALSE)," - ",VLOOKUP(N226,[1]zawodnicy!$A$1:$E$65536,4,FALSE)),"")</f>
        <v>R5482 Jan RADZIEJEWSKI - ŚKBad Harcownik Warszawa</v>
      </c>
      <c r="V226" s="257"/>
      <c r="W226" s="258"/>
      <c r="X226" s="87" t="str">
        <f>IF(SUM(AS221:AT221)=0,"",AT221&amp;":"&amp;AS221)</f>
        <v/>
      </c>
      <c r="Y226" s="88" t="str">
        <f>IF(SUM(AS222:AT222)=0,"",AT222&amp;":"&amp;AS222)</f>
        <v/>
      </c>
      <c r="Z226" s="89"/>
      <c r="AA226" s="249"/>
      <c r="AB226" s="252"/>
      <c r="AC226" s="252"/>
      <c r="AD226" s="255"/>
      <c r="AE226" s="10"/>
      <c r="AF226" s="12"/>
      <c r="AG226" s="1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row>
    <row r="227" spans="1:64" s="19" customFormat="1" ht="5.0999999999999996" customHeight="1" thickBot="1" x14ac:dyDescent="0.25">
      <c r="M227" s="90"/>
      <c r="O227" s="90"/>
      <c r="P227" s="90"/>
      <c r="Q227" s="91"/>
      <c r="R227" s="91"/>
      <c r="S227" s="91"/>
      <c r="T227" s="91"/>
      <c r="U227" s="5"/>
      <c r="V227" s="5"/>
      <c r="W227" s="5"/>
      <c r="AA227" s="92"/>
      <c r="AB227" s="91"/>
      <c r="AC227" s="91"/>
      <c r="AD227" s="91"/>
      <c r="AE227" s="91"/>
      <c r="AF227" s="91"/>
      <c r="AI227" s="93"/>
      <c r="AJ227" s="94"/>
      <c r="AK227" s="94"/>
    </row>
    <row r="228" spans="1:64" ht="11.45" customHeight="1" thickBot="1" x14ac:dyDescent="0.25">
      <c r="N228" s="11"/>
      <c r="O228" s="21">
        <v>8</v>
      </c>
      <c r="Q228" s="277" t="str">
        <f>"Grupa "&amp;O228&amp;"."</f>
        <v>Grupa 8.</v>
      </c>
      <c r="R228" s="277"/>
      <c r="S228" s="277"/>
      <c r="T228" s="22" t="s">
        <v>1</v>
      </c>
      <c r="U228" s="278" t="s">
        <v>2</v>
      </c>
      <c r="V228" s="279"/>
      <c r="W228" s="280"/>
      <c r="X228" s="22">
        <v>1</v>
      </c>
      <c r="Y228" s="23">
        <v>2</v>
      </c>
      <c r="Z228" s="24">
        <v>3</v>
      </c>
      <c r="AA228" s="25" t="s">
        <v>3</v>
      </c>
      <c r="AB228" s="26" t="s">
        <v>4</v>
      </c>
      <c r="AC228" s="26" t="s">
        <v>5</v>
      </c>
      <c r="AD228" s="27" t="s">
        <v>6</v>
      </c>
      <c r="AE228" s="2"/>
      <c r="AF228" s="12"/>
      <c r="AG228" s="12"/>
      <c r="BK228" s="19"/>
      <c r="BL228" s="20"/>
    </row>
    <row r="229" spans="1:64" ht="11.45" customHeight="1" x14ac:dyDescent="0.2">
      <c r="J229" s="28"/>
      <c r="K229" s="28"/>
      <c r="L229" s="28"/>
      <c r="N229" s="29" t="s">
        <v>212</v>
      </c>
      <c r="Q229" s="274" t="s">
        <v>7</v>
      </c>
      <c r="R229" s="274"/>
      <c r="S229" s="275" t="s">
        <v>8</v>
      </c>
      <c r="T229" s="276">
        <v>1</v>
      </c>
      <c r="U229" s="244" t="str">
        <f>IF(AND(N230&lt;&gt;"",N231&lt;&gt;""),CONCATENATE(VLOOKUP(N230,[1]zawodnicy!$A$1:$E$65536,1,FALSE)," ",VLOOKUP(N230,[1]zawodnicy!$A$1:$E$65536,2,FALSE)," ",VLOOKUP(N230,[1]zawodnicy!$A$1:$E$65536,3,FALSE)," - ",VLOOKUP(N230,[1]zawodnicy!$A$1:$E$65536,4,FALSE)),"")</f>
        <v>G4559 Maciej GOMOŁA - KS Masovia Płock</v>
      </c>
      <c r="V229" s="245"/>
      <c r="W229" s="246"/>
      <c r="X229" s="30"/>
      <c r="Y229" s="31" t="str">
        <f>IF(SUM(AO234:AP234)=0,"",AO234&amp;":"&amp;AP234)</f>
        <v>21:16</v>
      </c>
      <c r="Z229" s="32" t="str">
        <f>IF(SUM(AO232:AP232)=0,"",AO232&amp;":"&amp;AP232)</f>
        <v>21:12</v>
      </c>
      <c r="AA229" s="270" t="str">
        <f>IF(SUM(AY232:BB232)=0,"",BE232&amp;":"&amp;BF232)</f>
        <v>84:54</v>
      </c>
      <c r="AB229" s="271" t="str">
        <f>IF(SUM(AY232:BB232)=0,"",BG232&amp;":"&amp;BH232)</f>
        <v>4:0</v>
      </c>
      <c r="AC229" s="271" t="str">
        <f>IF(SUM(AY232:BB232)=0,"",BI232&amp;":"&amp;BJ232)</f>
        <v>2:0</v>
      </c>
      <c r="AD229" s="272">
        <f>IF(SUM(BI232:BI234)&gt;0,BK232,"")</f>
        <v>1</v>
      </c>
      <c r="AE229" s="2"/>
      <c r="AF229" s="12"/>
      <c r="AG229" s="12"/>
      <c r="AH229" s="14"/>
      <c r="AI229" s="273" t="s">
        <v>9</v>
      </c>
      <c r="AJ229" s="273"/>
      <c r="AK229" s="273"/>
      <c r="AL229" s="273"/>
      <c r="AM229" s="273"/>
      <c r="AN229" s="273"/>
      <c r="AO229" s="273" t="s">
        <v>10</v>
      </c>
      <c r="AP229" s="273"/>
      <c r="AQ229" s="273"/>
      <c r="AR229" s="273"/>
      <c r="AS229" s="273"/>
      <c r="AT229" s="273"/>
      <c r="BK229" s="19"/>
      <c r="BL229" s="20"/>
    </row>
    <row r="230" spans="1:64" ht="11.45" customHeight="1" thickBot="1" x14ac:dyDescent="0.25">
      <c r="I230" s="2" t="str">
        <f>"1"&amp;O228&amp;N229</f>
        <v>18podwójna chłopców M</v>
      </c>
      <c r="J230" s="10" t="str">
        <f>IF(AD229="","",IF(AD229=1,N230,IF(AD232=1,N233,IF(AD235=1,N236,""))))</f>
        <v>G4559</v>
      </c>
      <c r="K230" s="10" t="str">
        <f>IF(AD229="","",IF(AD229=1,N231,IF(AD232=1,N234,IF(AD235=1,N237,""))))</f>
        <v>G4560</v>
      </c>
      <c r="L230" s="10"/>
      <c r="N230" s="33" t="s">
        <v>257</v>
      </c>
      <c r="O230" s="34">
        <f>IF(O228&gt;0,(O228&amp;1)*1,"")</f>
        <v>81</v>
      </c>
      <c r="Q230" s="274"/>
      <c r="R230" s="274"/>
      <c r="S230" s="275"/>
      <c r="T230" s="242"/>
      <c r="U230" s="244" t="str">
        <f>IF(AND(N230&lt;&gt;"",N231=""),CONCATENATE(VLOOKUP(N230,[1]zawodnicy!$A$1:$E$65536,1,FALSE)," ",VLOOKUP(N230,[1]zawodnicy!$A$1:$E$65536,2,FALSE)," ",VLOOKUP(N230,[1]zawodnicy!$A$1:$E$65536,3,FALSE)," - ",VLOOKUP(N230,[1]zawodnicy!$A$1:$E$65536,4,FALSE)),"")</f>
        <v/>
      </c>
      <c r="V230" s="245"/>
      <c r="W230" s="246"/>
      <c r="X230" s="35"/>
      <c r="Y230" s="36" t="str">
        <f>IF(SUM(AQ234:AR234)=0,"",AQ234&amp;":"&amp;AR234)</f>
        <v>21:10</v>
      </c>
      <c r="Z230" s="37" t="str">
        <f>IF(SUM(AQ232:AR232)=0,"",AQ232&amp;":"&amp;AR232)</f>
        <v>21:16</v>
      </c>
      <c r="AA230" s="248"/>
      <c r="AB230" s="251"/>
      <c r="AC230" s="251"/>
      <c r="AD230" s="254"/>
      <c r="AE230" s="2"/>
      <c r="AF230" s="12"/>
      <c r="AG230" s="12"/>
      <c r="AH230" s="14"/>
      <c r="BE230" s="19">
        <f>SUM(BE232:BE234)</f>
        <v>242</v>
      </c>
      <c r="BF230" s="19">
        <f>SUM(BF232:BF234)</f>
        <v>242</v>
      </c>
      <c r="BG230" s="19">
        <f>SUM(BG232:BG234)</f>
        <v>7</v>
      </c>
      <c r="BH230" s="19">
        <f>SUM(BH232:BH234)</f>
        <v>7</v>
      </c>
      <c r="BK230" s="19"/>
      <c r="BL230" s="20"/>
    </row>
    <row r="231" spans="1:64" ht="11.45" customHeight="1" thickBot="1" x14ac:dyDescent="0.25">
      <c r="J231" s="10"/>
      <c r="K231" s="28"/>
      <c r="L231" s="28"/>
      <c r="N231" s="38" t="s">
        <v>258</v>
      </c>
      <c r="O231" s="28"/>
      <c r="P231" s="28"/>
      <c r="Q231" s="274"/>
      <c r="R231" s="274"/>
      <c r="S231" s="275"/>
      <c r="T231" s="261"/>
      <c r="U231" s="265" t="str">
        <f>IF(N231&lt;&gt;"",CONCATENATE(VLOOKUP(N231,[1]zawodnicy!$A$1:$E$65536,1,FALSE)," ",VLOOKUP(N231,[1]zawodnicy!$A$1:$E$65536,2,FALSE)," ",VLOOKUP(N231,[1]zawodnicy!$A$1:$E$65536,3,FALSE)," - ",VLOOKUP(N231,[1]zawodnicy!$A$1:$E$65536,4,FALSE)),"")</f>
        <v>G4560 Michał GOMOŁA - KS Masovia Płock</v>
      </c>
      <c r="V231" s="266"/>
      <c r="W231" s="267"/>
      <c r="X231" s="35"/>
      <c r="Y231" s="39" t="str">
        <f>IF(SUM(AS234:AT234)=0,"",AS234&amp;":"&amp;AT234)</f>
        <v/>
      </c>
      <c r="Z231" s="40" t="str">
        <f>IF(SUM(AS232:AT232)=0,"",AS232&amp;":"&amp;AT232)</f>
        <v/>
      </c>
      <c r="AA231" s="262"/>
      <c r="AB231" s="263"/>
      <c r="AC231" s="263"/>
      <c r="AD231" s="264"/>
      <c r="AE231" s="2"/>
      <c r="AF231" s="12"/>
      <c r="AG231" s="12"/>
      <c r="AH231" s="14"/>
      <c r="AI231" s="259" t="s">
        <v>12</v>
      </c>
      <c r="AJ231" s="269"/>
      <c r="AK231" s="268" t="s">
        <v>13</v>
      </c>
      <c r="AL231" s="269"/>
      <c r="AM231" s="268" t="s">
        <v>14</v>
      </c>
      <c r="AN231" s="260"/>
      <c r="AO231" s="259" t="s">
        <v>12</v>
      </c>
      <c r="AP231" s="269"/>
      <c r="AQ231" s="268" t="s">
        <v>13</v>
      </c>
      <c r="AR231" s="269"/>
      <c r="AS231" s="268" t="s">
        <v>14</v>
      </c>
      <c r="AT231" s="269"/>
      <c r="AU231" s="12"/>
      <c r="AV231" s="12"/>
      <c r="AW231" s="259">
        <v>1</v>
      </c>
      <c r="AX231" s="269"/>
      <c r="AY231" s="268">
        <v>2</v>
      </c>
      <c r="AZ231" s="269"/>
      <c r="BA231" s="268">
        <v>3</v>
      </c>
      <c r="BB231" s="260"/>
      <c r="BE231" s="259" t="s">
        <v>3</v>
      </c>
      <c r="BF231" s="260"/>
      <c r="BG231" s="259" t="s">
        <v>4</v>
      </c>
      <c r="BH231" s="260"/>
      <c r="BI231" s="259" t="s">
        <v>5</v>
      </c>
      <c r="BJ231" s="260"/>
      <c r="BK231" s="41" t="s">
        <v>6</v>
      </c>
      <c r="BL231" s="20"/>
    </row>
    <row r="232" spans="1:64" ht="11.45" customHeight="1" x14ac:dyDescent="0.2">
      <c r="A232" s="19">
        <f>S232</f>
        <v>77</v>
      </c>
      <c r="B232" s="2" t="str">
        <f>IF(N230="","",N230)</f>
        <v>G4559</v>
      </c>
      <c r="C232" s="2" t="str">
        <f>IF(N231="","",N231)</f>
        <v>G4560</v>
      </c>
      <c r="D232" s="2" t="str">
        <f>IF(N236="","",N236)</f>
        <v>G4178</v>
      </c>
      <c r="E232" s="2" t="str">
        <f>IF(N237="","",N237)</f>
        <v>S4265</v>
      </c>
      <c r="I232" s="2" t="str">
        <f>"2"&amp;O228&amp;N229</f>
        <v>28podwójna chłopców M</v>
      </c>
      <c r="J232" s="10" t="str">
        <f>IF(AD232="","",IF(AD229=2,N230,IF(AD232=2,N233,IF(AD235=2,N236,""))))</f>
        <v>S5092</v>
      </c>
      <c r="K232" s="10" t="str">
        <f>IF(AD232="","",IF(AD229=2,N231,IF(AD232=2,N234,IF(AD235=2,N237,""))))</f>
        <v>T3692</v>
      </c>
      <c r="M232" s="42" t="str">
        <f>N229</f>
        <v>podwójna chłopców M</v>
      </c>
      <c r="O232" s="28"/>
      <c r="P232" s="28"/>
      <c r="Q232" s="43" t="str">
        <f>IF(AU232&gt;0,"",IF(A232=0,"",IF(VLOOKUP(A232,'[1]plan gier'!A$1:S$65536,19,FALSE)="","",VLOOKUP(A232,'[1]plan gier'!A$1:S$65536,19,FALSE))))</f>
        <v/>
      </c>
      <c r="R232" s="44" t="s">
        <v>15</v>
      </c>
      <c r="S232" s="45">
        <v>77</v>
      </c>
      <c r="T232" s="241">
        <v>2</v>
      </c>
      <c r="U232" s="244" t="str">
        <f>IF(AND(N233&lt;&gt;"",N234&lt;&gt;""),CONCATENATE(VLOOKUP(N233,[1]zawodnicy!$A$1:$E$65536,1,FALSE)," ",VLOOKUP(N233,[1]zawodnicy!$A$1:$E$65536,2,FALSE)," ",VLOOKUP(N233,[1]zawodnicy!$A$1:$E$65536,3,FALSE)," - ",VLOOKUP(N233,[1]zawodnicy!$A$1:$E$65536,4,FALSE)),"")</f>
        <v>S5092 Andrzej SAWICKI - UKS Hubal Białystok</v>
      </c>
      <c r="V232" s="245"/>
      <c r="W232" s="246"/>
      <c r="X232" s="46" t="str">
        <f>IF(SUM(AO234:AP234)=0,"",AP234&amp;":"&amp;AO234)</f>
        <v>16:21</v>
      </c>
      <c r="Y232" s="47"/>
      <c r="Z232" s="48" t="str">
        <f>IF(SUM(AO233:AP233)=0,"",AO233&amp;":"&amp;AP233)</f>
        <v>21:17</v>
      </c>
      <c r="AA232" s="247" t="str">
        <f>IF(SUM(AW233:AX233,BA233:BB233)=0,"",BE233&amp;":"&amp;BF233)</f>
        <v>80:92</v>
      </c>
      <c r="AB232" s="250" t="str">
        <f>IF(SUM(AW233:AX233,BA233:BB233)=0,"",BG233&amp;":"&amp;BH233)</f>
        <v>2:3</v>
      </c>
      <c r="AC232" s="250" t="str">
        <f>IF(SUM(AW233:AX233,BA233:BB233)=0,"",BI233&amp;":"&amp;BJ233)</f>
        <v>1:1</v>
      </c>
      <c r="AD232" s="253">
        <f>IF(SUM(BI232:BI234)&gt;0,BK233,"")</f>
        <v>2</v>
      </c>
      <c r="AE232" s="2"/>
      <c r="AF232" s="12"/>
      <c r="AG232" s="12"/>
      <c r="AH232" s="44" t="s">
        <v>15</v>
      </c>
      <c r="AI232" s="49">
        <f>IF(ISBLANK(S232),"",VLOOKUP(S232,'[1]plan gier'!$X$1:$AN$65536,12,FALSE))</f>
        <v>21</v>
      </c>
      <c r="AJ232" s="50">
        <f>IF(ISBLANK(S232),"",VLOOKUP(S232,'[1]plan gier'!$X$1:$AN$65536,13,FALSE))</f>
        <v>12</v>
      </c>
      <c r="AK232" s="50">
        <f>IF(ISBLANK(S232),"",VLOOKUP(S232,'[1]plan gier'!$X$1:$AN$65536,14,FALSE))</f>
        <v>21</v>
      </c>
      <c r="AL232" s="50">
        <f>IF(ISBLANK(S232),"",VLOOKUP(S232,'[1]plan gier'!$X$1:$AN$65536,15,FALSE))</f>
        <v>16</v>
      </c>
      <c r="AM232" s="50">
        <f>IF(ISBLANK(S232),"",VLOOKUP(S232,'[1]plan gier'!$X$1:$AN$65536,16,FALSE))</f>
        <v>0</v>
      </c>
      <c r="AN232" s="50">
        <f>IF(ISBLANK(S232),"",VLOOKUP(S232,'[1]plan gier'!$X$1:$AN$65536,17,FALSE))</f>
        <v>0</v>
      </c>
      <c r="AO232" s="51">
        <f t="shared" ref="AO232:AT234" si="25">IF(AI232="",0,AI232)</f>
        <v>21</v>
      </c>
      <c r="AP232" s="52">
        <f t="shared" si="25"/>
        <v>12</v>
      </c>
      <c r="AQ232" s="53">
        <f t="shared" si="25"/>
        <v>21</v>
      </c>
      <c r="AR232" s="52">
        <f t="shared" si="25"/>
        <v>16</v>
      </c>
      <c r="AS232" s="53">
        <f t="shared" si="25"/>
        <v>0</v>
      </c>
      <c r="AT232" s="52">
        <f t="shared" si="25"/>
        <v>0</v>
      </c>
      <c r="AU232" s="54">
        <f>SUM(AO232:AT232)</f>
        <v>70</v>
      </c>
      <c r="AV232" s="13">
        <v>1</v>
      </c>
      <c r="AW232" s="55"/>
      <c r="AX232" s="56"/>
      <c r="AY232" s="50">
        <f>IF(AI234&gt;AJ234,1,0)+IF(AK234&gt;AL234,1,0)+IF(AM234&gt;AN234,1,0)</f>
        <v>2</v>
      </c>
      <c r="AZ232" s="50">
        <f>AW233</f>
        <v>0</v>
      </c>
      <c r="BA232" s="50">
        <f>IF(AI232&gt;AJ232,1,0)+IF(AK232&gt;AL232,1,0)+IF(AM232&gt;AN232,1,0)</f>
        <v>2</v>
      </c>
      <c r="BB232" s="57">
        <f>AW234</f>
        <v>0</v>
      </c>
      <c r="BE232" s="49">
        <f>AO232+AQ232+AS232+AO234+AQ234+AS234</f>
        <v>84</v>
      </c>
      <c r="BF232" s="57">
        <f>AP232+AR232+AT232+AP234+AR234+AT234</f>
        <v>54</v>
      </c>
      <c r="BG232" s="49">
        <f>AY232+BA232</f>
        <v>4</v>
      </c>
      <c r="BH232" s="57">
        <f>AZ232+BB232</f>
        <v>0</v>
      </c>
      <c r="BI232" s="49">
        <f>IF(AY232&gt;AZ232,1,0)+IF(BA232&gt;BB232,1,0)</f>
        <v>2</v>
      </c>
      <c r="BJ232" s="58">
        <f>IF(AZ232&gt;AY232,1,0)+IF(BB232&gt;BA232,1,0)</f>
        <v>0</v>
      </c>
      <c r="BK232" s="59">
        <f>IF(BI232+BJ232=0,"",IF(BL232=MAX(BL232:BL234),1,IF(BL232=MIN(BL232:BL234),3,2)))</f>
        <v>1</v>
      </c>
      <c r="BL232" s="60">
        <f>IF(BI232+BJ232&lt;&gt;0,BI232+1+(BG232-BH232)/100+(BE232-BF232)/100000+(BE232/BF232)/1000000,0)</f>
        <v>3.0403015555555557</v>
      </c>
    </row>
    <row r="233" spans="1:64" ht="11.45" customHeight="1" x14ac:dyDescent="0.2">
      <c r="A233" s="19">
        <f>S233</f>
        <v>143</v>
      </c>
      <c r="B233" s="2" t="str">
        <f>IF(N233="","",N233)</f>
        <v>S5092</v>
      </c>
      <c r="C233" s="2" t="str">
        <f>IF(N234="","",N234)</f>
        <v>T3692</v>
      </c>
      <c r="D233" s="2" t="str">
        <f>IF(N236="","",N236)</f>
        <v>G4178</v>
      </c>
      <c r="E233" s="2" t="str">
        <f>IF(N237="","",N237)</f>
        <v>S4265</v>
      </c>
      <c r="J233" s="10"/>
      <c r="K233" s="19"/>
      <c r="M233" s="42" t="str">
        <f>N229</f>
        <v>podwójna chłopców M</v>
      </c>
      <c r="N233" s="33" t="s">
        <v>259</v>
      </c>
      <c r="O233" s="34">
        <f>IF(O228&gt;0,(O228&amp;2)*1,"")</f>
        <v>82</v>
      </c>
      <c r="Q233" s="43" t="str">
        <f>IF(AU233&gt;0,"",IF(A233=0,"",IF(VLOOKUP(A233,'[1]plan gier'!A$1:S$65536,19,FALSE)="","",VLOOKUP(A233,'[1]plan gier'!A$1:S$65536,19,FALSE))))</f>
        <v/>
      </c>
      <c r="R233" s="44" t="s">
        <v>17</v>
      </c>
      <c r="S233" s="45">
        <v>143</v>
      </c>
      <c r="T233" s="242"/>
      <c r="U233" s="244" t="str">
        <f>IF(AND(N233&lt;&gt;"",N234=""),CONCATENATE(VLOOKUP(N233,[1]zawodnicy!$A$1:$E$65536,1,FALSE)," ",VLOOKUP(N233,[1]zawodnicy!$A$1:$E$65536,2,FALSE)," ",VLOOKUP(N233,[1]zawodnicy!$A$1:$E$65536,3,FALSE)," - ",VLOOKUP(N233,[1]zawodnicy!$A$1:$E$65536,4,FALSE)),"")</f>
        <v/>
      </c>
      <c r="V233" s="245"/>
      <c r="W233" s="246"/>
      <c r="X233" s="61" t="str">
        <f>IF(SUM(AQ234:AR234)=0,"",AR234&amp;":"&amp;AQ234)</f>
        <v>10:21</v>
      </c>
      <c r="Y233" s="62"/>
      <c r="Z233" s="37" t="str">
        <f>IF(SUM(AQ233:AR233)=0,"",AQ233&amp;":"&amp;AR233)</f>
        <v>12:21</v>
      </c>
      <c r="AA233" s="248"/>
      <c r="AB233" s="251"/>
      <c r="AC233" s="251"/>
      <c r="AD233" s="254"/>
      <c r="AE233" s="2"/>
      <c r="AF233" s="12"/>
      <c r="AG233" s="12"/>
      <c r="AH233" s="44" t="s">
        <v>17</v>
      </c>
      <c r="AI233" s="63">
        <f>IF(ISBLANK(S233),"",VLOOKUP(S233,'[1]plan gier'!$X$1:$AN$65536,12,FALSE))</f>
        <v>21</v>
      </c>
      <c r="AJ233" s="64">
        <f>IF(ISBLANK(S233),"",VLOOKUP(S233,'[1]plan gier'!$X$1:$AN$65536,13,FALSE))</f>
        <v>17</v>
      </c>
      <c r="AK233" s="64">
        <f>IF(ISBLANK(S233),"",VLOOKUP(S233,'[1]plan gier'!$X$1:$AN$65536,14,FALSE))</f>
        <v>12</v>
      </c>
      <c r="AL233" s="64">
        <f>IF(ISBLANK(S233),"",VLOOKUP(S233,'[1]plan gier'!$X$1:$AN$65536,15,FALSE))</f>
        <v>21</v>
      </c>
      <c r="AM233" s="64">
        <f>IF(ISBLANK(S233),"",VLOOKUP(S233,'[1]plan gier'!$X$1:$AN$65536,16,FALSE))</f>
        <v>21</v>
      </c>
      <c r="AN233" s="64">
        <f>IF(ISBLANK(S233),"",VLOOKUP(S233,'[1]plan gier'!$X$1:$AN$65536,17,FALSE))</f>
        <v>12</v>
      </c>
      <c r="AO233" s="65">
        <f t="shared" si="25"/>
        <v>21</v>
      </c>
      <c r="AP233" s="64">
        <f t="shared" si="25"/>
        <v>17</v>
      </c>
      <c r="AQ233" s="66">
        <f t="shared" si="25"/>
        <v>12</v>
      </c>
      <c r="AR233" s="64">
        <f t="shared" si="25"/>
        <v>21</v>
      </c>
      <c r="AS233" s="66">
        <f t="shared" si="25"/>
        <v>21</v>
      </c>
      <c r="AT233" s="64">
        <f t="shared" si="25"/>
        <v>12</v>
      </c>
      <c r="AU233" s="54">
        <f>SUM(AO233:AT233)</f>
        <v>104</v>
      </c>
      <c r="AV233" s="13">
        <v>2</v>
      </c>
      <c r="AW233" s="63">
        <f>IF(AI234&lt;AJ234,1,0)+IF(AK234&lt;AL234,1,0)+IF(AM234&lt;AN234,1,0)</f>
        <v>0</v>
      </c>
      <c r="AX233" s="64">
        <f>AY232</f>
        <v>2</v>
      </c>
      <c r="AY233" s="67"/>
      <c r="AZ233" s="68"/>
      <c r="BA233" s="64">
        <f>IF(AI233&gt;AJ233,1,0)+IF(AK233&gt;AL233,1,0)+IF(AM233&gt;AN233,1,0)</f>
        <v>2</v>
      </c>
      <c r="BB233" s="69">
        <f>AY234</f>
        <v>1</v>
      </c>
      <c r="BE233" s="63">
        <f>AO233+AQ233+AS233+AP234+AR234+AT234</f>
        <v>80</v>
      </c>
      <c r="BF233" s="69">
        <f>AP233+AR233+AT233+AO234+AQ234+AS234</f>
        <v>92</v>
      </c>
      <c r="BG233" s="63">
        <f>AW233+BA233</f>
        <v>2</v>
      </c>
      <c r="BH233" s="69">
        <f>AX233+BB233</f>
        <v>3</v>
      </c>
      <c r="BI233" s="63">
        <f>IF(AW233&gt;AX233,1,0)+IF(BA233&gt;BB233,1,0)</f>
        <v>1</v>
      </c>
      <c r="BJ233" s="70">
        <f>IF(AX233&gt;AW233,1,0)+IF(BB233&gt;BA233,1,0)</f>
        <v>1</v>
      </c>
      <c r="BK233" s="71">
        <f>IF(BI233+BJ233=0,"",IF(BL233=MAX(BL232:BL234),1,IF(BL233=MIN(BL232:BL234),3,2)))</f>
        <v>2</v>
      </c>
      <c r="BL233" s="60">
        <f>IF(BI233+BJ233&lt;&gt;0,BI233+1+(BG233-BH233)/100+(BE233-BF233)/100000+(BE233/BF233)/1000000,0)</f>
        <v>1.9898808695652175</v>
      </c>
    </row>
    <row r="234" spans="1:64" ht="11.45" customHeight="1" thickBot="1" x14ac:dyDescent="0.25">
      <c r="A234" s="19">
        <f>S234</f>
        <v>290</v>
      </c>
      <c r="B234" s="2" t="str">
        <f>IF(N230="","",N230)</f>
        <v>G4559</v>
      </c>
      <c r="C234" s="2" t="str">
        <f>IF(N231="","",N231)</f>
        <v>G4560</v>
      </c>
      <c r="D234" s="2" t="str">
        <f>IF(N233="","",N233)</f>
        <v>S5092</v>
      </c>
      <c r="E234" s="2" t="str">
        <f>IF(N234="","",N234)</f>
        <v>T3692</v>
      </c>
      <c r="I234" s="2" t="str">
        <f>"3"&amp;O228&amp;N229</f>
        <v>38podwójna chłopców M</v>
      </c>
      <c r="J234" s="10" t="str">
        <f>IF(AD235="","",IF(AD229=3,N230,IF(AD232=3,N233,IF(AD235=3,N236,""))))</f>
        <v>G4178</v>
      </c>
      <c r="K234" s="10" t="str">
        <f>IF(AD235="","",IF(AD229=3,N231,IF(AD232=3,N234,IF(AD235=3,N237,""))))</f>
        <v>S4265</v>
      </c>
      <c r="M234" s="42" t="str">
        <f>N229</f>
        <v>podwójna chłopców M</v>
      </c>
      <c r="N234" s="38" t="s">
        <v>260</v>
      </c>
      <c r="O234" s="28"/>
      <c r="P234" s="28"/>
      <c r="Q234" s="43" t="str">
        <f>IF(AU234&gt;0,"",IF(A234=0,"",IF(VLOOKUP(A234,'[1]plan gier'!A$1:S$65536,19,FALSE)="","",VLOOKUP(A234,'[1]plan gier'!A$1:S$65536,19,FALSE))))</f>
        <v/>
      </c>
      <c r="R234" s="72" t="s">
        <v>18</v>
      </c>
      <c r="S234" s="45">
        <v>290</v>
      </c>
      <c r="T234" s="261"/>
      <c r="U234" s="265" t="str">
        <f>IF(N234&lt;&gt;"",CONCATENATE(VLOOKUP(N234,[1]zawodnicy!$A$1:$E$65536,1,FALSE)," ",VLOOKUP(N234,[1]zawodnicy!$A$1:$E$65536,2,FALSE)," ",VLOOKUP(N234,[1]zawodnicy!$A$1:$E$65536,3,FALSE)," - ",VLOOKUP(N234,[1]zawodnicy!$A$1:$E$65536,4,FALSE)),"")</f>
        <v>T3692 Kacper TROCHIM - UKS Hubal Białystok</v>
      </c>
      <c r="V234" s="266"/>
      <c r="W234" s="267"/>
      <c r="X234" s="73" t="str">
        <f>IF(SUM(AS234:AT234)=0,"",AT234&amp;":"&amp;AS234)</f>
        <v/>
      </c>
      <c r="Y234" s="62"/>
      <c r="Z234" s="40" t="str">
        <f>IF(SUM(AS233:AT233)=0,"",AS233&amp;":"&amp;AT233)</f>
        <v>21:12</v>
      </c>
      <c r="AA234" s="262"/>
      <c r="AB234" s="263"/>
      <c r="AC234" s="263"/>
      <c r="AD234" s="264"/>
      <c r="AE234" s="2"/>
      <c r="AF234" s="12"/>
      <c r="AG234" s="12"/>
      <c r="AH234" s="72" t="s">
        <v>18</v>
      </c>
      <c r="AI234" s="74">
        <f>IF(ISBLANK(S234),"",VLOOKUP(S234,'[1]plan gier'!$X$1:$AN$65536,12,FALSE))</f>
        <v>21</v>
      </c>
      <c r="AJ234" s="75">
        <f>IF(ISBLANK(S234),"",VLOOKUP(S234,'[1]plan gier'!$X$1:$AN$65536,13,FALSE))</f>
        <v>16</v>
      </c>
      <c r="AK234" s="75">
        <f>IF(ISBLANK(S234),"",VLOOKUP(S234,'[1]plan gier'!$X$1:$AN$65536,14,FALSE))</f>
        <v>21</v>
      </c>
      <c r="AL234" s="75">
        <f>IF(ISBLANK(S234),"",VLOOKUP(S234,'[1]plan gier'!$X$1:$AN$65536,15,FALSE))</f>
        <v>10</v>
      </c>
      <c r="AM234" s="75">
        <f>IF(ISBLANK(S234),"",VLOOKUP(S234,'[1]plan gier'!$X$1:$AN$65536,16,FALSE))</f>
        <v>0</v>
      </c>
      <c r="AN234" s="75">
        <f>IF(ISBLANK(S234),"",VLOOKUP(S234,'[1]plan gier'!$X$1:$AN$65536,17,FALSE))</f>
        <v>0</v>
      </c>
      <c r="AO234" s="76">
        <f t="shared" si="25"/>
        <v>21</v>
      </c>
      <c r="AP234" s="75">
        <f t="shared" si="25"/>
        <v>16</v>
      </c>
      <c r="AQ234" s="77">
        <f t="shared" si="25"/>
        <v>21</v>
      </c>
      <c r="AR234" s="75">
        <f t="shared" si="25"/>
        <v>10</v>
      </c>
      <c r="AS234" s="77">
        <f t="shared" si="25"/>
        <v>0</v>
      </c>
      <c r="AT234" s="75">
        <f t="shared" si="25"/>
        <v>0</v>
      </c>
      <c r="AU234" s="54">
        <f>SUM(AO234:AT234)</f>
        <v>68</v>
      </c>
      <c r="AV234" s="13">
        <v>3</v>
      </c>
      <c r="AW234" s="74">
        <f>IF(AI232&lt;AJ232,1,0)+IF(AK232&lt;AL232,1,0)+IF(AM232&lt;AN232,1,0)</f>
        <v>0</v>
      </c>
      <c r="AX234" s="75">
        <f>BA232</f>
        <v>2</v>
      </c>
      <c r="AY234" s="75">
        <f>IF(AI233&lt;AJ233,1,0)+IF(AK233&lt;AL233,1,0)+IF(AM233&lt;AN233,1,0)</f>
        <v>1</v>
      </c>
      <c r="AZ234" s="75">
        <f>BA233</f>
        <v>2</v>
      </c>
      <c r="BA234" s="78"/>
      <c r="BB234" s="79"/>
      <c r="BE234" s="74">
        <f>AP232+AR232+AT232+AP233+AR233+AT233</f>
        <v>78</v>
      </c>
      <c r="BF234" s="80">
        <f>AO232+AQ232+AS232+AO233+AQ233+AS233</f>
        <v>96</v>
      </c>
      <c r="BG234" s="74">
        <f>AW234+AY234</f>
        <v>1</v>
      </c>
      <c r="BH234" s="80">
        <f>AX234+AZ234</f>
        <v>4</v>
      </c>
      <c r="BI234" s="74">
        <f>IF(AW234&gt;AX234,1,0)+IF(AY234&gt;AZ234,1,0)</f>
        <v>0</v>
      </c>
      <c r="BJ234" s="81">
        <f>IF(AX234&gt;AW234,1,0)+IF(AZ234&gt;AY234,1,0)</f>
        <v>2</v>
      </c>
      <c r="BK234" s="82">
        <f>IF(BI234+BJ234=0,"",IF(BL234=MAX(BL232:BL234),1,IF(BL234=MIN(BL232:BL234),3,2)))</f>
        <v>3</v>
      </c>
      <c r="BL234" s="60">
        <f>IF(BI234+BJ234&lt;&gt;0,BI234+1+(BG234-BH234)/100+(BE234-BF234)/100000+(BE234/BF234)/1000000,0)</f>
        <v>0.96982081249999996</v>
      </c>
    </row>
    <row r="235" spans="1:64" ht="11.45" customHeight="1" x14ac:dyDescent="0.2">
      <c r="A235" s="2"/>
      <c r="J235" s="28"/>
      <c r="K235" s="28"/>
      <c r="L235" s="28"/>
      <c r="O235" s="28"/>
      <c r="P235" s="28"/>
      <c r="Q235" s="2"/>
      <c r="R235" s="2"/>
      <c r="S235" s="2"/>
      <c r="T235" s="241">
        <v>3</v>
      </c>
      <c r="U235" s="244" t="str">
        <f>IF(AND(N236&lt;&gt;"",N237&lt;&gt;""),CONCATENATE(VLOOKUP(N236,[1]zawodnicy!$A$1:$E$65536,1,FALSE)," ",VLOOKUP(N236,[1]zawodnicy!$A$1:$E$65536,2,FALSE)," ",VLOOKUP(N236,[1]zawodnicy!$A$1:$E$65536,3,FALSE)," - ",VLOOKUP(N236,[1]zawodnicy!$A$1:$E$65536,4,FALSE)),"")</f>
        <v>G4178 Piotr GAJDA - KS Chojnik Jelenia Góra</v>
      </c>
      <c r="V235" s="245"/>
      <c r="W235" s="246"/>
      <c r="X235" s="46" t="str">
        <f>IF(SUM(AO232:AP232)=0,"",AP232&amp;":"&amp;AO232)</f>
        <v>12:21</v>
      </c>
      <c r="Y235" s="83" t="str">
        <f>IF(SUM(AO233:AP233)=0,"",AP233&amp;":"&amp;AO233)</f>
        <v>17:21</v>
      </c>
      <c r="Z235" s="84"/>
      <c r="AA235" s="247" t="str">
        <f>IF(SUM(AW234:AZ234)=0,"",BE234&amp;":"&amp;BF234)</f>
        <v>78:96</v>
      </c>
      <c r="AB235" s="250" t="str">
        <f>IF(SUM(AW234:AZ234)=0,"",BG234&amp;":"&amp;BH234)</f>
        <v>1:4</v>
      </c>
      <c r="AC235" s="250" t="str">
        <f>IF(SUM(AW234:AZ234)=0,"",BI234&amp;":"&amp;BJ234)</f>
        <v>0:2</v>
      </c>
      <c r="AD235" s="253">
        <f>IF(SUM(BI232:BI234)&gt;0,BK234,"")</f>
        <v>3</v>
      </c>
      <c r="AE235" s="2"/>
      <c r="AF235" s="12"/>
      <c r="AG235" s="12"/>
      <c r="BE235" s="19">
        <f>SUM(BE232:BE234)</f>
        <v>242</v>
      </c>
      <c r="BF235" s="19">
        <f>SUM(BF232:BF234)</f>
        <v>242</v>
      </c>
      <c r="BG235" s="19">
        <f>SUM(BG232:BG234)</f>
        <v>7</v>
      </c>
      <c r="BH235" s="19">
        <f>SUM(BH232:BH234)</f>
        <v>7</v>
      </c>
      <c r="BK235" s="19"/>
      <c r="BL235" s="20"/>
    </row>
    <row r="236" spans="1:64" ht="11.45" customHeight="1" x14ac:dyDescent="0.2">
      <c r="A236" s="19"/>
      <c r="J236" s="19"/>
      <c r="K236" s="19"/>
      <c r="L236" s="19"/>
      <c r="N236" s="33" t="s">
        <v>261</v>
      </c>
      <c r="O236" s="34">
        <f>IF(O228&gt;0,(O228&amp;3)*1,"")</f>
        <v>83</v>
      </c>
      <c r="Q236" s="85"/>
      <c r="R236" s="85"/>
      <c r="S236" s="85"/>
      <c r="T236" s="242"/>
      <c r="U236" s="244" t="str">
        <f>IF(AND(N236&lt;&gt;"",N237=""),CONCATENATE(VLOOKUP(N236,[1]zawodnicy!$A$1:$E$65536,1,FALSE)," ",VLOOKUP(N236,[1]zawodnicy!$A$1:$E$65536,2,FALSE)," ",VLOOKUP(N236,[1]zawodnicy!$A$1:$E$65536,3,FALSE)," - ",VLOOKUP(N236,[1]zawodnicy!$A$1:$E$65536,4,FALSE)),"")</f>
        <v/>
      </c>
      <c r="V236" s="245"/>
      <c r="W236" s="246"/>
      <c r="X236" s="61" t="str">
        <f>IF(SUM(AQ232:AR232)=0,"",AR232&amp;":"&amp;AQ232)</f>
        <v>16:21</v>
      </c>
      <c r="Y236" s="36" t="str">
        <f>IF(SUM(AQ233:AR233)=0,"",AR233&amp;":"&amp;AQ233)</f>
        <v>21:12</v>
      </c>
      <c r="Z236" s="86"/>
      <c r="AA236" s="248"/>
      <c r="AB236" s="251"/>
      <c r="AC236" s="251"/>
      <c r="AD236" s="254"/>
      <c r="AE236" s="2"/>
      <c r="AF236" s="12"/>
      <c r="AG236" s="1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row>
    <row r="237" spans="1:64" ht="11.45" customHeight="1" thickBot="1" x14ac:dyDescent="0.25">
      <c r="A237" s="2"/>
      <c r="J237" s="28"/>
      <c r="K237" s="28"/>
      <c r="L237" s="28"/>
      <c r="N237" s="38" t="s">
        <v>262</v>
      </c>
      <c r="O237" s="28"/>
      <c r="P237" s="28"/>
      <c r="Q237" s="2"/>
      <c r="R237" s="2"/>
      <c r="S237" s="2"/>
      <c r="T237" s="243"/>
      <c r="U237" s="256" t="str">
        <f>IF(N237&lt;&gt;"",CONCATENATE(VLOOKUP(N237,[1]zawodnicy!$A$1:$E$65536,1,FALSE)," ",VLOOKUP(N237,[1]zawodnicy!$A$1:$E$65536,2,FALSE)," ",VLOOKUP(N237,[1]zawodnicy!$A$1:$E$65536,3,FALSE)," - ",VLOOKUP(N237,[1]zawodnicy!$A$1:$E$65536,4,FALSE)),"")</f>
        <v>S4265 Łukasz STĘPNIEWSKI - MKB Lednik Miastko</v>
      </c>
      <c r="V237" s="257"/>
      <c r="W237" s="258"/>
      <c r="X237" s="87" t="str">
        <f>IF(SUM(AS232:AT232)=0,"",AT232&amp;":"&amp;AS232)</f>
        <v/>
      </c>
      <c r="Y237" s="88" t="str">
        <f>IF(SUM(AS233:AT233)=0,"",AT233&amp;":"&amp;AS233)</f>
        <v>12:21</v>
      </c>
      <c r="Z237" s="89"/>
      <c r="AA237" s="249"/>
      <c r="AB237" s="252"/>
      <c r="AC237" s="252"/>
      <c r="AD237" s="255"/>
      <c r="AE237" s="10"/>
      <c r="AF237" s="12"/>
      <c r="AG237" s="1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row>
    <row r="238" spans="1:64" s="19" customFormat="1" ht="5.0999999999999996" customHeight="1" x14ac:dyDescent="0.2">
      <c r="M238" s="90"/>
      <c r="O238" s="90"/>
      <c r="P238" s="90"/>
      <c r="Q238" s="91"/>
      <c r="R238" s="91"/>
      <c r="S238" s="91"/>
      <c r="T238" s="91"/>
      <c r="U238" s="5"/>
      <c r="V238" s="5"/>
      <c r="W238" s="5"/>
      <c r="AA238" s="92"/>
      <c r="AB238" s="91"/>
      <c r="AC238" s="91"/>
      <c r="AD238" s="91"/>
      <c r="AE238" s="91"/>
      <c r="AF238" s="91"/>
      <c r="AI238" s="93"/>
      <c r="AJ238" s="94"/>
      <c r="AK238" s="94"/>
    </row>
    <row r="240" spans="1:64" ht="12.75" x14ac:dyDescent="0.2">
      <c r="J240" s="2"/>
      <c r="K240" s="2"/>
      <c r="L240" s="2"/>
      <c r="M240" s="95"/>
      <c r="N240" s="96">
        <v>1</v>
      </c>
      <c r="O240" s="97">
        <v>8</v>
      </c>
      <c r="P240" s="98"/>
      <c r="Q240" s="1"/>
      <c r="R240" s="1"/>
      <c r="S240" s="1"/>
      <c r="T240" s="229"/>
      <c r="U240" s="229"/>
      <c r="V240" s="229"/>
      <c r="W240" s="229"/>
      <c r="X240" s="229"/>
      <c r="Y240" s="229"/>
      <c r="Z240" s="229"/>
      <c r="AA240" s="229"/>
      <c r="AB240" s="229"/>
      <c r="AC240" s="229"/>
      <c r="AD240" s="229"/>
      <c r="AE240" s="229"/>
      <c r="AF240" s="229"/>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row>
    <row r="241" spans="1:63" ht="12.75" x14ac:dyDescent="0.2">
      <c r="J241" s="2"/>
      <c r="K241" s="2"/>
      <c r="L241" s="2"/>
      <c r="N241" s="99" t="s">
        <v>212</v>
      </c>
      <c r="P241" s="98"/>
      <c r="Q241" s="1"/>
      <c r="R241" s="1"/>
      <c r="S241" s="1"/>
      <c r="T241" s="1"/>
      <c r="U241" s="1"/>
      <c r="V241" s="101"/>
      <c r="W241" s="101"/>
      <c r="X241" s="101"/>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row>
    <row r="242" spans="1:63" ht="12.75" x14ac:dyDescent="0.2">
      <c r="J242" s="2"/>
      <c r="K242" s="2"/>
      <c r="L242" s="2"/>
      <c r="M242" s="95"/>
      <c r="N242" s="119"/>
      <c r="O242" s="120">
        <f>IF(P242="","",1)</f>
        <v>1</v>
      </c>
      <c r="P242" s="121">
        <f>IF(O240&gt;4,1,"")</f>
        <v>1</v>
      </c>
      <c r="Q242" s="113">
        <f>O242</f>
        <v>1</v>
      </c>
      <c r="R242" s="113"/>
      <c r="S242" s="113"/>
      <c r="T242" s="234" t="str">
        <f>UPPER(IF(O242="","",IF(ISTEXT(N242),N242,IF(AND(N240&gt;0,O242&gt;0),VLOOKUP(N240&amp;O242&amp;N241,I:K,2,FALSE),""))))</f>
        <v>A4673</v>
      </c>
      <c r="U242" s="235"/>
      <c r="V242" s="122" t="str">
        <f>IF(T242&lt;&gt;"",CONCATENATE(VLOOKUP(T242,[1]zawodnicy!$A$1:$E$65536,2,FALSE)," ",VLOOKUP(T242,[1]zawodnicy!$A$1:$E$65536,3,FALSE)," - ",VLOOKUP(T242,[1]zawodnicy!$A$1:$E$65536,4,FALSE)),"")</f>
        <v>Szymon ADAMCZUK - UKS Kiko Zamość</v>
      </c>
      <c r="W242" s="123"/>
      <c r="X242" s="228" t="str">
        <f>IF(ISBLANK(W243),IF(AND(LEN(T242)&gt;0,LEN(T244)=0),VLOOKUP(T242,[1]zawodnicy!$A$1:$E$65536,3,FALSE),IF(AND(LEN(T244)&gt;0,LEN(T242)=0),VLOOKUP(T244,[1]zawodnicy!$A$1:$E$65536,3,FALSE),"")),IF((VLOOKUP(W243,'[1]plan gier'!$X$1:$AF$65536,7,FALSE))="","",VLOOKUP(VLOOKUP(W243,'[1]plan gier'!$X$1:$AF$65536,7,FALSE),[1]zawodnicy!$A$1:$E$65536,3,FALSE)))</f>
        <v>ADAMCZUK</v>
      </c>
      <c r="Y242" s="229"/>
      <c r="Z242" s="229"/>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row>
    <row r="243" spans="1:63" ht="12.75" x14ac:dyDescent="0.2">
      <c r="A243" s="102">
        <f>W243</f>
        <v>425</v>
      </c>
      <c r="B243" s="2" t="str">
        <f>IF(TYPE(T242)=16,"",T242)</f>
        <v>A4673</v>
      </c>
      <c r="C243" s="2" t="str">
        <f>IF(TYPE(T243)=16,"",T243)</f>
        <v>J4677</v>
      </c>
      <c r="D243" s="2" t="str">
        <f>IF(TYPE(T244)=16,"",T244)</f>
        <v>B4431</v>
      </c>
      <c r="E243" s="2" t="str">
        <f>IF(TYPE(T245)=16,"",T245)</f>
        <v>K4432</v>
      </c>
      <c r="F243" s="2" t="str">
        <f>IF(A243=0,IF(AND(LEN(B243)&gt;1,LEN(D243)=0),VLOOKUP(B243,[1]zawodnicy!$A$1:$E$65536,1,FALSE),IF(AND(LEN(D243)&gt;1,LEN(B243)=0),VLOOKUP(D243,[1]zawodnicy!$A$1:$E$65536,1,FALSE),"")),IF((VLOOKUP(A243,'[1]plan gier'!$X$1:$AF$65536,7,FALSE))="","",VLOOKUP(VLOOKUP(A243,'[1]plan gier'!$X$1:$AF$65536,7,FALSE),[1]zawodnicy!$A$1:$E$65536,1,FALSE)))</f>
        <v>A4673</v>
      </c>
      <c r="G243" s="2" t="str">
        <f>IF(A243=0,IF(AND(LEN(C243)&gt;1,LEN(E243)=0),VLOOKUP(C243,[1]zawodnicy!$A$1:$E$65536,1,FALSE),IF(AND(LEN(E243)&gt;1,LEN(C243)=0),VLOOKUP(E243,[1]zawodnicy!$A$1:$E$65536,1,FALSE),"")),IF((VLOOKUP(A243,'[1]plan gier'!$X$1:$AF$65536,8,FALSE))="","",VLOOKUP(VLOOKUP(A243,'[1]plan gier'!$X$1:$AF$65536,8,FALSE),[1]zawodnicy!$A$1:$E$65536,1,FALSE)))</f>
        <v>J4677</v>
      </c>
      <c r="H243" s="2" t="str">
        <f>IF(A243=0,"",IF((VLOOKUP(A243,'[1]plan gier'!$X$1:$AF$65536,7,FALSE))="","",VLOOKUP(A243,'[1]plan gier'!$X$1:$AF$65536,9,FALSE)))</f>
        <v>21:16,15:21,21:19</v>
      </c>
      <c r="L243" s="124" t="str">
        <f>IF(A243=0,"",IF(VLOOKUP(A243,'[1]plan gier'!A$1:S$65536,19,FALSE)="","",VLOOKUP(A243,'[1]plan gier'!A$1:S$65536,19,FALSE)))</f>
        <v>nie 10:00</v>
      </c>
      <c r="M243" s="2" t="str">
        <f>N241</f>
        <v>podwójna chłopców M</v>
      </c>
      <c r="N243" s="125"/>
      <c r="O243" s="121"/>
      <c r="P243" s="121"/>
      <c r="Q243" s="114"/>
      <c r="R243" s="114"/>
      <c r="S243" s="114"/>
      <c r="T243" s="224" t="str">
        <f>UPPER(IF(O242="","",IF(ISTEXT(N243),N243,IF(AND(N240&gt;0,O242&gt;0),VLOOKUP(N240&amp;O242&amp;N241,I:K,3,FALSE),""))))</f>
        <v>J4677</v>
      </c>
      <c r="U243" s="225"/>
      <c r="V243" s="126" t="str">
        <f>IF(T243&lt;&gt;"",CONCATENATE(VLOOKUP(T243,[1]zawodnicy!$A$1:$E$65536,2,FALSE)," ",VLOOKUP(T243,[1]zawodnicy!$A$1:$E$65536,3,FALSE)," - ",VLOOKUP(T243,[1]zawodnicy!$A$1:$E$65536,4,FALSE)),"")</f>
        <v>Adam JAGODA - UKS Kiko Zamość</v>
      </c>
      <c r="W243" s="127">
        <v>425</v>
      </c>
      <c r="X243" s="231" t="str">
        <f>IF(ISBLANK(W243),IF(AND(LEN(T243)&gt;0,LEN(T245)=0),VLOOKUP(T243,[1]zawodnicy!$A$1:$E$65536,3,FALSE),IF(AND(LEN(T245)&gt;0,LEN(T243)=0),VLOOKUP(T245,[1]zawodnicy!$A$1:$E$65536,3,FALSE),"")),IF((VLOOKUP(W243,'[1]plan gier'!$X$1:$AF$65536,8,FALSE))="","",VLOOKUP(VLOOKUP(W243,'[1]plan gier'!$X$1:$AF$65536,8,FALSE),[1]zawodnicy!$A$1:$E$65536,3,FALSE)))</f>
        <v>JAGODA</v>
      </c>
      <c r="Y243" s="232"/>
      <c r="Z243" s="23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row>
    <row r="244" spans="1:63" ht="12.75" x14ac:dyDescent="0.2">
      <c r="J244" s="2"/>
      <c r="K244" s="2"/>
      <c r="L244" s="2"/>
      <c r="M244" s="95"/>
      <c r="N244" s="125"/>
      <c r="O244" s="120">
        <f>IF(P244="","",MAX(O242:O243)+1)</f>
        <v>2</v>
      </c>
      <c r="P244" s="121">
        <f>IF(O240&gt;7,5,"")</f>
        <v>5</v>
      </c>
      <c r="Q244" s="113">
        <f>O244</f>
        <v>2</v>
      </c>
      <c r="R244" s="113"/>
      <c r="S244" s="113"/>
      <c r="T244" s="234" t="str">
        <f>UPPER(IF(O244="","",IF(ISTEXT(N244),N244,IF(AND(N240&gt;0,O244&gt;0),VLOOKUP(N240&amp;O244&amp;N241,I:K,2,FALSE),""))))</f>
        <v>B4431</v>
      </c>
      <c r="U244" s="235"/>
      <c r="V244" s="122" t="str">
        <f>IF(T244&lt;&gt;"",CONCATENATE(VLOOKUP(T244,[1]zawodnicy!$A$1:$E$65536,2,FALSE)," ",VLOOKUP(T244,[1]zawodnicy!$A$1:$E$65536,3,FALSE)," - ",VLOOKUP(T244,[1]zawodnicy!$A$1:$E$65536,4,FALSE)),"")</f>
        <v>Michał BIENIA - UKS Aktywna Piątka Przemyśl</v>
      </c>
      <c r="W244" s="128"/>
      <c r="X244" s="237" t="str">
        <f>IF(ISBLANK(W243),"",IF((VLOOKUP(W243,'[1]plan gier'!$X$1:$AF$65536,7,FALSE))="",L243,VLOOKUP(W243,'[1]plan gier'!$X$1:$AF$65536,9,FALSE)))</f>
        <v>21:16,15:21,21:19</v>
      </c>
      <c r="Y244" s="237"/>
      <c r="Z244" s="240"/>
      <c r="AA244" s="229" t="str">
        <f>IF(ISBLANK(Z245),IF(AND(LEN(X242)&gt;0,LEN(X246)=0),X242,IF(AND(LEN(X246)&gt;0,LEN(X242)=0),X246,"")),IF((VLOOKUP(Z245,'[1]plan gier'!$X$1:$AF$65536,7,FALSE))="","",VLOOKUP(VLOOKUP(Z245,'[1]plan gier'!$X$1:$AF$65536,7,FALSE),[1]zawodnicy!$A$1:$E$65536,3,FALSE)))</f>
        <v>KRUKOWSKI</v>
      </c>
      <c r="AB244" s="229"/>
      <c r="AC244" s="229"/>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row>
    <row r="245" spans="1:63" ht="13.5" thickBot="1" x14ac:dyDescent="0.25">
      <c r="A245" s="111">
        <f>Z245</f>
        <v>441</v>
      </c>
      <c r="B245" s="2" t="str">
        <f>F243</f>
        <v>A4673</v>
      </c>
      <c r="C245" s="2" t="str">
        <f>G243</f>
        <v>J4677</v>
      </c>
      <c r="D245" s="2" t="str">
        <f>F247</f>
        <v>K4283</v>
      </c>
      <c r="E245" s="2" t="str">
        <f>G247</f>
        <v>S4287</v>
      </c>
      <c r="F245" s="2" t="str">
        <f>IF(A245=0,IF(AND(LEN(B245)&gt;0,LEN(D245)=0),B245,IF(AND(LEN(D245)&gt;0,LEN(B245)=0),D245,"")),IF((VLOOKUP(A245,'[1]plan gier'!$X$1:$AF$65536,7,FALSE))="","",VLOOKUP(VLOOKUP(A245,'[1]plan gier'!$X$1:$AF$65536,7,FALSE),[1]zawodnicy!$A$1:$E$65536,1,FALSE)))</f>
        <v>K4283</v>
      </c>
      <c r="G245" s="2" t="str">
        <f>IF(A245=0,IF(AND(LEN(C245)&gt;0,LEN(E245)=0),C245,IF(AND(LEN(E245)&gt;0,LEN(C245)=0),E245,"")),IF((VLOOKUP(A245,'[1]plan gier'!$X$1:$AF$65536,8,FALSE))="","",VLOOKUP(VLOOKUP(A245,'[1]plan gier'!$X$1:$AF$65536,8,FALSE),[1]zawodnicy!$A$1:$E$65536,1,FALSE)))</f>
        <v>S4287</v>
      </c>
      <c r="H245" s="2" t="str">
        <f>IF(A245=0,"",IF((VLOOKUP(A245,'[1]plan gier'!$X$1:$AF$65536,7,FALSE))="","",VLOOKUP(A245,'[1]plan gier'!$X$1:$AF$65536,9,FALSE)))</f>
        <v>21:12,21:14</v>
      </c>
      <c r="L245" s="124" t="str">
        <f>IF(A245=0,"",IF(VLOOKUP(A245,'[1]plan gier'!A$1:S$65536,19,FALSE)="","",VLOOKUP(A245,'[1]plan gier'!A$1:S$65536,19,FALSE)))</f>
        <v>nie 11:00</v>
      </c>
      <c r="M245" s="2" t="str">
        <f>N241</f>
        <v>podwójna chłopców M</v>
      </c>
      <c r="N245" s="129"/>
      <c r="O245" s="121"/>
      <c r="P245" s="121"/>
      <c r="Q245" s="114"/>
      <c r="R245" s="114"/>
      <c r="S245" s="114"/>
      <c r="T245" s="238" t="str">
        <f>UPPER(IF(O244="","",IF(ISTEXT(N245),N245,IF(AND(N240&gt;0,O244&gt;0),VLOOKUP(N240&amp;O244&amp;N241,I:K,3,FALSE),""))))</f>
        <v>K4432</v>
      </c>
      <c r="U245" s="239"/>
      <c r="V245" s="130" t="str">
        <f>IF(T245&lt;&gt;"",CONCATENATE(VLOOKUP(T245,[1]zawodnicy!$A$1:$E$65536,2,FALSE)," ",VLOOKUP(T245,[1]zawodnicy!$A$1:$E$65536,3,FALSE)," - ",VLOOKUP(T245,[1]zawodnicy!$A$1:$E$65536,4,FALSE)),"")</f>
        <v>Daniel KNAP - UKS Aktywna Piątka Przemyśl</v>
      </c>
      <c r="W245" s="131"/>
      <c r="X245" s="114"/>
      <c r="Y245" s="10"/>
      <c r="Z245" s="115">
        <v>441</v>
      </c>
      <c r="AA245" s="231" t="str">
        <f>IF(ISBLANK(Z245),IF(AND(LEN(X243)&gt;0,LEN(X247)=0),X243,IF(AND(LEN(X247)&gt;0,LEN(X243)=0),X247,"")),IF((VLOOKUP(Z245,'[1]plan gier'!$X$1:$AF$65536,8,FALSE))="","",VLOOKUP(VLOOKUP(Z245,'[1]plan gier'!$X$1:$AF$65536,8,FALSE),[1]zawodnicy!$A$1:$E$65536,3,FALSE)))</f>
        <v>SOBOLEWSKI</v>
      </c>
      <c r="AB245" s="232"/>
      <c r="AC245" s="23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row>
    <row r="246" spans="1:63" ht="13.5" thickTop="1" x14ac:dyDescent="0.2">
      <c r="J246" s="2"/>
      <c r="K246" s="2"/>
      <c r="L246" s="2"/>
      <c r="M246" s="95"/>
      <c r="N246" s="132"/>
      <c r="O246" s="120">
        <f>IF(P246="","",MAX(O242:O245)+1)</f>
        <v>3</v>
      </c>
      <c r="P246" s="121">
        <f>IF(O240&gt;4,9,"")</f>
        <v>9</v>
      </c>
      <c r="Q246" s="113">
        <f>O246</f>
        <v>3</v>
      </c>
      <c r="R246" s="113"/>
      <c r="S246" s="113"/>
      <c r="T246" s="226" t="str">
        <f>UPPER(IF(O246="","",IF(ISTEXT(N246),N246,IF(AND(N240&gt;0,O246&gt;0),VLOOKUP(N240&amp;O246&amp;N241,I:K,2,FALSE),""))))</f>
        <v>P4121</v>
      </c>
      <c r="U246" s="227"/>
      <c r="V246" s="133" t="str">
        <f>IF(T246&lt;&gt;"",CONCATENATE(VLOOKUP(T246,[1]zawodnicy!$A$1:$E$65536,2,FALSE)," ",VLOOKUP(T246,[1]zawodnicy!$A$1:$E$65536,3,FALSE)," - ",VLOOKUP(T246,[1]zawodnicy!$A$1:$E$65536,4,FALSE)),"")</f>
        <v>Konrad PŁOCH - UKS Start Widełka</v>
      </c>
      <c r="W246" s="134"/>
      <c r="X246" s="228" t="str">
        <f>IF(ISBLANK(W247),IF(AND(LEN(T246)&gt;0,LEN(T248)=0),VLOOKUP(T246,[1]zawodnicy!$A$1:$E$65536,3,FALSE),IF(AND(LEN(T248)&gt;0,LEN(T246)=0),VLOOKUP(T248,[1]zawodnicy!$A$1:$E$65536,3,FALSE),"")),IF((VLOOKUP(W247,'[1]plan gier'!$X$1:$AF$65536,7,FALSE))="","",VLOOKUP(VLOOKUP(W247,'[1]plan gier'!$X$1:$AF$65536,7,FALSE),[1]zawodnicy!$A$1:$E$65536,3,FALSE)))</f>
        <v>KRUKOWSKI</v>
      </c>
      <c r="Y246" s="229"/>
      <c r="Z246" s="230"/>
      <c r="AA246" s="229" t="str">
        <f>IF(ISBLANK(Z245),"",IF((VLOOKUP(Z245,'[1]plan gier'!$X$1:$AF$65536,7,FALSE))="",L245,VLOOKUP(Z245,'[1]plan gier'!$X$1:$AF$65536,9,FALSE)))</f>
        <v>21:12,21:14</v>
      </c>
      <c r="AB246" s="229"/>
      <c r="AC246" s="230"/>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row>
    <row r="247" spans="1:63" ht="12.75" x14ac:dyDescent="0.2">
      <c r="A247" s="102">
        <f>W247</f>
        <v>426</v>
      </c>
      <c r="B247" s="2" t="str">
        <f>IF(TYPE(T246)=16,"",T246)</f>
        <v>P4121</v>
      </c>
      <c r="C247" s="2" t="str">
        <f>IF(TYPE(T247)=16,"",T247)</f>
        <v>P4530</v>
      </c>
      <c r="D247" s="2" t="str">
        <f>IF(TYPE(T248)=16,"",T248)</f>
        <v>K4283</v>
      </c>
      <c r="E247" s="2" t="str">
        <f>IF(TYPE(T249)=16,"",T249)</f>
        <v>S4287</v>
      </c>
      <c r="F247" s="2" t="str">
        <f>IF(A247=0,IF(AND(LEN(B247)&gt;1,LEN(D247)=0),VLOOKUP(B247,[1]zawodnicy!$A$1:$E$65536,1,FALSE),IF(AND(LEN(D247)&gt;1,LEN(B247)=0),VLOOKUP(D247,[1]zawodnicy!$A$1:$E$65536,1,FALSE),"")),IF((VLOOKUP(A247,'[1]plan gier'!$X$1:$AF$65536,7,FALSE))="","",VLOOKUP(VLOOKUP(A247,'[1]plan gier'!$X$1:$AF$65536,7,FALSE),[1]zawodnicy!$A$1:$E$65536,1,FALSE)))</f>
        <v>K4283</v>
      </c>
      <c r="G247" s="2" t="str">
        <f>IF(A247=0,IF(AND(LEN(C247)&gt;1,LEN(E247)=0),VLOOKUP(C247,[1]zawodnicy!$A$1:$E$65536,1,FALSE),IF(AND(LEN(E247)&gt;1,LEN(C247)=0),VLOOKUP(E247,[1]zawodnicy!$A$1:$E$65536,1,FALSE),"")),IF((VLOOKUP(A247,'[1]plan gier'!$X$1:$AF$65536,8,FALSE))="","",VLOOKUP(VLOOKUP(A247,'[1]plan gier'!$X$1:$AF$65536,8,FALSE),[1]zawodnicy!$A$1:$E$65536,1,FALSE)))</f>
        <v>S4287</v>
      </c>
      <c r="H247" s="2" t="str">
        <f>IF(A247=0,"",IF((VLOOKUP(A247,'[1]plan gier'!$X$1:$AF$65536,7,FALSE))="","",VLOOKUP(A247,'[1]plan gier'!$X$1:$AF$65536,9,FALSE)))</f>
        <v>21:14,21:19</v>
      </c>
      <c r="L247" s="124" t="str">
        <f>IF(A247=0,"",IF(VLOOKUP(A247,'[1]plan gier'!A$1:S$65536,19,FALSE)="","",VLOOKUP(A247,'[1]plan gier'!A$1:S$65536,19,FALSE)))</f>
        <v>nie 10:00</v>
      </c>
      <c r="M247" s="2" t="str">
        <f>N241</f>
        <v>podwójna chłopców M</v>
      </c>
      <c r="N247" s="125"/>
      <c r="O247" s="121"/>
      <c r="P247" s="121"/>
      <c r="Q247" s="114"/>
      <c r="R247" s="114"/>
      <c r="S247" s="114"/>
      <c r="T247" s="224" t="str">
        <f>UPPER(IF(O246="","",IF(ISTEXT(N247),N247,IF(AND(N240&gt;0,O246&gt;0),VLOOKUP(N240&amp;O246&amp;N241,I:K,3,FALSE),""))))</f>
        <v>P4530</v>
      </c>
      <c r="U247" s="225"/>
      <c r="V247" s="126" t="str">
        <f>IF(T247&lt;&gt;"",CONCATENATE(VLOOKUP(T247,[1]zawodnicy!$A$1:$E$65536,2,FALSE)," ",VLOOKUP(T247,[1]zawodnicy!$A$1:$E$65536,3,FALSE)," - ",VLOOKUP(T247,[1]zawodnicy!$A$1:$E$65536,4,FALSE)),"")</f>
        <v>Krzysztof PŁOCH - UKS Start Widełka</v>
      </c>
      <c r="W247" s="127">
        <v>426</v>
      </c>
      <c r="X247" s="231" t="str">
        <f>IF(ISBLANK(W247),IF(AND(LEN(T247)&gt;0,LEN(T249)=0),VLOOKUP(T247,[1]zawodnicy!$A$1:$E$65536,3,FALSE),IF(AND(LEN(T249)&gt;0,LEN(T247)=0),VLOOKUP(T249,[1]zawodnicy!$A$1:$E$65536,3,FALSE),"")),IF((VLOOKUP(W247,'[1]plan gier'!$X$1:$AF$65536,8,FALSE))="","",VLOOKUP(VLOOKUP(W247,'[1]plan gier'!$X$1:$AF$65536,8,FALSE),[1]zawodnicy!$A$1:$E$65536,3,FALSE)))</f>
        <v>SOBOLEWSKI</v>
      </c>
      <c r="Y247" s="232"/>
      <c r="Z247" s="233"/>
      <c r="AA247" s="10"/>
      <c r="AB247" s="10"/>
      <c r="AC247" s="117"/>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row>
    <row r="248" spans="1:63" ht="12.75" x14ac:dyDescent="0.2">
      <c r="J248" s="2"/>
      <c r="K248" s="2"/>
      <c r="L248" s="2"/>
      <c r="M248" s="95"/>
      <c r="N248" s="125"/>
      <c r="O248" s="120">
        <f>IF(P248="","",MAX(O242:O247)+1)</f>
        <v>4</v>
      </c>
      <c r="P248" s="121">
        <f>IF(O240&gt;5,13,"")</f>
        <v>13</v>
      </c>
      <c r="Q248" s="113">
        <f>O248</f>
        <v>4</v>
      </c>
      <c r="R248" s="113"/>
      <c r="S248" s="113"/>
      <c r="T248" s="234" t="str">
        <f>UPPER(IF(O248="","",IF(ISTEXT(N248),N248,IF(AND(N240&gt;0,O248&gt;0),VLOOKUP(N240&amp;O248&amp;N241,I:K,2,FALSE),""))))</f>
        <v>K4283</v>
      </c>
      <c r="U248" s="235"/>
      <c r="V248" s="122" t="str">
        <f>IF(T248&lt;&gt;"",CONCATENATE(VLOOKUP(T248,[1]zawodnicy!$A$1:$E$65536,2,FALSE)," ",VLOOKUP(T248,[1]zawodnicy!$A$1:$E$65536,3,FALSE)," - ",VLOOKUP(T248,[1]zawodnicy!$A$1:$E$65536,4,FALSE)),"")</f>
        <v>Filip KRUKOWSKI - SKB Suwałki</v>
      </c>
      <c r="W248" s="128"/>
      <c r="X248" s="236" t="str">
        <f>IF(ISBLANK(W247),"",IF((VLOOKUP(W247,'[1]plan gier'!$X$1:$AF$65536,7,FALSE))="",L247,VLOOKUP(W247,'[1]plan gier'!$X$1:$AF$65536,9,FALSE)))</f>
        <v>21:14,21:19</v>
      </c>
      <c r="Y248" s="237"/>
      <c r="Z248" s="237"/>
      <c r="AA248" s="10"/>
      <c r="AB248" s="10"/>
      <c r="AC248" s="116"/>
      <c r="AD248" s="229" t="str">
        <f>IF(ISBLANK(AC249),IF(AND(LEN(AA244)&gt;0,LEN(AA252)=0),AA244,IF(AND(LEN(AA252)&gt;0,LEN(AA244)=0),AA252,"")),IF((VLOOKUP(AC249,'[1]plan gier'!$X$1:$AF$65536,7,FALSE))="","",VLOOKUP(VLOOKUP(AC249,'[1]plan gier'!$X$1:$AF$65536,7,FALSE),[1]zawodnicy!$A$1:$E$65536,3,FALSE)))</f>
        <v>CYBULSKI</v>
      </c>
      <c r="AE248" s="229"/>
      <c r="AF248" s="229"/>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row>
    <row r="249" spans="1:63" ht="13.5" thickBot="1" x14ac:dyDescent="0.25">
      <c r="A249" s="171">
        <f>AC249</f>
        <v>449</v>
      </c>
      <c r="B249" s="2" t="str">
        <f>F245</f>
        <v>K4283</v>
      </c>
      <c r="C249" s="2" t="str">
        <f>G245</f>
        <v>S4287</v>
      </c>
      <c r="D249" s="2" t="str">
        <f>F253</f>
        <v>C3670</v>
      </c>
      <c r="E249" s="2" t="str">
        <f>G253</f>
        <v>S3748</v>
      </c>
      <c r="F249" s="2" t="str">
        <f>IF(A249=0,IF(AND(LEN(B249)&gt;0,LEN(D249)=0),B249,IF(AND(LEN(D249)&gt;0,LEN(B249)=0),D249,"")),IF((VLOOKUP(A249,'[1]plan gier'!$X$1:$AF$65536,7,FALSE))="","",VLOOKUP(VLOOKUP(A249,'[1]plan gier'!$X$1:$AF$65536,7,FALSE),[1]zawodnicy!$A$1:$E$65536,1,FALSE)))</f>
        <v>C3670</v>
      </c>
      <c r="G249" s="2" t="str">
        <f>IF(A249=0,IF(AND(LEN(C249)&gt;0,LEN(E249)=0),C249,IF(AND(LEN(E249)&gt;0,LEN(C249)=0),E249,"")),IF((VLOOKUP(A249,'[1]plan gier'!$X$1:$AF$65536,8,FALSE))="","",VLOOKUP(VLOOKUP(A249,'[1]plan gier'!$X$1:$AF$65536,8,FALSE),[1]zawodnicy!$A$1:$E$65536,1,FALSE)))</f>
        <v>S3748</v>
      </c>
      <c r="H249" s="2" t="str">
        <f>IF(A249=0,"",IF((VLOOKUP(A249,'[1]plan gier'!$X$1:$AF$65536,7,FALSE))="","",VLOOKUP(A249,'[1]plan gier'!$X$1:$AF$65536,9,FALSE)))</f>
        <v>21:18,21:11</v>
      </c>
      <c r="L249" s="124" t="str">
        <f>IF(A249=0,"",IF(VLOOKUP(A249,'[1]plan gier'!A$1:S$65536,19,FALSE)="","",VLOOKUP(A249,'[1]plan gier'!A$1:S$65536,19,FALSE)))</f>
        <v>nie 13:00</v>
      </c>
      <c r="M249" s="2" t="str">
        <f>N241</f>
        <v>podwójna chłopców M</v>
      </c>
      <c r="N249" s="129"/>
      <c r="O249" s="121"/>
      <c r="P249" s="121"/>
      <c r="Q249" s="114"/>
      <c r="R249" s="114"/>
      <c r="S249" s="114"/>
      <c r="T249" s="238" t="str">
        <f>UPPER(IF(O248="","",IF(ISTEXT(N249),N249,IF(AND(N240&gt;0,O248&gt;0),VLOOKUP(N240&amp;O248&amp;N241,I:K,3,FALSE),""))))</f>
        <v>S4287</v>
      </c>
      <c r="U249" s="239"/>
      <c r="V249" s="130" t="str">
        <f>IF(T249&lt;&gt;"",CONCATENATE(VLOOKUP(T249,[1]zawodnicy!$A$1:$E$65536,2,FALSE)," ",VLOOKUP(T249,[1]zawodnicy!$A$1:$E$65536,3,FALSE)," - ",VLOOKUP(T249,[1]zawodnicy!$A$1:$E$65536,4,FALSE)),"")</f>
        <v>Michał SOBOLEWSKI - SKB Suwałki</v>
      </c>
      <c r="W249" s="131"/>
      <c r="X249" s="10"/>
      <c r="Y249" s="10"/>
      <c r="Z249" s="10"/>
      <c r="AA249" s="10"/>
      <c r="AB249" s="10"/>
      <c r="AC249" s="115">
        <v>449</v>
      </c>
      <c r="AD249" s="231" t="str">
        <f>IF(ISBLANK(AC249),IF(AND(LEN(AA245)&gt;0,LEN(AA253)=0),AA245,IF(AND(LEN(AA253)&gt;0,LEN(AA245)=0),AA253,"")),IF((VLOOKUP(AC249,'[1]plan gier'!$X$1:$AF$65536,8,FALSE))="","",VLOOKUP(VLOOKUP(AC249,'[1]plan gier'!$X$1:$AF$65536,8,FALSE),[1]zawodnicy!$A$1:$E$65536,3,FALSE)))</f>
        <v>SZOLC</v>
      </c>
      <c r="AE249" s="232"/>
      <c r="AF249" s="23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row>
    <row r="250" spans="1:63" ht="13.5" thickTop="1" x14ac:dyDescent="0.2">
      <c r="J250" s="2"/>
      <c r="K250" s="2"/>
      <c r="L250" s="2"/>
      <c r="M250" s="95"/>
      <c r="N250" s="132"/>
      <c r="O250" s="120">
        <f>IF(P250="","",MAX(O242:O249)+1)</f>
        <v>5</v>
      </c>
      <c r="P250" s="121">
        <f>IF(O240&gt;4,20,"")</f>
        <v>20</v>
      </c>
      <c r="Q250" s="113">
        <f>O250</f>
        <v>5</v>
      </c>
      <c r="R250" s="113"/>
      <c r="S250" s="113"/>
      <c r="T250" s="226" t="str">
        <f>UPPER(IF(O250="","",IF(ISTEXT(N250),N250,IF(AND(N240&gt;0,O250&gt;0),VLOOKUP(N240&amp;O250&amp;N241,I:K,2,FALSE),""))))</f>
        <v>F4551</v>
      </c>
      <c r="U250" s="227"/>
      <c r="V250" s="133" t="str">
        <f>IF(T250&lt;&gt;"",CONCATENATE(VLOOKUP(T250,[1]zawodnicy!$A$1:$E$65536,2,FALSE)," ",VLOOKUP(T250,[1]zawodnicy!$A$1:$E$65536,3,FALSE)," - ",VLOOKUP(T250,[1]zawodnicy!$A$1:$E$65536,4,FALSE)),"")</f>
        <v>Grzegorz FRAŚ - MKS Spartakus Niepołomice</v>
      </c>
      <c r="W250" s="134"/>
      <c r="X250" s="228" t="str">
        <f>IF(ISBLANK(W251),IF(AND(LEN(T250)&gt;0,LEN(T252)=0),VLOOKUP(T250,[1]zawodnicy!$A$1:$E$65536,3,FALSE),IF(AND(LEN(T252)&gt;0,LEN(T250)=0),VLOOKUP(T252,[1]zawodnicy!$A$1:$E$65536,3,FALSE),"")),IF((VLOOKUP(W251,'[1]plan gier'!$X$1:$AF$65536,7,FALSE))="","",VLOOKUP(VLOOKUP(W251,'[1]plan gier'!$X$1:$AF$65536,7,FALSE),[1]zawodnicy!$A$1:$E$65536,3,FALSE)))</f>
        <v>CYBULSKI</v>
      </c>
      <c r="Y250" s="229"/>
      <c r="Z250" s="229"/>
      <c r="AA250" s="10"/>
      <c r="AB250" s="10"/>
      <c r="AC250" s="116"/>
      <c r="AD250" s="229" t="str">
        <f>IF(ISBLANK(AC249),"",IF((VLOOKUP(AC249,'[1]plan gier'!$X$1:$AF$65536,7,FALSE))="",L249,VLOOKUP(AC249,'[1]plan gier'!$X$1:$AF$65536,9,FALSE)))</f>
        <v>21:18,21:11</v>
      </c>
      <c r="AE250" s="229"/>
      <c r="AF250" s="229"/>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row>
    <row r="251" spans="1:63" ht="12.75" x14ac:dyDescent="0.2">
      <c r="A251" s="102">
        <f>W251</f>
        <v>427</v>
      </c>
      <c r="B251" s="2" t="str">
        <f>IF(TYPE(T250)=16,"",T250)</f>
        <v>F4551</v>
      </c>
      <c r="C251" s="2" t="str">
        <f>IF(TYPE(T251)=16,"",T251)</f>
        <v>K4556</v>
      </c>
      <c r="D251" s="2" t="str">
        <f>IF(TYPE(T252)=16,"",T252)</f>
        <v>C3670</v>
      </c>
      <c r="E251" s="2" t="str">
        <f>IF(TYPE(T253)=16,"",T253)</f>
        <v>S3748</v>
      </c>
      <c r="F251" s="2" t="str">
        <f>IF(A251=0,IF(AND(LEN(B251)&gt;1,LEN(D251)=0),VLOOKUP(B251,[1]zawodnicy!$A$1:$E$65536,1,FALSE),IF(AND(LEN(D251)&gt;1,LEN(B251)=0),VLOOKUP(D251,[1]zawodnicy!$A$1:$E$65536,1,FALSE),"")),IF((VLOOKUP(A251,'[1]plan gier'!$X$1:$AF$65536,7,FALSE))="","",VLOOKUP(VLOOKUP(A251,'[1]plan gier'!$X$1:$AF$65536,7,FALSE),[1]zawodnicy!$A$1:$E$65536,1,FALSE)))</f>
        <v>C3670</v>
      </c>
      <c r="G251" s="2" t="str">
        <f>IF(A251=0,IF(AND(LEN(C251)&gt;1,LEN(E251)=0),VLOOKUP(C251,[1]zawodnicy!$A$1:$E$65536,1,FALSE),IF(AND(LEN(E251)&gt;1,LEN(C251)=0),VLOOKUP(E251,[1]zawodnicy!$A$1:$E$65536,1,FALSE),"")),IF((VLOOKUP(A251,'[1]plan gier'!$X$1:$AF$65536,8,FALSE))="","",VLOOKUP(VLOOKUP(A251,'[1]plan gier'!$X$1:$AF$65536,8,FALSE),[1]zawodnicy!$A$1:$E$65536,1,FALSE)))</f>
        <v>S3748</v>
      </c>
      <c r="H251" s="2" t="str">
        <f>IF(A251=0,"",IF((VLOOKUP(A251,'[1]plan gier'!$X$1:$AF$65536,7,FALSE))="","",VLOOKUP(A251,'[1]plan gier'!$X$1:$AF$65536,9,FALSE)))</f>
        <v>21:11,21:9</v>
      </c>
      <c r="L251" s="124" t="str">
        <f>IF(A251=0,"",IF(VLOOKUP(A251,'[1]plan gier'!A$1:S$65536,19,FALSE)="","",VLOOKUP(A251,'[1]plan gier'!A$1:S$65536,19,FALSE)))</f>
        <v>nie 10:00</v>
      </c>
      <c r="M251" s="2" t="str">
        <f>N241</f>
        <v>podwójna chłopców M</v>
      </c>
      <c r="N251" s="125"/>
      <c r="O251" s="121"/>
      <c r="P251" s="121"/>
      <c r="Q251" s="114"/>
      <c r="R251" s="114"/>
      <c r="S251" s="114"/>
      <c r="T251" s="224" t="str">
        <f>UPPER(IF(O250="","",IF(ISTEXT(N251),N251,IF(AND(N240&gt;0,O250&gt;0),VLOOKUP(N240&amp;O250&amp;N241,I:K,3,FALSE),""))))</f>
        <v>K4556</v>
      </c>
      <c r="U251" s="225"/>
      <c r="V251" s="126" t="str">
        <f>IF(T251&lt;&gt;"",CONCATENATE(VLOOKUP(T251,[1]zawodnicy!$A$1:$E$65536,2,FALSE)," ",VLOOKUP(T251,[1]zawodnicy!$A$1:$E$65536,3,FALSE)," - ",VLOOKUP(T251,[1]zawodnicy!$A$1:$E$65536,4,FALSE)),"")</f>
        <v>Piotr KUKUŁA - UKS Orliki Ropica Polska</v>
      </c>
      <c r="W251" s="127">
        <v>427</v>
      </c>
      <c r="X251" s="231" t="str">
        <f>IF(ISBLANK(W251),IF(AND(LEN(T251)&gt;0,LEN(T253)=0),VLOOKUP(T251,[1]zawodnicy!$A$1:$E$65536,3,FALSE),IF(AND(LEN(T253)&gt;0,LEN(T251)=0),VLOOKUP(T253,[1]zawodnicy!$A$1:$E$65536,3,FALSE),"")),IF((VLOOKUP(W251,'[1]plan gier'!$X$1:$AF$65536,8,FALSE))="","",VLOOKUP(VLOOKUP(W251,'[1]plan gier'!$X$1:$AF$65536,8,FALSE),[1]zawodnicy!$A$1:$E$65536,3,FALSE)))</f>
        <v>SZOLC</v>
      </c>
      <c r="Y251" s="232"/>
      <c r="Z251" s="232"/>
      <c r="AA251" s="10"/>
      <c r="AB251" s="10"/>
      <c r="AC251" s="117"/>
      <c r="AD251" s="10"/>
      <c r="AE251" s="10"/>
      <c r="AF251" s="10"/>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row>
    <row r="252" spans="1:63" ht="12.75" x14ac:dyDescent="0.2">
      <c r="J252" s="2"/>
      <c r="K252" s="2"/>
      <c r="L252" s="2"/>
      <c r="M252" s="95"/>
      <c r="N252" s="125"/>
      <c r="O252" s="120">
        <f>IF(P252="","",MAX(O242:O251)+1)</f>
        <v>6</v>
      </c>
      <c r="P252" s="121">
        <f>IF(O240&gt;4,24,"")</f>
        <v>24</v>
      </c>
      <c r="Q252" s="113">
        <f>O252</f>
        <v>6</v>
      </c>
      <c r="R252" s="113"/>
      <c r="S252" s="113"/>
      <c r="T252" s="234" t="str">
        <f>UPPER(IF(O252="","",IF(ISTEXT(N252),N252,IF(AND(N240&gt;0,O252&gt;0),VLOOKUP(N240&amp;O252&amp;N241,I:K,2,FALSE),""))))</f>
        <v>C3670</v>
      </c>
      <c r="U252" s="235"/>
      <c r="V252" s="122" t="str">
        <f>IF(T252&lt;&gt;"",CONCATENATE(VLOOKUP(T252,[1]zawodnicy!$A$1:$E$65536,2,FALSE)," ",VLOOKUP(T252,[1]zawodnicy!$A$1:$E$65536,3,FALSE)," - ",VLOOKUP(T252,[1]zawodnicy!$A$1:$E$65536,4,FALSE)),"")</f>
        <v>Robert CYBULSKI - MKB Lednik Miastko</v>
      </c>
      <c r="W252" s="128"/>
      <c r="X252" s="237" t="str">
        <f>IF(ISBLANK(W251),"",IF((VLOOKUP(W251,'[1]plan gier'!$X$1:$AF$65536,7,FALSE))="",L251,VLOOKUP(W251,'[1]plan gier'!$X$1:$AF$65536,9,FALSE)))</f>
        <v>21:11,21:9</v>
      </c>
      <c r="Y252" s="237"/>
      <c r="Z252" s="240"/>
      <c r="AA252" s="229" t="str">
        <f>IF(ISBLANK(Z253),IF(AND(LEN(X250)&gt;0,LEN(X254)=0),X250,IF(AND(LEN(X254)&gt;0,LEN(X250)=0),X254,"")),IF((VLOOKUP(Z253,'[1]plan gier'!$X$1:$AF$65536,7,FALSE))="","",VLOOKUP(VLOOKUP(Z253,'[1]plan gier'!$X$1:$AF$65536,7,FALSE),[1]zawodnicy!$A$1:$E$65536,3,FALSE)))</f>
        <v>CYBULSKI</v>
      </c>
      <c r="AB252" s="229"/>
      <c r="AC252" s="230"/>
      <c r="AD252" s="10"/>
      <c r="AE252" s="10"/>
      <c r="AF252" s="10"/>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row>
    <row r="253" spans="1:63" ht="13.5" thickBot="1" x14ac:dyDescent="0.25">
      <c r="A253" s="111">
        <f>Z253</f>
        <v>442</v>
      </c>
      <c r="B253" s="2" t="str">
        <f>F251</f>
        <v>C3670</v>
      </c>
      <c r="C253" s="2" t="str">
        <f>G251</f>
        <v>S3748</v>
      </c>
      <c r="D253" s="2" t="str">
        <f>F255</f>
        <v>G4559</v>
      </c>
      <c r="E253" s="2" t="str">
        <f>G255</f>
        <v>G4560</v>
      </c>
      <c r="F253" s="2" t="str">
        <f>IF(A253=0,IF(AND(LEN(B253)&gt;0,LEN(D253)=0),B253,IF(AND(LEN(D253)&gt;0,LEN(B253)=0),D253,"")),IF((VLOOKUP(A253,'[1]plan gier'!$X$1:$AF$65536,7,FALSE))="","",VLOOKUP(VLOOKUP(A253,'[1]plan gier'!$X$1:$AF$65536,7,FALSE),[1]zawodnicy!$A$1:$E$65536,1,FALSE)))</f>
        <v>C3670</v>
      </c>
      <c r="G253" s="2" t="str">
        <f>IF(A253=0,IF(AND(LEN(C253)&gt;0,LEN(E253)=0),C253,IF(AND(LEN(E253)&gt;0,LEN(C253)=0),E253,"")),IF((VLOOKUP(A253,'[1]plan gier'!$X$1:$AF$65536,8,FALSE))="","",VLOOKUP(VLOOKUP(A253,'[1]plan gier'!$X$1:$AF$65536,8,FALSE),[1]zawodnicy!$A$1:$E$65536,1,FALSE)))</f>
        <v>S3748</v>
      </c>
      <c r="H253" s="2" t="str">
        <f>IF(A253=0,"",IF((VLOOKUP(A253,'[1]plan gier'!$X$1:$AF$65536,7,FALSE))="","",VLOOKUP(A253,'[1]plan gier'!$X$1:$AF$65536,9,FALSE)))</f>
        <v>21:9,21:12</v>
      </c>
      <c r="L253" s="124" t="str">
        <f>IF(A253=0,"",IF(VLOOKUP(A253,'[1]plan gier'!A$1:S$65536,19,FALSE)="","",VLOOKUP(A253,'[1]plan gier'!A$1:S$65536,19,FALSE)))</f>
        <v>nie 11:00</v>
      </c>
      <c r="M253" s="2" t="str">
        <f>N241</f>
        <v>podwójna chłopców M</v>
      </c>
      <c r="N253" s="129"/>
      <c r="O253" s="121"/>
      <c r="P253" s="121"/>
      <c r="Q253" s="114"/>
      <c r="R253" s="114"/>
      <c r="S253" s="114"/>
      <c r="T253" s="238" t="str">
        <f>UPPER(IF(O252="","",IF(ISTEXT(N253),N253,IF(AND(N240&gt;0,O252&gt;0),VLOOKUP(N240&amp;O252&amp;N241,I:K,3,FALSE),""))))</f>
        <v>S3748</v>
      </c>
      <c r="U253" s="239"/>
      <c r="V253" s="130" t="str">
        <f>IF(T253&lt;&gt;"",CONCATENATE(VLOOKUP(T253,[1]zawodnicy!$A$1:$E$65536,2,FALSE)," ",VLOOKUP(T253,[1]zawodnicy!$A$1:$E$65536,3,FALSE)," - ",VLOOKUP(T253,[1]zawodnicy!$A$1:$E$65536,4,FALSE)),"")</f>
        <v>Adam SZOLC - KS Hubertus Zalesie Górne</v>
      </c>
      <c r="W253" s="131"/>
      <c r="X253" s="114"/>
      <c r="Y253" s="10"/>
      <c r="Z253" s="115">
        <v>442</v>
      </c>
      <c r="AA253" s="231" t="str">
        <f>IF(ISBLANK(Z253),IF(AND(LEN(X251)&gt;0,LEN(X255)=0),X251,IF(AND(LEN(X255)&gt;0,LEN(X251)=0),X255,"")),IF((VLOOKUP(Z253,'[1]plan gier'!$X$1:$AF$65536,8,FALSE))="","",VLOOKUP(VLOOKUP(Z253,'[1]plan gier'!$X$1:$AF$65536,8,FALSE),[1]zawodnicy!$A$1:$E$65536,3,FALSE)))</f>
        <v>SZOLC</v>
      </c>
      <c r="AB253" s="232"/>
      <c r="AC253" s="233"/>
      <c r="AD253" s="10"/>
      <c r="AE253" s="10"/>
      <c r="AF253" s="10"/>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row>
    <row r="254" spans="1:63" ht="13.5" thickTop="1" x14ac:dyDescent="0.2">
      <c r="J254" s="2"/>
      <c r="K254" s="2"/>
      <c r="L254" s="2"/>
      <c r="M254" s="95"/>
      <c r="N254" s="132"/>
      <c r="O254" s="120">
        <f>IF(P254="","",MAX(O242:O253)+1)</f>
        <v>7</v>
      </c>
      <c r="P254" s="121">
        <f>IF(O240&gt;6,28,"")</f>
        <v>28</v>
      </c>
      <c r="Q254" s="113">
        <f>O254</f>
        <v>7</v>
      </c>
      <c r="R254" s="113"/>
      <c r="S254" s="113"/>
      <c r="T254" s="226" t="str">
        <f>UPPER(IF(O254="","",IF(ISTEXT(N254),N254,IF(AND(N240&gt;0,O254&gt;0),VLOOKUP(N240&amp;O254&amp;N241,I:K,2,FALSE),""))))</f>
        <v>G4577</v>
      </c>
      <c r="U254" s="227"/>
      <c r="V254" s="133" t="str">
        <f>IF(T254&lt;&gt;"",CONCATENATE(VLOOKUP(T254,[1]zawodnicy!$A$1:$E$65536,2,FALSE)," ",VLOOKUP(T254,[1]zawodnicy!$A$1:$E$65536,3,FALSE)," - ",VLOOKUP(T254,[1]zawodnicy!$A$1:$E$65536,4,FALSE)),"")</f>
        <v>Jakub GIREŃ - MKS Strzelce Opolskie</v>
      </c>
      <c r="W254" s="134"/>
      <c r="X254" s="228" t="str">
        <f>IF(ISBLANK(W255),IF(AND(LEN(T254)&gt;0,LEN(T256)=0),VLOOKUP(T254,[1]zawodnicy!$A$1:$E$65536,3,FALSE),IF(AND(LEN(T256)&gt;0,LEN(T254)=0),VLOOKUP(T256,[1]zawodnicy!$A$1:$E$65536,3,FALSE),"")),IF((VLOOKUP(W255,'[1]plan gier'!$X$1:$AF$65536,7,FALSE))="","",VLOOKUP(VLOOKUP(W255,'[1]plan gier'!$X$1:$AF$65536,7,FALSE),[1]zawodnicy!$A$1:$E$65536,3,FALSE)))</f>
        <v>GOMOŁA</v>
      </c>
      <c r="Y254" s="229"/>
      <c r="Z254" s="230"/>
      <c r="AA254" s="229" t="str">
        <f>IF(ISBLANK(Z253),"",IF((VLOOKUP(Z253,'[1]plan gier'!$X$1:$AF$65536,7,FALSE))="",L253,VLOOKUP(Z253,'[1]plan gier'!$X$1:$AF$65536,9,FALSE)))</f>
        <v>21:9,21:12</v>
      </c>
      <c r="AB254" s="229"/>
      <c r="AC254" s="229"/>
      <c r="AD254" s="114"/>
      <c r="AE254" s="114"/>
      <c r="AF254" s="114"/>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row>
    <row r="255" spans="1:63" ht="12.75" x14ac:dyDescent="0.2">
      <c r="A255" s="102">
        <f>W255</f>
        <v>428</v>
      </c>
      <c r="B255" s="2" t="str">
        <f>IF(TYPE(T254)=16,"",T254)</f>
        <v>G4577</v>
      </c>
      <c r="C255" s="2" t="str">
        <f>IF(TYPE(T255)=16,"",T255)</f>
        <v>K4563</v>
      </c>
      <c r="D255" s="2" t="str">
        <f>IF(TYPE(T256)=16,"",T256)</f>
        <v>G4559</v>
      </c>
      <c r="E255" s="2" t="str">
        <f>IF(TYPE(T257)=16,"",T257)</f>
        <v>G4560</v>
      </c>
      <c r="F255" s="2" t="str">
        <f>IF(A255=0,IF(AND(LEN(B255)&gt;1,LEN(D255)=0),VLOOKUP(B255,[1]zawodnicy!$A$1:$E$65536,1,FALSE),IF(AND(LEN(D255)&gt;1,LEN(B255)=0),VLOOKUP(D255,[1]zawodnicy!$A$1:$E$65536,1,FALSE),"")),IF((VLOOKUP(A255,'[1]plan gier'!$X$1:$AF$65536,7,FALSE))="","",VLOOKUP(VLOOKUP(A255,'[1]plan gier'!$X$1:$AF$65536,7,FALSE),[1]zawodnicy!$A$1:$E$65536,1,FALSE)))</f>
        <v>G4559</v>
      </c>
      <c r="G255" s="2" t="str">
        <f>IF(A255=0,IF(AND(LEN(C255)&gt;1,LEN(E255)=0),VLOOKUP(C255,[1]zawodnicy!$A$1:$E$65536,1,FALSE),IF(AND(LEN(E255)&gt;1,LEN(C255)=0),VLOOKUP(E255,[1]zawodnicy!$A$1:$E$65536,1,FALSE),"")),IF((VLOOKUP(A255,'[1]plan gier'!$X$1:$AF$65536,8,FALSE))="","",VLOOKUP(VLOOKUP(A255,'[1]plan gier'!$X$1:$AF$65536,8,FALSE),[1]zawodnicy!$A$1:$E$65536,1,FALSE)))</f>
        <v>G4560</v>
      </c>
      <c r="H255" s="2" t="str">
        <f>IF(A255=0,"",IF((VLOOKUP(A255,'[1]plan gier'!$X$1:$AF$65536,7,FALSE))="","",VLOOKUP(A255,'[1]plan gier'!$X$1:$AF$65536,9,FALSE)))</f>
        <v>16:21,21:19,22:20</v>
      </c>
      <c r="L255" s="124" t="str">
        <f>IF(A255=0,"",IF(VLOOKUP(A255,'[1]plan gier'!A$1:S$65536,19,FALSE)="","",VLOOKUP(A255,'[1]plan gier'!A$1:S$65536,19,FALSE)))</f>
        <v>nie 10:00</v>
      </c>
      <c r="M255" s="2" t="str">
        <f>N241</f>
        <v>podwójna chłopców M</v>
      </c>
      <c r="N255" s="125"/>
      <c r="O255" s="121"/>
      <c r="P255" s="121"/>
      <c r="Q255" s="114"/>
      <c r="R255" s="114"/>
      <c r="S255" s="114"/>
      <c r="T255" s="224" t="str">
        <f>UPPER(IF(O254="","",IF(ISTEXT(N255),N255,IF(AND(N240&gt;0,O254&gt;0),VLOOKUP(N240&amp;O254&amp;N241,I:K,3,FALSE),""))))</f>
        <v>K4563</v>
      </c>
      <c r="U255" s="225"/>
      <c r="V255" s="126" t="str">
        <f>IF(T255&lt;&gt;"",CONCATENATE(VLOOKUP(T255,[1]zawodnicy!$A$1:$E$65536,2,FALSE)," ",VLOOKUP(T255,[1]zawodnicy!$A$1:$E$65536,3,FALSE)," - ",VLOOKUP(T255,[1]zawodnicy!$A$1:$E$65536,4,FALSE)),"")</f>
        <v>Kordian KOBYLNIK - LKS Technik Głubczyce</v>
      </c>
      <c r="W255" s="127">
        <v>428</v>
      </c>
      <c r="X255" s="231" t="str">
        <f>IF(ISBLANK(W255),IF(AND(LEN(T255)&gt;0,LEN(T257)=0),VLOOKUP(T255,[1]zawodnicy!$A$1:$E$65536,3,FALSE),IF(AND(LEN(T257)&gt;0,LEN(T255)=0),VLOOKUP(T257,[1]zawodnicy!$A$1:$E$65536,3,FALSE),"")),IF((VLOOKUP(W255,'[1]plan gier'!$X$1:$AF$65536,8,FALSE))="","",VLOOKUP(VLOOKUP(W255,'[1]plan gier'!$X$1:$AF$65536,8,FALSE),[1]zawodnicy!$A$1:$E$65536,3,FALSE)))</f>
        <v>GOMOŁA</v>
      </c>
      <c r="Y255" s="232"/>
      <c r="Z255" s="233"/>
      <c r="AA255" s="2"/>
      <c r="AB255" s="2"/>
      <c r="AC255" s="2"/>
      <c r="AD255" s="10"/>
      <c r="AE255" s="10"/>
      <c r="AF255" s="10"/>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row>
    <row r="256" spans="1:63" ht="12.75" x14ac:dyDescent="0.2">
      <c r="J256" s="2"/>
      <c r="K256" s="2"/>
      <c r="L256" s="2"/>
      <c r="M256" s="95"/>
      <c r="N256" s="125"/>
      <c r="O256" s="120">
        <f>IF(P256="","",MAX(O242:O255)+1)</f>
        <v>8</v>
      </c>
      <c r="P256" s="121">
        <f>IF(O240&gt;4,32,"")</f>
        <v>32</v>
      </c>
      <c r="Q256" s="113">
        <f>O256</f>
        <v>8</v>
      </c>
      <c r="R256" s="113"/>
      <c r="S256" s="113"/>
      <c r="T256" s="234" t="str">
        <f>UPPER(IF(O256="","",IF(ISTEXT(N256),N256,IF(AND(N240&gt;0,O256&gt;0),VLOOKUP(N240&amp;O256&amp;N241,I:K,2,FALSE),""))))</f>
        <v>G4559</v>
      </c>
      <c r="U256" s="235"/>
      <c r="V256" s="122" t="str">
        <f>IF(T256&lt;&gt;"",CONCATENATE(VLOOKUP(T256,[1]zawodnicy!$A$1:$E$65536,2,FALSE)," ",VLOOKUP(T256,[1]zawodnicy!$A$1:$E$65536,3,FALSE)," - ",VLOOKUP(T256,[1]zawodnicy!$A$1:$E$65536,4,FALSE)),"")</f>
        <v>Maciej GOMOŁA - KS Masovia Płock</v>
      </c>
      <c r="W256" s="128"/>
      <c r="X256" s="236" t="str">
        <f>IF(ISBLANK(W255),"",IF((VLOOKUP(W255,'[1]plan gier'!$X$1:$AF$65536,7,FALSE))="",L255,VLOOKUP(W255,'[1]plan gier'!$X$1:$AF$65536,9,FALSE)))</f>
        <v>16:21,21:19,22:20</v>
      </c>
      <c r="Y256" s="237"/>
      <c r="Z256" s="237"/>
      <c r="AA256" s="2"/>
      <c r="AB256" s="2"/>
      <c r="AC256" s="114"/>
      <c r="AD256" s="114"/>
      <c r="AE256" s="114"/>
      <c r="AF256" s="114"/>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row>
    <row r="257" spans="1:64" ht="12.75" x14ac:dyDescent="0.2">
      <c r="A257" s="135"/>
      <c r="B257" s="16"/>
      <c r="C257" s="16"/>
      <c r="D257" s="16"/>
      <c r="E257" s="16"/>
      <c r="F257" s="16"/>
      <c r="G257" s="16"/>
      <c r="H257" s="16"/>
      <c r="I257" s="16"/>
      <c r="M257" s="16"/>
      <c r="N257" s="125"/>
      <c r="O257" s="121"/>
      <c r="P257" s="121"/>
      <c r="Q257" s="114"/>
      <c r="R257" s="114"/>
      <c r="S257" s="114"/>
      <c r="T257" s="224" t="str">
        <f>UPPER(IF(O256="","",IF(ISTEXT(N257),N257,IF(AND(N240&gt;0,O256&gt;0),VLOOKUP(N240&amp;O256&amp;N241,I:K,3,FALSE),""))))</f>
        <v>G4560</v>
      </c>
      <c r="U257" s="225"/>
      <c r="V257" s="126" t="str">
        <f>IF(T257&lt;&gt;"",CONCATENATE(VLOOKUP(T257,[1]zawodnicy!$A$1:$E$65536,2,FALSE)," ",VLOOKUP(T257,[1]zawodnicy!$A$1:$E$65536,3,FALSE)," - ",VLOOKUP(T257,[1]zawodnicy!$A$1:$E$65536,4,FALSE)),"")</f>
        <v>Michał GOMOŁA - KS Masovia Płock</v>
      </c>
      <c r="W257" s="136"/>
      <c r="X257" s="10"/>
      <c r="Y257" s="10"/>
      <c r="Z257" s="10"/>
      <c r="AA257" s="2"/>
      <c r="AB257" s="2"/>
      <c r="AC257" s="137"/>
      <c r="AD257" s="114"/>
      <c r="AE257" s="114"/>
      <c r="AF257" s="114"/>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row>
    <row r="259" spans="1:64" ht="11.45" customHeight="1" x14ac:dyDescent="0.2">
      <c r="M259" s="16"/>
      <c r="N259" s="17" t="s">
        <v>263</v>
      </c>
      <c r="R259" s="18"/>
      <c r="S259" s="18"/>
      <c r="T259" s="277" t="str">
        <f>"Gra "&amp;N259</f>
        <v>Gra mieszana M</v>
      </c>
      <c r="U259" s="277"/>
      <c r="V259" s="277"/>
      <c r="W259" s="277"/>
      <c r="X259" s="277"/>
      <c r="Y259" s="277"/>
      <c r="Z259" s="277"/>
      <c r="AA259" s="277"/>
      <c r="AB259" s="277"/>
      <c r="AC259" s="277"/>
      <c r="AD259" s="277"/>
      <c r="AE259" s="18"/>
    </row>
    <row r="260" spans="1:64" ht="11.45" customHeight="1" thickBot="1" x14ac:dyDescent="0.25"/>
    <row r="261" spans="1:64" ht="11.45" customHeight="1" thickBot="1" x14ac:dyDescent="0.25">
      <c r="B261" s="2" t="s">
        <v>63</v>
      </c>
      <c r="N261" s="138"/>
      <c r="O261" s="21">
        <v>1</v>
      </c>
      <c r="Q261" s="277" t="str">
        <f>"Grupa "&amp;O261&amp;"."</f>
        <v>Grupa 1.</v>
      </c>
      <c r="R261" s="277"/>
      <c r="S261" s="277"/>
      <c r="T261" s="22" t="s">
        <v>1</v>
      </c>
      <c r="U261" s="278" t="s">
        <v>2</v>
      </c>
      <c r="V261" s="279"/>
      <c r="W261" s="280"/>
      <c r="X261" s="22">
        <v>1</v>
      </c>
      <c r="Y261" s="139">
        <v>2</v>
      </c>
      <c r="Z261" s="23">
        <v>3</v>
      </c>
      <c r="AA261" s="140">
        <v>4</v>
      </c>
      <c r="AB261" s="141" t="s">
        <v>3</v>
      </c>
      <c r="AC261" s="142" t="s">
        <v>4</v>
      </c>
      <c r="AD261" s="26" t="s">
        <v>5</v>
      </c>
      <c r="AE261" s="143" t="s">
        <v>6</v>
      </c>
      <c r="AF261" s="12"/>
      <c r="AG261" s="12"/>
      <c r="AI261" s="273" t="s">
        <v>9</v>
      </c>
      <c r="AJ261" s="273"/>
      <c r="AK261" s="273"/>
      <c r="AL261" s="273"/>
      <c r="AM261" s="273"/>
      <c r="AN261" s="273"/>
      <c r="AO261" s="273" t="s">
        <v>10</v>
      </c>
      <c r="AP261" s="273"/>
      <c r="AQ261" s="273"/>
      <c r="AR261" s="273"/>
      <c r="AS261" s="273"/>
      <c r="AT261" s="273"/>
      <c r="BK261" s="19"/>
      <c r="BL261" s="20"/>
    </row>
    <row r="262" spans="1:64" ht="11.45" customHeight="1" x14ac:dyDescent="0.2">
      <c r="N262" s="29" t="s">
        <v>263</v>
      </c>
      <c r="Q262" s="274" t="s">
        <v>7</v>
      </c>
      <c r="R262" s="274"/>
      <c r="S262" s="275" t="s">
        <v>8</v>
      </c>
      <c r="T262" s="242">
        <v>1</v>
      </c>
      <c r="U262" s="244" t="str">
        <f>IF(AND(N263&lt;&gt;"",N264&lt;&gt;""),CONCATENATE(VLOOKUP(N263,[1]zawodnicy!$A$1:$E$65536,1,FALSE)," ",VLOOKUP(N263,[1]zawodnicy!$A$1:$E$65536,2,FALSE)," ",VLOOKUP(N263,[1]zawodnicy!$A$1:$E$65536,3,FALSE)," - ",VLOOKUP(N263,[1]zawodnicy!$A$1:$E$65536,4,FALSE)),"")</f>
        <v>W4701 Radosław WRÓBEL - KB Vol-Trick Kępno</v>
      </c>
      <c r="V262" s="245"/>
      <c r="W262" s="246"/>
      <c r="X262" s="35"/>
      <c r="Y262" s="36" t="str">
        <f>IF(SUM(AO270:AP270)=0,"",AO270&amp;":"&amp;AP270)</f>
        <v>21:8</v>
      </c>
      <c r="Z262" s="36" t="str">
        <f>IF(SUM(AO265:AP265)=0,"",AO265&amp;":"&amp;AP265)</f>
        <v>21:6</v>
      </c>
      <c r="AA262" s="144" t="str">
        <f>IF(SUM(AO267:AP267)=0,"",AO267&amp;":"&amp;AP267)</f>
        <v>21:7</v>
      </c>
      <c r="AB262" s="242" t="str">
        <f>IF(SUM(AY265:BD265)=0,"",BE265&amp;":"&amp;BF265)</f>
        <v>126:43</v>
      </c>
      <c r="AC262" s="251" t="str">
        <f>IF(SUM(AY265:BD265)=0,"",BG265&amp;":"&amp;BH265)</f>
        <v>6:0</v>
      </c>
      <c r="AD262" s="251" t="str">
        <f>IF(SUM(AY265:BD265)=0,"",BI265&amp;":"&amp;BJ265)</f>
        <v>3:0</v>
      </c>
      <c r="AE262" s="254">
        <f>IF(SUM(BI265:BI268)&gt;0,BK265,"")</f>
        <v>1</v>
      </c>
      <c r="AF262" s="12"/>
      <c r="AG262" s="12"/>
      <c r="BK262" s="19"/>
      <c r="BL262" s="20"/>
    </row>
    <row r="263" spans="1:64" ht="11.45" customHeight="1" thickBot="1" x14ac:dyDescent="0.25">
      <c r="H263" s="10"/>
      <c r="I263" s="2" t="str">
        <f>"1"&amp;O261&amp;N262</f>
        <v>11mieszana M</v>
      </c>
      <c r="J263" s="10" t="str">
        <f>IF(AE262="","",IF(AE262=1,N263,IF(AE265=1,N266,IF(AE268=1,N269,IF(AE271=1,N272,"")))))</f>
        <v>W4701</v>
      </c>
      <c r="K263" s="10" t="str">
        <f>IF(AE262="","",IF(AE262=1,N264,IF(AE265=1,N267,IF(AE268=1,N270,IF(AE271=1,N273,"")))))</f>
        <v>F3777</v>
      </c>
      <c r="L263" s="10"/>
      <c r="N263" s="33" t="s">
        <v>264</v>
      </c>
      <c r="O263" s="34">
        <f>IF(O261&gt;0,(O261&amp;1)*1,"")</f>
        <v>11</v>
      </c>
      <c r="Q263" s="274"/>
      <c r="R263" s="274"/>
      <c r="S263" s="275"/>
      <c r="T263" s="242"/>
      <c r="U263" s="244" t="str">
        <f>IF(AND(N263&lt;&gt;"",N264=""),CONCATENATE(VLOOKUP(N263,[1]zawodnicy!$A$1:$E$65536,1,FALSE)," ",VLOOKUP(N263,[1]zawodnicy!$A$1:$E$65536,2,FALSE)," ",VLOOKUP(N263,[1]zawodnicy!$A$1:$E$65536,3,FALSE)," - ",VLOOKUP(N263,[1]zawodnicy!$A$1:$E$65536,4,FALSE)),"")</f>
        <v/>
      </c>
      <c r="V263" s="245"/>
      <c r="W263" s="246"/>
      <c r="X263" s="35"/>
      <c r="Y263" s="36" t="str">
        <f>IF(SUM(AQ270:AR270)=0,"",AQ270&amp;":"&amp;AR270)</f>
        <v>21:3</v>
      </c>
      <c r="Z263" s="36" t="str">
        <f>IF(SUM(AQ265:AR265)=0,"",AQ265&amp;":"&amp;AR265)</f>
        <v>21:11</v>
      </c>
      <c r="AA263" s="144" t="str">
        <f>IF(SUM(AQ267:AR267)=0,"",AQ267&amp;":"&amp;AR267)</f>
        <v>21:8</v>
      </c>
      <c r="AB263" s="242"/>
      <c r="AC263" s="251"/>
      <c r="AD263" s="251"/>
      <c r="AE263" s="254"/>
      <c r="AF263" s="12"/>
      <c r="AG263" s="12"/>
      <c r="BK263" s="19"/>
      <c r="BL263" s="20"/>
    </row>
    <row r="264" spans="1:64" ht="11.45" customHeight="1" thickBot="1" x14ac:dyDescent="0.25">
      <c r="J264" s="10"/>
      <c r="K264" s="28"/>
      <c r="L264" s="28"/>
      <c r="N264" s="38" t="s">
        <v>176</v>
      </c>
      <c r="O264" s="28"/>
      <c r="P264" s="28"/>
      <c r="Q264" s="274"/>
      <c r="R264" s="274"/>
      <c r="S264" s="275"/>
      <c r="T264" s="261"/>
      <c r="U264" s="265" t="str">
        <f>IF(N264&lt;&gt;"",CONCATENATE(VLOOKUP(N264,[1]zawodnicy!$A$1:$E$65536,1,FALSE)," ",VLOOKUP(N264,[1]zawodnicy!$A$1:$E$65536,2,FALSE)," ",VLOOKUP(N264,[1]zawodnicy!$A$1:$E$65536,3,FALSE)," - ",VLOOKUP(N264,[1]zawodnicy!$A$1:$E$65536,4,FALSE)),"")</f>
        <v>F3777 Aleksandra FELSKA - UKS Orkan Przeźmierowo</v>
      </c>
      <c r="V264" s="266"/>
      <c r="W264" s="267"/>
      <c r="X264" s="35"/>
      <c r="Y264" s="39" t="str">
        <f>IF(SUM(AS270:AT270)=0,"",AS270&amp;":"&amp;AT270)</f>
        <v/>
      </c>
      <c r="Z264" s="39" t="str">
        <f>IF(SUM(AS265:AT265)=0,"",AS265&amp;":"&amp;AT265)</f>
        <v/>
      </c>
      <c r="AA264" s="145" t="str">
        <f>IF(SUM(AS267:AT267)=0,"",AS267&amp;":"&amp;AT267)</f>
        <v/>
      </c>
      <c r="AB264" s="242"/>
      <c r="AC264" s="251"/>
      <c r="AD264" s="251"/>
      <c r="AE264" s="254"/>
      <c r="AF264" s="12"/>
      <c r="AG264" s="12"/>
      <c r="AI264" s="283" t="s">
        <v>12</v>
      </c>
      <c r="AJ264" s="281"/>
      <c r="AK264" s="281" t="s">
        <v>13</v>
      </c>
      <c r="AL264" s="281"/>
      <c r="AM264" s="281" t="s">
        <v>14</v>
      </c>
      <c r="AN264" s="281"/>
      <c r="AO264" s="283" t="s">
        <v>12</v>
      </c>
      <c r="AP264" s="281"/>
      <c r="AQ264" s="281" t="s">
        <v>13</v>
      </c>
      <c r="AR264" s="281"/>
      <c r="AS264" s="281" t="s">
        <v>14</v>
      </c>
      <c r="AT264" s="282"/>
      <c r="AW264" s="283">
        <v>1</v>
      </c>
      <c r="AX264" s="281"/>
      <c r="AY264" s="281">
        <v>2</v>
      </c>
      <c r="AZ264" s="281"/>
      <c r="BA264" s="281">
        <v>3</v>
      </c>
      <c r="BB264" s="281"/>
      <c r="BC264" s="281">
        <v>4</v>
      </c>
      <c r="BD264" s="282"/>
      <c r="BE264" s="283" t="s">
        <v>3</v>
      </c>
      <c r="BF264" s="282"/>
      <c r="BG264" s="283" t="s">
        <v>4</v>
      </c>
      <c r="BH264" s="282"/>
      <c r="BI264" s="283" t="s">
        <v>5</v>
      </c>
      <c r="BJ264" s="268"/>
      <c r="BK264" s="41" t="s">
        <v>6</v>
      </c>
      <c r="BL264" s="20"/>
    </row>
    <row r="265" spans="1:64" ht="11.45" customHeight="1" x14ac:dyDescent="0.2">
      <c r="A265" s="19">
        <f t="shared" ref="A265:A270" si="26">S265</f>
        <v>48</v>
      </c>
      <c r="B265" s="19" t="str">
        <f>IF(N263="","",N263)</f>
        <v>W4701</v>
      </c>
      <c r="C265" s="19" t="str">
        <f>IF(N264="","",N264)</f>
        <v>F3777</v>
      </c>
      <c r="D265" s="19" t="str">
        <f>IF(N269="","",N269)</f>
        <v>Ś5003</v>
      </c>
      <c r="E265" s="19" t="str">
        <f>IF(N270="","",N270)</f>
        <v>K5206</v>
      </c>
      <c r="H265" s="10"/>
      <c r="I265" s="2" t="str">
        <f>"2"&amp;O261&amp;N262</f>
        <v>21mieszana M</v>
      </c>
      <c r="J265" s="10" t="str">
        <f>IF(AE265="","",IF(AE262=2,N263,IF(AE265=2,N266,IF(AE268=2,N269,IF(AE271=2,N272,"")))))</f>
        <v>Ś5003</v>
      </c>
      <c r="K265" s="10" t="str">
        <f>IF(AE265="","",IF(AE262=2,N264,IF(AE265=2,N267,IF(AE268=2,N270,IF(AE271=2,N273,"")))))</f>
        <v>K5206</v>
      </c>
      <c r="L265" s="10"/>
      <c r="M265" s="42" t="str">
        <f>N262</f>
        <v>mieszana M</v>
      </c>
      <c r="O265" s="28"/>
      <c r="P265" s="28"/>
      <c r="Q265" s="43" t="str">
        <f>IF(AU265&gt;0,"",IF(A265=0,"",IF(VLOOKUP(A265,'[1]plan gier'!A$1:S$65536,19,FALSE)="","",VLOOKUP(A265,'[1]plan gier'!A$1:S$65536,19,FALSE))))</f>
        <v/>
      </c>
      <c r="R265" s="44" t="s">
        <v>15</v>
      </c>
      <c r="S265" s="146">
        <v>48</v>
      </c>
      <c r="T265" s="241">
        <v>2</v>
      </c>
      <c r="U265" s="244" t="str">
        <f>IF(AND(N266&lt;&gt;"",N267&lt;&gt;""),CONCATENATE(VLOOKUP(N266,[1]zawodnicy!$A$1:$E$65536,1,FALSE)," ",VLOOKUP(N266,[1]zawodnicy!$A$1:$E$65536,2,FALSE)," ",VLOOKUP(N266,[1]zawodnicy!$A$1:$E$65536,3,FALSE)," - ",VLOOKUP(N266,[1]zawodnicy!$A$1:$E$65536,4,FALSE)),"")</f>
        <v>B5525 Michał BARAŃSKI - SKB Suwałki</v>
      </c>
      <c r="V265" s="245"/>
      <c r="W265" s="246"/>
      <c r="X265" s="46" t="str">
        <f>IF(SUM(AO270:AP270)=0,"",AP270&amp;":"&amp;AO270)</f>
        <v>8:21</v>
      </c>
      <c r="Y265" s="147"/>
      <c r="Z265" s="83" t="str">
        <f>IF(SUM(AO268:AP268)=0,"",AO268&amp;":"&amp;AP268)</f>
        <v>10:21</v>
      </c>
      <c r="AA265" s="48" t="str">
        <f>IF(SUM(AO266:AP266)=0,"",AO266&amp;":"&amp;AP266)</f>
        <v>21:15</v>
      </c>
      <c r="AB265" s="241" t="str">
        <f>IF(SUM(AW266:AX266,BA266:BD266)=0,"",BE266&amp;":"&amp;BF266)</f>
        <v>72:120</v>
      </c>
      <c r="AC265" s="250" t="str">
        <f>IF(SUM(AW266:AX266,BA266:BD266)=0,"",BG266&amp;":"&amp;BH266)</f>
        <v>2:4</v>
      </c>
      <c r="AD265" s="250" t="str">
        <f>IF(SUM(AW266:AX266,BA266:BD266)=0,"",BI266&amp;":"&amp;BJ266)</f>
        <v>1:2</v>
      </c>
      <c r="AE265" s="253">
        <f>IF(SUM(BI265:BI268)&gt;0,BK266,"")</f>
        <v>3</v>
      </c>
      <c r="AF265" s="12"/>
      <c r="AG265" s="12"/>
      <c r="AH265" s="44" t="s">
        <v>15</v>
      </c>
      <c r="AI265" s="148">
        <f>IF(ISBLANK(S265),"",VLOOKUP(S265,'[1]plan gier'!$X$1:$AN$65536,12,FALSE))</f>
        <v>21</v>
      </c>
      <c r="AJ265" s="52">
        <f>IF(ISBLANK(S265),"",VLOOKUP(S265,'[1]plan gier'!$X$1:$AN$65536,13,FALSE))</f>
        <v>6</v>
      </c>
      <c r="AK265" s="52">
        <f>IF(ISBLANK(S265),"",VLOOKUP(S265,'[1]plan gier'!$X$1:$AN$65536,14,FALSE))</f>
        <v>21</v>
      </c>
      <c r="AL265" s="52">
        <f>IF(ISBLANK(S265),"",VLOOKUP(S265,'[1]plan gier'!$X$1:$AN$65536,15,FALSE))</f>
        <v>11</v>
      </c>
      <c r="AM265" s="52">
        <f>IF(ISBLANK(S265),"",VLOOKUP(S265,'[1]plan gier'!$X$1:$AN$65536,16,FALSE))</f>
        <v>0</v>
      </c>
      <c r="AN265" s="52">
        <f>IF(ISBLANK(S265),"",VLOOKUP(S265,'[1]plan gier'!$X$1:$AN$65536,17,FALSE))</f>
        <v>0</v>
      </c>
      <c r="AO265" s="49">
        <f t="shared" ref="AO265:AT270" si="27">IF(AI265="",0,AI265)</f>
        <v>21</v>
      </c>
      <c r="AP265" s="50">
        <f t="shared" si="27"/>
        <v>6</v>
      </c>
      <c r="AQ265" s="50">
        <f t="shared" si="27"/>
        <v>21</v>
      </c>
      <c r="AR265" s="50">
        <f t="shared" si="27"/>
        <v>11</v>
      </c>
      <c r="AS265" s="50">
        <f t="shared" si="27"/>
        <v>0</v>
      </c>
      <c r="AT265" s="57">
        <f t="shared" si="27"/>
        <v>0</v>
      </c>
      <c r="AU265" s="149">
        <f t="shared" ref="AU265:AU270" si="28">SUM(AO265:AT265)</f>
        <v>59</v>
      </c>
      <c r="AV265" s="5">
        <v>1</v>
      </c>
      <c r="AW265" s="284"/>
      <c r="AX265" s="285"/>
      <c r="AY265" s="50">
        <f>IF(AI270&gt;AJ270,1,0)+IF(AK270&gt;AL270,1,0)+IF(AM270&gt;AN270,1,0)</f>
        <v>2</v>
      </c>
      <c r="AZ265" s="50">
        <f>AW266</f>
        <v>0</v>
      </c>
      <c r="BA265" s="50">
        <f>IF(AI265&gt;AJ265,1,0)+IF(AK265&gt;AL265,1,0)+IF(AM265&gt;AN265,1,0)</f>
        <v>2</v>
      </c>
      <c r="BB265" s="52">
        <f>AW267</f>
        <v>0</v>
      </c>
      <c r="BC265" s="150">
        <f>IF(AI267&gt;AJ267,1,0)+IF(AK267&gt;AL267,1,0)+IF(AM267&gt;AN267,1,0)</f>
        <v>2</v>
      </c>
      <c r="BD265" s="58">
        <f>AW268</f>
        <v>0</v>
      </c>
      <c r="BE265" s="148">
        <f>AO265+AQ265+AS265+AO267+AQ267+AS267+AO270+AQ270+AS270</f>
        <v>126</v>
      </c>
      <c r="BF265" s="151">
        <f>AP265+AR265+AT265+AP267+AR267+AT267+AP270+AR270+AT270</f>
        <v>43</v>
      </c>
      <c r="BG265" s="148">
        <f>AY265+BA265+BC265</f>
        <v>6</v>
      </c>
      <c r="BH265" s="152">
        <f>AZ265+BB265+BD265</f>
        <v>0</v>
      </c>
      <c r="BI265" s="148">
        <f>IF(AY265&gt;AZ265,1,0)+IF(BA265&gt;BB265,1,0)+IF(BC265&gt;BD265,1,0)</f>
        <v>3</v>
      </c>
      <c r="BJ265" s="152">
        <f>IF(AZ265&gt;AY265,1,0)+IF(BB265&gt;BA265,1,0)+IF(BD265&gt;BC265,1,0)</f>
        <v>0</v>
      </c>
      <c r="BK265" s="153">
        <f>IF(BI265+BJ265=0,"",IF(BL265=MAX(BL265:BL268),1,IF(BL265=LARGE(BL265:BL268,2),2,IF(BL265=MIN(BL265:BL268),4,3))))</f>
        <v>1</v>
      </c>
      <c r="BL265" s="60">
        <f>IF(BI265+BJ265&lt;&gt;0,BI265+1+(BG265-BH265)/100+(BE265-BF265)/100000+(BE265/BF265)/1000000,0)</f>
        <v>4.0608329302325572</v>
      </c>
    </row>
    <row r="266" spans="1:64" ht="11.45" customHeight="1" x14ac:dyDescent="0.2">
      <c r="A266" s="19">
        <f t="shared" si="26"/>
        <v>49</v>
      </c>
      <c r="B266" s="19" t="str">
        <f>IF(N266="","",N266)</f>
        <v>B5525</v>
      </c>
      <c r="C266" s="19" t="str">
        <f>IF(N267="","",N267)</f>
        <v>T5056</v>
      </c>
      <c r="D266" s="19" t="str">
        <f>IF(N272="","",N272)</f>
        <v>S5947</v>
      </c>
      <c r="E266" s="19" t="str">
        <f>IF(N273="","",N273)</f>
        <v>G3854</v>
      </c>
      <c r="J266" s="10"/>
      <c r="K266" s="19"/>
      <c r="L266" s="19"/>
      <c r="M266" s="42" t="str">
        <f>N262</f>
        <v>mieszana M</v>
      </c>
      <c r="N266" s="33" t="s">
        <v>265</v>
      </c>
      <c r="O266" s="34">
        <f>IF(O261&gt;0,(O261&amp;2)*1,"")</f>
        <v>12</v>
      </c>
      <c r="Q266" s="43" t="str">
        <f>IF(AU266&gt;0,"",IF(A266=0,"",IF(VLOOKUP(A266,'[1]plan gier'!A$1:S$65536,19,FALSE)="","",VLOOKUP(A266,'[1]plan gier'!A$1:S$65536,19,FALSE))))</f>
        <v/>
      </c>
      <c r="R266" s="44" t="s">
        <v>66</v>
      </c>
      <c r="S266" s="146">
        <v>49</v>
      </c>
      <c r="T266" s="242"/>
      <c r="U266" s="244" t="str">
        <f>IF(AND(N266&lt;&gt;"",N267=""),CONCATENATE(VLOOKUP(N266,[1]zawodnicy!$A$1:$E$65536,1,FALSE)," ",VLOOKUP(N266,[1]zawodnicy!$A$1:$E$65536,2,FALSE)," ",VLOOKUP(N266,[1]zawodnicy!$A$1:$E$65536,3,FALSE)," - ",VLOOKUP(N266,[1]zawodnicy!$A$1:$E$65536,4,FALSE)),"")</f>
        <v/>
      </c>
      <c r="V266" s="245"/>
      <c r="W266" s="246"/>
      <c r="X266" s="61" t="str">
        <f>IF(SUM(AQ270:AR270)=0,"",AR270&amp;":"&amp;AQ270)</f>
        <v>3:21</v>
      </c>
      <c r="Y266" s="154"/>
      <c r="Z266" s="36" t="str">
        <f>IF(SUM(AQ268:AR268)=0,"",AQ268&amp;":"&amp;AR268)</f>
        <v>7:21</v>
      </c>
      <c r="AA266" s="37" t="str">
        <f>IF(SUM(AQ266:AR266)=0,"",AQ266&amp;":"&amp;AR266)</f>
        <v>23:21</v>
      </c>
      <c r="AB266" s="242"/>
      <c r="AC266" s="251"/>
      <c r="AD266" s="251"/>
      <c r="AE266" s="254"/>
      <c r="AF266" s="12"/>
      <c r="AG266" s="12"/>
      <c r="AH266" s="44" t="s">
        <v>66</v>
      </c>
      <c r="AI266" s="49">
        <f>IF(ISBLANK(S266),"",VLOOKUP(S266,'[1]plan gier'!$X$1:$AN$65536,12,FALSE))</f>
        <v>21</v>
      </c>
      <c r="AJ266" s="50">
        <f>IF(ISBLANK(S266),"",VLOOKUP(S266,'[1]plan gier'!$X$1:$AN$65536,13,FALSE))</f>
        <v>15</v>
      </c>
      <c r="AK266" s="50">
        <f>IF(ISBLANK(S266),"",VLOOKUP(S266,'[1]plan gier'!$X$1:$AN$65536,14,FALSE))</f>
        <v>23</v>
      </c>
      <c r="AL266" s="50">
        <f>IF(ISBLANK(S266),"",VLOOKUP(S266,'[1]plan gier'!$X$1:$AN$65536,15,FALSE))</f>
        <v>21</v>
      </c>
      <c r="AM266" s="50">
        <f>IF(ISBLANK(S266),"",VLOOKUP(S266,'[1]plan gier'!$X$1:$AN$65536,16,FALSE))</f>
        <v>0</v>
      </c>
      <c r="AN266" s="50">
        <f>IF(ISBLANK(S266),"",VLOOKUP(S266,'[1]plan gier'!$X$1:$AN$65536,17,FALSE))</f>
        <v>0</v>
      </c>
      <c r="AO266" s="63">
        <f t="shared" si="27"/>
        <v>21</v>
      </c>
      <c r="AP266" s="64">
        <f t="shared" si="27"/>
        <v>15</v>
      </c>
      <c r="AQ266" s="64">
        <f t="shared" si="27"/>
        <v>23</v>
      </c>
      <c r="AR266" s="64">
        <f t="shared" si="27"/>
        <v>21</v>
      </c>
      <c r="AS266" s="64">
        <f t="shared" si="27"/>
        <v>0</v>
      </c>
      <c r="AT266" s="69">
        <f t="shared" si="27"/>
        <v>0</v>
      </c>
      <c r="AU266" s="149">
        <f t="shared" si="28"/>
        <v>80</v>
      </c>
      <c r="AV266" s="5">
        <v>2</v>
      </c>
      <c r="AW266" s="63">
        <f>IF(AI270&lt;AJ270,1,0)+IF(AK270&lt;AL270,1,0)+IF(AM270&lt;AN270,1,0)</f>
        <v>0</v>
      </c>
      <c r="AX266" s="64">
        <f>AY265</f>
        <v>2</v>
      </c>
      <c r="AY266" s="155"/>
      <c r="AZ266" s="156"/>
      <c r="BA266" s="64">
        <f>IF(AI268&gt;AJ268,1,0)+IF(AK268&gt;AL268,1,0)+IF(AM268&gt;AN268,1,0)</f>
        <v>0</v>
      </c>
      <c r="BB266" s="64">
        <f>AY267</f>
        <v>2</v>
      </c>
      <c r="BC266" s="157">
        <f>IF(AI266&gt;AJ266,1,0)+IF(AK266&gt;AL266,1,0)+IF(AM266&gt;AN266,1,0)</f>
        <v>2</v>
      </c>
      <c r="BD266" s="70">
        <f>AY268</f>
        <v>0</v>
      </c>
      <c r="BE266" s="63">
        <f>AO266+AQ266+AS266+AO268+AQ268+AS268+AP270+AR270+AT270</f>
        <v>72</v>
      </c>
      <c r="BF266" s="70">
        <f>AP266+AR266+AT266+AP268+AR268+AT268+AO270+AQ270+AS270</f>
        <v>120</v>
      </c>
      <c r="BG266" s="63">
        <f>AW266+BA266+BC266</f>
        <v>2</v>
      </c>
      <c r="BH266" s="69">
        <f>AX266+BB266+BD266</f>
        <v>4</v>
      </c>
      <c r="BI266" s="63">
        <f>IF(AW266&gt;AX266,1,0)+IF(BA266&gt;BB266,1,0)+IF(BC266&gt;BD266,1,0)</f>
        <v>1</v>
      </c>
      <c r="BJ266" s="69">
        <f>IF(AX266&gt;AW266,1,0)+IF(BB266&gt;BA266,1,0)+IF(BD266&gt;BC266,1,0)</f>
        <v>2</v>
      </c>
      <c r="BK266" s="71">
        <f>IF(BI266+BJ266=0,"",IF(BL266=MAX(BL265:BL268),1,IF(BL266=LARGE(BL265:BL268,2),2,IF(BL266=MIN(BL265:BL268),4,3))))</f>
        <v>3</v>
      </c>
      <c r="BL266" s="60">
        <f>IF(BI266+BJ266&lt;&gt;0,BI266+1+(BG266-BH266)/100+(BE266-BF266)/100000+(BE266/BF266)/1000000,0)</f>
        <v>1.9795205999999999</v>
      </c>
    </row>
    <row r="267" spans="1:64" ht="11.45" customHeight="1" x14ac:dyDescent="0.2">
      <c r="A267" s="19">
        <f t="shared" si="26"/>
        <v>114</v>
      </c>
      <c r="B267" s="19" t="str">
        <f>IF(N263="","",N263)</f>
        <v>W4701</v>
      </c>
      <c r="C267" s="19" t="str">
        <f>IF(N264="","",N264)</f>
        <v>F3777</v>
      </c>
      <c r="D267" s="19" t="str">
        <f>IF(N272="","",N272)</f>
        <v>S5947</v>
      </c>
      <c r="E267" s="19" t="str">
        <f>IF(N273="","",N273)</f>
        <v>G3854</v>
      </c>
      <c r="H267" s="10"/>
      <c r="I267" s="2" t="str">
        <f>"3"&amp;O261&amp;N262</f>
        <v>31mieszana M</v>
      </c>
      <c r="J267" s="10" t="str">
        <f>IF(AE268="","",IF(AE262=3,N263,IF(AE265=3,N266,IF(AE268=3,N269,IF(AE271=3,N272,"")))))</f>
        <v>B5525</v>
      </c>
      <c r="K267" s="10" t="str">
        <f>IF(AE268="","",IF(AE262=3,N264,IF(AE265=3,N267,IF(AE268=3,N270,IF(AE271=3,N273,"")))))</f>
        <v>T5056</v>
      </c>
      <c r="L267" s="10"/>
      <c r="M267" s="42" t="str">
        <f>N262</f>
        <v>mieszana M</v>
      </c>
      <c r="N267" s="38" t="s">
        <v>199</v>
      </c>
      <c r="O267" s="28"/>
      <c r="P267" s="28"/>
      <c r="Q267" s="43" t="str">
        <f>IF(AU267&gt;0,"",IF(A267=0,"",IF(VLOOKUP(A267,'[1]plan gier'!A$1:S$65536,19,FALSE)="","",VLOOKUP(A267,'[1]plan gier'!A$1:S$65536,19,FALSE))))</f>
        <v/>
      </c>
      <c r="R267" s="44" t="s">
        <v>68</v>
      </c>
      <c r="S267" s="146">
        <v>114</v>
      </c>
      <c r="T267" s="261"/>
      <c r="U267" s="265" t="str">
        <f>IF(N267&lt;&gt;"",CONCATENATE(VLOOKUP(N267,[1]zawodnicy!$A$1:$E$65536,1,FALSE)," ",VLOOKUP(N267,[1]zawodnicy!$A$1:$E$65536,2,FALSE)," ",VLOOKUP(N267,[1]zawodnicy!$A$1:$E$65536,3,FALSE)," - ",VLOOKUP(N267,[1]zawodnicy!$A$1:$E$65536,4,FALSE)),"")</f>
        <v>T5056 Martyna TROJNIAR - SKB Suwałki</v>
      </c>
      <c r="V267" s="266"/>
      <c r="W267" s="267"/>
      <c r="X267" s="73" t="str">
        <f>IF(SUM(AS270:AT270)=0,"",AT270&amp;":"&amp;AS270)</f>
        <v/>
      </c>
      <c r="Y267" s="154"/>
      <c r="Z267" s="39" t="str">
        <f>IF(SUM(AS268:AT268)=0,"",AS268&amp;":"&amp;AT268)</f>
        <v/>
      </c>
      <c r="AA267" s="40" t="str">
        <f>IF(SUM(AS266:AT266)=0,"",AS266&amp;":"&amp;AT266)</f>
        <v/>
      </c>
      <c r="AB267" s="242"/>
      <c r="AC267" s="251"/>
      <c r="AD267" s="251"/>
      <c r="AE267" s="254"/>
      <c r="AF267" s="12"/>
      <c r="AG267" s="12"/>
      <c r="AH267" s="44" t="s">
        <v>68</v>
      </c>
      <c r="AI267" s="49">
        <f>IF(ISBLANK(S267),"",VLOOKUP(S267,'[1]plan gier'!$X$1:$AN$65536,12,FALSE))</f>
        <v>21</v>
      </c>
      <c r="AJ267" s="50">
        <f>IF(ISBLANK(S267),"",VLOOKUP(S267,'[1]plan gier'!$X$1:$AN$65536,13,FALSE))</f>
        <v>7</v>
      </c>
      <c r="AK267" s="50">
        <f>IF(ISBLANK(S267),"",VLOOKUP(S267,'[1]plan gier'!$X$1:$AN$65536,14,FALSE))</f>
        <v>21</v>
      </c>
      <c r="AL267" s="50">
        <f>IF(ISBLANK(S267),"",VLOOKUP(S267,'[1]plan gier'!$X$1:$AN$65536,15,FALSE))</f>
        <v>8</v>
      </c>
      <c r="AM267" s="50">
        <f>IF(ISBLANK(S267),"",VLOOKUP(S267,'[1]plan gier'!$X$1:$AN$65536,16,FALSE))</f>
        <v>0</v>
      </c>
      <c r="AN267" s="50">
        <f>IF(ISBLANK(S267),"",VLOOKUP(S267,'[1]plan gier'!$X$1:$AN$65536,17,FALSE))</f>
        <v>0</v>
      </c>
      <c r="AO267" s="63">
        <f t="shared" si="27"/>
        <v>21</v>
      </c>
      <c r="AP267" s="64">
        <f t="shared" si="27"/>
        <v>7</v>
      </c>
      <c r="AQ267" s="64">
        <f t="shared" si="27"/>
        <v>21</v>
      </c>
      <c r="AR267" s="64">
        <f t="shared" si="27"/>
        <v>8</v>
      </c>
      <c r="AS267" s="64">
        <f t="shared" si="27"/>
        <v>0</v>
      </c>
      <c r="AT267" s="69">
        <f t="shared" si="27"/>
        <v>0</v>
      </c>
      <c r="AU267" s="149">
        <f t="shared" si="28"/>
        <v>57</v>
      </c>
      <c r="AV267" s="5">
        <v>3</v>
      </c>
      <c r="AW267" s="63">
        <f>IF(AI265&lt;AJ265,1,0)+IF(AK265&lt;AL265,1,0)+IF(AM265&lt;AN265,1,0)</f>
        <v>0</v>
      </c>
      <c r="AX267" s="64">
        <f>BA265</f>
        <v>2</v>
      </c>
      <c r="AY267" s="64">
        <f>IF(AI268&lt;AJ268,1,0)+IF(AK268&lt;AL268,1,0)+IF(AM268&lt;AN268,1,0)</f>
        <v>2</v>
      </c>
      <c r="AZ267" s="64">
        <f>BA266</f>
        <v>0</v>
      </c>
      <c r="BA267" s="155"/>
      <c r="BB267" s="156"/>
      <c r="BC267" s="64">
        <f>IF(AI269&gt;AJ269,1,0)+IF(AK269&gt;AL269,1,0)+IF(AM269&gt;AN269,1,0)</f>
        <v>2</v>
      </c>
      <c r="BD267" s="70">
        <f>BA268</f>
        <v>0</v>
      </c>
      <c r="BE267" s="158">
        <f>AP265+AR265+AT265+AP268+AR268+AT268+AO269+AQ269+AS269</f>
        <v>101</v>
      </c>
      <c r="BF267" s="159">
        <f>AO265+AQ265+AS265+AO268+AQ268+AS268+AP269+AR269+AT269</f>
        <v>76</v>
      </c>
      <c r="BG267" s="158">
        <f>AW267+AY267+BC267</f>
        <v>4</v>
      </c>
      <c r="BH267" s="160">
        <f>AX267+AZ267+BD267</f>
        <v>2</v>
      </c>
      <c r="BI267" s="63">
        <f>IF(AW267&gt;AX267,1,0)+IF(AY267&gt;AZ267,1,0)+IF(BC267&gt;BD267,1,0)</f>
        <v>2</v>
      </c>
      <c r="BJ267" s="69">
        <f>IF(AX267&gt;AW267,1,0)+IF(AZ267&gt;AY267,1,0)+IF(BD267&gt;BC267,1,0)</f>
        <v>1</v>
      </c>
      <c r="BK267" s="71">
        <f>IF(BI267+BJ267=0,"",IF(BL267=MAX(BL265:BL268),1,IF(BL267=LARGE(BL265:BL268,2),2,IF(BL267=MIN(BL265:BL268),4,3))))</f>
        <v>2</v>
      </c>
      <c r="BL267" s="60">
        <f>IF(BI267+BJ267&lt;&gt;0,BI267+1+(BG267-BH267)/100+(BE267-BF267)/100000+(BE267/BF267)/1000000,0)</f>
        <v>3.0202513289473685</v>
      </c>
    </row>
    <row r="268" spans="1:64" ht="11.45" customHeight="1" thickBot="1" x14ac:dyDescent="0.25">
      <c r="A268" s="19">
        <f t="shared" si="26"/>
        <v>115</v>
      </c>
      <c r="B268" s="19" t="str">
        <f>IF(N266="","",N266)</f>
        <v>B5525</v>
      </c>
      <c r="C268" s="19" t="str">
        <f>IF(N267="","",N267)</f>
        <v>T5056</v>
      </c>
      <c r="D268" s="19" t="str">
        <f>IF(N269="","",N269)</f>
        <v>Ś5003</v>
      </c>
      <c r="E268" s="19" t="str">
        <f>IF(N270="","",N270)</f>
        <v>K5206</v>
      </c>
      <c r="J268" s="10"/>
      <c r="K268" s="28"/>
      <c r="L268" s="28"/>
      <c r="M268" s="42" t="str">
        <f>N262</f>
        <v>mieszana M</v>
      </c>
      <c r="O268" s="28"/>
      <c r="P268" s="28"/>
      <c r="Q268" s="43" t="str">
        <f>IF(AU268&gt;0,"",IF(A268=0,"",IF(VLOOKUP(A268,'[1]plan gier'!A$1:S$65536,19,FALSE)="","",VLOOKUP(A268,'[1]plan gier'!A$1:S$65536,19,FALSE))))</f>
        <v/>
      </c>
      <c r="R268" s="44" t="s">
        <v>17</v>
      </c>
      <c r="S268" s="146">
        <v>115</v>
      </c>
      <c r="T268" s="241">
        <v>3</v>
      </c>
      <c r="U268" s="244" t="str">
        <f>IF(AND(N269&lt;&gt;"",N270&lt;&gt;""),CONCATENATE(VLOOKUP(N269,[1]zawodnicy!$A$1:$E$65536,1,FALSE)," ",VLOOKUP(N269,[1]zawodnicy!$A$1:$E$65536,2,FALSE)," ",VLOOKUP(N269,[1]zawodnicy!$A$1:$E$65536,3,FALSE)," - ",VLOOKUP(N269,[1]zawodnicy!$A$1:$E$65536,4,FALSE)),"")</f>
        <v>Ś5003 Norbert ŚWIERK - UKS Aktywna Piątka Przemyśl</v>
      </c>
      <c r="V268" s="245"/>
      <c r="W268" s="246"/>
      <c r="X268" s="46" t="str">
        <f>IF(SUM(AO265:AP265)=0,"",AP265&amp;":"&amp;AO265)</f>
        <v>6:21</v>
      </c>
      <c r="Y268" s="83" t="str">
        <f>IF(SUM(AO268:AP268)=0,"",AP268&amp;":"&amp;AO268)</f>
        <v>21:10</v>
      </c>
      <c r="Z268" s="47"/>
      <c r="AA268" s="48" t="str">
        <f>IF(SUM(AO269:AP269)=0,"",AO269&amp;":"&amp;AP269)</f>
        <v>21:7</v>
      </c>
      <c r="AB268" s="241" t="str">
        <f>IF(SUM(AW267:AZ267,BC267:BD267)=0,"",BE267&amp;":"&amp;BF267)</f>
        <v>101:76</v>
      </c>
      <c r="AC268" s="250" t="str">
        <f>IF(SUM(AW267:AZ267,BC267:BD267)=0,"",BG267&amp;":"&amp;BH267)</f>
        <v>4:2</v>
      </c>
      <c r="AD268" s="250" t="str">
        <f>IF(SUM(AW267:AZ267,BC267:BD267)=0,"",BI267&amp;":"&amp;BJ267)</f>
        <v>2:1</v>
      </c>
      <c r="AE268" s="253">
        <f>IF(SUM(BI265:BI268)&gt;0,BK267,"")</f>
        <v>2</v>
      </c>
      <c r="AF268" s="12"/>
      <c r="AG268" s="12"/>
      <c r="AH268" s="44" t="s">
        <v>17</v>
      </c>
      <c r="AI268" s="49">
        <f>IF(ISBLANK(S268),"",VLOOKUP(S268,'[1]plan gier'!$X$1:$AN$65536,12,FALSE))</f>
        <v>10</v>
      </c>
      <c r="AJ268" s="50">
        <f>IF(ISBLANK(S268),"",VLOOKUP(S268,'[1]plan gier'!$X$1:$AN$65536,13,FALSE))</f>
        <v>21</v>
      </c>
      <c r="AK268" s="50">
        <f>IF(ISBLANK(S268),"",VLOOKUP(S268,'[1]plan gier'!$X$1:$AN$65536,14,FALSE))</f>
        <v>7</v>
      </c>
      <c r="AL268" s="50">
        <f>IF(ISBLANK(S268),"",VLOOKUP(S268,'[1]plan gier'!$X$1:$AN$65536,15,FALSE))</f>
        <v>21</v>
      </c>
      <c r="AM268" s="50">
        <f>IF(ISBLANK(S268),"",VLOOKUP(S268,'[1]plan gier'!$X$1:$AN$65536,16,FALSE))</f>
        <v>0</v>
      </c>
      <c r="AN268" s="50">
        <f>IF(ISBLANK(S268),"",VLOOKUP(S268,'[1]plan gier'!$X$1:$AN$65536,17,FALSE))</f>
        <v>0</v>
      </c>
      <c r="AO268" s="63">
        <f t="shared" si="27"/>
        <v>10</v>
      </c>
      <c r="AP268" s="64">
        <f t="shared" si="27"/>
        <v>21</v>
      </c>
      <c r="AQ268" s="64">
        <f t="shared" si="27"/>
        <v>7</v>
      </c>
      <c r="AR268" s="64">
        <f t="shared" si="27"/>
        <v>21</v>
      </c>
      <c r="AS268" s="64">
        <f t="shared" si="27"/>
        <v>0</v>
      </c>
      <c r="AT268" s="69">
        <f t="shared" si="27"/>
        <v>0</v>
      </c>
      <c r="AU268" s="149">
        <f t="shared" si="28"/>
        <v>59</v>
      </c>
      <c r="AV268" s="5">
        <v>4</v>
      </c>
      <c r="AW268" s="161">
        <f>IF(AI267&lt;AJ267,1,0)+IF(AK267&lt;AL267,1,0)+IF(AM267&lt;AN267,1,0)</f>
        <v>0</v>
      </c>
      <c r="AX268" s="162">
        <f>BC265</f>
        <v>2</v>
      </c>
      <c r="AY268" s="162">
        <f>IF(AI266&lt;AJ266,1,0)+IF(AK266&lt;AL266,1,0)+IF(AM266&lt;AN266,1,0)</f>
        <v>0</v>
      </c>
      <c r="AZ268" s="162">
        <f>BC266</f>
        <v>2</v>
      </c>
      <c r="BA268" s="75">
        <f>IF(AI269&lt;AJ269,1,0)+IF(AK269&lt;AL269,1,0)+IF(AM269&lt;AN269,1,0)</f>
        <v>0</v>
      </c>
      <c r="BB268" s="75">
        <f>BC267</f>
        <v>2</v>
      </c>
      <c r="BC268" s="163"/>
      <c r="BD268" s="164"/>
      <c r="BE268" s="74">
        <f>AP266+AR266+AT266+AP267+AR267+AT267+AP269+AR269+AT269</f>
        <v>68</v>
      </c>
      <c r="BF268" s="81">
        <f>AO266+AQ266+AS266+AO267+AQ267+AS267+AO269+AQ269+AS269</f>
        <v>128</v>
      </c>
      <c r="BG268" s="74">
        <f>AW268+AY268+BA268</f>
        <v>0</v>
      </c>
      <c r="BH268" s="80">
        <f>AX268+AZ268+BB268</f>
        <v>6</v>
      </c>
      <c r="BI268" s="74">
        <f>IF(AW268&gt;AX268,1,0)+IF(AY268&gt;AZ268,1,0)+IF(BA268&gt;BB268,1,0)</f>
        <v>0</v>
      </c>
      <c r="BJ268" s="80">
        <f>IF(AX268&gt;AW268,1,0)+IF(AZ268&gt;AY268,1,0)+IF(BB268&gt;BA268,1,0)</f>
        <v>3</v>
      </c>
      <c r="BK268" s="82">
        <f>IF(BI268+BJ268=0,"",IF(BL268=MAX(BL265:BL268),1,IF(BL268=LARGE(BL265:BL268,2),2,IF(BL268=MIN(BL265:BL268),4,3))))</f>
        <v>4</v>
      </c>
      <c r="BL268" s="60">
        <f>IF(BI268+BJ268&lt;&gt;0,BI268+1+(BG268-BH268)/100+(BE268-BF268)/100000+(BE268/BF268)/1000000,0)</f>
        <v>0.93940053124999989</v>
      </c>
    </row>
    <row r="269" spans="1:64" ht="11.45" customHeight="1" x14ac:dyDescent="0.2">
      <c r="A269" s="19">
        <f t="shared" si="26"/>
        <v>261</v>
      </c>
      <c r="B269" s="19" t="str">
        <f>IF(N269="","",N269)</f>
        <v>Ś5003</v>
      </c>
      <c r="C269" s="19" t="str">
        <f>IF(N270="","",N270)</f>
        <v>K5206</v>
      </c>
      <c r="D269" s="19" t="str">
        <f>IF(N272="","",N272)</f>
        <v>S5947</v>
      </c>
      <c r="E269" s="19" t="str">
        <f>IF(N273="","",N273)</f>
        <v>G3854</v>
      </c>
      <c r="H269" s="10"/>
      <c r="I269" s="2" t="str">
        <f>"4"&amp;O261&amp;N262</f>
        <v>41mieszana M</v>
      </c>
      <c r="J269" s="10" t="str">
        <f>IF(AE271="","",IF(AE262=4,N263,IF(AE265=4,N266,IF(AE268=4,N269,IF(AE271=4,N272,"")))))</f>
        <v>S5947</v>
      </c>
      <c r="K269" s="10" t="str">
        <f>IF(AE271="","",IF(AE262=4,N264,IF(AE265=4,N267,IF(AE268=4,N270,IF(AE271=4,N273,"")))))</f>
        <v>G3854</v>
      </c>
      <c r="L269" s="10"/>
      <c r="M269" s="42" t="str">
        <f>N262</f>
        <v>mieszana M</v>
      </c>
      <c r="N269" s="33" t="s">
        <v>266</v>
      </c>
      <c r="O269" s="34">
        <f>IF(O261&gt;0,(O261&amp;3)*1,"")</f>
        <v>13</v>
      </c>
      <c r="Q269" s="43" t="str">
        <f>IF(AU269&gt;0,"",IF(A269=0,"",IF(VLOOKUP(A269,'[1]plan gier'!A$1:S$65536,19,FALSE)="","",VLOOKUP(A269,'[1]plan gier'!A$1:S$65536,19,FALSE))))</f>
        <v/>
      </c>
      <c r="R269" s="44" t="s">
        <v>69</v>
      </c>
      <c r="S269" s="146">
        <v>261</v>
      </c>
      <c r="T269" s="242"/>
      <c r="U269" s="244" t="str">
        <f>IF(AND(N269&lt;&gt;"",N270=""),CONCATENATE(VLOOKUP(N269,[1]zawodnicy!$A$1:$E$65536,1,FALSE)," ",VLOOKUP(N269,[1]zawodnicy!$A$1:$E$65536,2,FALSE)," ",VLOOKUP(N269,[1]zawodnicy!$A$1:$E$65536,3,FALSE)," - ",VLOOKUP(N269,[1]zawodnicy!$A$1:$E$65536,4,FALSE)),"")</f>
        <v/>
      </c>
      <c r="V269" s="245"/>
      <c r="W269" s="246"/>
      <c r="X269" s="61" t="str">
        <f>IF(SUM(AQ265:AR265)=0,"",AR265&amp;":"&amp;AQ265)</f>
        <v>11:21</v>
      </c>
      <c r="Y269" s="36" t="str">
        <f>IF(SUM(AQ268:AR268)=0,"",AR268&amp;":"&amp;AQ268)</f>
        <v>21:7</v>
      </c>
      <c r="Z269" s="62"/>
      <c r="AA269" s="37" t="str">
        <f>IF(SUM(AQ269:AR269)=0,"",AQ269&amp;":"&amp;AR269)</f>
        <v>21:10</v>
      </c>
      <c r="AB269" s="242"/>
      <c r="AC269" s="251"/>
      <c r="AD269" s="251"/>
      <c r="AE269" s="254"/>
      <c r="AF269" s="12"/>
      <c r="AG269" s="12"/>
      <c r="AH269" s="44" t="s">
        <v>69</v>
      </c>
      <c r="AI269" s="49">
        <f>IF(ISBLANK(S269),"",VLOOKUP(S269,'[1]plan gier'!$X$1:$AN$65536,12,FALSE))</f>
        <v>21</v>
      </c>
      <c r="AJ269" s="50">
        <f>IF(ISBLANK(S269),"",VLOOKUP(S269,'[1]plan gier'!$X$1:$AN$65536,13,FALSE))</f>
        <v>7</v>
      </c>
      <c r="AK269" s="50">
        <f>IF(ISBLANK(S269),"",VLOOKUP(S269,'[1]plan gier'!$X$1:$AN$65536,14,FALSE))</f>
        <v>21</v>
      </c>
      <c r="AL269" s="50">
        <f>IF(ISBLANK(S269),"",VLOOKUP(S269,'[1]plan gier'!$X$1:$AN$65536,15,FALSE))</f>
        <v>10</v>
      </c>
      <c r="AM269" s="50">
        <f>IF(ISBLANK(S269),"",VLOOKUP(S269,'[1]plan gier'!$X$1:$AN$65536,16,FALSE))</f>
        <v>0</v>
      </c>
      <c r="AN269" s="50">
        <f>IF(ISBLANK(S269),"",VLOOKUP(S269,'[1]plan gier'!$X$1:$AN$65536,17,FALSE))</f>
        <v>0</v>
      </c>
      <c r="AO269" s="63">
        <f t="shared" si="27"/>
        <v>21</v>
      </c>
      <c r="AP269" s="64">
        <f t="shared" si="27"/>
        <v>7</v>
      </c>
      <c r="AQ269" s="64">
        <f t="shared" si="27"/>
        <v>21</v>
      </c>
      <c r="AR269" s="64">
        <f t="shared" si="27"/>
        <v>10</v>
      </c>
      <c r="AS269" s="64">
        <f t="shared" si="27"/>
        <v>0</v>
      </c>
      <c r="AT269" s="69">
        <f t="shared" si="27"/>
        <v>0</v>
      </c>
      <c r="AU269" s="149">
        <f t="shared" si="28"/>
        <v>59</v>
      </c>
      <c r="BE269" s="19">
        <f t="shared" ref="BE269:BJ269" si="29">SUM(BE265:BE268)</f>
        <v>367</v>
      </c>
      <c r="BF269" s="19">
        <f t="shared" si="29"/>
        <v>367</v>
      </c>
      <c r="BG269" s="19">
        <f t="shared" si="29"/>
        <v>12</v>
      </c>
      <c r="BH269" s="19">
        <f t="shared" si="29"/>
        <v>12</v>
      </c>
      <c r="BI269" s="19">
        <f t="shared" si="29"/>
        <v>6</v>
      </c>
      <c r="BJ269" s="19">
        <f t="shared" si="29"/>
        <v>6</v>
      </c>
      <c r="BK269" s="19"/>
      <c r="BL269" s="20"/>
    </row>
    <row r="270" spans="1:64" ht="11.45" customHeight="1" thickBot="1" x14ac:dyDescent="0.25">
      <c r="A270" s="19">
        <f t="shared" si="26"/>
        <v>262</v>
      </c>
      <c r="B270" s="19" t="str">
        <f>IF(N263="","",N263)</f>
        <v>W4701</v>
      </c>
      <c r="C270" s="19" t="str">
        <f>IF(N264="","",N264)</f>
        <v>F3777</v>
      </c>
      <c r="D270" s="19" t="str">
        <f>IF(N266="","",N266)</f>
        <v>B5525</v>
      </c>
      <c r="E270" s="19" t="str">
        <f>IF(N267="","",N267)</f>
        <v>T5056</v>
      </c>
      <c r="J270" s="28"/>
      <c r="K270" s="28"/>
      <c r="L270" s="28"/>
      <c r="M270" s="42" t="str">
        <f>N262</f>
        <v>mieszana M</v>
      </c>
      <c r="N270" s="38" t="s">
        <v>267</v>
      </c>
      <c r="O270" s="28"/>
      <c r="P270" s="28"/>
      <c r="Q270" s="43" t="str">
        <f>IF(AU270&gt;0,"",IF(A270=0,"",IF(VLOOKUP(A270,'[1]plan gier'!A$1:S$65536,19,FALSE)="","",VLOOKUP(A270,'[1]plan gier'!A$1:S$65536,19,FALSE))))</f>
        <v/>
      </c>
      <c r="R270" s="44" t="s">
        <v>18</v>
      </c>
      <c r="S270" s="146">
        <v>262</v>
      </c>
      <c r="T270" s="261"/>
      <c r="U270" s="265" t="str">
        <f>IF(N270&lt;&gt;"",CONCATENATE(VLOOKUP(N270,[1]zawodnicy!$A$1:$E$65536,1,FALSE)," ",VLOOKUP(N270,[1]zawodnicy!$A$1:$E$65536,2,FALSE)," ",VLOOKUP(N270,[1]zawodnicy!$A$1:$E$65536,3,FALSE)," - ",VLOOKUP(N270,[1]zawodnicy!$A$1:$E$65536,4,FALSE)),"")</f>
        <v>K5206 Klaudia KORDEK - UKS Jagiellonka Medyka</v>
      </c>
      <c r="V270" s="266"/>
      <c r="W270" s="267"/>
      <c r="X270" s="73" t="str">
        <f>IF(SUM(AS265:AT265)=0,"",AT265&amp;":"&amp;AS265)</f>
        <v/>
      </c>
      <c r="Y270" s="39" t="str">
        <f>IF(SUM(AS268:AT268)=0,"",AT268&amp;":"&amp;AS268)</f>
        <v/>
      </c>
      <c r="Z270" s="62"/>
      <c r="AA270" s="40" t="str">
        <f>IF(SUM(AS269:AT269)=0,"",AS269&amp;":"&amp;AT269)</f>
        <v/>
      </c>
      <c r="AB270" s="242"/>
      <c r="AC270" s="251"/>
      <c r="AD270" s="251"/>
      <c r="AE270" s="254"/>
      <c r="AF270" s="12"/>
      <c r="AG270" s="12"/>
      <c r="AH270" s="44" t="s">
        <v>18</v>
      </c>
      <c r="AI270" s="161">
        <f>IF(ISBLANK(S270),"",VLOOKUP(S270,'[1]plan gier'!$X$1:$AN$65536,12,FALSE))</f>
        <v>21</v>
      </c>
      <c r="AJ270" s="162">
        <f>IF(ISBLANK(S270),"",VLOOKUP(S270,'[1]plan gier'!$X$1:$AN$65536,13,FALSE))</f>
        <v>8</v>
      </c>
      <c r="AK270" s="162">
        <f>IF(ISBLANK(S270),"",VLOOKUP(S270,'[1]plan gier'!$X$1:$AN$65536,14,FALSE))</f>
        <v>21</v>
      </c>
      <c r="AL270" s="162">
        <f>IF(ISBLANK(S270),"",VLOOKUP(S270,'[1]plan gier'!$X$1:$AN$65536,15,FALSE))</f>
        <v>3</v>
      </c>
      <c r="AM270" s="162">
        <f>IF(ISBLANK(S270),"",VLOOKUP(S270,'[1]plan gier'!$X$1:$AN$65536,16,FALSE))</f>
        <v>0</v>
      </c>
      <c r="AN270" s="162">
        <f>IF(ISBLANK(S270),"",VLOOKUP(S270,'[1]plan gier'!$X$1:$AN$65536,17,FALSE))</f>
        <v>0</v>
      </c>
      <c r="AO270" s="74">
        <f t="shared" si="27"/>
        <v>21</v>
      </c>
      <c r="AP270" s="75">
        <f t="shared" si="27"/>
        <v>8</v>
      </c>
      <c r="AQ270" s="75">
        <f t="shared" si="27"/>
        <v>21</v>
      </c>
      <c r="AR270" s="75">
        <f t="shared" si="27"/>
        <v>3</v>
      </c>
      <c r="AS270" s="75">
        <f t="shared" si="27"/>
        <v>0</v>
      </c>
      <c r="AT270" s="80">
        <f t="shared" si="27"/>
        <v>0</v>
      </c>
      <c r="AU270" s="149">
        <f t="shared" si="28"/>
        <v>53</v>
      </c>
      <c r="BK270" s="19"/>
      <c r="BL270" s="20"/>
    </row>
    <row r="271" spans="1:64" ht="11.45" customHeight="1" x14ac:dyDescent="0.2">
      <c r="A271" s="2"/>
      <c r="J271" s="28"/>
      <c r="K271" s="28"/>
      <c r="L271" s="28"/>
      <c r="O271" s="28"/>
      <c r="P271" s="28"/>
      <c r="Q271" s="2"/>
      <c r="R271" s="2"/>
      <c r="S271" s="2"/>
      <c r="T271" s="241">
        <v>4</v>
      </c>
      <c r="U271" s="244" t="str">
        <f>IF(AND(N272&lt;&gt;"",N273&lt;&gt;""),CONCATENATE(VLOOKUP(N272,[1]zawodnicy!$A$1:$E$65536,1,FALSE)," ",VLOOKUP(N272,[1]zawodnicy!$A$1:$E$65536,2,FALSE)," ",VLOOKUP(N272,[1]zawodnicy!$A$1:$E$65536,3,FALSE)," - ",VLOOKUP(N272,[1]zawodnicy!$A$1:$E$65536,4,FALSE)),"")</f>
        <v>S5947 Mateusz SADOWSKI - UKSB Milenium Warszawa</v>
      </c>
      <c r="V271" s="245"/>
      <c r="W271" s="246"/>
      <c r="X271" s="46" t="str">
        <f>IF(SUM(AO267:AP267)=0,"",AP267&amp;":"&amp;AO267)</f>
        <v>7:21</v>
      </c>
      <c r="Y271" s="83" t="str">
        <f>IF(SUM(AO266:AP266)=0,"",AP266&amp;":"&amp;AO266)</f>
        <v>15:21</v>
      </c>
      <c r="Z271" s="83" t="str">
        <f>IF(SUM(AO269:AP269)=0,"",AP269&amp;":"&amp;AO269)</f>
        <v>7:21</v>
      </c>
      <c r="AA271" s="165"/>
      <c r="AB271" s="241" t="str">
        <f>IF(SUM(AW268:BB268)=0,"",BE268&amp;":"&amp;BF268)</f>
        <v>68:128</v>
      </c>
      <c r="AC271" s="250" t="str">
        <f>IF(SUM(AW268:BB268)=0,"",BG268&amp;":"&amp;BH268)</f>
        <v>0:6</v>
      </c>
      <c r="AD271" s="250" t="str">
        <f>IF(SUM(AW268:BB268)=0,"",BI268&amp;":"&amp;BJ268)</f>
        <v>0:3</v>
      </c>
      <c r="AE271" s="253">
        <f>IF(SUM(BI265:BI268)&gt;0,BK268,"")</f>
        <v>4</v>
      </c>
      <c r="AF271" s="12"/>
      <c r="AG271" s="12"/>
      <c r="AH271" s="2"/>
      <c r="AI271" s="2"/>
      <c r="AJ271" s="2"/>
      <c r="AK271" s="2"/>
      <c r="AL271" s="2"/>
      <c r="AM271" s="2"/>
      <c r="AN271" s="2"/>
      <c r="AO271" s="2"/>
      <c r="AP271" s="2"/>
      <c r="AQ271" s="2"/>
      <c r="AR271" s="2"/>
      <c r="AS271" s="2"/>
      <c r="AT271" s="2"/>
      <c r="AU271" s="2"/>
      <c r="BK271" s="19"/>
      <c r="BL271" s="20"/>
    </row>
    <row r="272" spans="1:64" ht="11.45" customHeight="1" x14ac:dyDescent="0.2">
      <c r="A272" s="19"/>
      <c r="B272" s="19"/>
      <c r="C272" s="19"/>
      <c r="D272" s="19"/>
      <c r="E272" s="19"/>
      <c r="H272" s="10"/>
      <c r="J272" s="19"/>
      <c r="K272" s="19"/>
      <c r="L272" s="19"/>
      <c r="N272" s="33" t="s">
        <v>254</v>
      </c>
      <c r="O272" s="34">
        <f>IF(O261&gt;0,(O261&amp;4)*1,"")</f>
        <v>14</v>
      </c>
      <c r="Q272" s="85"/>
      <c r="R272" s="85"/>
      <c r="S272" s="85"/>
      <c r="T272" s="242"/>
      <c r="U272" s="244" t="str">
        <f>IF(AND(N272&lt;&gt;"",N273=""),CONCATENATE(VLOOKUP(N272,[1]zawodnicy!$A$1:$E$65536,1,FALSE)," ",VLOOKUP(N272,[1]zawodnicy!$A$1:$E$65536,2,FALSE)," ",VLOOKUP(N272,[1]zawodnicy!$A$1:$E$65536,3,FALSE)," - ",VLOOKUP(N272,[1]zawodnicy!$A$1:$E$65536,4,FALSE)),"")</f>
        <v/>
      </c>
      <c r="V272" s="245"/>
      <c r="W272" s="246"/>
      <c r="X272" s="61" t="str">
        <f>IF(SUM(AQ267:AR267)=0,"",AR267&amp;":"&amp;AQ267)</f>
        <v>8:21</v>
      </c>
      <c r="Y272" s="36" t="str">
        <f>IF(SUM(AQ266:AR266)=0,"",AR266&amp;":"&amp;AQ266)</f>
        <v>21:23</v>
      </c>
      <c r="Z272" s="36" t="str">
        <f>IF(SUM(AQ269:AR269)=0,"",AR269&amp;":"&amp;AQ269)</f>
        <v>10:21</v>
      </c>
      <c r="AA272" s="166"/>
      <c r="AB272" s="242"/>
      <c r="AC272" s="251"/>
      <c r="AD272" s="251"/>
      <c r="AE272" s="254"/>
      <c r="AF272" s="12"/>
      <c r="AG272" s="1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row>
    <row r="273" spans="1:64" ht="11.45" customHeight="1" thickBot="1" x14ac:dyDescent="0.25">
      <c r="A273" s="2"/>
      <c r="J273" s="28"/>
      <c r="K273" s="28"/>
      <c r="L273" s="28"/>
      <c r="N273" s="38" t="s">
        <v>268</v>
      </c>
      <c r="O273" s="28"/>
      <c r="P273" s="28"/>
      <c r="Q273" s="2"/>
      <c r="R273" s="2"/>
      <c r="S273" s="2"/>
      <c r="T273" s="243"/>
      <c r="U273" s="256" t="str">
        <f>IF(N273&lt;&gt;"",CONCATENATE(VLOOKUP(N273,[1]zawodnicy!$A$1:$E$65536,1,FALSE)," ",VLOOKUP(N273,[1]zawodnicy!$A$1:$E$65536,2,FALSE)," ",VLOOKUP(N273,[1]zawodnicy!$A$1:$E$65536,3,FALSE)," - ",VLOOKUP(N273,[1]zawodnicy!$A$1:$E$65536,4,FALSE)),"")</f>
        <v>G3854 Katarzyna GĘSICKA - KS Hubertus Zalesie Górne</v>
      </c>
      <c r="V273" s="257"/>
      <c r="W273" s="258"/>
      <c r="X273" s="87" t="str">
        <f>IF(SUM(AS267:AT267)=0,"",AT267&amp;":"&amp;AS267)</f>
        <v/>
      </c>
      <c r="Y273" s="88" t="str">
        <f>IF(SUM(AS266:AT266)=0,"",AT266&amp;":"&amp;AS266)</f>
        <v/>
      </c>
      <c r="Z273" s="88" t="str">
        <f>IF(SUM(AS269:AT269)=0,"",AT269&amp;":"&amp;AS269)</f>
        <v/>
      </c>
      <c r="AA273" s="89"/>
      <c r="AB273" s="243"/>
      <c r="AC273" s="252"/>
      <c r="AD273" s="252"/>
      <c r="AE273" s="255"/>
      <c r="AF273" s="12"/>
      <c r="AG273" s="1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row>
    <row r="274" spans="1:64" ht="5.0999999999999996" customHeight="1" thickBot="1" x14ac:dyDescent="0.25">
      <c r="BK274" s="19"/>
      <c r="BL274" s="20"/>
    </row>
    <row r="275" spans="1:64" ht="11.45" customHeight="1" thickBot="1" x14ac:dyDescent="0.25">
      <c r="N275" s="11"/>
      <c r="O275" s="21">
        <v>2</v>
      </c>
      <c r="Q275" s="277" t="str">
        <f>"Grupa "&amp;O275&amp;"."</f>
        <v>Grupa 2.</v>
      </c>
      <c r="R275" s="277"/>
      <c r="S275" s="277"/>
      <c r="T275" s="22" t="s">
        <v>1</v>
      </c>
      <c r="U275" s="278" t="s">
        <v>2</v>
      </c>
      <c r="V275" s="279"/>
      <c r="W275" s="280"/>
      <c r="X275" s="22">
        <v>1</v>
      </c>
      <c r="Y275" s="23">
        <v>2</v>
      </c>
      <c r="Z275" s="24">
        <v>3</v>
      </c>
      <c r="AA275" s="25" t="s">
        <v>3</v>
      </c>
      <c r="AB275" s="26" t="s">
        <v>4</v>
      </c>
      <c r="AC275" s="26" t="s">
        <v>5</v>
      </c>
      <c r="AD275" s="27" t="s">
        <v>6</v>
      </c>
      <c r="AE275" s="2"/>
      <c r="AF275" s="12"/>
      <c r="AG275" s="12"/>
      <c r="BK275" s="19"/>
      <c r="BL275" s="20"/>
    </row>
    <row r="276" spans="1:64" ht="11.45" customHeight="1" x14ac:dyDescent="0.2">
      <c r="J276" s="28"/>
      <c r="K276" s="28"/>
      <c r="L276" s="28"/>
      <c r="N276" s="29" t="s">
        <v>263</v>
      </c>
      <c r="Q276" s="274" t="s">
        <v>7</v>
      </c>
      <c r="R276" s="274"/>
      <c r="S276" s="275" t="s">
        <v>8</v>
      </c>
      <c r="T276" s="276">
        <v>1</v>
      </c>
      <c r="U276" s="244" t="str">
        <f>IF(AND(N277&lt;&gt;"",N278&lt;&gt;""),CONCATENATE(VLOOKUP(N277,[1]zawodnicy!$A$1:$E$65536,1,FALSE)," ",VLOOKUP(N277,[1]zawodnicy!$A$1:$E$65536,2,FALSE)," ",VLOOKUP(N277,[1]zawodnicy!$A$1:$E$65536,3,FALSE)," - ",VLOOKUP(N277,[1]zawodnicy!$A$1:$E$65536,4,FALSE)),"")</f>
        <v>M4170 Kamil MICHAŁEK - UKS Orbitek Straszęcin</v>
      </c>
      <c r="V276" s="245"/>
      <c r="W276" s="246"/>
      <c r="X276" s="30"/>
      <c r="Y276" s="31" t="str">
        <f>IF(SUM(AO281:AP281)=0,"",AO281&amp;":"&amp;AP281)</f>
        <v>19:21</v>
      </c>
      <c r="Z276" s="32" t="str">
        <f>IF(SUM(AO279:AP279)=0,"",AO279&amp;":"&amp;AP279)</f>
        <v>21:10</v>
      </c>
      <c r="AA276" s="270" t="str">
        <f>IF(SUM(AY279:BB279)=0,"",BE279&amp;":"&amp;BF279)</f>
        <v>80:56</v>
      </c>
      <c r="AB276" s="271" t="str">
        <f>IF(SUM(AY279:BB279)=0,"",BG279&amp;":"&amp;BH279)</f>
        <v>2:2</v>
      </c>
      <c r="AC276" s="271" t="str">
        <f>IF(SUM(AY279:BB279)=0,"",BI279&amp;":"&amp;BJ279)</f>
        <v>1:1</v>
      </c>
      <c r="AD276" s="272">
        <f>IF(SUM(BI279:BI281)&gt;0,BK279,"")</f>
        <v>2</v>
      </c>
      <c r="AE276" s="2"/>
      <c r="AF276" s="12"/>
      <c r="AG276" s="12"/>
      <c r="AH276" s="14"/>
      <c r="AI276" s="273" t="s">
        <v>9</v>
      </c>
      <c r="AJ276" s="273"/>
      <c r="AK276" s="273"/>
      <c r="AL276" s="273"/>
      <c r="AM276" s="273"/>
      <c r="AN276" s="273"/>
      <c r="AO276" s="273" t="s">
        <v>10</v>
      </c>
      <c r="AP276" s="273"/>
      <c r="AQ276" s="273"/>
      <c r="AR276" s="273"/>
      <c r="AS276" s="273"/>
      <c r="AT276" s="273"/>
      <c r="BK276" s="19"/>
      <c r="BL276" s="20"/>
    </row>
    <row r="277" spans="1:64" ht="11.45" customHeight="1" thickBot="1" x14ac:dyDescent="0.25">
      <c r="I277" s="2" t="str">
        <f>"1"&amp;O275&amp;N276</f>
        <v>12mieszana M</v>
      </c>
      <c r="J277" s="10" t="str">
        <f>IF(AD276="","",IF(AD276=1,N277,IF(AD279=1,N280,IF(AD282=1,N283,""))))</f>
        <v>K4563</v>
      </c>
      <c r="K277" s="10" t="str">
        <f>IF(AD276="","",IF(AD276=1,N278,IF(AD279=1,N281,IF(AD282=1,N284,""))))</f>
        <v>F4371</v>
      </c>
      <c r="L277" s="10"/>
      <c r="N277" s="33" t="s">
        <v>247</v>
      </c>
      <c r="O277" s="34">
        <f>IF(O275&gt;0,(O275&amp;1)*1,"")</f>
        <v>21</v>
      </c>
      <c r="Q277" s="274"/>
      <c r="R277" s="274"/>
      <c r="S277" s="275"/>
      <c r="T277" s="242"/>
      <c r="U277" s="244" t="str">
        <f>IF(AND(N277&lt;&gt;"",N278=""),CONCATENATE(VLOOKUP(N277,[1]zawodnicy!$A$1:$E$65536,1,FALSE)," ",VLOOKUP(N277,[1]zawodnicy!$A$1:$E$65536,2,FALSE)," ",VLOOKUP(N277,[1]zawodnicy!$A$1:$E$65536,3,FALSE)," - ",VLOOKUP(N277,[1]zawodnicy!$A$1:$E$65536,4,FALSE)),"")</f>
        <v/>
      </c>
      <c r="V277" s="245"/>
      <c r="W277" s="246"/>
      <c r="X277" s="35"/>
      <c r="Y277" s="36" t="str">
        <f>IF(SUM(AQ281:AR281)=0,"",AQ281&amp;":"&amp;AR281)</f>
        <v>19:21</v>
      </c>
      <c r="Z277" s="37" t="str">
        <f>IF(SUM(AQ279:AR279)=0,"",AQ279&amp;":"&amp;AR279)</f>
        <v>21:4</v>
      </c>
      <c r="AA277" s="248"/>
      <c r="AB277" s="251"/>
      <c r="AC277" s="251"/>
      <c r="AD277" s="254"/>
      <c r="AE277" s="2"/>
      <c r="AF277" s="12"/>
      <c r="AG277" s="12"/>
      <c r="AH277" s="14"/>
      <c r="BE277" s="19">
        <f>SUM(BE279:BE281)</f>
        <v>198</v>
      </c>
      <c r="BF277" s="19">
        <f>SUM(BF279:BF281)</f>
        <v>198</v>
      </c>
      <c r="BG277" s="19">
        <f>SUM(BG279:BG281)</f>
        <v>6</v>
      </c>
      <c r="BH277" s="19">
        <f>SUM(BH279:BH281)</f>
        <v>6</v>
      </c>
      <c r="BK277" s="19"/>
      <c r="BL277" s="20"/>
    </row>
    <row r="278" spans="1:64" ht="11.45" customHeight="1" thickBot="1" x14ac:dyDescent="0.25">
      <c r="J278" s="10"/>
      <c r="K278" s="28"/>
      <c r="L278" s="28"/>
      <c r="N278" s="38" t="s">
        <v>178</v>
      </c>
      <c r="O278" s="28"/>
      <c r="P278" s="28"/>
      <c r="Q278" s="274"/>
      <c r="R278" s="274"/>
      <c r="S278" s="275"/>
      <c r="T278" s="261"/>
      <c r="U278" s="265" t="str">
        <f>IF(N278&lt;&gt;"",CONCATENATE(VLOOKUP(N278,[1]zawodnicy!$A$1:$E$65536,1,FALSE)," ",VLOOKUP(N278,[1]zawodnicy!$A$1:$E$65536,2,FALSE)," ",VLOOKUP(N278,[1]zawodnicy!$A$1:$E$65536,3,FALSE)," - ",VLOOKUP(N278,[1]zawodnicy!$A$1:$E$65536,4,FALSE)),"")</f>
        <v>J4555 Izabela JAJKO - UKS Orliki Ropica Polska</v>
      </c>
      <c r="V278" s="266"/>
      <c r="W278" s="267"/>
      <c r="X278" s="35"/>
      <c r="Y278" s="39" t="str">
        <f>IF(SUM(AS281:AT281)=0,"",AS281&amp;":"&amp;AT281)</f>
        <v/>
      </c>
      <c r="Z278" s="40" t="str">
        <f>IF(SUM(AS279:AT279)=0,"",AS279&amp;":"&amp;AT279)</f>
        <v/>
      </c>
      <c r="AA278" s="262"/>
      <c r="AB278" s="263"/>
      <c r="AC278" s="263"/>
      <c r="AD278" s="264"/>
      <c r="AE278" s="2"/>
      <c r="AF278" s="12"/>
      <c r="AG278" s="12"/>
      <c r="AH278" s="14"/>
      <c r="AI278" s="259" t="s">
        <v>12</v>
      </c>
      <c r="AJ278" s="269"/>
      <c r="AK278" s="268" t="s">
        <v>13</v>
      </c>
      <c r="AL278" s="269"/>
      <c r="AM278" s="268" t="s">
        <v>14</v>
      </c>
      <c r="AN278" s="260"/>
      <c r="AO278" s="259" t="s">
        <v>12</v>
      </c>
      <c r="AP278" s="269"/>
      <c r="AQ278" s="268" t="s">
        <v>13</v>
      </c>
      <c r="AR278" s="269"/>
      <c r="AS278" s="268" t="s">
        <v>14</v>
      </c>
      <c r="AT278" s="269"/>
      <c r="AU278" s="12"/>
      <c r="AV278" s="12"/>
      <c r="AW278" s="259">
        <v>1</v>
      </c>
      <c r="AX278" s="269"/>
      <c r="AY278" s="268">
        <v>2</v>
      </c>
      <c r="AZ278" s="269"/>
      <c r="BA278" s="268">
        <v>3</v>
      </c>
      <c r="BB278" s="260"/>
      <c r="BE278" s="259" t="s">
        <v>3</v>
      </c>
      <c r="BF278" s="260"/>
      <c r="BG278" s="259" t="s">
        <v>4</v>
      </c>
      <c r="BH278" s="260"/>
      <c r="BI278" s="259" t="s">
        <v>5</v>
      </c>
      <c r="BJ278" s="260"/>
      <c r="BK278" s="41" t="s">
        <v>6</v>
      </c>
      <c r="BL278" s="20"/>
    </row>
    <row r="279" spans="1:64" ht="11.45" customHeight="1" x14ac:dyDescent="0.2">
      <c r="A279" s="19">
        <f>S279</f>
        <v>50</v>
      </c>
      <c r="B279" s="2" t="str">
        <f>IF(N277="","",N277)</f>
        <v>M4170</v>
      </c>
      <c r="C279" s="2" t="str">
        <f>IF(N278="","",N278)</f>
        <v>J4555</v>
      </c>
      <c r="D279" s="2" t="str">
        <f>IF(N283="","",N283)</f>
        <v>X04</v>
      </c>
      <c r="E279" s="2" t="str">
        <f>IF(N284="","",N284)</f>
        <v>X01</v>
      </c>
      <c r="I279" s="2" t="str">
        <f>"2"&amp;O275&amp;N276</f>
        <v>22mieszana M</v>
      </c>
      <c r="J279" s="10" t="str">
        <f>IF(AD279="","",IF(AD276=2,N277,IF(AD279=2,N280,IF(AD282=2,N283,""))))</f>
        <v>M4170</v>
      </c>
      <c r="K279" s="10" t="str">
        <f>IF(AD279="","",IF(AD276=2,N278,IF(AD279=2,N281,IF(AD282=2,N284,""))))</f>
        <v>J4555</v>
      </c>
      <c r="M279" s="42" t="str">
        <f>N276</f>
        <v>mieszana M</v>
      </c>
      <c r="O279" s="28"/>
      <c r="P279" s="28"/>
      <c r="Q279" s="43" t="str">
        <f>IF(AU279&gt;0,"",IF(A279=0,"",IF(VLOOKUP(A279,'[1]plan gier'!A$1:S$65536,19,FALSE)="","",VLOOKUP(A279,'[1]plan gier'!A$1:S$65536,19,FALSE))))</f>
        <v/>
      </c>
      <c r="R279" s="44" t="s">
        <v>15</v>
      </c>
      <c r="S279" s="45">
        <v>50</v>
      </c>
      <c r="T279" s="241">
        <v>2</v>
      </c>
      <c r="U279" s="244" t="str">
        <f>IF(AND(N280&lt;&gt;"",N281&lt;&gt;""),CONCATENATE(VLOOKUP(N280,[1]zawodnicy!$A$1:$E$65536,1,FALSE)," ",VLOOKUP(N280,[1]zawodnicy!$A$1:$E$65536,2,FALSE)," ",VLOOKUP(N280,[1]zawodnicy!$A$1:$E$65536,3,FALSE)," - ",VLOOKUP(N280,[1]zawodnicy!$A$1:$E$65536,4,FALSE)),"")</f>
        <v>K4563 Kordian KOBYLNIK - LKS Technik Głubczyce</v>
      </c>
      <c r="V279" s="245"/>
      <c r="W279" s="246"/>
      <c r="X279" s="46" t="str">
        <f>IF(SUM(AO281:AP281)=0,"",AP281&amp;":"&amp;AO281)</f>
        <v>21:19</v>
      </c>
      <c r="Y279" s="47"/>
      <c r="Z279" s="48" t="str">
        <f>IF(SUM(AO280:AP280)=0,"",AO280&amp;":"&amp;AP280)</f>
        <v>21:17</v>
      </c>
      <c r="AA279" s="247" t="str">
        <f>IF(SUM(AW280:AX280,BA280:BB280)=0,"",BE280&amp;":"&amp;BF280)</f>
        <v>84:58</v>
      </c>
      <c r="AB279" s="250" t="str">
        <f>IF(SUM(AW280:AX280,BA280:BB280)=0,"",BG280&amp;":"&amp;BH280)</f>
        <v>4:0</v>
      </c>
      <c r="AC279" s="250" t="str">
        <f>IF(SUM(AW280:AX280,BA280:BB280)=0,"",BI280&amp;":"&amp;BJ280)</f>
        <v>2:0</v>
      </c>
      <c r="AD279" s="253">
        <f>IF(SUM(BI279:BI281)&gt;0,BK280,"")</f>
        <v>1</v>
      </c>
      <c r="AE279" s="2"/>
      <c r="AF279" s="12"/>
      <c r="AG279" s="12"/>
      <c r="AH279" s="44" t="s">
        <v>15</v>
      </c>
      <c r="AI279" s="49">
        <f>IF(ISBLANK(S279),"",VLOOKUP(S279,'[1]plan gier'!$X$1:$AN$65536,12,FALSE))</f>
        <v>21</v>
      </c>
      <c r="AJ279" s="50">
        <f>IF(ISBLANK(S279),"",VLOOKUP(S279,'[1]plan gier'!$X$1:$AN$65536,13,FALSE))</f>
        <v>10</v>
      </c>
      <c r="AK279" s="50">
        <f>IF(ISBLANK(S279),"",VLOOKUP(S279,'[1]plan gier'!$X$1:$AN$65536,14,FALSE))</f>
        <v>21</v>
      </c>
      <c r="AL279" s="50">
        <f>IF(ISBLANK(S279),"",VLOOKUP(S279,'[1]plan gier'!$X$1:$AN$65536,15,FALSE))</f>
        <v>4</v>
      </c>
      <c r="AM279" s="50">
        <f>IF(ISBLANK(S279),"",VLOOKUP(S279,'[1]plan gier'!$X$1:$AN$65536,16,FALSE))</f>
        <v>0</v>
      </c>
      <c r="AN279" s="50">
        <f>IF(ISBLANK(S279),"",VLOOKUP(S279,'[1]plan gier'!$X$1:$AN$65536,17,FALSE))</f>
        <v>0</v>
      </c>
      <c r="AO279" s="51">
        <f t="shared" ref="AO279:AT281" si="30">IF(AI279="",0,AI279)</f>
        <v>21</v>
      </c>
      <c r="AP279" s="52">
        <f t="shared" si="30"/>
        <v>10</v>
      </c>
      <c r="AQ279" s="53">
        <f t="shared" si="30"/>
        <v>21</v>
      </c>
      <c r="AR279" s="52">
        <f t="shared" si="30"/>
        <v>4</v>
      </c>
      <c r="AS279" s="53">
        <f t="shared" si="30"/>
        <v>0</v>
      </c>
      <c r="AT279" s="52">
        <f t="shared" si="30"/>
        <v>0</v>
      </c>
      <c r="AU279" s="54">
        <f>SUM(AO279:AT279)</f>
        <v>56</v>
      </c>
      <c r="AV279" s="13">
        <v>1</v>
      </c>
      <c r="AW279" s="55"/>
      <c r="AX279" s="56"/>
      <c r="AY279" s="50">
        <f>IF(AI281&gt;AJ281,1,0)+IF(AK281&gt;AL281,1,0)+IF(AM281&gt;AN281,1,0)</f>
        <v>0</v>
      </c>
      <c r="AZ279" s="50">
        <f>AW280</f>
        <v>2</v>
      </c>
      <c r="BA279" s="50">
        <f>IF(AI279&gt;AJ279,1,0)+IF(AK279&gt;AL279,1,0)+IF(AM279&gt;AN279,1,0)</f>
        <v>2</v>
      </c>
      <c r="BB279" s="57">
        <f>AW281</f>
        <v>0</v>
      </c>
      <c r="BE279" s="49">
        <f>AO279+AQ279+AS279+AO281+AQ281+AS281</f>
        <v>80</v>
      </c>
      <c r="BF279" s="57">
        <f>AP279+AR279+AT279+AP281+AR281+AT281</f>
        <v>56</v>
      </c>
      <c r="BG279" s="49">
        <f>AY279+BA279</f>
        <v>2</v>
      </c>
      <c r="BH279" s="57">
        <f>AZ279+BB279</f>
        <v>2</v>
      </c>
      <c r="BI279" s="49">
        <f>IF(AY279&gt;AZ279,1,0)+IF(BA279&gt;BB279,1,0)</f>
        <v>1</v>
      </c>
      <c r="BJ279" s="58">
        <f>IF(AZ279&gt;AY279,1,0)+IF(BB279&gt;BA279,1,0)</f>
        <v>1</v>
      </c>
      <c r="BK279" s="59">
        <f>IF(BI279+BJ279=0,"",IF(BL279=MAX(BL279:BL281),1,IF(BL279=MIN(BL279:BL281),3,2)))</f>
        <v>2</v>
      </c>
      <c r="BL279" s="60">
        <f>IF(BI279+BJ279&lt;&gt;0,BI279+1+(BG279-BH279)/100+(BE279-BF279)/100000+(BE279/BF279)/1000000,0)</f>
        <v>2.0002414285714285</v>
      </c>
    </row>
    <row r="280" spans="1:64" ht="11.45" customHeight="1" x14ac:dyDescent="0.2">
      <c r="A280" s="19">
        <f>S280</f>
        <v>116</v>
      </c>
      <c r="B280" s="2" t="str">
        <f>IF(N280="","",N280)</f>
        <v>K4563</v>
      </c>
      <c r="C280" s="2" t="str">
        <f>IF(N281="","",N281)</f>
        <v>F4371</v>
      </c>
      <c r="D280" s="2" t="str">
        <f>IF(N283="","",N283)</f>
        <v>X04</v>
      </c>
      <c r="E280" s="2" t="str">
        <f>IF(N284="","",N284)</f>
        <v>X01</v>
      </c>
      <c r="J280" s="10"/>
      <c r="K280" s="19"/>
      <c r="M280" s="42" t="str">
        <f>N276</f>
        <v>mieszana M</v>
      </c>
      <c r="N280" s="33" t="s">
        <v>252</v>
      </c>
      <c r="O280" s="34">
        <f>IF(O275&gt;0,(O275&amp;2)*1,"")</f>
        <v>22</v>
      </c>
      <c r="Q280" s="43" t="str">
        <f>IF(AU280&gt;0,"",IF(A280=0,"",IF(VLOOKUP(A280,'[1]plan gier'!A$1:S$65536,19,FALSE)="","",VLOOKUP(A280,'[1]plan gier'!A$1:S$65536,19,FALSE))))</f>
        <v/>
      </c>
      <c r="R280" s="44" t="s">
        <v>17</v>
      </c>
      <c r="S280" s="45">
        <v>116</v>
      </c>
      <c r="T280" s="242"/>
      <c r="U280" s="244" t="str">
        <f>IF(AND(N280&lt;&gt;"",N281=""),CONCATENATE(VLOOKUP(N280,[1]zawodnicy!$A$1:$E$65536,1,FALSE)," ",VLOOKUP(N280,[1]zawodnicy!$A$1:$E$65536,2,FALSE)," ",VLOOKUP(N280,[1]zawodnicy!$A$1:$E$65536,3,FALSE)," - ",VLOOKUP(N280,[1]zawodnicy!$A$1:$E$65536,4,FALSE)),"")</f>
        <v/>
      </c>
      <c r="V280" s="245"/>
      <c r="W280" s="246"/>
      <c r="X280" s="61" t="str">
        <f>IF(SUM(AQ281:AR281)=0,"",AR281&amp;":"&amp;AQ281)</f>
        <v>21:19</v>
      </c>
      <c r="Y280" s="62"/>
      <c r="Z280" s="37" t="str">
        <f>IF(SUM(AQ280:AR280)=0,"",AQ280&amp;":"&amp;AR280)</f>
        <v>21:3</v>
      </c>
      <c r="AA280" s="248"/>
      <c r="AB280" s="251"/>
      <c r="AC280" s="251"/>
      <c r="AD280" s="254"/>
      <c r="AE280" s="2"/>
      <c r="AF280" s="12"/>
      <c r="AG280" s="12"/>
      <c r="AH280" s="44" t="s">
        <v>17</v>
      </c>
      <c r="AI280" s="63">
        <f>IF(ISBLANK(S280),"",VLOOKUP(S280,'[1]plan gier'!$X$1:$AN$65536,12,FALSE))</f>
        <v>21</v>
      </c>
      <c r="AJ280" s="64">
        <f>IF(ISBLANK(S280),"",VLOOKUP(S280,'[1]plan gier'!$X$1:$AN$65536,13,FALSE))</f>
        <v>17</v>
      </c>
      <c r="AK280" s="64">
        <f>IF(ISBLANK(S280),"",VLOOKUP(S280,'[1]plan gier'!$X$1:$AN$65536,14,FALSE))</f>
        <v>21</v>
      </c>
      <c r="AL280" s="64">
        <f>IF(ISBLANK(S280),"",VLOOKUP(S280,'[1]plan gier'!$X$1:$AN$65536,15,FALSE))</f>
        <v>3</v>
      </c>
      <c r="AM280" s="64">
        <f>IF(ISBLANK(S280),"",VLOOKUP(S280,'[1]plan gier'!$X$1:$AN$65536,16,FALSE))</f>
        <v>0</v>
      </c>
      <c r="AN280" s="64">
        <f>IF(ISBLANK(S280),"",VLOOKUP(S280,'[1]plan gier'!$X$1:$AN$65536,17,FALSE))</f>
        <v>0</v>
      </c>
      <c r="AO280" s="65">
        <f t="shared" si="30"/>
        <v>21</v>
      </c>
      <c r="AP280" s="64">
        <f t="shared" si="30"/>
        <v>17</v>
      </c>
      <c r="AQ280" s="66">
        <f t="shared" si="30"/>
        <v>21</v>
      </c>
      <c r="AR280" s="64">
        <f t="shared" si="30"/>
        <v>3</v>
      </c>
      <c r="AS280" s="66">
        <f t="shared" si="30"/>
        <v>0</v>
      </c>
      <c r="AT280" s="64">
        <f t="shared" si="30"/>
        <v>0</v>
      </c>
      <c r="AU280" s="54">
        <f>SUM(AO280:AT280)</f>
        <v>62</v>
      </c>
      <c r="AV280" s="13">
        <v>2</v>
      </c>
      <c r="AW280" s="63">
        <f>IF(AI281&lt;AJ281,1,0)+IF(AK281&lt;AL281,1,0)+IF(AM281&lt;AN281,1,0)</f>
        <v>2</v>
      </c>
      <c r="AX280" s="64">
        <f>AY279</f>
        <v>0</v>
      </c>
      <c r="AY280" s="67"/>
      <c r="AZ280" s="68"/>
      <c r="BA280" s="64">
        <f>IF(AI280&gt;AJ280,1,0)+IF(AK280&gt;AL280,1,0)+IF(AM280&gt;AN280,1,0)</f>
        <v>2</v>
      </c>
      <c r="BB280" s="69">
        <f>AY281</f>
        <v>0</v>
      </c>
      <c r="BE280" s="63">
        <f>AO280+AQ280+AS280+AP281+AR281+AT281</f>
        <v>84</v>
      </c>
      <c r="BF280" s="69">
        <f>AP280+AR280+AT280+AO281+AQ281+AS281</f>
        <v>58</v>
      </c>
      <c r="BG280" s="63">
        <f>AW280+BA280</f>
        <v>4</v>
      </c>
      <c r="BH280" s="69">
        <f>AX280+BB280</f>
        <v>0</v>
      </c>
      <c r="BI280" s="63">
        <f>IF(AW280&gt;AX280,1,0)+IF(BA280&gt;BB280,1,0)</f>
        <v>2</v>
      </c>
      <c r="BJ280" s="70">
        <f>IF(AX280&gt;AW280,1,0)+IF(BB280&gt;BA280,1,0)</f>
        <v>0</v>
      </c>
      <c r="BK280" s="71">
        <f>IF(BI280+BJ280=0,"",IF(BL280=MAX(BL279:BL281),1,IF(BL280=MIN(BL279:BL281),3,2)))</f>
        <v>1</v>
      </c>
      <c r="BL280" s="60">
        <f>IF(BI280+BJ280&lt;&gt;0,BI280+1+(BG280-BH280)/100+(BE280-BF280)/100000+(BE280/BF280)/1000000,0)</f>
        <v>3.0402614482758619</v>
      </c>
    </row>
    <row r="281" spans="1:64" ht="11.45" customHeight="1" thickBot="1" x14ac:dyDescent="0.25">
      <c r="A281" s="19">
        <f>S281</f>
        <v>263</v>
      </c>
      <c r="B281" s="2" t="str">
        <f>IF(N277="","",N277)</f>
        <v>M4170</v>
      </c>
      <c r="C281" s="2" t="str">
        <f>IF(N278="","",N278)</f>
        <v>J4555</v>
      </c>
      <c r="D281" s="2" t="str">
        <f>IF(N280="","",N280)</f>
        <v>K4563</v>
      </c>
      <c r="E281" s="2" t="str">
        <f>IF(N281="","",N281)</f>
        <v>F4371</v>
      </c>
      <c r="I281" s="2" t="str">
        <f>"3"&amp;O275&amp;N276</f>
        <v>32mieszana M</v>
      </c>
      <c r="J281" s="10" t="str">
        <f>IF(AD282="","",IF(AD276=3,N277,IF(AD279=3,N280,IF(AD282=3,N283,""))))</f>
        <v>X04</v>
      </c>
      <c r="K281" s="10" t="str">
        <f>IF(AD282="","",IF(AD276=3,N278,IF(AD279=3,N281,IF(AD282=3,N284,""))))</f>
        <v>X01</v>
      </c>
      <c r="M281" s="42" t="str">
        <f>N276</f>
        <v>mieszana M</v>
      </c>
      <c r="N281" s="38" t="s">
        <v>168</v>
      </c>
      <c r="O281" s="28"/>
      <c r="P281" s="28"/>
      <c r="Q281" s="43" t="str">
        <f>IF(AU281&gt;0,"",IF(A281=0,"",IF(VLOOKUP(A281,'[1]plan gier'!A$1:S$65536,19,FALSE)="","",VLOOKUP(A281,'[1]plan gier'!A$1:S$65536,19,FALSE))))</f>
        <v/>
      </c>
      <c r="R281" s="72" t="s">
        <v>18</v>
      </c>
      <c r="S281" s="45">
        <v>263</v>
      </c>
      <c r="T281" s="261"/>
      <c r="U281" s="265" t="str">
        <f>IF(N281&lt;&gt;"",CONCATENATE(VLOOKUP(N281,[1]zawodnicy!$A$1:$E$65536,1,FALSE)," ",VLOOKUP(N281,[1]zawodnicy!$A$1:$E$65536,2,FALSE)," ",VLOOKUP(N281,[1]zawodnicy!$A$1:$E$65536,3,FALSE)," - ",VLOOKUP(N281,[1]zawodnicy!$A$1:$E$65536,4,FALSE)),"")</f>
        <v>F4371 Agnieszka FORYTA - STB Energia Lubliniec</v>
      </c>
      <c r="V281" s="266"/>
      <c r="W281" s="267"/>
      <c r="X281" s="73" t="str">
        <f>IF(SUM(AS281:AT281)=0,"",AT281&amp;":"&amp;AS281)</f>
        <v/>
      </c>
      <c r="Y281" s="62"/>
      <c r="Z281" s="40" t="str">
        <f>IF(SUM(AS280:AT280)=0,"",AS280&amp;":"&amp;AT280)</f>
        <v/>
      </c>
      <c r="AA281" s="262"/>
      <c r="AB281" s="263"/>
      <c r="AC281" s="263"/>
      <c r="AD281" s="264"/>
      <c r="AE281" s="2"/>
      <c r="AF281" s="12"/>
      <c r="AG281" s="12"/>
      <c r="AH281" s="72" t="s">
        <v>18</v>
      </c>
      <c r="AI281" s="74">
        <f>IF(ISBLANK(S281),"",VLOOKUP(S281,'[1]plan gier'!$X$1:$AN$65536,12,FALSE))</f>
        <v>19</v>
      </c>
      <c r="AJ281" s="75">
        <f>IF(ISBLANK(S281),"",VLOOKUP(S281,'[1]plan gier'!$X$1:$AN$65536,13,FALSE))</f>
        <v>21</v>
      </c>
      <c r="AK281" s="75">
        <f>IF(ISBLANK(S281),"",VLOOKUP(S281,'[1]plan gier'!$X$1:$AN$65536,14,FALSE))</f>
        <v>19</v>
      </c>
      <c r="AL281" s="75">
        <f>IF(ISBLANK(S281),"",VLOOKUP(S281,'[1]plan gier'!$X$1:$AN$65536,15,FALSE))</f>
        <v>21</v>
      </c>
      <c r="AM281" s="75">
        <f>IF(ISBLANK(S281),"",VLOOKUP(S281,'[1]plan gier'!$X$1:$AN$65536,16,FALSE))</f>
        <v>0</v>
      </c>
      <c r="AN281" s="75">
        <f>IF(ISBLANK(S281),"",VLOOKUP(S281,'[1]plan gier'!$X$1:$AN$65536,17,FALSE))</f>
        <v>0</v>
      </c>
      <c r="AO281" s="76">
        <f t="shared" si="30"/>
        <v>19</v>
      </c>
      <c r="AP281" s="75">
        <f t="shared" si="30"/>
        <v>21</v>
      </c>
      <c r="AQ281" s="77">
        <f t="shared" si="30"/>
        <v>19</v>
      </c>
      <c r="AR281" s="75">
        <f t="shared" si="30"/>
        <v>21</v>
      </c>
      <c r="AS281" s="77">
        <f t="shared" si="30"/>
        <v>0</v>
      </c>
      <c r="AT281" s="75">
        <f t="shared" si="30"/>
        <v>0</v>
      </c>
      <c r="AU281" s="54">
        <f>SUM(AO281:AT281)</f>
        <v>80</v>
      </c>
      <c r="AV281" s="13">
        <v>3</v>
      </c>
      <c r="AW281" s="74">
        <f>IF(AI279&lt;AJ279,1,0)+IF(AK279&lt;AL279,1,0)+IF(AM279&lt;AN279,1,0)</f>
        <v>0</v>
      </c>
      <c r="AX281" s="75">
        <f>BA279</f>
        <v>2</v>
      </c>
      <c r="AY281" s="75">
        <f>IF(AI280&lt;AJ280,1,0)+IF(AK280&lt;AL280,1,0)+IF(AM280&lt;AN280,1,0)</f>
        <v>0</v>
      </c>
      <c r="AZ281" s="75">
        <f>BA280</f>
        <v>2</v>
      </c>
      <c r="BA281" s="78"/>
      <c r="BB281" s="79"/>
      <c r="BE281" s="74">
        <f>AP279+AR279+AT279+AP280+AR280+AT280</f>
        <v>34</v>
      </c>
      <c r="BF281" s="80">
        <f>AO279+AQ279+AS279+AO280+AQ280+AS280</f>
        <v>84</v>
      </c>
      <c r="BG281" s="74">
        <f>AW281+AY281</f>
        <v>0</v>
      </c>
      <c r="BH281" s="80">
        <f>AX281+AZ281</f>
        <v>4</v>
      </c>
      <c r="BI281" s="74">
        <f>IF(AW281&gt;AX281,1,0)+IF(AY281&gt;AZ281,1,0)</f>
        <v>0</v>
      </c>
      <c r="BJ281" s="81">
        <f>IF(AX281&gt;AW281,1,0)+IF(AZ281&gt;AY281,1,0)</f>
        <v>2</v>
      </c>
      <c r="BK281" s="82">
        <f>IF(BI281+BJ281=0,"",IF(BL281=MAX(BL279:BL281),1,IF(BL281=MIN(BL279:BL281),3,2)))</f>
        <v>3</v>
      </c>
      <c r="BL281" s="60">
        <f>IF(BI281+BJ281&lt;&gt;0,BI281+1+(BG281-BH281)/100+(BE281-BF281)/100000+(BE281/BF281)/1000000,0)</f>
        <v>0.95950040476190479</v>
      </c>
    </row>
    <row r="282" spans="1:64" ht="11.45" customHeight="1" x14ac:dyDescent="0.2">
      <c r="A282" s="2"/>
      <c r="J282" s="28"/>
      <c r="K282" s="28"/>
      <c r="L282" s="28"/>
      <c r="O282" s="28"/>
      <c r="P282" s="28"/>
      <c r="Q282" s="2"/>
      <c r="R282" s="2"/>
      <c r="S282" s="2"/>
      <c r="T282" s="241">
        <v>3</v>
      </c>
      <c r="U282" s="244" t="str">
        <f>IF(AND(N283&lt;&gt;"",N284&lt;&gt;""),CONCATENATE(VLOOKUP(N283,[1]zawodnicy!$A$1:$E$65536,1,FALSE)," ",VLOOKUP(N283,[1]zawodnicy!$A$1:$E$65536,2,FALSE)," ",VLOOKUP(N283,[1]zawodnicy!$A$1:$E$65536,3,FALSE)," - ",VLOOKUP(N283,[1]zawodnicy!$A$1:$E$65536,4,FALSE)),"")</f>
        <v>X04 Mantes  MAULE - Litwa</v>
      </c>
      <c r="V282" s="245"/>
      <c r="W282" s="246"/>
      <c r="X282" s="46" t="str">
        <f>IF(SUM(AO279:AP279)=0,"",AP279&amp;":"&amp;AO279)</f>
        <v>10:21</v>
      </c>
      <c r="Y282" s="83" t="str">
        <f>IF(SUM(AO280:AP280)=0,"",AP280&amp;":"&amp;AO280)</f>
        <v>17:21</v>
      </c>
      <c r="Z282" s="84"/>
      <c r="AA282" s="247" t="str">
        <f>IF(SUM(AW281:AZ281)=0,"",BE281&amp;":"&amp;BF281)</f>
        <v>34:84</v>
      </c>
      <c r="AB282" s="250" t="str">
        <f>IF(SUM(AW281:AZ281)=0,"",BG281&amp;":"&amp;BH281)</f>
        <v>0:4</v>
      </c>
      <c r="AC282" s="250" t="str">
        <f>IF(SUM(AW281:AZ281)=0,"",BI281&amp;":"&amp;BJ281)</f>
        <v>0:2</v>
      </c>
      <c r="AD282" s="253">
        <f>IF(SUM(BI279:BI281)&gt;0,BK281,"")</f>
        <v>3</v>
      </c>
      <c r="AE282" s="2"/>
      <c r="AF282" s="12"/>
      <c r="AG282" s="12"/>
      <c r="BE282" s="19">
        <f>SUM(BE279:BE281)</f>
        <v>198</v>
      </c>
      <c r="BF282" s="19">
        <f>SUM(BF279:BF281)</f>
        <v>198</v>
      </c>
      <c r="BG282" s="19">
        <f>SUM(BG279:BG281)</f>
        <v>6</v>
      </c>
      <c r="BH282" s="19">
        <f>SUM(BH279:BH281)</f>
        <v>6</v>
      </c>
      <c r="BK282" s="19"/>
      <c r="BL282" s="20"/>
    </row>
    <row r="283" spans="1:64" ht="11.45" customHeight="1" x14ac:dyDescent="0.2">
      <c r="A283" s="19"/>
      <c r="J283" s="19"/>
      <c r="K283" s="19"/>
      <c r="L283" s="19"/>
      <c r="N283" s="33" t="s">
        <v>226</v>
      </c>
      <c r="O283" s="34">
        <f>IF(O275&gt;0,(O275&amp;3)*1,"")</f>
        <v>23</v>
      </c>
      <c r="Q283" s="85"/>
      <c r="R283" s="85"/>
      <c r="S283" s="85"/>
      <c r="T283" s="242"/>
      <c r="U283" s="244" t="str">
        <f>IF(AND(N283&lt;&gt;"",N284=""),CONCATENATE(VLOOKUP(N283,[1]zawodnicy!$A$1:$E$65536,1,FALSE)," ",VLOOKUP(N283,[1]zawodnicy!$A$1:$E$65536,2,FALSE)," ",VLOOKUP(N283,[1]zawodnicy!$A$1:$E$65536,3,FALSE)," - ",VLOOKUP(N283,[1]zawodnicy!$A$1:$E$65536,4,FALSE)),"")</f>
        <v/>
      </c>
      <c r="V283" s="245"/>
      <c r="W283" s="246"/>
      <c r="X283" s="61" t="str">
        <f>IF(SUM(AQ279:AR279)=0,"",AR279&amp;":"&amp;AQ279)</f>
        <v>4:21</v>
      </c>
      <c r="Y283" s="36" t="str">
        <f>IF(SUM(AQ280:AR280)=0,"",AR280&amp;":"&amp;AQ280)</f>
        <v>3:21</v>
      </c>
      <c r="Z283" s="86"/>
      <c r="AA283" s="248"/>
      <c r="AB283" s="251"/>
      <c r="AC283" s="251"/>
      <c r="AD283" s="254"/>
      <c r="AE283" s="2"/>
      <c r="AF283" s="12"/>
      <c r="AG283" s="1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row>
    <row r="284" spans="1:64" ht="11.45" customHeight="1" thickBot="1" x14ac:dyDescent="0.25">
      <c r="A284" s="2"/>
      <c r="J284" s="28"/>
      <c r="K284" s="28"/>
      <c r="L284" s="28"/>
      <c r="N284" s="38" t="s">
        <v>195</v>
      </c>
      <c r="O284" s="28"/>
      <c r="P284" s="28"/>
      <c r="Q284" s="2"/>
      <c r="R284" s="2"/>
      <c r="S284" s="2"/>
      <c r="T284" s="243"/>
      <c r="U284" s="256" t="str">
        <f>IF(N284&lt;&gt;"",CONCATENATE(VLOOKUP(N284,[1]zawodnicy!$A$1:$E$65536,1,FALSE)," ",VLOOKUP(N284,[1]zawodnicy!$A$1:$E$65536,2,FALSE)," ",VLOOKUP(N284,[1]zawodnicy!$A$1:$E$65536,3,FALSE)," - ",VLOOKUP(N284,[1]zawodnicy!$A$1:$E$65536,4,FALSE)),"")</f>
        <v>X01 Sofija ORLOVAITE - Litwa</v>
      </c>
      <c r="V284" s="257"/>
      <c r="W284" s="258"/>
      <c r="X284" s="87" t="str">
        <f>IF(SUM(AS279:AT279)=0,"",AT279&amp;":"&amp;AS279)</f>
        <v/>
      </c>
      <c r="Y284" s="88" t="str">
        <f>IF(SUM(AS280:AT280)=0,"",AT280&amp;":"&amp;AS280)</f>
        <v/>
      </c>
      <c r="Z284" s="89"/>
      <c r="AA284" s="249"/>
      <c r="AB284" s="252"/>
      <c r="AC284" s="252"/>
      <c r="AD284" s="255"/>
      <c r="AE284" s="10"/>
      <c r="AF284" s="12"/>
      <c r="AG284" s="1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row>
    <row r="285" spans="1:64" s="19" customFormat="1" ht="5.0999999999999996" customHeight="1" thickBot="1" x14ac:dyDescent="0.25">
      <c r="M285" s="90"/>
      <c r="O285" s="90"/>
      <c r="P285" s="90"/>
      <c r="Q285" s="91"/>
      <c r="R285" s="91"/>
      <c r="S285" s="91"/>
      <c r="T285" s="91"/>
      <c r="U285" s="5"/>
      <c r="V285" s="5"/>
      <c r="W285" s="5"/>
      <c r="AA285" s="92"/>
      <c r="AB285" s="91"/>
      <c r="AC285" s="91"/>
      <c r="AD285" s="91"/>
      <c r="AE285" s="91"/>
      <c r="AF285" s="91"/>
      <c r="AI285" s="93"/>
      <c r="AJ285" s="94"/>
      <c r="AK285" s="94"/>
    </row>
    <row r="286" spans="1:64" ht="11.45" customHeight="1" thickBot="1" x14ac:dyDescent="0.25">
      <c r="N286" s="11"/>
      <c r="O286" s="21">
        <v>3</v>
      </c>
      <c r="Q286" s="277" t="str">
        <f>"Grupa "&amp;O286&amp;"."</f>
        <v>Grupa 3.</v>
      </c>
      <c r="R286" s="277"/>
      <c r="S286" s="277"/>
      <c r="T286" s="22" t="s">
        <v>1</v>
      </c>
      <c r="U286" s="278" t="s">
        <v>2</v>
      </c>
      <c r="V286" s="279"/>
      <c r="W286" s="280"/>
      <c r="X286" s="22">
        <v>1</v>
      </c>
      <c r="Y286" s="23">
        <v>2</v>
      </c>
      <c r="Z286" s="24">
        <v>3</v>
      </c>
      <c r="AA286" s="25" t="s">
        <v>3</v>
      </c>
      <c r="AB286" s="26" t="s">
        <v>4</v>
      </c>
      <c r="AC286" s="26" t="s">
        <v>5</v>
      </c>
      <c r="AD286" s="27" t="s">
        <v>6</v>
      </c>
      <c r="AE286" s="2"/>
      <c r="AF286" s="12"/>
      <c r="AG286" s="12"/>
      <c r="BK286" s="19"/>
      <c r="BL286" s="20"/>
    </row>
    <row r="287" spans="1:64" ht="11.45" customHeight="1" x14ac:dyDescent="0.2">
      <c r="J287" s="28"/>
      <c r="K287" s="28"/>
      <c r="L287" s="28"/>
      <c r="N287" s="29" t="s">
        <v>263</v>
      </c>
      <c r="Q287" s="274" t="s">
        <v>7</v>
      </c>
      <c r="R287" s="274"/>
      <c r="S287" s="275" t="s">
        <v>8</v>
      </c>
      <c r="T287" s="276">
        <v>1</v>
      </c>
      <c r="U287" s="244" t="str">
        <f>IF(AND(N288&lt;&gt;"",N289&lt;&gt;""),CONCATENATE(VLOOKUP(N288,[1]zawodnicy!$A$1:$E$65536,1,FALSE)," ",VLOOKUP(N288,[1]zawodnicy!$A$1:$E$65536,2,FALSE)," ",VLOOKUP(N288,[1]zawodnicy!$A$1:$E$65536,3,FALSE)," - ",VLOOKUP(N288,[1]zawodnicy!$A$1:$E$65536,4,FALSE)),"")</f>
        <v>K4283 Filip KRUKOWSKI - SKB Suwałki</v>
      </c>
      <c r="V287" s="245"/>
      <c r="W287" s="246"/>
      <c r="X287" s="30"/>
      <c r="Y287" s="31" t="str">
        <f>IF(SUM(AO292:AP292)=0,"",AO292&amp;":"&amp;AP292)</f>
        <v>21:15</v>
      </c>
      <c r="Z287" s="32" t="str">
        <f>IF(SUM(AO290:AP290)=0,"",AO290&amp;":"&amp;AP290)</f>
        <v>21:13</v>
      </c>
      <c r="AA287" s="270" t="str">
        <f>IF(SUM(AY290:BB290)=0,"",BE290&amp;":"&amp;BF290)</f>
        <v>103:83</v>
      </c>
      <c r="AB287" s="271" t="str">
        <f>IF(SUM(AY290:BB290)=0,"",BG290&amp;":"&amp;BH290)</f>
        <v>4:1</v>
      </c>
      <c r="AC287" s="271" t="str">
        <f>IF(SUM(AY290:BB290)=0,"",BI290&amp;":"&amp;BJ290)</f>
        <v>2:0</v>
      </c>
      <c r="AD287" s="272">
        <f>IF(SUM(BI290:BI292)&gt;0,BK290,"")</f>
        <v>1</v>
      </c>
      <c r="AE287" s="2"/>
      <c r="AF287" s="12"/>
      <c r="AG287" s="12"/>
      <c r="AH287" s="14"/>
      <c r="AI287" s="273" t="s">
        <v>9</v>
      </c>
      <c r="AJ287" s="273"/>
      <c r="AK287" s="273"/>
      <c r="AL287" s="273"/>
      <c r="AM287" s="273"/>
      <c r="AN287" s="273"/>
      <c r="AO287" s="273" t="s">
        <v>10</v>
      </c>
      <c r="AP287" s="273"/>
      <c r="AQ287" s="273"/>
      <c r="AR287" s="273"/>
      <c r="AS287" s="273"/>
      <c r="AT287" s="273"/>
      <c r="BK287" s="19"/>
      <c r="BL287" s="20"/>
    </row>
    <row r="288" spans="1:64" ht="11.45" customHeight="1" thickBot="1" x14ac:dyDescent="0.25">
      <c r="I288" s="2" t="str">
        <f>"1"&amp;O286&amp;N287</f>
        <v>13mieszana M</v>
      </c>
      <c r="J288" s="10" t="str">
        <f>IF(AD287="","",IF(AD287=1,N288,IF(AD290=1,N291,IF(AD293=1,N294,""))))</f>
        <v>K4283</v>
      </c>
      <c r="K288" s="10" t="str">
        <f>IF(AD287="","",IF(AD287=1,N289,IF(AD290=1,N292,IF(AD293=1,N295,""))))</f>
        <v>J4598</v>
      </c>
      <c r="L288" s="10"/>
      <c r="N288" s="33" t="s">
        <v>233</v>
      </c>
      <c r="O288" s="34">
        <f>IF(O286&gt;0,(O286&amp;1)*1,"")</f>
        <v>31</v>
      </c>
      <c r="Q288" s="274"/>
      <c r="R288" s="274"/>
      <c r="S288" s="275"/>
      <c r="T288" s="242"/>
      <c r="U288" s="244" t="str">
        <f>IF(AND(N288&lt;&gt;"",N289=""),CONCATENATE(VLOOKUP(N288,[1]zawodnicy!$A$1:$E$65536,1,FALSE)," ",VLOOKUP(N288,[1]zawodnicy!$A$1:$E$65536,2,FALSE)," ",VLOOKUP(N288,[1]zawodnicy!$A$1:$E$65536,3,FALSE)," - ",VLOOKUP(N288,[1]zawodnicy!$A$1:$E$65536,4,FALSE)),"")</f>
        <v/>
      </c>
      <c r="V288" s="245"/>
      <c r="W288" s="246"/>
      <c r="X288" s="35"/>
      <c r="Y288" s="36" t="str">
        <f>IF(SUM(AQ292:AR292)=0,"",AQ292&amp;":"&amp;AR292)</f>
        <v>19:21</v>
      </c>
      <c r="Z288" s="37" t="str">
        <f>IF(SUM(AQ290:AR290)=0,"",AQ290&amp;":"&amp;AR290)</f>
        <v>21:15</v>
      </c>
      <c r="AA288" s="248"/>
      <c r="AB288" s="251"/>
      <c r="AC288" s="251"/>
      <c r="AD288" s="254"/>
      <c r="AE288" s="2"/>
      <c r="AF288" s="12"/>
      <c r="AG288" s="12"/>
      <c r="AH288" s="14"/>
      <c r="BE288" s="19">
        <f>SUM(BE290:BE292)</f>
        <v>269</v>
      </c>
      <c r="BF288" s="19">
        <f>SUM(BF290:BF292)</f>
        <v>269</v>
      </c>
      <c r="BG288" s="19">
        <f>SUM(BG290:BG292)</f>
        <v>7</v>
      </c>
      <c r="BH288" s="19">
        <f>SUM(BH290:BH292)</f>
        <v>7</v>
      </c>
      <c r="BK288" s="19"/>
      <c r="BL288" s="20"/>
    </row>
    <row r="289" spans="1:64" ht="11.45" customHeight="1" thickBot="1" x14ac:dyDescent="0.25">
      <c r="J289" s="10"/>
      <c r="K289" s="28"/>
      <c r="L289" s="28"/>
      <c r="N289" s="38" t="s">
        <v>174</v>
      </c>
      <c r="O289" s="28"/>
      <c r="P289" s="28"/>
      <c r="Q289" s="274"/>
      <c r="R289" s="274"/>
      <c r="S289" s="275"/>
      <c r="T289" s="261"/>
      <c r="U289" s="265" t="str">
        <f>IF(N289&lt;&gt;"",CONCATENATE(VLOOKUP(N289,[1]zawodnicy!$A$1:$E$65536,1,FALSE)," ",VLOOKUP(N289,[1]zawodnicy!$A$1:$E$65536,2,FALSE)," ",VLOOKUP(N289,[1]zawodnicy!$A$1:$E$65536,3,FALSE)," - ",VLOOKUP(N289,[1]zawodnicy!$A$1:$E$65536,4,FALSE)),"")</f>
        <v>J4598 Karolina JODZIO - SKB Suwałki</v>
      </c>
      <c r="V289" s="266"/>
      <c r="W289" s="267"/>
      <c r="X289" s="35"/>
      <c r="Y289" s="39" t="str">
        <f>IF(SUM(AS292:AT292)=0,"",AS292&amp;":"&amp;AT292)</f>
        <v>21:19</v>
      </c>
      <c r="Z289" s="40" t="str">
        <f>IF(SUM(AS290:AT290)=0,"",AS290&amp;":"&amp;AT290)</f>
        <v/>
      </c>
      <c r="AA289" s="262"/>
      <c r="AB289" s="263"/>
      <c r="AC289" s="263"/>
      <c r="AD289" s="264"/>
      <c r="AE289" s="2"/>
      <c r="AF289" s="12"/>
      <c r="AG289" s="12"/>
      <c r="AH289" s="14"/>
      <c r="AI289" s="259" t="s">
        <v>12</v>
      </c>
      <c r="AJ289" s="269"/>
      <c r="AK289" s="268" t="s">
        <v>13</v>
      </c>
      <c r="AL289" s="269"/>
      <c r="AM289" s="268" t="s">
        <v>14</v>
      </c>
      <c r="AN289" s="260"/>
      <c r="AO289" s="259" t="s">
        <v>12</v>
      </c>
      <c r="AP289" s="269"/>
      <c r="AQ289" s="268" t="s">
        <v>13</v>
      </c>
      <c r="AR289" s="269"/>
      <c r="AS289" s="268" t="s">
        <v>14</v>
      </c>
      <c r="AT289" s="269"/>
      <c r="AU289" s="12"/>
      <c r="AV289" s="12"/>
      <c r="AW289" s="259">
        <v>1</v>
      </c>
      <c r="AX289" s="269"/>
      <c r="AY289" s="268">
        <v>2</v>
      </c>
      <c r="AZ289" s="269"/>
      <c r="BA289" s="268">
        <v>3</v>
      </c>
      <c r="BB289" s="260"/>
      <c r="BE289" s="259" t="s">
        <v>3</v>
      </c>
      <c r="BF289" s="260"/>
      <c r="BG289" s="259" t="s">
        <v>4</v>
      </c>
      <c r="BH289" s="260"/>
      <c r="BI289" s="259" t="s">
        <v>5</v>
      </c>
      <c r="BJ289" s="260"/>
      <c r="BK289" s="41" t="s">
        <v>6</v>
      </c>
      <c r="BL289" s="20"/>
    </row>
    <row r="290" spans="1:64" ht="11.45" customHeight="1" x14ac:dyDescent="0.2">
      <c r="A290" s="19">
        <f>S290</f>
        <v>51</v>
      </c>
      <c r="B290" s="2" t="str">
        <f>IF(N288="","",N288)</f>
        <v>K4283</v>
      </c>
      <c r="C290" s="2" t="str">
        <f>IF(N289="","",N289)</f>
        <v>J4598</v>
      </c>
      <c r="D290" s="2" t="str">
        <f>IF(N294="","",N294)</f>
        <v>X08</v>
      </c>
      <c r="E290" s="2" t="str">
        <f>IF(N295="","",N295)</f>
        <v>X06</v>
      </c>
      <c r="I290" s="2" t="str">
        <f>"2"&amp;O286&amp;N287</f>
        <v>23mieszana M</v>
      </c>
      <c r="J290" s="10" t="str">
        <f>IF(AD290="","",IF(AD287=2,N288,IF(AD290=2,N291,IF(AD293=2,N294,""))))</f>
        <v>S5036</v>
      </c>
      <c r="K290" s="10" t="str">
        <f>IF(AD290="","",IF(AD287=2,N289,IF(AD290=2,N292,IF(AD293=2,N295,""))))</f>
        <v>K5033</v>
      </c>
      <c r="M290" s="42" t="str">
        <f>N287</f>
        <v>mieszana M</v>
      </c>
      <c r="O290" s="28"/>
      <c r="P290" s="28"/>
      <c r="Q290" s="43" t="str">
        <f>IF(AU290&gt;0,"",IF(A290=0,"",IF(VLOOKUP(A290,'[1]plan gier'!A$1:S$65536,19,FALSE)="","",VLOOKUP(A290,'[1]plan gier'!A$1:S$65536,19,FALSE))))</f>
        <v/>
      </c>
      <c r="R290" s="44" t="s">
        <v>15</v>
      </c>
      <c r="S290" s="45">
        <v>51</v>
      </c>
      <c r="T290" s="241">
        <v>2</v>
      </c>
      <c r="U290" s="244" t="str">
        <f>IF(AND(N291&lt;&gt;"",N292&lt;&gt;""),CONCATENATE(VLOOKUP(N291,[1]zawodnicy!$A$1:$E$65536,1,FALSE)," ",VLOOKUP(N291,[1]zawodnicy!$A$1:$E$65536,2,FALSE)," ",VLOOKUP(N291,[1]zawodnicy!$A$1:$E$65536,3,FALSE)," - ",VLOOKUP(N291,[1]zawodnicy!$A$1:$E$65536,4,FALSE)),"")</f>
        <v>S5036 Wojciech SAJDOK - UKS Unia Bieruń</v>
      </c>
      <c r="V290" s="245"/>
      <c r="W290" s="246"/>
      <c r="X290" s="46" t="str">
        <f>IF(SUM(AO292:AP292)=0,"",AP292&amp;":"&amp;AO292)</f>
        <v>15:21</v>
      </c>
      <c r="Y290" s="47"/>
      <c r="Z290" s="48" t="str">
        <f>IF(SUM(AO291:AP291)=0,"",AO291&amp;":"&amp;AP291)</f>
        <v>23:21</v>
      </c>
      <c r="AA290" s="247" t="str">
        <f>IF(SUM(AW291:AX291,BA291:BB291)=0,"",BE291&amp;":"&amp;BF291)</f>
        <v>99:100</v>
      </c>
      <c r="AB290" s="250" t="str">
        <f>IF(SUM(AW291:AX291,BA291:BB291)=0,"",BG291&amp;":"&amp;BH291)</f>
        <v>3:2</v>
      </c>
      <c r="AC290" s="250" t="str">
        <f>IF(SUM(AW291:AX291,BA291:BB291)=0,"",BI291&amp;":"&amp;BJ291)</f>
        <v>1:1</v>
      </c>
      <c r="AD290" s="253">
        <f>IF(SUM(BI290:BI292)&gt;0,BK291,"")</f>
        <v>2</v>
      </c>
      <c r="AE290" s="2"/>
      <c r="AF290" s="12"/>
      <c r="AG290" s="12"/>
      <c r="AH290" s="44" t="s">
        <v>15</v>
      </c>
      <c r="AI290" s="49">
        <f>IF(ISBLANK(S290),"",VLOOKUP(S290,'[1]plan gier'!$X$1:$AN$65536,12,FALSE))</f>
        <v>21</v>
      </c>
      <c r="AJ290" s="50">
        <f>IF(ISBLANK(S290),"",VLOOKUP(S290,'[1]plan gier'!$X$1:$AN$65536,13,FALSE))</f>
        <v>13</v>
      </c>
      <c r="AK290" s="50">
        <f>IF(ISBLANK(S290),"",VLOOKUP(S290,'[1]plan gier'!$X$1:$AN$65536,14,FALSE))</f>
        <v>21</v>
      </c>
      <c r="AL290" s="50">
        <f>IF(ISBLANK(S290),"",VLOOKUP(S290,'[1]plan gier'!$X$1:$AN$65536,15,FALSE))</f>
        <v>15</v>
      </c>
      <c r="AM290" s="50">
        <f>IF(ISBLANK(S290),"",VLOOKUP(S290,'[1]plan gier'!$X$1:$AN$65536,16,FALSE))</f>
        <v>0</v>
      </c>
      <c r="AN290" s="50">
        <f>IF(ISBLANK(S290),"",VLOOKUP(S290,'[1]plan gier'!$X$1:$AN$65536,17,FALSE))</f>
        <v>0</v>
      </c>
      <c r="AO290" s="51">
        <f t="shared" ref="AO290:AT292" si="31">IF(AI290="",0,AI290)</f>
        <v>21</v>
      </c>
      <c r="AP290" s="52">
        <f t="shared" si="31"/>
        <v>13</v>
      </c>
      <c r="AQ290" s="53">
        <f t="shared" si="31"/>
        <v>21</v>
      </c>
      <c r="AR290" s="52">
        <f t="shared" si="31"/>
        <v>15</v>
      </c>
      <c r="AS290" s="53">
        <f t="shared" si="31"/>
        <v>0</v>
      </c>
      <c r="AT290" s="52">
        <f t="shared" si="31"/>
        <v>0</v>
      </c>
      <c r="AU290" s="54">
        <f>SUM(AO290:AT290)</f>
        <v>70</v>
      </c>
      <c r="AV290" s="13">
        <v>1</v>
      </c>
      <c r="AW290" s="55"/>
      <c r="AX290" s="56"/>
      <c r="AY290" s="50">
        <f>IF(AI292&gt;AJ292,1,0)+IF(AK292&gt;AL292,1,0)+IF(AM292&gt;AN292,1,0)</f>
        <v>2</v>
      </c>
      <c r="AZ290" s="50">
        <f>AW291</f>
        <v>1</v>
      </c>
      <c r="BA290" s="50">
        <f>IF(AI290&gt;AJ290,1,0)+IF(AK290&gt;AL290,1,0)+IF(AM290&gt;AN290,1,0)</f>
        <v>2</v>
      </c>
      <c r="BB290" s="57">
        <f>AW292</f>
        <v>0</v>
      </c>
      <c r="BE290" s="49">
        <f>AO290+AQ290+AS290+AO292+AQ292+AS292</f>
        <v>103</v>
      </c>
      <c r="BF290" s="57">
        <f>AP290+AR290+AT290+AP292+AR292+AT292</f>
        <v>83</v>
      </c>
      <c r="BG290" s="49">
        <f>AY290+BA290</f>
        <v>4</v>
      </c>
      <c r="BH290" s="57">
        <f>AZ290+BB290</f>
        <v>1</v>
      </c>
      <c r="BI290" s="49">
        <f>IF(AY290&gt;AZ290,1,0)+IF(BA290&gt;BB290,1,0)</f>
        <v>2</v>
      </c>
      <c r="BJ290" s="58">
        <f>IF(AZ290&gt;AY290,1,0)+IF(BB290&gt;BA290,1,0)</f>
        <v>0</v>
      </c>
      <c r="BK290" s="59">
        <f>IF(BI290+BJ290=0,"",IF(BL290=MAX(BL290:BL292),1,IF(BL290=MIN(BL290:BL292),3,2)))</f>
        <v>1</v>
      </c>
      <c r="BL290" s="60">
        <f>IF(BI290+BJ290&lt;&gt;0,BI290+1+(BG290-BH290)/100+(BE290-BF290)/100000+(BE290/BF290)/1000000,0)</f>
        <v>3.030201240963855</v>
      </c>
    </row>
    <row r="291" spans="1:64" ht="11.45" customHeight="1" x14ac:dyDescent="0.2">
      <c r="A291" s="19">
        <f>S291</f>
        <v>117</v>
      </c>
      <c r="B291" s="2" t="str">
        <f>IF(N291="","",N291)</f>
        <v>S5036</v>
      </c>
      <c r="C291" s="2" t="str">
        <f>IF(N292="","",N292)</f>
        <v>K5033</v>
      </c>
      <c r="D291" s="2" t="str">
        <f>IF(N294="","",N294)</f>
        <v>X08</v>
      </c>
      <c r="E291" s="2" t="str">
        <f>IF(N295="","",N295)</f>
        <v>X06</v>
      </c>
      <c r="J291" s="10"/>
      <c r="K291" s="19"/>
      <c r="M291" s="42" t="str">
        <f>N287</f>
        <v>mieszana M</v>
      </c>
      <c r="N291" s="33" t="s">
        <v>269</v>
      </c>
      <c r="O291" s="34">
        <f>IF(O286&gt;0,(O286&amp;2)*1,"")</f>
        <v>32</v>
      </c>
      <c r="Q291" s="43" t="str">
        <f>IF(AU291&gt;0,"",IF(A291=0,"",IF(VLOOKUP(A291,'[1]plan gier'!A$1:S$65536,19,FALSE)="","",VLOOKUP(A291,'[1]plan gier'!A$1:S$65536,19,FALSE))))</f>
        <v/>
      </c>
      <c r="R291" s="44" t="s">
        <v>17</v>
      </c>
      <c r="S291" s="45">
        <v>117</v>
      </c>
      <c r="T291" s="242"/>
      <c r="U291" s="244" t="str">
        <f>IF(AND(N291&lt;&gt;"",N292=""),CONCATENATE(VLOOKUP(N291,[1]zawodnicy!$A$1:$E$65536,1,FALSE)," ",VLOOKUP(N291,[1]zawodnicy!$A$1:$E$65536,2,FALSE)," ",VLOOKUP(N291,[1]zawodnicy!$A$1:$E$65536,3,FALSE)," - ",VLOOKUP(N291,[1]zawodnicy!$A$1:$E$65536,4,FALSE)),"")</f>
        <v/>
      </c>
      <c r="V291" s="245"/>
      <c r="W291" s="246"/>
      <c r="X291" s="61" t="str">
        <f>IF(SUM(AQ292:AR292)=0,"",AR292&amp;":"&amp;AQ292)</f>
        <v>21:19</v>
      </c>
      <c r="Y291" s="62"/>
      <c r="Z291" s="37" t="str">
        <f>IF(SUM(AQ291:AR291)=0,"",AQ291&amp;":"&amp;AR291)</f>
        <v>21:18</v>
      </c>
      <c r="AA291" s="248"/>
      <c r="AB291" s="251"/>
      <c r="AC291" s="251"/>
      <c r="AD291" s="254"/>
      <c r="AE291" s="2"/>
      <c r="AF291" s="12"/>
      <c r="AG291" s="12"/>
      <c r="AH291" s="44" t="s">
        <v>17</v>
      </c>
      <c r="AI291" s="63">
        <f>IF(ISBLANK(S291),"",VLOOKUP(S291,'[1]plan gier'!$X$1:$AN$65536,12,FALSE))</f>
        <v>23</v>
      </c>
      <c r="AJ291" s="64">
        <f>IF(ISBLANK(S291),"",VLOOKUP(S291,'[1]plan gier'!$X$1:$AN$65536,13,FALSE))</f>
        <v>21</v>
      </c>
      <c r="AK291" s="64">
        <f>IF(ISBLANK(S291),"",VLOOKUP(S291,'[1]plan gier'!$X$1:$AN$65536,14,FALSE))</f>
        <v>21</v>
      </c>
      <c r="AL291" s="64">
        <f>IF(ISBLANK(S291),"",VLOOKUP(S291,'[1]plan gier'!$X$1:$AN$65536,15,FALSE))</f>
        <v>18</v>
      </c>
      <c r="AM291" s="64">
        <f>IF(ISBLANK(S291),"",VLOOKUP(S291,'[1]plan gier'!$X$1:$AN$65536,16,FALSE))</f>
        <v>0</v>
      </c>
      <c r="AN291" s="64">
        <f>IF(ISBLANK(S291),"",VLOOKUP(S291,'[1]plan gier'!$X$1:$AN$65536,17,FALSE))</f>
        <v>0</v>
      </c>
      <c r="AO291" s="65">
        <f t="shared" si="31"/>
        <v>23</v>
      </c>
      <c r="AP291" s="64">
        <f t="shared" si="31"/>
        <v>21</v>
      </c>
      <c r="AQ291" s="66">
        <f t="shared" si="31"/>
        <v>21</v>
      </c>
      <c r="AR291" s="64">
        <f t="shared" si="31"/>
        <v>18</v>
      </c>
      <c r="AS291" s="66">
        <f t="shared" si="31"/>
        <v>0</v>
      </c>
      <c r="AT291" s="64">
        <f t="shared" si="31"/>
        <v>0</v>
      </c>
      <c r="AU291" s="54">
        <f>SUM(AO291:AT291)</f>
        <v>83</v>
      </c>
      <c r="AV291" s="13">
        <v>2</v>
      </c>
      <c r="AW291" s="63">
        <f>IF(AI292&lt;AJ292,1,0)+IF(AK292&lt;AL292,1,0)+IF(AM292&lt;AN292,1,0)</f>
        <v>1</v>
      </c>
      <c r="AX291" s="64">
        <f>AY290</f>
        <v>2</v>
      </c>
      <c r="AY291" s="67"/>
      <c r="AZ291" s="68"/>
      <c r="BA291" s="64">
        <f>IF(AI291&gt;AJ291,1,0)+IF(AK291&gt;AL291,1,0)+IF(AM291&gt;AN291,1,0)</f>
        <v>2</v>
      </c>
      <c r="BB291" s="69">
        <f>AY292</f>
        <v>0</v>
      </c>
      <c r="BE291" s="63">
        <f>AO291+AQ291+AS291+AP292+AR292+AT292</f>
        <v>99</v>
      </c>
      <c r="BF291" s="69">
        <f>AP291+AR291+AT291+AO292+AQ292+AS292</f>
        <v>100</v>
      </c>
      <c r="BG291" s="63">
        <f>AW291+BA291</f>
        <v>3</v>
      </c>
      <c r="BH291" s="69">
        <f>AX291+BB291</f>
        <v>2</v>
      </c>
      <c r="BI291" s="63">
        <f>IF(AW291&gt;AX291,1,0)+IF(BA291&gt;BB291,1,0)</f>
        <v>1</v>
      </c>
      <c r="BJ291" s="70">
        <f>IF(AX291&gt;AW291,1,0)+IF(BB291&gt;BA291,1,0)</f>
        <v>1</v>
      </c>
      <c r="BK291" s="71">
        <f>IF(BI291+BJ291=0,"",IF(BL291=MAX(BL290:BL292),1,IF(BL291=MIN(BL290:BL292),3,2)))</f>
        <v>2</v>
      </c>
      <c r="BL291" s="60">
        <f>IF(BI291+BJ291&lt;&gt;0,BI291+1+(BG291-BH291)/100+(BE291-BF291)/100000+(BE291/BF291)/1000000,0)</f>
        <v>2.0099909899999999</v>
      </c>
    </row>
    <row r="292" spans="1:64" ht="11.45" customHeight="1" thickBot="1" x14ac:dyDescent="0.25">
      <c r="A292" s="19">
        <f>S292</f>
        <v>264</v>
      </c>
      <c r="B292" s="2" t="str">
        <f>IF(N288="","",N288)</f>
        <v>K4283</v>
      </c>
      <c r="C292" s="2" t="str">
        <f>IF(N289="","",N289)</f>
        <v>J4598</v>
      </c>
      <c r="D292" s="2" t="str">
        <f>IF(N291="","",N291)</f>
        <v>S5036</v>
      </c>
      <c r="E292" s="2" t="str">
        <f>IF(N292="","",N292)</f>
        <v>K5033</v>
      </c>
      <c r="I292" s="2" t="str">
        <f>"3"&amp;O286&amp;N287</f>
        <v>33mieszana M</v>
      </c>
      <c r="J292" s="10" t="str">
        <f>IF(AD293="","",IF(AD287=3,N288,IF(AD290=3,N291,IF(AD293=3,N294,""))))</f>
        <v>X08</v>
      </c>
      <c r="K292" s="10" t="str">
        <f>IF(AD293="","",IF(AD287=3,N289,IF(AD290=3,N292,IF(AD293=3,N295,""))))</f>
        <v>X06</v>
      </c>
      <c r="M292" s="42" t="str">
        <f>N287</f>
        <v>mieszana M</v>
      </c>
      <c r="N292" s="38" t="s">
        <v>186</v>
      </c>
      <c r="O292" s="28"/>
      <c r="P292" s="28"/>
      <c r="Q292" s="43" t="str">
        <f>IF(AU292&gt;0,"",IF(A292=0,"",IF(VLOOKUP(A292,'[1]plan gier'!A$1:S$65536,19,FALSE)="","",VLOOKUP(A292,'[1]plan gier'!A$1:S$65536,19,FALSE))))</f>
        <v/>
      </c>
      <c r="R292" s="72" t="s">
        <v>18</v>
      </c>
      <c r="S292" s="45">
        <v>264</v>
      </c>
      <c r="T292" s="261"/>
      <c r="U292" s="265" t="str">
        <f>IF(N292&lt;&gt;"",CONCATENATE(VLOOKUP(N292,[1]zawodnicy!$A$1:$E$65536,1,FALSE)," ",VLOOKUP(N292,[1]zawodnicy!$A$1:$E$65536,2,FALSE)," ",VLOOKUP(N292,[1]zawodnicy!$A$1:$E$65536,3,FALSE)," - ",VLOOKUP(N292,[1]zawodnicy!$A$1:$E$65536,4,FALSE)),"")</f>
        <v>K5033 Magdalena KULSKA - UKS Unia Bieruń</v>
      </c>
      <c r="V292" s="266"/>
      <c r="W292" s="267"/>
      <c r="X292" s="73" t="str">
        <f>IF(SUM(AS292:AT292)=0,"",AT292&amp;":"&amp;AS292)</f>
        <v>19:21</v>
      </c>
      <c r="Y292" s="62"/>
      <c r="Z292" s="40" t="str">
        <f>IF(SUM(AS291:AT291)=0,"",AS291&amp;":"&amp;AT291)</f>
        <v/>
      </c>
      <c r="AA292" s="262"/>
      <c r="AB292" s="263"/>
      <c r="AC292" s="263"/>
      <c r="AD292" s="264"/>
      <c r="AE292" s="2"/>
      <c r="AF292" s="12"/>
      <c r="AG292" s="12"/>
      <c r="AH292" s="72" t="s">
        <v>18</v>
      </c>
      <c r="AI292" s="74">
        <f>IF(ISBLANK(S292),"",VLOOKUP(S292,'[1]plan gier'!$X$1:$AN$65536,12,FALSE))</f>
        <v>21</v>
      </c>
      <c r="AJ292" s="75">
        <f>IF(ISBLANK(S292),"",VLOOKUP(S292,'[1]plan gier'!$X$1:$AN$65536,13,FALSE))</f>
        <v>15</v>
      </c>
      <c r="AK292" s="75">
        <f>IF(ISBLANK(S292),"",VLOOKUP(S292,'[1]plan gier'!$X$1:$AN$65536,14,FALSE))</f>
        <v>19</v>
      </c>
      <c r="AL292" s="75">
        <f>IF(ISBLANK(S292),"",VLOOKUP(S292,'[1]plan gier'!$X$1:$AN$65536,15,FALSE))</f>
        <v>21</v>
      </c>
      <c r="AM292" s="75">
        <f>IF(ISBLANK(S292),"",VLOOKUP(S292,'[1]plan gier'!$X$1:$AN$65536,16,FALSE))</f>
        <v>21</v>
      </c>
      <c r="AN292" s="75">
        <f>IF(ISBLANK(S292),"",VLOOKUP(S292,'[1]plan gier'!$X$1:$AN$65536,17,FALSE))</f>
        <v>19</v>
      </c>
      <c r="AO292" s="76">
        <f t="shared" si="31"/>
        <v>21</v>
      </c>
      <c r="AP292" s="75">
        <f t="shared" si="31"/>
        <v>15</v>
      </c>
      <c r="AQ292" s="77">
        <f t="shared" si="31"/>
        <v>19</v>
      </c>
      <c r="AR292" s="75">
        <f t="shared" si="31"/>
        <v>21</v>
      </c>
      <c r="AS292" s="77">
        <f t="shared" si="31"/>
        <v>21</v>
      </c>
      <c r="AT292" s="75">
        <f t="shared" si="31"/>
        <v>19</v>
      </c>
      <c r="AU292" s="54">
        <f>SUM(AO292:AT292)</f>
        <v>116</v>
      </c>
      <c r="AV292" s="13">
        <v>3</v>
      </c>
      <c r="AW292" s="74">
        <f>IF(AI290&lt;AJ290,1,0)+IF(AK290&lt;AL290,1,0)+IF(AM290&lt;AN290,1,0)</f>
        <v>0</v>
      </c>
      <c r="AX292" s="75">
        <f>BA290</f>
        <v>2</v>
      </c>
      <c r="AY292" s="75">
        <f>IF(AI291&lt;AJ291,1,0)+IF(AK291&lt;AL291,1,0)+IF(AM291&lt;AN291,1,0)</f>
        <v>0</v>
      </c>
      <c r="AZ292" s="75">
        <f>BA291</f>
        <v>2</v>
      </c>
      <c r="BA292" s="78"/>
      <c r="BB292" s="79"/>
      <c r="BE292" s="74">
        <f>AP290+AR290+AT290+AP291+AR291+AT291</f>
        <v>67</v>
      </c>
      <c r="BF292" s="80">
        <f>AO290+AQ290+AS290+AO291+AQ291+AS291</f>
        <v>86</v>
      </c>
      <c r="BG292" s="74">
        <f>AW292+AY292</f>
        <v>0</v>
      </c>
      <c r="BH292" s="80">
        <f>AX292+AZ292</f>
        <v>4</v>
      </c>
      <c r="BI292" s="74">
        <f>IF(AW292&gt;AX292,1,0)+IF(AY292&gt;AZ292,1,0)</f>
        <v>0</v>
      </c>
      <c r="BJ292" s="81">
        <f>IF(AX292&gt;AW292,1,0)+IF(AZ292&gt;AY292,1,0)</f>
        <v>2</v>
      </c>
      <c r="BK292" s="82">
        <f>IF(BI292+BJ292=0,"",IF(BL292=MAX(BL290:BL292),1,IF(BL292=MIN(BL290:BL292),3,2)))</f>
        <v>3</v>
      </c>
      <c r="BL292" s="60">
        <f>IF(BI292+BJ292&lt;&gt;0,BI292+1+(BG292-BH292)/100+(BE292-BF292)/100000+(BE292/BF292)/1000000,0)</f>
        <v>0.95981077906976742</v>
      </c>
    </row>
    <row r="293" spans="1:64" ht="11.45" customHeight="1" x14ac:dyDescent="0.2">
      <c r="A293" s="2"/>
      <c r="J293" s="28"/>
      <c r="K293" s="28"/>
      <c r="L293" s="28"/>
      <c r="O293" s="28"/>
      <c r="P293" s="28"/>
      <c r="Q293" s="2"/>
      <c r="R293" s="2"/>
      <c r="S293" s="2"/>
      <c r="T293" s="241">
        <v>3</v>
      </c>
      <c r="U293" s="244" t="str">
        <f>IF(AND(N294&lt;&gt;"",N295&lt;&gt;""),CONCATENATE(VLOOKUP(N294,[1]zawodnicy!$A$1:$E$65536,1,FALSE)," ",VLOOKUP(N294,[1]zawodnicy!$A$1:$E$65536,2,FALSE)," ",VLOOKUP(N294,[1]zawodnicy!$A$1:$E$65536,3,FALSE)," - ",VLOOKUP(N294,[1]zawodnicy!$A$1:$E$65536,4,FALSE)),"")</f>
        <v>X08 Ilia LARUSIN - Brześć Białoruś</v>
      </c>
      <c r="V293" s="245"/>
      <c r="W293" s="246"/>
      <c r="X293" s="46" t="str">
        <f>IF(SUM(AO290:AP290)=0,"",AP290&amp;":"&amp;AO290)</f>
        <v>13:21</v>
      </c>
      <c r="Y293" s="83" t="str">
        <f>IF(SUM(AO291:AP291)=0,"",AP291&amp;":"&amp;AO291)</f>
        <v>21:23</v>
      </c>
      <c r="Z293" s="84"/>
      <c r="AA293" s="247" t="str">
        <f>IF(SUM(AW292:AZ292)=0,"",BE292&amp;":"&amp;BF292)</f>
        <v>67:86</v>
      </c>
      <c r="AB293" s="250" t="str">
        <f>IF(SUM(AW292:AZ292)=0,"",BG292&amp;":"&amp;BH292)</f>
        <v>0:4</v>
      </c>
      <c r="AC293" s="250" t="str">
        <f>IF(SUM(AW292:AZ292)=0,"",BI292&amp;":"&amp;BJ292)</f>
        <v>0:2</v>
      </c>
      <c r="AD293" s="253">
        <f>IF(SUM(BI290:BI292)&gt;0,BK292,"")</f>
        <v>3</v>
      </c>
      <c r="AE293" s="2"/>
      <c r="AF293" s="12"/>
      <c r="AG293" s="12"/>
      <c r="BE293" s="19">
        <f>SUM(BE290:BE292)</f>
        <v>269</v>
      </c>
      <c r="BF293" s="19">
        <f>SUM(BF290:BF292)</f>
        <v>269</v>
      </c>
      <c r="BG293" s="19">
        <f>SUM(BG290:BG292)</f>
        <v>7</v>
      </c>
      <c r="BH293" s="19">
        <f>SUM(BH290:BH292)</f>
        <v>7</v>
      </c>
      <c r="BK293" s="19"/>
      <c r="BL293" s="20"/>
    </row>
    <row r="294" spans="1:64" ht="11.45" customHeight="1" x14ac:dyDescent="0.2">
      <c r="A294" s="19"/>
      <c r="J294" s="19"/>
      <c r="K294" s="19"/>
      <c r="L294" s="19"/>
      <c r="N294" s="33" t="s">
        <v>270</v>
      </c>
      <c r="O294" s="34">
        <f>IF(O286&gt;0,(O286&amp;3)*1,"")</f>
        <v>33</v>
      </c>
      <c r="Q294" s="85"/>
      <c r="R294" s="85"/>
      <c r="S294" s="85"/>
      <c r="T294" s="242"/>
      <c r="U294" s="244" t="str">
        <f>IF(AND(N294&lt;&gt;"",N295=""),CONCATENATE(VLOOKUP(N294,[1]zawodnicy!$A$1:$E$65536,1,FALSE)," ",VLOOKUP(N294,[1]zawodnicy!$A$1:$E$65536,2,FALSE)," ",VLOOKUP(N294,[1]zawodnicy!$A$1:$E$65536,3,FALSE)," - ",VLOOKUP(N294,[1]zawodnicy!$A$1:$E$65536,4,FALSE)),"")</f>
        <v/>
      </c>
      <c r="V294" s="245"/>
      <c r="W294" s="246"/>
      <c r="X294" s="61" t="str">
        <f>IF(SUM(AQ290:AR290)=0,"",AR290&amp;":"&amp;AQ290)</f>
        <v>15:21</v>
      </c>
      <c r="Y294" s="36" t="str">
        <f>IF(SUM(AQ291:AR291)=0,"",AR291&amp;":"&amp;AQ291)</f>
        <v>18:21</v>
      </c>
      <c r="Z294" s="86"/>
      <c r="AA294" s="248"/>
      <c r="AB294" s="251"/>
      <c r="AC294" s="251"/>
      <c r="AD294" s="254"/>
      <c r="AE294" s="2"/>
      <c r="AF294" s="12"/>
      <c r="AG294" s="1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row>
    <row r="295" spans="1:64" ht="11.45" customHeight="1" thickBot="1" x14ac:dyDescent="0.25">
      <c r="A295" s="2"/>
      <c r="J295" s="28"/>
      <c r="K295" s="28"/>
      <c r="L295" s="28"/>
      <c r="N295" s="38" t="s">
        <v>183</v>
      </c>
      <c r="O295" s="28"/>
      <c r="P295" s="28"/>
      <c r="Q295" s="2"/>
      <c r="R295" s="2"/>
      <c r="S295" s="2"/>
      <c r="T295" s="243"/>
      <c r="U295" s="256" t="str">
        <f>IF(N295&lt;&gt;"",CONCATENATE(VLOOKUP(N295,[1]zawodnicy!$A$1:$E$65536,1,FALSE)," ",VLOOKUP(N295,[1]zawodnicy!$A$1:$E$65536,2,FALSE)," ",VLOOKUP(N295,[1]zawodnicy!$A$1:$E$65536,3,FALSE)," - ",VLOOKUP(N295,[1]zawodnicy!$A$1:$E$65536,4,FALSE)),"")</f>
        <v>X06 Uliana ZACHROVA - Brześć Białoruś</v>
      </c>
      <c r="V295" s="257"/>
      <c r="W295" s="258"/>
      <c r="X295" s="87" t="str">
        <f>IF(SUM(AS290:AT290)=0,"",AT290&amp;":"&amp;AS290)</f>
        <v/>
      </c>
      <c r="Y295" s="88" t="str">
        <f>IF(SUM(AS291:AT291)=0,"",AT291&amp;":"&amp;AS291)</f>
        <v/>
      </c>
      <c r="Z295" s="89"/>
      <c r="AA295" s="249"/>
      <c r="AB295" s="252"/>
      <c r="AC295" s="252"/>
      <c r="AD295" s="255"/>
      <c r="AE295" s="10"/>
      <c r="AF295" s="12"/>
      <c r="AG295" s="1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row>
    <row r="296" spans="1:64" s="19" customFormat="1" ht="5.0999999999999996" customHeight="1" thickBot="1" x14ac:dyDescent="0.25">
      <c r="M296" s="90"/>
      <c r="O296" s="90"/>
      <c r="P296" s="90"/>
      <c r="Q296" s="91"/>
      <c r="R296" s="91"/>
      <c r="S296" s="91"/>
      <c r="T296" s="91"/>
      <c r="U296" s="5"/>
      <c r="V296" s="5"/>
      <c r="W296" s="5"/>
      <c r="AA296" s="92"/>
      <c r="AB296" s="91"/>
      <c r="AC296" s="91"/>
      <c r="AD296" s="91"/>
      <c r="AE296" s="91"/>
      <c r="AF296" s="91"/>
      <c r="AI296" s="93"/>
      <c r="AJ296" s="94"/>
      <c r="AK296" s="94"/>
    </row>
    <row r="297" spans="1:64" ht="11.45" customHeight="1" thickBot="1" x14ac:dyDescent="0.25">
      <c r="N297" s="11"/>
      <c r="O297" s="21">
        <v>4</v>
      </c>
      <c r="Q297" s="277" t="str">
        <f>"Grupa "&amp;O297&amp;"."</f>
        <v>Grupa 4.</v>
      </c>
      <c r="R297" s="277"/>
      <c r="S297" s="277"/>
      <c r="T297" s="22" t="s">
        <v>1</v>
      </c>
      <c r="U297" s="278" t="s">
        <v>2</v>
      </c>
      <c r="V297" s="279"/>
      <c r="W297" s="280"/>
      <c r="X297" s="22">
        <v>1</v>
      </c>
      <c r="Y297" s="23">
        <v>2</v>
      </c>
      <c r="Z297" s="24">
        <v>3</v>
      </c>
      <c r="AA297" s="25" t="s">
        <v>3</v>
      </c>
      <c r="AB297" s="26" t="s">
        <v>4</v>
      </c>
      <c r="AC297" s="26" t="s">
        <v>5</v>
      </c>
      <c r="AD297" s="27" t="s">
        <v>6</v>
      </c>
      <c r="AE297" s="2"/>
      <c r="AF297" s="12"/>
      <c r="AG297" s="12"/>
      <c r="BK297" s="19"/>
      <c r="BL297" s="20"/>
    </row>
    <row r="298" spans="1:64" ht="11.45" customHeight="1" x14ac:dyDescent="0.2">
      <c r="J298" s="28"/>
      <c r="K298" s="28"/>
      <c r="L298" s="28"/>
      <c r="N298" s="29" t="s">
        <v>263</v>
      </c>
      <c r="Q298" s="274" t="s">
        <v>7</v>
      </c>
      <c r="R298" s="274"/>
      <c r="S298" s="275" t="s">
        <v>8</v>
      </c>
      <c r="T298" s="276">
        <v>1</v>
      </c>
      <c r="U298" s="244" t="str">
        <f>IF(AND(N299&lt;&gt;"",N300&lt;&gt;""),CONCATENATE(VLOOKUP(N299,[1]zawodnicy!$A$1:$E$65536,1,FALSE)," ",VLOOKUP(N299,[1]zawodnicy!$A$1:$E$65536,2,FALSE)," ",VLOOKUP(N299,[1]zawodnicy!$A$1:$E$65536,3,FALSE)," - ",VLOOKUP(N299,[1]zawodnicy!$A$1:$E$65536,4,FALSE)),"")</f>
        <v>K4579 Miłosz KAIM - KS Masovia Płock</v>
      </c>
      <c r="V298" s="245"/>
      <c r="W298" s="246"/>
      <c r="X298" s="30"/>
      <c r="Y298" s="31" t="str">
        <f>IF(SUM(AO303:AP303)=0,"",AO303&amp;":"&amp;AP303)</f>
        <v>21:17</v>
      </c>
      <c r="Z298" s="32" t="str">
        <f>IF(SUM(AO301:AP301)=0,"",AO301&amp;":"&amp;AP301)</f>
        <v>21:13</v>
      </c>
      <c r="AA298" s="270" t="str">
        <f>IF(SUM(AY301:BB301)=0,"",BE301&amp;":"&amp;BF301)</f>
        <v>88:68</v>
      </c>
      <c r="AB298" s="271" t="str">
        <f>IF(SUM(AY301:BB301)=0,"",BG301&amp;":"&amp;BH301)</f>
        <v>4:0</v>
      </c>
      <c r="AC298" s="271" t="str">
        <f>IF(SUM(AY301:BB301)=0,"",BI301&amp;":"&amp;BJ301)</f>
        <v>2:0</v>
      </c>
      <c r="AD298" s="272">
        <f>IF(SUM(BI301:BI303)&gt;0,BK301,"")</f>
        <v>1</v>
      </c>
      <c r="AE298" s="2"/>
      <c r="AF298" s="12"/>
      <c r="AG298" s="12"/>
      <c r="AH298" s="14"/>
      <c r="AI298" s="273" t="s">
        <v>9</v>
      </c>
      <c r="AJ298" s="273"/>
      <c r="AK298" s="273"/>
      <c r="AL298" s="273"/>
      <c r="AM298" s="273"/>
      <c r="AN298" s="273"/>
      <c r="AO298" s="273" t="s">
        <v>10</v>
      </c>
      <c r="AP298" s="273"/>
      <c r="AQ298" s="273"/>
      <c r="AR298" s="273"/>
      <c r="AS298" s="273"/>
      <c r="AT298" s="273"/>
      <c r="BK298" s="19"/>
      <c r="BL298" s="20"/>
    </row>
    <row r="299" spans="1:64" ht="11.45" customHeight="1" thickBot="1" x14ac:dyDescent="0.25">
      <c r="I299" s="2" t="str">
        <f>"1"&amp;O297&amp;N298</f>
        <v>14mieszana M</v>
      </c>
      <c r="J299" s="10" t="str">
        <f>IF(AD298="","",IF(AD298=1,N299,IF(AD301=1,N302,IF(AD304=1,N305,""))))</f>
        <v>K4579</v>
      </c>
      <c r="K299" s="10" t="str">
        <f>IF(AD298="","",IF(AD298=1,N300,IF(AD301=1,N303,IF(AD304=1,N306,""))))</f>
        <v>G4680</v>
      </c>
      <c r="L299" s="10"/>
      <c r="N299" s="33" t="s">
        <v>217</v>
      </c>
      <c r="O299" s="34">
        <f>IF(O297&gt;0,(O297&amp;1)*1,"")</f>
        <v>41</v>
      </c>
      <c r="Q299" s="274"/>
      <c r="R299" s="274"/>
      <c r="S299" s="275"/>
      <c r="T299" s="242"/>
      <c r="U299" s="244" t="str">
        <f>IF(AND(N299&lt;&gt;"",N300=""),CONCATENATE(VLOOKUP(N299,[1]zawodnicy!$A$1:$E$65536,1,FALSE)," ",VLOOKUP(N299,[1]zawodnicy!$A$1:$E$65536,2,FALSE)," ",VLOOKUP(N299,[1]zawodnicy!$A$1:$E$65536,3,FALSE)," - ",VLOOKUP(N299,[1]zawodnicy!$A$1:$E$65536,4,FALSE)),"")</f>
        <v/>
      </c>
      <c r="V299" s="245"/>
      <c r="W299" s="246"/>
      <c r="X299" s="35"/>
      <c r="Y299" s="36" t="str">
        <f>IF(SUM(AQ303:AR303)=0,"",AQ303&amp;":"&amp;AR303)</f>
        <v>21:15</v>
      </c>
      <c r="Z299" s="37" t="str">
        <f>IF(SUM(AQ301:AR301)=0,"",AQ301&amp;":"&amp;AR301)</f>
        <v>25:23</v>
      </c>
      <c r="AA299" s="248"/>
      <c r="AB299" s="251"/>
      <c r="AC299" s="251"/>
      <c r="AD299" s="254"/>
      <c r="AE299" s="2"/>
      <c r="AF299" s="12"/>
      <c r="AG299" s="12"/>
      <c r="AH299" s="14"/>
      <c r="BE299" s="19">
        <f>SUM(BE301:BE303)</f>
        <v>255</v>
      </c>
      <c r="BF299" s="19">
        <f>SUM(BF301:BF303)</f>
        <v>255</v>
      </c>
      <c r="BG299" s="19">
        <f>SUM(BG301:BG303)</f>
        <v>7</v>
      </c>
      <c r="BH299" s="19">
        <f>SUM(BH301:BH303)</f>
        <v>7</v>
      </c>
      <c r="BK299" s="19"/>
      <c r="BL299" s="20"/>
    </row>
    <row r="300" spans="1:64" ht="11.45" customHeight="1" thickBot="1" x14ac:dyDescent="0.25">
      <c r="J300" s="10"/>
      <c r="K300" s="28"/>
      <c r="L300" s="28"/>
      <c r="N300" s="38" t="s">
        <v>271</v>
      </c>
      <c r="O300" s="28"/>
      <c r="P300" s="28"/>
      <c r="Q300" s="274"/>
      <c r="R300" s="274"/>
      <c r="S300" s="275"/>
      <c r="T300" s="261"/>
      <c r="U300" s="265" t="str">
        <f>IF(N300&lt;&gt;"",CONCATENATE(VLOOKUP(N300,[1]zawodnicy!$A$1:$E$65536,1,FALSE)," ",VLOOKUP(N300,[1]zawodnicy!$A$1:$E$65536,2,FALSE)," ",VLOOKUP(N300,[1]zawodnicy!$A$1:$E$65536,3,FALSE)," - ",VLOOKUP(N300,[1]zawodnicy!$A$1:$E$65536,4,FALSE)),"")</f>
        <v>G4680 Aneta GADOMSKA - UTS Akro-Bad Warszawa</v>
      </c>
      <c r="V300" s="266"/>
      <c r="W300" s="267"/>
      <c r="X300" s="35"/>
      <c r="Y300" s="39" t="str">
        <f>IF(SUM(AS303:AT303)=0,"",AS303&amp;":"&amp;AT303)</f>
        <v/>
      </c>
      <c r="Z300" s="40" t="str">
        <f>IF(SUM(AS301:AT301)=0,"",AS301&amp;":"&amp;AT301)</f>
        <v/>
      </c>
      <c r="AA300" s="262"/>
      <c r="AB300" s="263"/>
      <c r="AC300" s="263"/>
      <c r="AD300" s="264"/>
      <c r="AE300" s="2"/>
      <c r="AF300" s="12"/>
      <c r="AG300" s="12"/>
      <c r="AH300" s="14"/>
      <c r="AI300" s="259" t="s">
        <v>12</v>
      </c>
      <c r="AJ300" s="269"/>
      <c r="AK300" s="268" t="s">
        <v>13</v>
      </c>
      <c r="AL300" s="269"/>
      <c r="AM300" s="268" t="s">
        <v>14</v>
      </c>
      <c r="AN300" s="260"/>
      <c r="AO300" s="259" t="s">
        <v>12</v>
      </c>
      <c r="AP300" s="269"/>
      <c r="AQ300" s="268" t="s">
        <v>13</v>
      </c>
      <c r="AR300" s="269"/>
      <c r="AS300" s="268" t="s">
        <v>14</v>
      </c>
      <c r="AT300" s="269"/>
      <c r="AU300" s="12"/>
      <c r="AV300" s="12"/>
      <c r="AW300" s="259">
        <v>1</v>
      </c>
      <c r="AX300" s="269"/>
      <c r="AY300" s="268">
        <v>2</v>
      </c>
      <c r="AZ300" s="269"/>
      <c r="BA300" s="268">
        <v>3</v>
      </c>
      <c r="BB300" s="260"/>
      <c r="BE300" s="259" t="s">
        <v>3</v>
      </c>
      <c r="BF300" s="260"/>
      <c r="BG300" s="259" t="s">
        <v>4</v>
      </c>
      <c r="BH300" s="260"/>
      <c r="BI300" s="259" t="s">
        <v>5</v>
      </c>
      <c r="BJ300" s="260"/>
      <c r="BK300" s="41" t="s">
        <v>6</v>
      </c>
      <c r="BL300" s="20"/>
    </row>
    <row r="301" spans="1:64" ht="11.45" customHeight="1" x14ac:dyDescent="0.2">
      <c r="A301" s="19">
        <f>S301</f>
        <v>52</v>
      </c>
      <c r="B301" s="2" t="str">
        <f>IF(N299="","",N299)</f>
        <v>K4579</v>
      </c>
      <c r="C301" s="2" t="str">
        <f>IF(N300="","",N300)</f>
        <v>G4680</v>
      </c>
      <c r="D301" s="2" t="str">
        <f>IF(N305="","",N305)</f>
        <v>C3670</v>
      </c>
      <c r="E301" s="2" t="str">
        <f>IF(N306="","",N306)</f>
        <v>J4505</v>
      </c>
      <c r="I301" s="2" t="str">
        <f>"2"&amp;O297&amp;N298</f>
        <v>24mieszana M</v>
      </c>
      <c r="J301" s="10" t="str">
        <f>IF(AD301="","",IF(AD298=2,N299,IF(AD301=2,N302,IF(AD304=2,N305,""))))</f>
        <v>C3670</v>
      </c>
      <c r="K301" s="10" t="str">
        <f>IF(AD301="","",IF(AD298=2,N300,IF(AD301=2,N303,IF(AD304=2,N306,""))))</f>
        <v>J4505</v>
      </c>
      <c r="M301" s="42" t="str">
        <f>N298</f>
        <v>mieszana M</v>
      </c>
      <c r="O301" s="28"/>
      <c r="P301" s="28"/>
      <c r="Q301" s="43" t="str">
        <f>IF(AU301&gt;0,"",IF(A301=0,"",IF(VLOOKUP(A301,'[1]plan gier'!A$1:S$65536,19,FALSE)="","",VLOOKUP(A301,'[1]plan gier'!A$1:S$65536,19,FALSE))))</f>
        <v/>
      </c>
      <c r="R301" s="44" t="s">
        <v>15</v>
      </c>
      <c r="S301" s="45">
        <v>52</v>
      </c>
      <c r="T301" s="241">
        <v>2</v>
      </c>
      <c r="U301" s="244" t="str">
        <f>IF(AND(N302&lt;&gt;"",N303&lt;&gt;""),CONCATENATE(VLOOKUP(N302,[1]zawodnicy!$A$1:$E$65536,1,FALSE)," ",VLOOKUP(N302,[1]zawodnicy!$A$1:$E$65536,2,FALSE)," ",VLOOKUP(N302,[1]zawodnicy!$A$1:$E$65536,3,FALSE)," - ",VLOOKUP(N302,[1]zawodnicy!$A$1:$E$65536,4,FALSE)),"")</f>
        <v>W4753 Natan VOGT - MMKS Kędzierzyn-Koźle</v>
      </c>
      <c r="V301" s="245"/>
      <c r="W301" s="246"/>
      <c r="X301" s="46" t="str">
        <f>IF(SUM(AO303:AP303)=0,"",AP303&amp;":"&amp;AO303)</f>
        <v>17:21</v>
      </c>
      <c r="Y301" s="47"/>
      <c r="Z301" s="48" t="str">
        <f>IF(SUM(AO302:AP302)=0,"",AO302&amp;":"&amp;AP302)</f>
        <v>9:21</v>
      </c>
      <c r="AA301" s="247" t="str">
        <f>IF(SUM(AW302:AX302,BA302:BB302)=0,"",BE302&amp;":"&amp;BF302)</f>
        <v>72:101</v>
      </c>
      <c r="AB301" s="250" t="str">
        <f>IF(SUM(AW302:AX302,BA302:BB302)=0,"",BG302&amp;":"&amp;BH302)</f>
        <v>1:4</v>
      </c>
      <c r="AC301" s="250" t="str">
        <f>IF(SUM(AW302:AX302,BA302:BB302)=0,"",BI302&amp;":"&amp;BJ302)</f>
        <v>0:2</v>
      </c>
      <c r="AD301" s="253">
        <f>IF(SUM(BI301:BI303)&gt;0,BK302,"")</f>
        <v>3</v>
      </c>
      <c r="AE301" s="2"/>
      <c r="AF301" s="12"/>
      <c r="AG301" s="12"/>
      <c r="AH301" s="44" t="s">
        <v>15</v>
      </c>
      <c r="AI301" s="49">
        <f>IF(ISBLANK(S301),"",VLOOKUP(S301,'[1]plan gier'!$X$1:$AN$65536,12,FALSE))</f>
        <v>21</v>
      </c>
      <c r="AJ301" s="50">
        <f>IF(ISBLANK(S301),"",VLOOKUP(S301,'[1]plan gier'!$X$1:$AN$65536,13,FALSE))</f>
        <v>13</v>
      </c>
      <c r="AK301" s="50">
        <f>IF(ISBLANK(S301),"",VLOOKUP(S301,'[1]plan gier'!$X$1:$AN$65536,14,FALSE))</f>
        <v>25</v>
      </c>
      <c r="AL301" s="50">
        <f>IF(ISBLANK(S301),"",VLOOKUP(S301,'[1]plan gier'!$X$1:$AN$65536,15,FALSE))</f>
        <v>23</v>
      </c>
      <c r="AM301" s="50">
        <f>IF(ISBLANK(S301),"",VLOOKUP(S301,'[1]plan gier'!$X$1:$AN$65536,16,FALSE))</f>
        <v>0</v>
      </c>
      <c r="AN301" s="50">
        <f>IF(ISBLANK(S301),"",VLOOKUP(S301,'[1]plan gier'!$X$1:$AN$65536,17,FALSE))</f>
        <v>0</v>
      </c>
      <c r="AO301" s="51">
        <f t="shared" ref="AO301:AT303" si="32">IF(AI301="",0,AI301)</f>
        <v>21</v>
      </c>
      <c r="AP301" s="52">
        <f t="shared" si="32"/>
        <v>13</v>
      </c>
      <c r="AQ301" s="53">
        <f t="shared" si="32"/>
        <v>25</v>
      </c>
      <c r="AR301" s="52">
        <f t="shared" si="32"/>
        <v>23</v>
      </c>
      <c r="AS301" s="53">
        <f t="shared" si="32"/>
        <v>0</v>
      </c>
      <c r="AT301" s="52">
        <f t="shared" si="32"/>
        <v>0</v>
      </c>
      <c r="AU301" s="54">
        <f>SUM(AO301:AT301)</f>
        <v>82</v>
      </c>
      <c r="AV301" s="13">
        <v>1</v>
      </c>
      <c r="AW301" s="55"/>
      <c r="AX301" s="56"/>
      <c r="AY301" s="50">
        <f>IF(AI303&gt;AJ303,1,0)+IF(AK303&gt;AL303,1,0)+IF(AM303&gt;AN303,1,0)</f>
        <v>2</v>
      </c>
      <c r="AZ301" s="50">
        <f>AW302</f>
        <v>0</v>
      </c>
      <c r="BA301" s="50">
        <f>IF(AI301&gt;AJ301,1,0)+IF(AK301&gt;AL301,1,0)+IF(AM301&gt;AN301,1,0)</f>
        <v>2</v>
      </c>
      <c r="BB301" s="57">
        <f>AW303</f>
        <v>0</v>
      </c>
      <c r="BE301" s="49">
        <f>AO301+AQ301+AS301+AO303+AQ303+AS303</f>
        <v>88</v>
      </c>
      <c r="BF301" s="57">
        <f>AP301+AR301+AT301+AP303+AR303+AT303</f>
        <v>68</v>
      </c>
      <c r="BG301" s="49">
        <f>AY301+BA301</f>
        <v>4</v>
      </c>
      <c r="BH301" s="57">
        <f>AZ301+BB301</f>
        <v>0</v>
      </c>
      <c r="BI301" s="49">
        <f>IF(AY301&gt;AZ301,1,0)+IF(BA301&gt;BB301,1,0)</f>
        <v>2</v>
      </c>
      <c r="BJ301" s="58">
        <f>IF(AZ301&gt;AY301,1,0)+IF(BB301&gt;BA301,1,0)</f>
        <v>0</v>
      </c>
      <c r="BK301" s="59">
        <f>IF(BI301+BJ301=0,"",IF(BL301=MAX(BL301:BL303),1,IF(BL301=MIN(BL301:BL303),3,2)))</f>
        <v>1</v>
      </c>
      <c r="BL301" s="60">
        <f>IF(BI301+BJ301&lt;&gt;0,BI301+1+(BG301-BH301)/100+(BE301-BF301)/100000+(BE301/BF301)/1000000,0)</f>
        <v>3.0402012941176473</v>
      </c>
    </row>
    <row r="302" spans="1:64" ht="11.45" customHeight="1" x14ac:dyDescent="0.2">
      <c r="A302" s="19">
        <f>S302</f>
        <v>118</v>
      </c>
      <c r="B302" s="2" t="str">
        <f>IF(N302="","",N302)</f>
        <v>W4753</v>
      </c>
      <c r="C302" s="2" t="str">
        <f>IF(N303="","",N303)</f>
        <v>K4576</v>
      </c>
      <c r="D302" s="2" t="str">
        <f>IF(N305="","",N305)</f>
        <v>C3670</v>
      </c>
      <c r="E302" s="2" t="str">
        <f>IF(N306="","",N306)</f>
        <v>J4505</v>
      </c>
      <c r="J302" s="10"/>
      <c r="K302" s="19"/>
      <c r="M302" s="42" t="str">
        <f>N298</f>
        <v>mieszana M</v>
      </c>
      <c r="N302" s="33" t="s">
        <v>248</v>
      </c>
      <c r="O302" s="34">
        <f>IF(O297&gt;0,(O297&amp;2)*1,"")</f>
        <v>42</v>
      </c>
      <c r="Q302" s="43" t="str">
        <f>IF(AU302&gt;0,"",IF(A302=0,"",IF(VLOOKUP(A302,'[1]plan gier'!A$1:S$65536,19,FALSE)="","",VLOOKUP(A302,'[1]plan gier'!A$1:S$65536,19,FALSE))))</f>
        <v/>
      </c>
      <c r="R302" s="44" t="s">
        <v>17</v>
      </c>
      <c r="S302" s="45">
        <v>118</v>
      </c>
      <c r="T302" s="242"/>
      <c r="U302" s="244" t="str">
        <f>IF(AND(N302&lt;&gt;"",N303=""),CONCATENATE(VLOOKUP(N302,[1]zawodnicy!$A$1:$E$65536,1,FALSE)," ",VLOOKUP(N302,[1]zawodnicy!$A$1:$E$65536,2,FALSE)," ",VLOOKUP(N302,[1]zawodnicy!$A$1:$E$65536,3,FALSE)," - ",VLOOKUP(N302,[1]zawodnicy!$A$1:$E$65536,4,FALSE)),"")</f>
        <v/>
      </c>
      <c r="V302" s="245"/>
      <c r="W302" s="246"/>
      <c r="X302" s="61" t="str">
        <f>IF(SUM(AQ303:AR303)=0,"",AR303&amp;":"&amp;AQ303)</f>
        <v>15:21</v>
      </c>
      <c r="Y302" s="62"/>
      <c r="Z302" s="37" t="str">
        <f>IF(SUM(AQ302:AR302)=0,"",AQ302&amp;":"&amp;AR302)</f>
        <v>21:17</v>
      </c>
      <c r="AA302" s="248"/>
      <c r="AB302" s="251"/>
      <c r="AC302" s="251"/>
      <c r="AD302" s="254"/>
      <c r="AE302" s="2"/>
      <c r="AF302" s="12"/>
      <c r="AG302" s="12"/>
      <c r="AH302" s="44" t="s">
        <v>17</v>
      </c>
      <c r="AI302" s="63">
        <f>IF(ISBLANK(S302),"",VLOOKUP(S302,'[1]plan gier'!$X$1:$AN$65536,12,FALSE))</f>
        <v>9</v>
      </c>
      <c r="AJ302" s="64">
        <f>IF(ISBLANK(S302),"",VLOOKUP(S302,'[1]plan gier'!$X$1:$AN$65536,13,FALSE))</f>
        <v>21</v>
      </c>
      <c r="AK302" s="64">
        <f>IF(ISBLANK(S302),"",VLOOKUP(S302,'[1]plan gier'!$X$1:$AN$65536,14,FALSE))</f>
        <v>21</v>
      </c>
      <c r="AL302" s="64">
        <f>IF(ISBLANK(S302),"",VLOOKUP(S302,'[1]plan gier'!$X$1:$AN$65536,15,FALSE))</f>
        <v>17</v>
      </c>
      <c r="AM302" s="64">
        <f>IF(ISBLANK(S302),"",VLOOKUP(S302,'[1]plan gier'!$X$1:$AN$65536,16,FALSE))</f>
        <v>10</v>
      </c>
      <c r="AN302" s="64">
        <f>IF(ISBLANK(S302),"",VLOOKUP(S302,'[1]plan gier'!$X$1:$AN$65536,17,FALSE))</f>
        <v>21</v>
      </c>
      <c r="AO302" s="65">
        <f t="shared" si="32"/>
        <v>9</v>
      </c>
      <c r="AP302" s="64">
        <f t="shared" si="32"/>
        <v>21</v>
      </c>
      <c r="AQ302" s="66">
        <f t="shared" si="32"/>
        <v>21</v>
      </c>
      <c r="AR302" s="64">
        <f t="shared" si="32"/>
        <v>17</v>
      </c>
      <c r="AS302" s="66">
        <f t="shared" si="32"/>
        <v>10</v>
      </c>
      <c r="AT302" s="64">
        <f t="shared" si="32"/>
        <v>21</v>
      </c>
      <c r="AU302" s="54">
        <f>SUM(AO302:AT302)</f>
        <v>99</v>
      </c>
      <c r="AV302" s="13">
        <v>2</v>
      </c>
      <c r="AW302" s="63">
        <f>IF(AI303&lt;AJ303,1,0)+IF(AK303&lt;AL303,1,0)+IF(AM303&lt;AN303,1,0)</f>
        <v>0</v>
      </c>
      <c r="AX302" s="64">
        <f>AY301</f>
        <v>2</v>
      </c>
      <c r="AY302" s="67"/>
      <c r="AZ302" s="68"/>
      <c r="BA302" s="64">
        <f>IF(AI302&gt;AJ302,1,0)+IF(AK302&gt;AL302,1,0)+IF(AM302&gt;AN302,1,0)</f>
        <v>1</v>
      </c>
      <c r="BB302" s="69">
        <f>AY303</f>
        <v>2</v>
      </c>
      <c r="BE302" s="63">
        <f>AO302+AQ302+AS302+AP303+AR303+AT303</f>
        <v>72</v>
      </c>
      <c r="BF302" s="69">
        <f>AP302+AR302+AT302+AO303+AQ303+AS303</f>
        <v>101</v>
      </c>
      <c r="BG302" s="63">
        <f>AW302+BA302</f>
        <v>1</v>
      </c>
      <c r="BH302" s="69">
        <f>AX302+BB302</f>
        <v>4</v>
      </c>
      <c r="BI302" s="63">
        <f>IF(AW302&gt;AX302,1,0)+IF(BA302&gt;BB302,1,0)</f>
        <v>0</v>
      </c>
      <c r="BJ302" s="70">
        <f>IF(AX302&gt;AW302,1,0)+IF(BB302&gt;BA302,1,0)</f>
        <v>2</v>
      </c>
      <c r="BK302" s="71">
        <f>IF(BI302+BJ302=0,"",IF(BL302=MAX(BL301:BL303),1,IF(BL302=MIN(BL301:BL303),3,2)))</f>
        <v>3</v>
      </c>
      <c r="BL302" s="60">
        <f>IF(BI302+BJ302&lt;&gt;0,BI302+1+(BG302-BH302)/100+(BE302-BF302)/100000+(BE302/BF302)/1000000,0)</f>
        <v>0.96971071287128707</v>
      </c>
    </row>
    <row r="303" spans="1:64" ht="11.45" customHeight="1" thickBot="1" x14ac:dyDescent="0.25">
      <c r="A303" s="19">
        <f>S303</f>
        <v>265</v>
      </c>
      <c r="B303" s="2" t="str">
        <f>IF(N299="","",N299)</f>
        <v>K4579</v>
      </c>
      <c r="C303" s="2" t="str">
        <f>IF(N300="","",N300)</f>
        <v>G4680</v>
      </c>
      <c r="D303" s="2" t="str">
        <f>IF(N302="","",N302)</f>
        <v>W4753</v>
      </c>
      <c r="E303" s="2" t="str">
        <f>IF(N303="","",N303)</f>
        <v>K4576</v>
      </c>
      <c r="I303" s="2" t="str">
        <f>"3"&amp;O297&amp;N298</f>
        <v>34mieszana M</v>
      </c>
      <c r="J303" s="10" t="str">
        <f>IF(AD304="","",IF(AD298=3,N299,IF(AD301=3,N302,IF(AD304=3,N305,""))))</f>
        <v>W4753</v>
      </c>
      <c r="K303" s="10" t="str">
        <f>IF(AD304="","",IF(AD298=3,N300,IF(AD301=3,N303,IF(AD304=3,N306,""))))</f>
        <v>K4576</v>
      </c>
      <c r="M303" s="42" t="str">
        <f>N298</f>
        <v>mieszana M</v>
      </c>
      <c r="N303" s="38" t="s">
        <v>203</v>
      </c>
      <c r="O303" s="28"/>
      <c r="P303" s="28"/>
      <c r="Q303" s="43" t="str">
        <f>IF(AU303&gt;0,"",IF(A303=0,"",IF(VLOOKUP(A303,'[1]plan gier'!A$1:S$65536,19,FALSE)="","",VLOOKUP(A303,'[1]plan gier'!A$1:S$65536,19,FALSE))))</f>
        <v/>
      </c>
      <c r="R303" s="72" t="s">
        <v>18</v>
      </c>
      <c r="S303" s="45">
        <v>265</v>
      </c>
      <c r="T303" s="261"/>
      <c r="U303" s="265" t="str">
        <f>IF(N303&lt;&gt;"",CONCATENATE(VLOOKUP(N303,[1]zawodnicy!$A$1:$E$65536,1,FALSE)," ",VLOOKUP(N303,[1]zawodnicy!$A$1:$E$65536,2,FALSE)," ",VLOOKUP(N303,[1]zawodnicy!$A$1:$E$65536,3,FALSE)," - ",VLOOKUP(N303,[1]zawodnicy!$A$1:$E$65536,4,FALSE)),"")</f>
        <v>K4576 Paulina KLIMEK - MKS Strzelce Opolskie</v>
      </c>
      <c r="V303" s="266"/>
      <c r="W303" s="267"/>
      <c r="X303" s="73" t="str">
        <f>IF(SUM(AS303:AT303)=0,"",AT303&amp;":"&amp;AS303)</f>
        <v/>
      </c>
      <c r="Y303" s="62"/>
      <c r="Z303" s="40" t="str">
        <f>IF(SUM(AS302:AT302)=0,"",AS302&amp;":"&amp;AT302)</f>
        <v>10:21</v>
      </c>
      <c r="AA303" s="262"/>
      <c r="AB303" s="263"/>
      <c r="AC303" s="263"/>
      <c r="AD303" s="264"/>
      <c r="AE303" s="2"/>
      <c r="AF303" s="12"/>
      <c r="AG303" s="12"/>
      <c r="AH303" s="72" t="s">
        <v>18</v>
      </c>
      <c r="AI303" s="74">
        <f>IF(ISBLANK(S303),"",VLOOKUP(S303,'[1]plan gier'!$X$1:$AN$65536,12,FALSE))</f>
        <v>21</v>
      </c>
      <c r="AJ303" s="75">
        <f>IF(ISBLANK(S303),"",VLOOKUP(S303,'[1]plan gier'!$X$1:$AN$65536,13,FALSE))</f>
        <v>17</v>
      </c>
      <c r="AK303" s="75">
        <f>IF(ISBLANK(S303),"",VLOOKUP(S303,'[1]plan gier'!$X$1:$AN$65536,14,FALSE))</f>
        <v>21</v>
      </c>
      <c r="AL303" s="75">
        <f>IF(ISBLANK(S303),"",VLOOKUP(S303,'[1]plan gier'!$X$1:$AN$65536,15,FALSE))</f>
        <v>15</v>
      </c>
      <c r="AM303" s="75">
        <f>IF(ISBLANK(S303),"",VLOOKUP(S303,'[1]plan gier'!$X$1:$AN$65536,16,FALSE))</f>
        <v>0</v>
      </c>
      <c r="AN303" s="75">
        <f>IF(ISBLANK(S303),"",VLOOKUP(S303,'[1]plan gier'!$X$1:$AN$65536,17,FALSE))</f>
        <v>0</v>
      </c>
      <c r="AO303" s="76">
        <f t="shared" si="32"/>
        <v>21</v>
      </c>
      <c r="AP303" s="75">
        <f t="shared" si="32"/>
        <v>17</v>
      </c>
      <c r="AQ303" s="77">
        <f t="shared" si="32"/>
        <v>21</v>
      </c>
      <c r="AR303" s="75">
        <f t="shared" si="32"/>
        <v>15</v>
      </c>
      <c r="AS303" s="77">
        <f t="shared" si="32"/>
        <v>0</v>
      </c>
      <c r="AT303" s="75">
        <f t="shared" si="32"/>
        <v>0</v>
      </c>
      <c r="AU303" s="54">
        <f>SUM(AO303:AT303)</f>
        <v>74</v>
      </c>
      <c r="AV303" s="13">
        <v>3</v>
      </c>
      <c r="AW303" s="74">
        <f>IF(AI301&lt;AJ301,1,0)+IF(AK301&lt;AL301,1,0)+IF(AM301&lt;AN301,1,0)</f>
        <v>0</v>
      </c>
      <c r="AX303" s="75">
        <f>BA301</f>
        <v>2</v>
      </c>
      <c r="AY303" s="75">
        <f>IF(AI302&lt;AJ302,1,0)+IF(AK302&lt;AL302,1,0)+IF(AM302&lt;AN302,1,0)</f>
        <v>2</v>
      </c>
      <c r="AZ303" s="75">
        <f>BA302</f>
        <v>1</v>
      </c>
      <c r="BA303" s="78"/>
      <c r="BB303" s="79"/>
      <c r="BE303" s="74">
        <f>AP301+AR301+AT301+AP302+AR302+AT302</f>
        <v>95</v>
      </c>
      <c r="BF303" s="80">
        <f>AO301+AQ301+AS301+AO302+AQ302+AS302</f>
        <v>86</v>
      </c>
      <c r="BG303" s="74">
        <f>AW303+AY303</f>
        <v>2</v>
      </c>
      <c r="BH303" s="80">
        <f>AX303+AZ303</f>
        <v>3</v>
      </c>
      <c r="BI303" s="74">
        <f>IF(AW303&gt;AX303,1,0)+IF(AY303&gt;AZ303,1,0)</f>
        <v>1</v>
      </c>
      <c r="BJ303" s="81">
        <f>IF(AX303&gt;AW303,1,0)+IF(AZ303&gt;AY303,1,0)</f>
        <v>1</v>
      </c>
      <c r="BK303" s="82">
        <f>IF(BI303+BJ303=0,"",IF(BL303=MAX(BL301:BL303),1,IF(BL303=MIN(BL301:BL303),3,2)))</f>
        <v>2</v>
      </c>
      <c r="BL303" s="60">
        <f>IF(BI303+BJ303&lt;&gt;0,BI303+1+(BG303-BH303)/100+(BE303-BF303)/100000+(BE303/BF303)/1000000,0)</f>
        <v>1.9900911046511627</v>
      </c>
    </row>
    <row r="304" spans="1:64" ht="11.45" customHeight="1" x14ac:dyDescent="0.2">
      <c r="A304" s="2"/>
      <c r="J304" s="28"/>
      <c r="K304" s="28"/>
      <c r="L304" s="28"/>
      <c r="O304" s="28"/>
      <c r="P304" s="28"/>
      <c r="Q304" s="2"/>
      <c r="R304" s="2"/>
      <c r="S304" s="2"/>
      <c r="T304" s="241">
        <v>3</v>
      </c>
      <c r="U304" s="244" t="str">
        <f>IF(AND(N305&lt;&gt;"",N306&lt;&gt;""),CONCATENATE(VLOOKUP(N305,[1]zawodnicy!$A$1:$E$65536,1,FALSE)," ",VLOOKUP(N305,[1]zawodnicy!$A$1:$E$65536,2,FALSE)," ",VLOOKUP(N305,[1]zawodnicy!$A$1:$E$65536,3,FALSE)," - ",VLOOKUP(N305,[1]zawodnicy!$A$1:$E$65536,4,FALSE)),"")</f>
        <v>C3670 Robert CYBULSKI - MKB Lednik Miastko</v>
      </c>
      <c r="V304" s="245"/>
      <c r="W304" s="246"/>
      <c r="X304" s="46" t="str">
        <f>IF(SUM(AO301:AP301)=0,"",AP301&amp;":"&amp;AO301)</f>
        <v>13:21</v>
      </c>
      <c r="Y304" s="83" t="str">
        <f>IF(SUM(AO302:AP302)=0,"",AP302&amp;":"&amp;AO302)</f>
        <v>21:9</v>
      </c>
      <c r="Z304" s="84"/>
      <c r="AA304" s="247" t="str">
        <f>IF(SUM(AW303:AZ303)=0,"",BE303&amp;":"&amp;BF303)</f>
        <v>95:86</v>
      </c>
      <c r="AB304" s="250" t="str">
        <f>IF(SUM(AW303:AZ303)=0,"",BG303&amp;":"&amp;BH303)</f>
        <v>2:3</v>
      </c>
      <c r="AC304" s="250" t="str">
        <f>IF(SUM(AW303:AZ303)=0,"",BI303&amp;":"&amp;BJ303)</f>
        <v>1:1</v>
      </c>
      <c r="AD304" s="253">
        <f>IF(SUM(BI301:BI303)&gt;0,BK303,"")</f>
        <v>2</v>
      </c>
      <c r="AE304" s="2"/>
      <c r="AF304" s="12"/>
      <c r="AG304" s="12"/>
      <c r="BE304" s="19">
        <f>SUM(BE301:BE303)</f>
        <v>255</v>
      </c>
      <c r="BF304" s="19">
        <f>SUM(BF301:BF303)</f>
        <v>255</v>
      </c>
      <c r="BG304" s="19">
        <f>SUM(BG301:BG303)</f>
        <v>7</v>
      </c>
      <c r="BH304" s="19">
        <f>SUM(BH301:BH303)</f>
        <v>7</v>
      </c>
      <c r="BK304" s="19"/>
      <c r="BL304" s="20"/>
    </row>
    <row r="305" spans="1:64" ht="11.45" customHeight="1" x14ac:dyDescent="0.2">
      <c r="A305" s="19"/>
      <c r="J305" s="19"/>
      <c r="K305" s="19"/>
      <c r="L305" s="19"/>
      <c r="N305" s="33" t="s">
        <v>245</v>
      </c>
      <c r="O305" s="34">
        <f>IF(O297&gt;0,(O297&amp;3)*1,"")</f>
        <v>43</v>
      </c>
      <c r="Q305" s="85"/>
      <c r="R305" s="85"/>
      <c r="S305" s="85"/>
      <c r="T305" s="242"/>
      <c r="U305" s="244" t="str">
        <f>IF(AND(N305&lt;&gt;"",N306=""),CONCATENATE(VLOOKUP(N305,[1]zawodnicy!$A$1:$E$65536,1,FALSE)," ",VLOOKUP(N305,[1]zawodnicy!$A$1:$E$65536,2,FALSE)," ",VLOOKUP(N305,[1]zawodnicy!$A$1:$E$65536,3,FALSE)," - ",VLOOKUP(N305,[1]zawodnicy!$A$1:$E$65536,4,FALSE)),"")</f>
        <v/>
      </c>
      <c r="V305" s="245"/>
      <c r="W305" s="246"/>
      <c r="X305" s="61" t="str">
        <f>IF(SUM(AQ301:AR301)=0,"",AR301&amp;":"&amp;AQ301)</f>
        <v>23:25</v>
      </c>
      <c r="Y305" s="36" t="str">
        <f>IF(SUM(AQ302:AR302)=0,"",AR302&amp;":"&amp;AQ302)</f>
        <v>17:21</v>
      </c>
      <c r="Z305" s="86"/>
      <c r="AA305" s="248"/>
      <c r="AB305" s="251"/>
      <c r="AC305" s="251"/>
      <c r="AD305" s="254"/>
      <c r="AE305" s="2"/>
      <c r="AF305" s="12"/>
      <c r="AG305" s="1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row>
    <row r="306" spans="1:64" ht="11.45" customHeight="1" thickBot="1" x14ac:dyDescent="0.25">
      <c r="A306" s="2"/>
      <c r="J306" s="28"/>
      <c r="K306" s="28"/>
      <c r="L306" s="28"/>
      <c r="N306" s="38" t="s">
        <v>158</v>
      </c>
      <c r="O306" s="28"/>
      <c r="P306" s="28"/>
      <c r="Q306" s="2"/>
      <c r="R306" s="2"/>
      <c r="S306" s="2"/>
      <c r="T306" s="243"/>
      <c r="U306" s="256" t="str">
        <f>IF(N306&lt;&gt;"",CONCATENATE(VLOOKUP(N306,[1]zawodnicy!$A$1:$E$65536,1,FALSE)," ",VLOOKUP(N306,[1]zawodnicy!$A$1:$E$65536,2,FALSE)," ",VLOOKUP(N306,[1]zawodnicy!$A$1:$E$65536,3,FALSE)," - ",VLOOKUP(N306,[1]zawodnicy!$A$1:$E$65536,4,FALSE)),"")</f>
        <v>J4505 Wiktoria JUSZCZAK - MMKS Gdańsk</v>
      </c>
      <c r="V306" s="257"/>
      <c r="W306" s="258"/>
      <c r="X306" s="87" t="str">
        <f>IF(SUM(AS301:AT301)=0,"",AT301&amp;":"&amp;AS301)</f>
        <v/>
      </c>
      <c r="Y306" s="88" t="str">
        <f>IF(SUM(AS302:AT302)=0,"",AT302&amp;":"&amp;AS302)</f>
        <v>21:10</v>
      </c>
      <c r="Z306" s="89"/>
      <c r="AA306" s="249"/>
      <c r="AB306" s="252"/>
      <c r="AC306" s="252"/>
      <c r="AD306" s="255"/>
      <c r="AE306" s="10"/>
      <c r="AF306" s="12"/>
      <c r="AG306" s="1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row>
    <row r="307" spans="1:64" s="19" customFormat="1" ht="5.0999999999999996" customHeight="1" thickBot="1" x14ac:dyDescent="0.25">
      <c r="M307" s="90"/>
      <c r="O307" s="90"/>
      <c r="P307" s="90"/>
      <c r="Q307" s="91"/>
      <c r="R307" s="91"/>
      <c r="S307" s="91"/>
      <c r="T307" s="91"/>
      <c r="U307" s="5"/>
      <c r="V307" s="5"/>
      <c r="W307" s="5"/>
      <c r="AA307" s="92"/>
      <c r="AB307" s="91"/>
      <c r="AC307" s="91"/>
      <c r="AD307" s="91"/>
      <c r="AE307" s="91"/>
      <c r="AF307" s="91"/>
      <c r="AI307" s="93"/>
      <c r="AJ307" s="94"/>
      <c r="AK307" s="94"/>
    </row>
    <row r="308" spans="1:64" ht="11.45" customHeight="1" thickBot="1" x14ac:dyDescent="0.25">
      <c r="N308" s="11"/>
      <c r="O308" s="21">
        <v>5</v>
      </c>
      <c r="Q308" s="277" t="str">
        <f>"Grupa "&amp;O308&amp;"."</f>
        <v>Grupa 5.</v>
      </c>
      <c r="R308" s="277"/>
      <c r="S308" s="277"/>
      <c r="T308" s="22" t="s">
        <v>1</v>
      </c>
      <c r="U308" s="278" t="s">
        <v>2</v>
      </c>
      <c r="V308" s="279"/>
      <c r="W308" s="280"/>
      <c r="X308" s="22">
        <v>1</v>
      </c>
      <c r="Y308" s="23">
        <v>2</v>
      </c>
      <c r="Z308" s="24">
        <v>3</v>
      </c>
      <c r="AA308" s="25" t="s">
        <v>3</v>
      </c>
      <c r="AB308" s="26" t="s">
        <v>4</v>
      </c>
      <c r="AC308" s="26" t="s">
        <v>5</v>
      </c>
      <c r="AD308" s="27" t="s">
        <v>6</v>
      </c>
      <c r="AE308" s="2"/>
      <c r="AF308" s="12"/>
      <c r="AG308" s="12"/>
      <c r="BK308" s="19"/>
      <c r="BL308" s="20"/>
    </row>
    <row r="309" spans="1:64" ht="11.45" customHeight="1" x14ac:dyDescent="0.2">
      <c r="J309" s="28"/>
      <c r="K309" s="28"/>
      <c r="L309" s="28"/>
      <c r="N309" s="29" t="s">
        <v>263</v>
      </c>
      <c r="Q309" s="274" t="s">
        <v>7</v>
      </c>
      <c r="R309" s="274"/>
      <c r="S309" s="275" t="s">
        <v>8</v>
      </c>
      <c r="T309" s="276">
        <v>1</v>
      </c>
      <c r="U309" s="244" t="str">
        <f>IF(AND(N310&lt;&gt;"",N311&lt;&gt;""),CONCATENATE(VLOOKUP(N310,[1]zawodnicy!$A$1:$E$65536,1,FALSE)," ",VLOOKUP(N310,[1]zawodnicy!$A$1:$E$65536,2,FALSE)," ",VLOOKUP(N310,[1]zawodnicy!$A$1:$E$65536,3,FALSE)," - ",VLOOKUP(N310,[1]zawodnicy!$A$1:$E$65536,4,FALSE)),"")</f>
        <v>T4723 Dominik TELAKOWIEC - KS Hubertus Zalesie Górne</v>
      </c>
      <c r="V309" s="245"/>
      <c r="W309" s="246"/>
      <c r="X309" s="30"/>
      <c r="Y309" s="31" t="str">
        <f>IF(SUM(AO314:AP314)=0,"",AO314&amp;":"&amp;AP314)</f>
        <v>21:14</v>
      </c>
      <c r="Z309" s="32" t="str">
        <f>IF(SUM(AO312:AP312)=0,"",AO312&amp;":"&amp;AP312)</f>
        <v>13:21</v>
      </c>
      <c r="AA309" s="270" t="str">
        <f>IF(SUM(AY312:BB312)=0,"",BE312&amp;":"&amp;BF312)</f>
        <v>89:98</v>
      </c>
      <c r="AB309" s="271" t="str">
        <f>IF(SUM(AY312:BB312)=0,"",BG312&amp;":"&amp;BH312)</f>
        <v>1:4</v>
      </c>
      <c r="AC309" s="271" t="str">
        <f>IF(SUM(AY312:BB312)=0,"",BI312&amp;":"&amp;BJ312)</f>
        <v>0:2</v>
      </c>
      <c r="AD309" s="272">
        <f>IF(SUM(BI312:BI314)&gt;0,BK312,"")</f>
        <v>3</v>
      </c>
      <c r="AE309" s="2"/>
      <c r="AF309" s="12"/>
      <c r="AG309" s="12"/>
      <c r="AH309" s="14"/>
      <c r="AI309" s="273" t="s">
        <v>9</v>
      </c>
      <c r="AJ309" s="273"/>
      <c r="AK309" s="273"/>
      <c r="AL309" s="273"/>
      <c r="AM309" s="273"/>
      <c r="AN309" s="273"/>
      <c r="AO309" s="273" t="s">
        <v>10</v>
      </c>
      <c r="AP309" s="273"/>
      <c r="AQ309" s="273"/>
      <c r="AR309" s="273"/>
      <c r="AS309" s="273"/>
      <c r="AT309" s="273"/>
      <c r="BK309" s="19"/>
      <c r="BL309" s="20"/>
    </row>
    <row r="310" spans="1:64" ht="11.45" customHeight="1" thickBot="1" x14ac:dyDescent="0.25">
      <c r="I310" s="2" t="str">
        <f>"1"&amp;O308&amp;N309</f>
        <v>15mieszana M</v>
      </c>
      <c r="J310" s="10" t="str">
        <f>IF(AD309="","",IF(AD309=1,N310,IF(AD312=1,N313,IF(AD315=1,N316,""))))</f>
        <v>T3691</v>
      </c>
      <c r="K310" s="10" t="str">
        <f>IF(AD309="","",IF(AD309=1,N311,IF(AD312=1,N314,IF(AD315=1,N317,""))))</f>
        <v>K4023</v>
      </c>
      <c r="L310" s="10"/>
      <c r="N310" s="33" t="s">
        <v>242</v>
      </c>
      <c r="O310" s="34">
        <f>IF(O308&gt;0,(O308&amp;1)*1,"")</f>
        <v>51</v>
      </c>
      <c r="Q310" s="274"/>
      <c r="R310" s="274"/>
      <c r="S310" s="275"/>
      <c r="T310" s="242"/>
      <c r="U310" s="244" t="str">
        <f>IF(AND(N310&lt;&gt;"",N311=""),CONCATENATE(VLOOKUP(N310,[1]zawodnicy!$A$1:$E$65536,1,FALSE)," ",VLOOKUP(N310,[1]zawodnicy!$A$1:$E$65536,2,FALSE)," ",VLOOKUP(N310,[1]zawodnicy!$A$1:$E$65536,3,FALSE)," - ",VLOOKUP(N310,[1]zawodnicy!$A$1:$E$65536,4,FALSE)),"")</f>
        <v/>
      </c>
      <c r="V310" s="245"/>
      <c r="W310" s="246"/>
      <c r="X310" s="35"/>
      <c r="Y310" s="36" t="str">
        <f>IF(SUM(AQ314:AR314)=0,"",AQ314&amp;":"&amp;AR314)</f>
        <v>19:21</v>
      </c>
      <c r="Z310" s="37" t="str">
        <f>IF(SUM(AQ312:AR312)=0,"",AQ312&amp;":"&amp;AR312)</f>
        <v>18:21</v>
      </c>
      <c r="AA310" s="248"/>
      <c r="AB310" s="251"/>
      <c r="AC310" s="251"/>
      <c r="AD310" s="254"/>
      <c r="AE310" s="2"/>
      <c r="AF310" s="12"/>
      <c r="AG310" s="12"/>
      <c r="AH310" s="14"/>
      <c r="BE310" s="19">
        <f>SUM(BE312:BE314)</f>
        <v>264</v>
      </c>
      <c r="BF310" s="19">
        <f>SUM(BF312:BF314)</f>
        <v>264</v>
      </c>
      <c r="BG310" s="19">
        <f>SUM(BG312:BG314)</f>
        <v>7</v>
      </c>
      <c r="BH310" s="19">
        <f>SUM(BH312:BH314)</f>
        <v>7</v>
      </c>
      <c r="BK310" s="19"/>
      <c r="BL310" s="20"/>
    </row>
    <row r="311" spans="1:64" ht="11.45" customHeight="1" thickBot="1" x14ac:dyDescent="0.25">
      <c r="J311" s="10"/>
      <c r="K311" s="28"/>
      <c r="L311" s="28"/>
      <c r="N311" s="38" t="s">
        <v>191</v>
      </c>
      <c r="O311" s="28"/>
      <c r="P311" s="28"/>
      <c r="Q311" s="274"/>
      <c r="R311" s="274"/>
      <c r="S311" s="275"/>
      <c r="T311" s="261"/>
      <c r="U311" s="265" t="str">
        <f>IF(N311&lt;&gt;"",CONCATENATE(VLOOKUP(N311,[1]zawodnicy!$A$1:$E$65536,1,FALSE)," ",VLOOKUP(N311,[1]zawodnicy!$A$1:$E$65536,2,FALSE)," ",VLOOKUP(N311,[1]zawodnicy!$A$1:$E$65536,3,FALSE)," - ",VLOOKUP(N311,[1]zawodnicy!$A$1:$E$65536,4,FALSE)),"")</f>
        <v>S4873 Natalia STRZELCZYK - KS Hubertus Zalesie Górne</v>
      </c>
      <c r="V311" s="266"/>
      <c r="W311" s="267"/>
      <c r="X311" s="35"/>
      <c r="Y311" s="39" t="str">
        <f>IF(SUM(AS314:AT314)=0,"",AS314&amp;":"&amp;AT314)</f>
        <v>18:21</v>
      </c>
      <c r="Z311" s="40" t="str">
        <f>IF(SUM(AS312:AT312)=0,"",AS312&amp;":"&amp;AT312)</f>
        <v/>
      </c>
      <c r="AA311" s="262"/>
      <c r="AB311" s="263"/>
      <c r="AC311" s="263"/>
      <c r="AD311" s="264"/>
      <c r="AE311" s="2"/>
      <c r="AF311" s="12"/>
      <c r="AG311" s="12"/>
      <c r="AH311" s="14"/>
      <c r="AI311" s="259" t="s">
        <v>12</v>
      </c>
      <c r="AJ311" s="269"/>
      <c r="AK311" s="268" t="s">
        <v>13</v>
      </c>
      <c r="AL311" s="269"/>
      <c r="AM311" s="268" t="s">
        <v>14</v>
      </c>
      <c r="AN311" s="260"/>
      <c r="AO311" s="259" t="s">
        <v>12</v>
      </c>
      <c r="AP311" s="269"/>
      <c r="AQ311" s="268" t="s">
        <v>13</v>
      </c>
      <c r="AR311" s="269"/>
      <c r="AS311" s="268" t="s">
        <v>14</v>
      </c>
      <c r="AT311" s="269"/>
      <c r="AU311" s="12"/>
      <c r="AV311" s="12"/>
      <c r="AW311" s="259">
        <v>1</v>
      </c>
      <c r="AX311" s="269"/>
      <c r="AY311" s="268">
        <v>2</v>
      </c>
      <c r="AZ311" s="269"/>
      <c r="BA311" s="268">
        <v>3</v>
      </c>
      <c r="BB311" s="260"/>
      <c r="BE311" s="259" t="s">
        <v>3</v>
      </c>
      <c r="BF311" s="260"/>
      <c r="BG311" s="259" t="s">
        <v>4</v>
      </c>
      <c r="BH311" s="260"/>
      <c r="BI311" s="259" t="s">
        <v>5</v>
      </c>
      <c r="BJ311" s="260"/>
      <c r="BK311" s="41" t="s">
        <v>6</v>
      </c>
      <c r="BL311" s="20"/>
    </row>
    <row r="312" spans="1:64" ht="11.45" customHeight="1" x14ac:dyDescent="0.2">
      <c r="A312" s="19">
        <f>S312</f>
        <v>53</v>
      </c>
      <c r="B312" s="2" t="str">
        <f>IF(N310="","",N310)</f>
        <v>T4723</v>
      </c>
      <c r="C312" s="2" t="str">
        <f>IF(N311="","",N311)</f>
        <v>S4873</v>
      </c>
      <c r="D312" s="2" t="str">
        <f>IF(N316="","",N316)</f>
        <v>T3691</v>
      </c>
      <c r="E312" s="2" t="str">
        <f>IF(N317="","",N317)</f>
        <v>K4023</v>
      </c>
      <c r="I312" s="2" t="str">
        <f>"2"&amp;O308&amp;N309</f>
        <v>25mieszana M</v>
      </c>
      <c r="J312" s="10" t="str">
        <f>IF(AD312="","",IF(AD309=2,N310,IF(AD312=2,N313,IF(AD315=2,N316,""))))</f>
        <v>X23</v>
      </c>
      <c r="K312" s="10" t="str">
        <f>IF(AD312="","",IF(AD309=2,N311,IF(AD312=2,N314,IF(AD315=2,N317,""))))</f>
        <v>X21</v>
      </c>
      <c r="M312" s="42" t="str">
        <f>N309</f>
        <v>mieszana M</v>
      </c>
      <c r="O312" s="28"/>
      <c r="P312" s="28"/>
      <c r="Q312" s="43" t="str">
        <f>IF(AU312&gt;0,"",IF(A312=0,"",IF(VLOOKUP(A312,'[1]plan gier'!A$1:S$65536,19,FALSE)="","",VLOOKUP(A312,'[1]plan gier'!A$1:S$65536,19,FALSE))))</f>
        <v/>
      </c>
      <c r="R312" s="44" t="s">
        <v>15</v>
      </c>
      <c r="S312" s="45">
        <v>53</v>
      </c>
      <c r="T312" s="241">
        <v>2</v>
      </c>
      <c r="U312" s="244" t="str">
        <f>IF(AND(N313&lt;&gt;"",N314&lt;&gt;""),CONCATENATE(VLOOKUP(N313,[1]zawodnicy!$A$1:$E$65536,1,FALSE)," ",VLOOKUP(N313,[1]zawodnicy!$A$1:$E$65536,2,FALSE)," ",VLOOKUP(N313,[1]zawodnicy!$A$1:$E$65536,3,FALSE)," - ",VLOOKUP(N313,[1]zawodnicy!$A$1:$E$65536,4,FALSE)),"")</f>
        <v>X23 Bogdan BRYCHUK - Vinnica Ukraina</v>
      </c>
      <c r="V312" s="245"/>
      <c r="W312" s="246"/>
      <c r="X312" s="46" t="str">
        <f>IF(SUM(AO314:AP314)=0,"",AP314&amp;":"&amp;AO314)</f>
        <v>14:21</v>
      </c>
      <c r="Y312" s="47"/>
      <c r="Z312" s="48" t="str">
        <f>IF(SUM(AO313:AP313)=0,"",AO313&amp;":"&amp;AP313)</f>
        <v>17:21</v>
      </c>
      <c r="AA312" s="247" t="str">
        <f>IF(SUM(AW313:AX313,BA313:BB313)=0,"",BE313&amp;":"&amp;BF313)</f>
        <v>91:100</v>
      </c>
      <c r="AB312" s="250" t="str">
        <f>IF(SUM(AW313:AX313,BA313:BB313)=0,"",BG313&amp;":"&amp;BH313)</f>
        <v>2:3</v>
      </c>
      <c r="AC312" s="250" t="str">
        <f>IF(SUM(AW313:AX313,BA313:BB313)=0,"",BI313&amp;":"&amp;BJ313)</f>
        <v>1:1</v>
      </c>
      <c r="AD312" s="253">
        <f>IF(SUM(BI312:BI314)&gt;0,BK313,"")</f>
        <v>2</v>
      </c>
      <c r="AE312" s="2"/>
      <c r="AF312" s="12"/>
      <c r="AG312" s="12"/>
      <c r="AH312" s="44" t="s">
        <v>15</v>
      </c>
      <c r="AI312" s="49">
        <f>IF(ISBLANK(S312),"",VLOOKUP(S312,'[1]plan gier'!$X$1:$AN$65536,12,FALSE))</f>
        <v>13</v>
      </c>
      <c r="AJ312" s="50">
        <f>IF(ISBLANK(S312),"",VLOOKUP(S312,'[1]plan gier'!$X$1:$AN$65536,13,FALSE))</f>
        <v>21</v>
      </c>
      <c r="AK312" s="50">
        <f>IF(ISBLANK(S312),"",VLOOKUP(S312,'[1]plan gier'!$X$1:$AN$65536,14,FALSE))</f>
        <v>18</v>
      </c>
      <c r="AL312" s="50">
        <f>IF(ISBLANK(S312),"",VLOOKUP(S312,'[1]plan gier'!$X$1:$AN$65536,15,FALSE))</f>
        <v>21</v>
      </c>
      <c r="AM312" s="50">
        <f>IF(ISBLANK(S312),"",VLOOKUP(S312,'[1]plan gier'!$X$1:$AN$65536,16,FALSE))</f>
        <v>0</v>
      </c>
      <c r="AN312" s="50">
        <f>IF(ISBLANK(S312),"",VLOOKUP(S312,'[1]plan gier'!$X$1:$AN$65536,17,FALSE))</f>
        <v>0</v>
      </c>
      <c r="AO312" s="51">
        <f t="shared" ref="AO312:AT314" si="33">IF(AI312="",0,AI312)</f>
        <v>13</v>
      </c>
      <c r="AP312" s="52">
        <f t="shared" si="33"/>
        <v>21</v>
      </c>
      <c r="AQ312" s="53">
        <f t="shared" si="33"/>
        <v>18</v>
      </c>
      <c r="AR312" s="52">
        <f t="shared" si="33"/>
        <v>21</v>
      </c>
      <c r="AS312" s="53">
        <f t="shared" si="33"/>
        <v>0</v>
      </c>
      <c r="AT312" s="52">
        <f t="shared" si="33"/>
        <v>0</v>
      </c>
      <c r="AU312" s="54">
        <f>SUM(AO312:AT312)</f>
        <v>73</v>
      </c>
      <c r="AV312" s="13">
        <v>1</v>
      </c>
      <c r="AW312" s="55"/>
      <c r="AX312" s="56"/>
      <c r="AY312" s="50">
        <f>IF(AI314&gt;AJ314,1,0)+IF(AK314&gt;AL314,1,0)+IF(AM314&gt;AN314,1,0)</f>
        <v>1</v>
      </c>
      <c r="AZ312" s="50">
        <f>AW313</f>
        <v>2</v>
      </c>
      <c r="BA312" s="50">
        <f>IF(AI312&gt;AJ312,1,0)+IF(AK312&gt;AL312,1,0)+IF(AM312&gt;AN312,1,0)</f>
        <v>0</v>
      </c>
      <c r="BB312" s="57">
        <f>AW314</f>
        <v>2</v>
      </c>
      <c r="BE312" s="49">
        <f>AO312+AQ312+AS312+AO314+AQ314+AS314</f>
        <v>89</v>
      </c>
      <c r="BF312" s="57">
        <f>AP312+AR312+AT312+AP314+AR314+AT314</f>
        <v>98</v>
      </c>
      <c r="BG312" s="49">
        <f>AY312+BA312</f>
        <v>1</v>
      </c>
      <c r="BH312" s="57">
        <f>AZ312+BB312</f>
        <v>4</v>
      </c>
      <c r="BI312" s="49">
        <f>IF(AY312&gt;AZ312,1,0)+IF(BA312&gt;BB312,1,0)</f>
        <v>0</v>
      </c>
      <c r="BJ312" s="58">
        <f>IF(AZ312&gt;AY312,1,0)+IF(BB312&gt;BA312,1,0)</f>
        <v>2</v>
      </c>
      <c r="BK312" s="59">
        <f>IF(BI312+BJ312=0,"",IF(BL312=MAX(BL312:BL314),1,IF(BL312=MIN(BL312:BL314),3,2)))</f>
        <v>3</v>
      </c>
      <c r="BL312" s="60">
        <f>IF(BI312+BJ312&lt;&gt;0,BI312+1+(BG312-BH312)/100+(BE312-BF312)/100000+(BE312/BF312)/1000000,0)</f>
        <v>0.9699109081632652</v>
      </c>
    </row>
    <row r="313" spans="1:64" ht="11.45" customHeight="1" x14ac:dyDescent="0.2">
      <c r="A313" s="19">
        <f>S313</f>
        <v>119</v>
      </c>
      <c r="B313" s="2" t="str">
        <f>IF(N313="","",N313)</f>
        <v>X23</v>
      </c>
      <c r="C313" s="2" t="str">
        <f>IF(N314="","",N314)</f>
        <v>X21</v>
      </c>
      <c r="D313" s="2" t="str">
        <f>IF(N316="","",N316)</f>
        <v>T3691</v>
      </c>
      <c r="E313" s="2" t="str">
        <f>IF(N317="","",N317)</f>
        <v>K4023</v>
      </c>
      <c r="J313" s="10"/>
      <c r="K313" s="19"/>
      <c r="M313" s="42" t="str">
        <f>N309</f>
        <v>mieszana M</v>
      </c>
      <c r="N313" s="33" t="s">
        <v>243</v>
      </c>
      <c r="O313" s="34">
        <f>IF(O308&gt;0,(O308&amp;2)*1,"")</f>
        <v>52</v>
      </c>
      <c r="Q313" s="43" t="str">
        <f>IF(AU313&gt;0,"",IF(A313=0,"",IF(VLOOKUP(A313,'[1]plan gier'!A$1:S$65536,19,FALSE)="","",VLOOKUP(A313,'[1]plan gier'!A$1:S$65536,19,FALSE))))</f>
        <v/>
      </c>
      <c r="R313" s="44" t="s">
        <v>17</v>
      </c>
      <c r="S313" s="45">
        <v>119</v>
      </c>
      <c r="T313" s="242"/>
      <c r="U313" s="244" t="str">
        <f>IF(AND(N313&lt;&gt;"",N314=""),CONCATENATE(VLOOKUP(N313,[1]zawodnicy!$A$1:$E$65536,1,FALSE)," ",VLOOKUP(N313,[1]zawodnicy!$A$1:$E$65536,2,FALSE)," ",VLOOKUP(N313,[1]zawodnicy!$A$1:$E$65536,3,FALSE)," - ",VLOOKUP(N313,[1]zawodnicy!$A$1:$E$65536,4,FALSE)),"")</f>
        <v/>
      </c>
      <c r="V313" s="245"/>
      <c r="W313" s="246"/>
      <c r="X313" s="61" t="str">
        <f>IF(SUM(AQ314:AR314)=0,"",AR314&amp;":"&amp;AQ314)</f>
        <v>21:19</v>
      </c>
      <c r="Y313" s="62"/>
      <c r="Z313" s="37" t="str">
        <f>IF(SUM(AQ313:AR313)=0,"",AQ313&amp;":"&amp;AR313)</f>
        <v>18:21</v>
      </c>
      <c r="AA313" s="248"/>
      <c r="AB313" s="251"/>
      <c r="AC313" s="251"/>
      <c r="AD313" s="254"/>
      <c r="AE313" s="2"/>
      <c r="AF313" s="12"/>
      <c r="AG313" s="12"/>
      <c r="AH313" s="44" t="s">
        <v>17</v>
      </c>
      <c r="AI313" s="63">
        <f>IF(ISBLANK(S313),"",VLOOKUP(S313,'[1]plan gier'!$X$1:$AN$65536,12,FALSE))</f>
        <v>17</v>
      </c>
      <c r="AJ313" s="64">
        <f>IF(ISBLANK(S313),"",VLOOKUP(S313,'[1]plan gier'!$X$1:$AN$65536,13,FALSE))</f>
        <v>21</v>
      </c>
      <c r="AK313" s="64">
        <f>IF(ISBLANK(S313),"",VLOOKUP(S313,'[1]plan gier'!$X$1:$AN$65536,14,FALSE))</f>
        <v>18</v>
      </c>
      <c r="AL313" s="64">
        <f>IF(ISBLANK(S313),"",VLOOKUP(S313,'[1]plan gier'!$X$1:$AN$65536,15,FALSE))</f>
        <v>21</v>
      </c>
      <c r="AM313" s="64">
        <f>IF(ISBLANK(S313),"",VLOOKUP(S313,'[1]plan gier'!$X$1:$AN$65536,16,FALSE))</f>
        <v>0</v>
      </c>
      <c r="AN313" s="64">
        <f>IF(ISBLANK(S313),"",VLOOKUP(S313,'[1]plan gier'!$X$1:$AN$65536,17,FALSE))</f>
        <v>0</v>
      </c>
      <c r="AO313" s="65">
        <f t="shared" si="33"/>
        <v>17</v>
      </c>
      <c r="AP313" s="64">
        <f t="shared" si="33"/>
        <v>21</v>
      </c>
      <c r="AQ313" s="66">
        <f t="shared" si="33"/>
        <v>18</v>
      </c>
      <c r="AR313" s="64">
        <f t="shared" si="33"/>
        <v>21</v>
      </c>
      <c r="AS313" s="66">
        <f t="shared" si="33"/>
        <v>0</v>
      </c>
      <c r="AT313" s="64">
        <f t="shared" si="33"/>
        <v>0</v>
      </c>
      <c r="AU313" s="54">
        <f>SUM(AO313:AT313)</f>
        <v>77</v>
      </c>
      <c r="AV313" s="13">
        <v>2</v>
      </c>
      <c r="AW313" s="63">
        <f>IF(AI314&lt;AJ314,1,0)+IF(AK314&lt;AL314,1,0)+IF(AM314&lt;AN314,1,0)</f>
        <v>2</v>
      </c>
      <c r="AX313" s="64">
        <f>AY312</f>
        <v>1</v>
      </c>
      <c r="AY313" s="67"/>
      <c r="AZ313" s="68"/>
      <c r="BA313" s="64">
        <f>IF(AI313&gt;AJ313,1,0)+IF(AK313&gt;AL313,1,0)+IF(AM313&gt;AN313,1,0)</f>
        <v>0</v>
      </c>
      <c r="BB313" s="69">
        <f>AY314</f>
        <v>2</v>
      </c>
      <c r="BE313" s="63">
        <f>AO313+AQ313+AS313+AP314+AR314+AT314</f>
        <v>91</v>
      </c>
      <c r="BF313" s="69">
        <f>AP313+AR313+AT313+AO314+AQ314+AS314</f>
        <v>100</v>
      </c>
      <c r="BG313" s="63">
        <f>AW313+BA313</f>
        <v>2</v>
      </c>
      <c r="BH313" s="69">
        <f>AX313+BB313</f>
        <v>3</v>
      </c>
      <c r="BI313" s="63">
        <f>IF(AW313&gt;AX313,1,0)+IF(BA313&gt;BB313,1,0)</f>
        <v>1</v>
      </c>
      <c r="BJ313" s="70">
        <f>IF(AX313&gt;AW313,1,0)+IF(BB313&gt;BA313,1,0)</f>
        <v>1</v>
      </c>
      <c r="BK313" s="71">
        <f>IF(BI313+BJ313=0,"",IF(BL313=MAX(BL312:BL314),1,IF(BL313=MIN(BL312:BL314),3,2)))</f>
        <v>2</v>
      </c>
      <c r="BL313" s="60">
        <f>IF(BI313+BJ313&lt;&gt;0,BI313+1+(BG313-BH313)/100+(BE313-BF313)/100000+(BE313/BF313)/1000000,0)</f>
        <v>1.9899109100000001</v>
      </c>
    </row>
    <row r="314" spans="1:64" ht="11.45" customHeight="1" thickBot="1" x14ac:dyDescent="0.25">
      <c r="A314" s="19">
        <f>S314</f>
        <v>266</v>
      </c>
      <c r="B314" s="2" t="str">
        <f>IF(N310="","",N310)</f>
        <v>T4723</v>
      </c>
      <c r="C314" s="2" t="str">
        <f>IF(N311="","",N311)</f>
        <v>S4873</v>
      </c>
      <c r="D314" s="2" t="str">
        <f>IF(N313="","",N313)</f>
        <v>X23</v>
      </c>
      <c r="E314" s="2" t="str">
        <f>IF(N314="","",N314)</f>
        <v>X21</v>
      </c>
      <c r="I314" s="2" t="str">
        <f>"3"&amp;O308&amp;N309</f>
        <v>35mieszana M</v>
      </c>
      <c r="J314" s="10" t="str">
        <f>IF(AD315="","",IF(AD309=3,N310,IF(AD312=3,N313,IF(AD315=3,N316,""))))</f>
        <v>T4723</v>
      </c>
      <c r="K314" s="10" t="str">
        <f>IF(AD315="","",IF(AD309=3,N311,IF(AD312=3,N314,IF(AD315=3,N317,""))))</f>
        <v>S4873</v>
      </c>
      <c r="M314" s="42" t="str">
        <f>N309</f>
        <v>mieszana M</v>
      </c>
      <c r="N314" s="38" t="s">
        <v>208</v>
      </c>
      <c r="O314" s="28"/>
      <c r="P314" s="28"/>
      <c r="Q314" s="43" t="str">
        <f>IF(AU314&gt;0,"",IF(A314=0,"",IF(VLOOKUP(A314,'[1]plan gier'!A$1:S$65536,19,FALSE)="","",VLOOKUP(A314,'[1]plan gier'!A$1:S$65536,19,FALSE))))</f>
        <v/>
      </c>
      <c r="R314" s="72" t="s">
        <v>18</v>
      </c>
      <c r="S314" s="45">
        <v>266</v>
      </c>
      <c r="T314" s="261"/>
      <c r="U314" s="265" t="str">
        <f>IF(N314&lt;&gt;"",CONCATENATE(VLOOKUP(N314,[1]zawodnicy!$A$1:$E$65536,1,FALSE)," ",VLOOKUP(N314,[1]zawodnicy!$A$1:$E$65536,2,FALSE)," ",VLOOKUP(N314,[1]zawodnicy!$A$1:$E$65536,3,FALSE)," - ",VLOOKUP(N314,[1]zawodnicy!$A$1:$E$65536,4,FALSE)),"")</f>
        <v>X21 Tetiana ABRAMOVA - Vinnica Ukraina</v>
      </c>
      <c r="V314" s="266"/>
      <c r="W314" s="267"/>
      <c r="X314" s="73" t="str">
        <f>IF(SUM(AS314:AT314)=0,"",AT314&amp;":"&amp;AS314)</f>
        <v>21:18</v>
      </c>
      <c r="Y314" s="62"/>
      <c r="Z314" s="40" t="str">
        <f>IF(SUM(AS313:AT313)=0,"",AS313&amp;":"&amp;AT313)</f>
        <v/>
      </c>
      <c r="AA314" s="262"/>
      <c r="AB314" s="263"/>
      <c r="AC314" s="263"/>
      <c r="AD314" s="264"/>
      <c r="AE314" s="2"/>
      <c r="AF314" s="12"/>
      <c r="AG314" s="12"/>
      <c r="AH314" s="72" t="s">
        <v>18</v>
      </c>
      <c r="AI314" s="74">
        <f>IF(ISBLANK(S314),"",VLOOKUP(S314,'[1]plan gier'!$X$1:$AN$65536,12,FALSE))</f>
        <v>21</v>
      </c>
      <c r="AJ314" s="75">
        <f>IF(ISBLANK(S314),"",VLOOKUP(S314,'[1]plan gier'!$X$1:$AN$65536,13,FALSE))</f>
        <v>14</v>
      </c>
      <c r="AK314" s="75">
        <f>IF(ISBLANK(S314),"",VLOOKUP(S314,'[1]plan gier'!$X$1:$AN$65536,14,FALSE))</f>
        <v>19</v>
      </c>
      <c r="AL314" s="75">
        <f>IF(ISBLANK(S314),"",VLOOKUP(S314,'[1]plan gier'!$X$1:$AN$65536,15,FALSE))</f>
        <v>21</v>
      </c>
      <c r="AM314" s="75">
        <f>IF(ISBLANK(S314),"",VLOOKUP(S314,'[1]plan gier'!$X$1:$AN$65536,16,FALSE))</f>
        <v>18</v>
      </c>
      <c r="AN314" s="75">
        <f>IF(ISBLANK(S314),"",VLOOKUP(S314,'[1]plan gier'!$X$1:$AN$65536,17,FALSE))</f>
        <v>21</v>
      </c>
      <c r="AO314" s="76">
        <f t="shared" si="33"/>
        <v>21</v>
      </c>
      <c r="AP314" s="75">
        <f t="shared" si="33"/>
        <v>14</v>
      </c>
      <c r="AQ314" s="77">
        <f t="shared" si="33"/>
        <v>19</v>
      </c>
      <c r="AR314" s="75">
        <f t="shared" si="33"/>
        <v>21</v>
      </c>
      <c r="AS314" s="77">
        <f t="shared" si="33"/>
        <v>18</v>
      </c>
      <c r="AT314" s="75">
        <f t="shared" si="33"/>
        <v>21</v>
      </c>
      <c r="AU314" s="54">
        <f>SUM(AO314:AT314)</f>
        <v>114</v>
      </c>
      <c r="AV314" s="13">
        <v>3</v>
      </c>
      <c r="AW314" s="74">
        <f>IF(AI312&lt;AJ312,1,0)+IF(AK312&lt;AL312,1,0)+IF(AM312&lt;AN312,1,0)</f>
        <v>2</v>
      </c>
      <c r="AX314" s="75">
        <f>BA312</f>
        <v>0</v>
      </c>
      <c r="AY314" s="75">
        <f>IF(AI313&lt;AJ313,1,0)+IF(AK313&lt;AL313,1,0)+IF(AM313&lt;AN313,1,0)</f>
        <v>2</v>
      </c>
      <c r="AZ314" s="75">
        <f>BA313</f>
        <v>0</v>
      </c>
      <c r="BA314" s="78"/>
      <c r="BB314" s="79"/>
      <c r="BE314" s="74">
        <f>AP312+AR312+AT312+AP313+AR313+AT313</f>
        <v>84</v>
      </c>
      <c r="BF314" s="80">
        <f>AO312+AQ312+AS312+AO313+AQ313+AS313</f>
        <v>66</v>
      </c>
      <c r="BG314" s="74">
        <f>AW314+AY314</f>
        <v>4</v>
      </c>
      <c r="BH314" s="80">
        <f>AX314+AZ314</f>
        <v>0</v>
      </c>
      <c r="BI314" s="74">
        <f>IF(AW314&gt;AX314,1,0)+IF(AY314&gt;AZ314,1,0)</f>
        <v>2</v>
      </c>
      <c r="BJ314" s="81">
        <f>IF(AX314&gt;AW314,1,0)+IF(AZ314&gt;AY314,1,0)</f>
        <v>0</v>
      </c>
      <c r="BK314" s="82">
        <f>IF(BI314+BJ314=0,"",IF(BL314=MAX(BL312:BL314),1,IF(BL314=MIN(BL312:BL314),3,2)))</f>
        <v>1</v>
      </c>
      <c r="BL314" s="60">
        <f>IF(BI314+BJ314&lt;&gt;0,BI314+1+(BG314-BH314)/100+(BE314-BF314)/100000+(BE314/BF314)/1000000,0)</f>
        <v>3.0401812727272728</v>
      </c>
    </row>
    <row r="315" spans="1:64" ht="11.45" customHeight="1" x14ac:dyDescent="0.2">
      <c r="A315" s="2"/>
      <c r="J315" s="28"/>
      <c r="K315" s="28"/>
      <c r="L315" s="28"/>
      <c r="O315" s="28"/>
      <c r="P315" s="28"/>
      <c r="Q315" s="2"/>
      <c r="R315" s="2"/>
      <c r="S315" s="2"/>
      <c r="T315" s="241">
        <v>3</v>
      </c>
      <c r="U315" s="244" t="str">
        <f>IF(AND(N316&lt;&gt;"",N317&lt;&gt;""),CONCATENATE(VLOOKUP(N316,[1]zawodnicy!$A$1:$E$65536,1,FALSE)," ",VLOOKUP(N316,[1]zawodnicy!$A$1:$E$65536,2,FALSE)," ",VLOOKUP(N316,[1]zawodnicy!$A$1:$E$65536,3,FALSE)," - ",VLOOKUP(N316,[1]zawodnicy!$A$1:$E$65536,4,FALSE)),"")</f>
        <v>T3691 Jakub TEMBIKOWSKI - UKS Badminton Stare Babice</v>
      </c>
      <c r="V315" s="245"/>
      <c r="W315" s="246"/>
      <c r="X315" s="46" t="str">
        <f>IF(SUM(AO312:AP312)=0,"",AP312&amp;":"&amp;AO312)</f>
        <v>21:13</v>
      </c>
      <c r="Y315" s="83" t="str">
        <f>IF(SUM(AO313:AP313)=0,"",AP313&amp;":"&amp;AO313)</f>
        <v>21:17</v>
      </c>
      <c r="Z315" s="84"/>
      <c r="AA315" s="247" t="str">
        <f>IF(SUM(AW314:AZ314)=0,"",BE314&amp;":"&amp;BF314)</f>
        <v>84:66</v>
      </c>
      <c r="AB315" s="250" t="str">
        <f>IF(SUM(AW314:AZ314)=0,"",BG314&amp;":"&amp;BH314)</f>
        <v>4:0</v>
      </c>
      <c r="AC315" s="250" t="str">
        <f>IF(SUM(AW314:AZ314)=0,"",BI314&amp;":"&amp;BJ314)</f>
        <v>2:0</v>
      </c>
      <c r="AD315" s="253">
        <f>IF(SUM(BI312:BI314)&gt;0,BK314,"")</f>
        <v>1</v>
      </c>
      <c r="AE315" s="2"/>
      <c r="AF315" s="12"/>
      <c r="AG315" s="12"/>
      <c r="BE315" s="19">
        <f>SUM(BE312:BE314)</f>
        <v>264</v>
      </c>
      <c r="BF315" s="19">
        <f>SUM(BF312:BF314)</f>
        <v>264</v>
      </c>
      <c r="BG315" s="19">
        <f>SUM(BG312:BG314)</f>
        <v>7</v>
      </c>
      <c r="BH315" s="19">
        <f>SUM(BH312:BH314)</f>
        <v>7</v>
      </c>
      <c r="BK315" s="19"/>
      <c r="BL315" s="20"/>
    </row>
    <row r="316" spans="1:64" ht="11.45" customHeight="1" x14ac:dyDescent="0.2">
      <c r="A316" s="19"/>
      <c r="J316" s="19"/>
      <c r="K316" s="19"/>
      <c r="L316" s="19"/>
      <c r="N316" s="33" t="s">
        <v>272</v>
      </c>
      <c r="O316" s="34">
        <f>IF(O308&gt;0,(O308&amp;3)*1,"")</f>
        <v>53</v>
      </c>
      <c r="Q316" s="85"/>
      <c r="R316" s="85"/>
      <c r="S316" s="85"/>
      <c r="T316" s="242"/>
      <c r="U316" s="244" t="str">
        <f>IF(AND(N316&lt;&gt;"",N317=""),CONCATENATE(VLOOKUP(N316,[1]zawodnicy!$A$1:$E$65536,1,FALSE)," ",VLOOKUP(N316,[1]zawodnicy!$A$1:$E$65536,2,FALSE)," ",VLOOKUP(N316,[1]zawodnicy!$A$1:$E$65536,3,FALSE)," - ",VLOOKUP(N316,[1]zawodnicy!$A$1:$E$65536,4,FALSE)),"")</f>
        <v/>
      </c>
      <c r="V316" s="245"/>
      <c r="W316" s="246"/>
      <c r="X316" s="61" t="str">
        <f>IF(SUM(AQ312:AR312)=0,"",AR312&amp;":"&amp;AQ312)</f>
        <v>21:18</v>
      </c>
      <c r="Y316" s="36" t="str">
        <f>IF(SUM(AQ313:AR313)=0,"",AR313&amp;":"&amp;AQ313)</f>
        <v>21:18</v>
      </c>
      <c r="Z316" s="86"/>
      <c r="AA316" s="248"/>
      <c r="AB316" s="251"/>
      <c r="AC316" s="251"/>
      <c r="AD316" s="254"/>
      <c r="AE316" s="2"/>
      <c r="AF316" s="12"/>
      <c r="AG316" s="1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row>
    <row r="317" spans="1:64" ht="11.45" customHeight="1" thickBot="1" x14ac:dyDescent="0.25">
      <c r="A317" s="2"/>
      <c r="J317" s="28"/>
      <c r="K317" s="28"/>
      <c r="L317" s="28"/>
      <c r="N317" s="38" t="s">
        <v>188</v>
      </c>
      <c r="O317" s="28"/>
      <c r="P317" s="28"/>
      <c r="Q317" s="2"/>
      <c r="R317" s="2"/>
      <c r="S317" s="2"/>
      <c r="T317" s="243"/>
      <c r="U317" s="256" t="str">
        <f>IF(N317&lt;&gt;"",CONCATENATE(VLOOKUP(N317,[1]zawodnicy!$A$1:$E$65536,1,FALSE)," ",VLOOKUP(N317,[1]zawodnicy!$A$1:$E$65536,2,FALSE)," ",VLOOKUP(N317,[1]zawodnicy!$A$1:$E$65536,3,FALSE)," - ",VLOOKUP(N317,[1]zawodnicy!$A$1:$E$65536,4,FALSE)),"")</f>
        <v>K4023 Agnieszka KOPER - KKS Warmia Olsztyn</v>
      </c>
      <c r="V317" s="257"/>
      <c r="W317" s="258"/>
      <c r="X317" s="87" t="str">
        <f>IF(SUM(AS312:AT312)=0,"",AT312&amp;":"&amp;AS312)</f>
        <v/>
      </c>
      <c r="Y317" s="88" t="str">
        <f>IF(SUM(AS313:AT313)=0,"",AT313&amp;":"&amp;AS313)</f>
        <v/>
      </c>
      <c r="Z317" s="89"/>
      <c r="AA317" s="249"/>
      <c r="AB317" s="252"/>
      <c r="AC317" s="252"/>
      <c r="AD317" s="255"/>
      <c r="AE317" s="10"/>
      <c r="AF317" s="12"/>
      <c r="AG317" s="1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row>
    <row r="318" spans="1:64" s="19" customFormat="1" ht="5.0999999999999996" customHeight="1" thickBot="1" x14ac:dyDescent="0.25">
      <c r="M318" s="90"/>
      <c r="O318" s="90"/>
      <c r="P318" s="90"/>
      <c r="Q318" s="91"/>
      <c r="R318" s="91"/>
      <c r="S318" s="91"/>
      <c r="T318" s="91"/>
      <c r="U318" s="5"/>
      <c r="V318" s="5"/>
      <c r="W318" s="5"/>
      <c r="AA318" s="92"/>
      <c r="AB318" s="91"/>
      <c r="AC318" s="91"/>
      <c r="AD318" s="91"/>
      <c r="AE318" s="91"/>
      <c r="AF318" s="91"/>
      <c r="AI318" s="93"/>
      <c r="AJ318" s="94"/>
      <c r="AK318" s="94"/>
    </row>
    <row r="319" spans="1:64" ht="11.45" customHeight="1" thickBot="1" x14ac:dyDescent="0.25">
      <c r="N319" s="11"/>
      <c r="O319" s="21">
        <v>6</v>
      </c>
      <c r="Q319" s="277" t="str">
        <f>"Grupa "&amp;O319&amp;"."</f>
        <v>Grupa 6.</v>
      </c>
      <c r="R319" s="277"/>
      <c r="S319" s="277"/>
      <c r="T319" s="22" t="s">
        <v>1</v>
      </c>
      <c r="U319" s="278" t="s">
        <v>2</v>
      </c>
      <c r="V319" s="279"/>
      <c r="W319" s="280"/>
      <c r="X319" s="22">
        <v>1</v>
      </c>
      <c r="Y319" s="23">
        <v>2</v>
      </c>
      <c r="Z319" s="24">
        <v>3</v>
      </c>
      <c r="AA319" s="25" t="s">
        <v>3</v>
      </c>
      <c r="AB319" s="26" t="s">
        <v>4</v>
      </c>
      <c r="AC319" s="26" t="s">
        <v>5</v>
      </c>
      <c r="AD319" s="27" t="s">
        <v>6</v>
      </c>
      <c r="AE319" s="2"/>
      <c r="AF319" s="12"/>
      <c r="AG319" s="12"/>
      <c r="BK319" s="19"/>
      <c r="BL319" s="20"/>
    </row>
    <row r="320" spans="1:64" ht="11.45" customHeight="1" x14ac:dyDescent="0.2">
      <c r="J320" s="28"/>
      <c r="K320" s="28"/>
      <c r="L320" s="28"/>
      <c r="N320" s="29" t="s">
        <v>263</v>
      </c>
      <c r="Q320" s="274" t="s">
        <v>7</v>
      </c>
      <c r="R320" s="274"/>
      <c r="S320" s="275" t="s">
        <v>8</v>
      </c>
      <c r="T320" s="276">
        <v>1</v>
      </c>
      <c r="U320" s="244" t="str">
        <f>IF(AND(N321&lt;&gt;"",N322&lt;&gt;""),CONCATENATE(VLOOKUP(N321,[1]zawodnicy!$A$1:$E$65536,1,FALSE)," ",VLOOKUP(N321,[1]zawodnicy!$A$1:$E$65536,2,FALSE)," ",VLOOKUP(N321,[1]zawodnicy!$A$1:$E$65536,3,FALSE)," - ",VLOOKUP(N321,[1]zawodnicy!$A$1:$E$65536,4,FALSE)),"")</f>
        <v>M4689 Maciej MAŁACHOWSKI - UKS Kometa Sianów</v>
      </c>
      <c r="V320" s="245"/>
      <c r="W320" s="246"/>
      <c r="X320" s="30"/>
      <c r="Y320" s="31" t="str">
        <f>IF(SUM(AO325:AP325)=0,"",AO325&amp;":"&amp;AP325)</f>
        <v>21:11</v>
      </c>
      <c r="Z320" s="32" t="str">
        <f>IF(SUM(AO323:AP323)=0,"",AO323&amp;":"&amp;AP323)</f>
        <v>21:6</v>
      </c>
      <c r="AA320" s="270" t="str">
        <f>IF(SUM(AY323:BB323)=0,"",BE323&amp;":"&amp;BF323)</f>
        <v>84:32</v>
      </c>
      <c r="AB320" s="271" t="str">
        <f>IF(SUM(AY323:BB323)=0,"",BG323&amp;":"&amp;BH323)</f>
        <v>4:0</v>
      </c>
      <c r="AC320" s="271" t="str">
        <f>IF(SUM(AY323:BB323)=0,"",BI323&amp;":"&amp;BJ323)</f>
        <v>2:0</v>
      </c>
      <c r="AD320" s="272">
        <f>IF(SUM(BI323:BI325)&gt;0,BK323,"")</f>
        <v>1</v>
      </c>
      <c r="AE320" s="2"/>
      <c r="AF320" s="12"/>
      <c r="AG320" s="12"/>
      <c r="AH320" s="14"/>
      <c r="AI320" s="273" t="s">
        <v>9</v>
      </c>
      <c r="AJ320" s="273"/>
      <c r="AK320" s="273"/>
      <c r="AL320" s="273"/>
      <c r="AM320" s="273"/>
      <c r="AN320" s="273"/>
      <c r="AO320" s="273" t="s">
        <v>10</v>
      </c>
      <c r="AP320" s="273"/>
      <c r="AQ320" s="273"/>
      <c r="AR320" s="273"/>
      <c r="AS320" s="273"/>
      <c r="AT320" s="273"/>
      <c r="BK320" s="19"/>
      <c r="BL320" s="20"/>
    </row>
    <row r="321" spans="1:64" ht="11.45" customHeight="1" thickBot="1" x14ac:dyDescent="0.25">
      <c r="I321" s="2" t="str">
        <f>"1"&amp;O319&amp;N320</f>
        <v>16mieszana M</v>
      </c>
      <c r="J321" s="10" t="str">
        <f>IF(AD320="","",IF(AD320=1,N321,IF(AD323=1,N324,IF(AD326=1,N327,""))))</f>
        <v>M4689</v>
      </c>
      <c r="K321" s="10" t="str">
        <f>IF(AD320="","",IF(AD320=1,N322,IF(AD323=1,N325,IF(AD326=1,N328,""))))</f>
        <v>D3427</v>
      </c>
      <c r="L321" s="10"/>
      <c r="N321" s="33" t="s">
        <v>273</v>
      </c>
      <c r="O321" s="34">
        <f>IF(O319&gt;0,(O319&amp;1)*1,"")</f>
        <v>61</v>
      </c>
      <c r="Q321" s="274"/>
      <c r="R321" s="274"/>
      <c r="S321" s="275"/>
      <c r="T321" s="242"/>
      <c r="U321" s="244" t="str">
        <f>IF(AND(N321&lt;&gt;"",N322=""),CONCATENATE(VLOOKUP(N321,[1]zawodnicy!$A$1:$E$65536,1,FALSE)," ",VLOOKUP(N321,[1]zawodnicy!$A$1:$E$65536,2,FALSE)," ",VLOOKUP(N321,[1]zawodnicy!$A$1:$E$65536,3,FALSE)," - ",VLOOKUP(N321,[1]zawodnicy!$A$1:$E$65536,4,FALSE)),"")</f>
        <v/>
      </c>
      <c r="V321" s="245"/>
      <c r="W321" s="246"/>
      <c r="X321" s="35"/>
      <c r="Y321" s="36" t="str">
        <f>IF(SUM(AQ325:AR325)=0,"",AQ325&amp;":"&amp;AR325)</f>
        <v>21:11</v>
      </c>
      <c r="Z321" s="37" t="str">
        <f>IF(SUM(AQ323:AR323)=0,"",AQ323&amp;":"&amp;AR323)</f>
        <v>21:4</v>
      </c>
      <c r="AA321" s="248"/>
      <c r="AB321" s="251"/>
      <c r="AC321" s="251"/>
      <c r="AD321" s="254"/>
      <c r="AE321" s="2"/>
      <c r="AF321" s="12"/>
      <c r="AG321" s="12"/>
      <c r="AH321" s="14"/>
      <c r="BE321" s="19">
        <f>SUM(BE323:BE325)</f>
        <v>173</v>
      </c>
      <c r="BF321" s="19">
        <f>SUM(BF323:BF325)</f>
        <v>173</v>
      </c>
      <c r="BG321" s="19">
        <f>SUM(BG323:BG325)</f>
        <v>6</v>
      </c>
      <c r="BH321" s="19">
        <f>SUM(BH323:BH325)</f>
        <v>6</v>
      </c>
      <c r="BK321" s="19"/>
      <c r="BL321" s="20"/>
    </row>
    <row r="322" spans="1:64" ht="11.45" customHeight="1" thickBot="1" x14ac:dyDescent="0.25">
      <c r="J322" s="10"/>
      <c r="K322" s="28"/>
      <c r="L322" s="28"/>
      <c r="N322" s="38" t="s">
        <v>166</v>
      </c>
      <c r="O322" s="28"/>
      <c r="P322" s="28"/>
      <c r="Q322" s="274"/>
      <c r="R322" s="274"/>
      <c r="S322" s="275"/>
      <c r="T322" s="261"/>
      <c r="U322" s="265" t="str">
        <f>IF(N322&lt;&gt;"",CONCATENATE(VLOOKUP(N322,[1]zawodnicy!$A$1:$E$65536,1,FALSE)," ",VLOOKUP(N322,[1]zawodnicy!$A$1:$E$65536,2,FALSE)," ",VLOOKUP(N322,[1]zawodnicy!$A$1:$E$65536,3,FALSE)," - ",VLOOKUP(N322,[1]zawodnicy!$A$1:$E$65536,4,FALSE)),"")</f>
        <v>D3427 Wiktoria DĄBCZYŃSKA - MKS Orlicz Suchedniów</v>
      </c>
      <c r="V322" s="266"/>
      <c r="W322" s="267"/>
      <c r="X322" s="35"/>
      <c r="Y322" s="39" t="str">
        <f>IF(SUM(AS325:AT325)=0,"",AS325&amp;":"&amp;AT325)</f>
        <v/>
      </c>
      <c r="Z322" s="40" t="str">
        <f>IF(SUM(AS323:AT323)=0,"",AS323&amp;":"&amp;AT323)</f>
        <v/>
      </c>
      <c r="AA322" s="262"/>
      <c r="AB322" s="263"/>
      <c r="AC322" s="263"/>
      <c r="AD322" s="264"/>
      <c r="AE322" s="2"/>
      <c r="AF322" s="12"/>
      <c r="AG322" s="12"/>
      <c r="AH322" s="14"/>
      <c r="AI322" s="259" t="s">
        <v>12</v>
      </c>
      <c r="AJ322" s="269"/>
      <c r="AK322" s="268" t="s">
        <v>13</v>
      </c>
      <c r="AL322" s="269"/>
      <c r="AM322" s="268" t="s">
        <v>14</v>
      </c>
      <c r="AN322" s="260"/>
      <c r="AO322" s="259" t="s">
        <v>12</v>
      </c>
      <c r="AP322" s="269"/>
      <c r="AQ322" s="268" t="s">
        <v>13</v>
      </c>
      <c r="AR322" s="269"/>
      <c r="AS322" s="268" t="s">
        <v>14</v>
      </c>
      <c r="AT322" s="269"/>
      <c r="AU322" s="12"/>
      <c r="AV322" s="12"/>
      <c r="AW322" s="259">
        <v>1</v>
      </c>
      <c r="AX322" s="269"/>
      <c r="AY322" s="268">
        <v>2</v>
      </c>
      <c r="AZ322" s="269"/>
      <c r="BA322" s="268">
        <v>3</v>
      </c>
      <c r="BB322" s="260"/>
      <c r="BE322" s="259" t="s">
        <v>3</v>
      </c>
      <c r="BF322" s="260"/>
      <c r="BG322" s="259" t="s">
        <v>4</v>
      </c>
      <c r="BH322" s="260"/>
      <c r="BI322" s="259" t="s">
        <v>5</v>
      </c>
      <c r="BJ322" s="260"/>
      <c r="BK322" s="41" t="s">
        <v>6</v>
      </c>
      <c r="BL322" s="20"/>
    </row>
    <row r="323" spans="1:64" ht="11.45" customHeight="1" x14ac:dyDescent="0.2">
      <c r="A323" s="19">
        <f>S323</f>
        <v>54</v>
      </c>
      <c r="B323" s="2" t="str">
        <f>IF(N321="","",N321)</f>
        <v>M4689</v>
      </c>
      <c r="C323" s="2" t="str">
        <f>IF(N322="","",N322)</f>
        <v>D3427</v>
      </c>
      <c r="D323" s="2" t="str">
        <f>IF(N327="","",N327)</f>
        <v>X02</v>
      </c>
      <c r="E323" s="2" t="str">
        <f>IF(N328="","",N328)</f>
        <v>X03</v>
      </c>
      <c r="I323" s="2" t="str">
        <f>"2"&amp;O319&amp;N320</f>
        <v>26mieszana M</v>
      </c>
      <c r="J323" s="10" t="str">
        <f>IF(AD323="","",IF(AD320=2,N321,IF(AD323=2,N324,IF(AD326=2,N327,""))))</f>
        <v>M5027</v>
      </c>
      <c r="K323" s="10" t="str">
        <f>IF(AD323="","",IF(AD320=2,N322,IF(AD323=2,N325,IF(AD326=2,N328,""))))</f>
        <v>N4575</v>
      </c>
      <c r="M323" s="42" t="str">
        <f>N320</f>
        <v>mieszana M</v>
      </c>
      <c r="O323" s="28"/>
      <c r="P323" s="28"/>
      <c r="Q323" s="43" t="str">
        <f>IF(AU323&gt;0,"",IF(A323=0,"",IF(VLOOKUP(A323,'[1]plan gier'!A$1:S$65536,19,FALSE)="","",VLOOKUP(A323,'[1]plan gier'!A$1:S$65536,19,FALSE))))</f>
        <v/>
      </c>
      <c r="R323" s="44" t="s">
        <v>15</v>
      </c>
      <c r="S323" s="45">
        <v>54</v>
      </c>
      <c r="T323" s="241">
        <v>2</v>
      </c>
      <c r="U323" s="244" t="str">
        <f>IF(AND(N324&lt;&gt;"",N325&lt;&gt;""),CONCATENATE(VLOOKUP(N324,[1]zawodnicy!$A$1:$E$65536,1,FALSE)," ",VLOOKUP(N324,[1]zawodnicy!$A$1:$E$65536,2,FALSE)," ",VLOOKUP(N324,[1]zawodnicy!$A$1:$E$65536,3,FALSE)," - ",VLOOKUP(N324,[1]zawodnicy!$A$1:$E$65536,4,FALSE)),"")</f>
        <v>M5027 Kamil MACIOŁEK - MKS Strzelce Opolskie</v>
      </c>
      <c r="V323" s="245"/>
      <c r="W323" s="246"/>
      <c r="X323" s="46" t="str">
        <f>IF(SUM(AO325:AP325)=0,"",AP325&amp;":"&amp;AO325)</f>
        <v>11:21</v>
      </c>
      <c r="Y323" s="47"/>
      <c r="Z323" s="48" t="str">
        <f>IF(SUM(AO324:AP324)=0,"",AO324&amp;":"&amp;AP324)</f>
        <v>21:5</v>
      </c>
      <c r="AA323" s="247" t="str">
        <f>IF(SUM(AW324:AX324,BA324:BB324)=0,"",BE324&amp;":"&amp;BF324)</f>
        <v>64:57</v>
      </c>
      <c r="AB323" s="250" t="str">
        <f>IF(SUM(AW324:AX324,BA324:BB324)=0,"",BG324&amp;":"&amp;BH324)</f>
        <v>2:2</v>
      </c>
      <c r="AC323" s="250" t="str">
        <f>IF(SUM(AW324:AX324,BA324:BB324)=0,"",BI324&amp;":"&amp;BJ324)</f>
        <v>1:1</v>
      </c>
      <c r="AD323" s="253">
        <f>IF(SUM(BI323:BI325)&gt;0,BK324,"")</f>
        <v>2</v>
      </c>
      <c r="AE323" s="2"/>
      <c r="AF323" s="12"/>
      <c r="AG323" s="12"/>
      <c r="AH323" s="44" t="s">
        <v>15</v>
      </c>
      <c r="AI323" s="49">
        <f>IF(ISBLANK(S323),"",VLOOKUP(S323,'[1]plan gier'!$X$1:$AN$65536,12,FALSE))</f>
        <v>21</v>
      </c>
      <c r="AJ323" s="50">
        <f>IF(ISBLANK(S323),"",VLOOKUP(S323,'[1]plan gier'!$X$1:$AN$65536,13,FALSE))</f>
        <v>6</v>
      </c>
      <c r="AK323" s="50">
        <f>IF(ISBLANK(S323),"",VLOOKUP(S323,'[1]plan gier'!$X$1:$AN$65536,14,FALSE))</f>
        <v>21</v>
      </c>
      <c r="AL323" s="50">
        <f>IF(ISBLANK(S323),"",VLOOKUP(S323,'[1]plan gier'!$X$1:$AN$65536,15,FALSE))</f>
        <v>4</v>
      </c>
      <c r="AM323" s="50">
        <f>IF(ISBLANK(S323),"",VLOOKUP(S323,'[1]plan gier'!$X$1:$AN$65536,16,FALSE))</f>
        <v>0</v>
      </c>
      <c r="AN323" s="50">
        <f>IF(ISBLANK(S323),"",VLOOKUP(S323,'[1]plan gier'!$X$1:$AN$65536,17,FALSE))</f>
        <v>0</v>
      </c>
      <c r="AO323" s="51">
        <f t="shared" ref="AO323:AT325" si="34">IF(AI323="",0,AI323)</f>
        <v>21</v>
      </c>
      <c r="AP323" s="52">
        <f t="shared" si="34"/>
        <v>6</v>
      </c>
      <c r="AQ323" s="53">
        <f t="shared" si="34"/>
        <v>21</v>
      </c>
      <c r="AR323" s="52">
        <f t="shared" si="34"/>
        <v>4</v>
      </c>
      <c r="AS323" s="53">
        <f t="shared" si="34"/>
        <v>0</v>
      </c>
      <c r="AT323" s="52">
        <f t="shared" si="34"/>
        <v>0</v>
      </c>
      <c r="AU323" s="54">
        <f>SUM(AO323:AT323)</f>
        <v>52</v>
      </c>
      <c r="AV323" s="13">
        <v>1</v>
      </c>
      <c r="AW323" s="55"/>
      <c r="AX323" s="56"/>
      <c r="AY323" s="50">
        <f>IF(AI325&gt;AJ325,1,0)+IF(AK325&gt;AL325,1,0)+IF(AM325&gt;AN325,1,0)</f>
        <v>2</v>
      </c>
      <c r="AZ323" s="50">
        <f>AW324</f>
        <v>0</v>
      </c>
      <c r="BA323" s="50">
        <f>IF(AI323&gt;AJ323,1,0)+IF(AK323&gt;AL323,1,0)+IF(AM323&gt;AN323,1,0)</f>
        <v>2</v>
      </c>
      <c r="BB323" s="57">
        <f>AW325</f>
        <v>0</v>
      </c>
      <c r="BE323" s="49">
        <f>AO323+AQ323+AS323+AO325+AQ325+AS325</f>
        <v>84</v>
      </c>
      <c r="BF323" s="57">
        <f>AP323+AR323+AT323+AP325+AR325+AT325</f>
        <v>32</v>
      </c>
      <c r="BG323" s="49">
        <f>AY323+BA323</f>
        <v>4</v>
      </c>
      <c r="BH323" s="57">
        <f>AZ323+BB323</f>
        <v>0</v>
      </c>
      <c r="BI323" s="49">
        <f>IF(AY323&gt;AZ323,1,0)+IF(BA323&gt;BB323,1,0)</f>
        <v>2</v>
      </c>
      <c r="BJ323" s="58">
        <f>IF(AZ323&gt;AY323,1,0)+IF(BB323&gt;BA323,1,0)</f>
        <v>0</v>
      </c>
      <c r="BK323" s="59">
        <f>IF(BI323+BJ323=0,"",IF(BL323=MAX(BL323:BL325),1,IF(BL323=MIN(BL323:BL325),3,2)))</f>
        <v>1</v>
      </c>
      <c r="BL323" s="60">
        <f>IF(BI323+BJ323&lt;&gt;0,BI323+1+(BG323-BH323)/100+(BE323-BF323)/100000+(BE323/BF323)/1000000,0)</f>
        <v>3.0405226249999999</v>
      </c>
    </row>
    <row r="324" spans="1:64" ht="11.45" customHeight="1" x14ac:dyDescent="0.2">
      <c r="A324" s="19">
        <f>S324</f>
        <v>120</v>
      </c>
      <c r="B324" s="2" t="str">
        <f>IF(N324="","",N324)</f>
        <v>M5027</v>
      </c>
      <c r="C324" s="2" t="str">
        <f>IF(N325="","",N325)</f>
        <v>N4575</v>
      </c>
      <c r="D324" s="2" t="str">
        <f>IF(N327="","",N327)</f>
        <v>X02</v>
      </c>
      <c r="E324" s="2" t="str">
        <f>IF(N328="","",N328)</f>
        <v>X03</v>
      </c>
      <c r="J324" s="10"/>
      <c r="K324" s="19"/>
      <c r="M324" s="42" t="str">
        <f>N320</f>
        <v>mieszana M</v>
      </c>
      <c r="N324" s="33" t="s">
        <v>215</v>
      </c>
      <c r="O324" s="34">
        <f>IF(O319&gt;0,(O319&amp;2)*1,"")</f>
        <v>62</v>
      </c>
      <c r="Q324" s="43" t="str">
        <f>IF(AU324&gt;0,"",IF(A324=0,"",IF(VLOOKUP(A324,'[1]plan gier'!A$1:S$65536,19,FALSE)="","",VLOOKUP(A324,'[1]plan gier'!A$1:S$65536,19,FALSE))))</f>
        <v/>
      </c>
      <c r="R324" s="44" t="s">
        <v>17</v>
      </c>
      <c r="S324" s="45">
        <v>120</v>
      </c>
      <c r="T324" s="242"/>
      <c r="U324" s="244" t="str">
        <f>IF(AND(N324&lt;&gt;"",N325=""),CONCATENATE(VLOOKUP(N324,[1]zawodnicy!$A$1:$E$65536,1,FALSE)," ",VLOOKUP(N324,[1]zawodnicy!$A$1:$E$65536,2,FALSE)," ",VLOOKUP(N324,[1]zawodnicy!$A$1:$E$65536,3,FALSE)," - ",VLOOKUP(N324,[1]zawodnicy!$A$1:$E$65536,4,FALSE)),"")</f>
        <v/>
      </c>
      <c r="V324" s="245"/>
      <c r="W324" s="246"/>
      <c r="X324" s="61" t="str">
        <f>IF(SUM(AQ325:AR325)=0,"",AR325&amp;":"&amp;AQ325)</f>
        <v>11:21</v>
      </c>
      <c r="Y324" s="62"/>
      <c r="Z324" s="37" t="str">
        <f>IF(SUM(AQ324:AR324)=0,"",AQ324&amp;":"&amp;AR324)</f>
        <v>21:10</v>
      </c>
      <c r="AA324" s="248"/>
      <c r="AB324" s="251"/>
      <c r="AC324" s="251"/>
      <c r="AD324" s="254"/>
      <c r="AE324" s="2"/>
      <c r="AF324" s="12"/>
      <c r="AG324" s="12"/>
      <c r="AH324" s="44" t="s">
        <v>17</v>
      </c>
      <c r="AI324" s="63">
        <f>IF(ISBLANK(S324),"",VLOOKUP(S324,'[1]plan gier'!$X$1:$AN$65536,12,FALSE))</f>
        <v>21</v>
      </c>
      <c r="AJ324" s="64">
        <f>IF(ISBLANK(S324),"",VLOOKUP(S324,'[1]plan gier'!$X$1:$AN$65536,13,FALSE))</f>
        <v>5</v>
      </c>
      <c r="AK324" s="64">
        <f>IF(ISBLANK(S324),"",VLOOKUP(S324,'[1]plan gier'!$X$1:$AN$65536,14,FALSE))</f>
        <v>21</v>
      </c>
      <c r="AL324" s="64">
        <f>IF(ISBLANK(S324),"",VLOOKUP(S324,'[1]plan gier'!$X$1:$AN$65536,15,FALSE))</f>
        <v>10</v>
      </c>
      <c r="AM324" s="64">
        <f>IF(ISBLANK(S324),"",VLOOKUP(S324,'[1]plan gier'!$X$1:$AN$65536,16,FALSE))</f>
        <v>0</v>
      </c>
      <c r="AN324" s="64">
        <f>IF(ISBLANK(S324),"",VLOOKUP(S324,'[1]plan gier'!$X$1:$AN$65536,17,FALSE))</f>
        <v>0</v>
      </c>
      <c r="AO324" s="65">
        <f t="shared" si="34"/>
        <v>21</v>
      </c>
      <c r="AP324" s="64">
        <f t="shared" si="34"/>
        <v>5</v>
      </c>
      <c r="AQ324" s="66">
        <f t="shared" si="34"/>
        <v>21</v>
      </c>
      <c r="AR324" s="64">
        <f t="shared" si="34"/>
        <v>10</v>
      </c>
      <c r="AS324" s="66">
        <f t="shared" si="34"/>
        <v>0</v>
      </c>
      <c r="AT324" s="64">
        <f t="shared" si="34"/>
        <v>0</v>
      </c>
      <c r="AU324" s="54">
        <f>SUM(AO324:AT324)</f>
        <v>57</v>
      </c>
      <c r="AV324" s="13">
        <v>2</v>
      </c>
      <c r="AW324" s="63">
        <f>IF(AI325&lt;AJ325,1,0)+IF(AK325&lt;AL325,1,0)+IF(AM325&lt;AN325,1,0)</f>
        <v>0</v>
      </c>
      <c r="AX324" s="64">
        <f>AY323</f>
        <v>2</v>
      </c>
      <c r="AY324" s="67"/>
      <c r="AZ324" s="68"/>
      <c r="BA324" s="64">
        <f>IF(AI324&gt;AJ324,1,0)+IF(AK324&gt;AL324,1,0)+IF(AM324&gt;AN324,1,0)</f>
        <v>2</v>
      </c>
      <c r="BB324" s="69">
        <f>AY325</f>
        <v>0</v>
      </c>
      <c r="BE324" s="63">
        <f>AO324+AQ324+AS324+AP325+AR325+AT325</f>
        <v>64</v>
      </c>
      <c r="BF324" s="69">
        <f>AP324+AR324+AT324+AO325+AQ325+AS325</f>
        <v>57</v>
      </c>
      <c r="BG324" s="63">
        <f>AW324+BA324</f>
        <v>2</v>
      </c>
      <c r="BH324" s="69">
        <f>AX324+BB324</f>
        <v>2</v>
      </c>
      <c r="BI324" s="63">
        <f>IF(AW324&gt;AX324,1,0)+IF(BA324&gt;BB324,1,0)</f>
        <v>1</v>
      </c>
      <c r="BJ324" s="70">
        <f>IF(AX324&gt;AW324,1,0)+IF(BB324&gt;BA324,1,0)</f>
        <v>1</v>
      </c>
      <c r="BK324" s="71">
        <f>IF(BI324+BJ324=0,"",IF(BL324=MAX(BL323:BL325),1,IF(BL324=MIN(BL323:BL325),3,2)))</f>
        <v>2</v>
      </c>
      <c r="BL324" s="60">
        <f>IF(BI324+BJ324&lt;&gt;0,BI324+1+(BG324-BH324)/100+(BE324-BF324)/100000+(BE324/BF324)/1000000,0)</f>
        <v>2.0000711228070176</v>
      </c>
    </row>
    <row r="325" spans="1:64" ht="11.45" customHeight="1" thickBot="1" x14ac:dyDescent="0.25">
      <c r="A325" s="19">
        <f>S325</f>
        <v>267</v>
      </c>
      <c r="B325" s="2" t="str">
        <f>IF(N321="","",N321)</f>
        <v>M4689</v>
      </c>
      <c r="C325" s="2" t="str">
        <f>IF(N322="","",N322)</f>
        <v>D3427</v>
      </c>
      <c r="D325" s="2" t="str">
        <f>IF(N324="","",N324)</f>
        <v>M5027</v>
      </c>
      <c r="E325" s="2" t="str">
        <f>IF(N325="","",N325)</f>
        <v>N4575</v>
      </c>
      <c r="I325" s="2" t="str">
        <f>"3"&amp;O319&amp;N320</f>
        <v>36mieszana M</v>
      </c>
      <c r="J325" s="10" t="str">
        <f>IF(AD326="","",IF(AD320=3,N321,IF(AD323=3,N324,IF(AD326=3,N327,""))))</f>
        <v>X02</v>
      </c>
      <c r="K325" s="10" t="str">
        <f>IF(AD326="","",IF(AD320=3,N322,IF(AD323=3,N325,IF(AD326=3,N328,""))))</f>
        <v>X03</v>
      </c>
      <c r="M325" s="42" t="str">
        <f>N320</f>
        <v>mieszana M</v>
      </c>
      <c r="N325" s="38" t="s">
        <v>274</v>
      </c>
      <c r="O325" s="28"/>
      <c r="P325" s="28"/>
      <c r="Q325" s="43" t="str">
        <f>IF(AU325&gt;0,"",IF(A325=0,"",IF(VLOOKUP(A325,'[1]plan gier'!A$1:S$65536,19,FALSE)="","",VLOOKUP(A325,'[1]plan gier'!A$1:S$65536,19,FALSE))))</f>
        <v/>
      </c>
      <c r="R325" s="72" t="s">
        <v>18</v>
      </c>
      <c r="S325" s="45">
        <v>267</v>
      </c>
      <c r="T325" s="261"/>
      <c r="U325" s="265" t="str">
        <f>IF(N325&lt;&gt;"",CONCATENATE(VLOOKUP(N325,[1]zawodnicy!$A$1:$E$65536,1,FALSE)," ",VLOOKUP(N325,[1]zawodnicy!$A$1:$E$65536,2,FALSE)," ",VLOOKUP(N325,[1]zawodnicy!$A$1:$E$65536,3,FALSE)," - ",VLOOKUP(N325,[1]zawodnicy!$A$1:$E$65536,4,FALSE)),"")</f>
        <v>N4575 Wiktoria NIEMIEC - MKS Strzelce Opolskie</v>
      </c>
      <c r="V325" s="266"/>
      <c r="W325" s="267"/>
      <c r="X325" s="73" t="str">
        <f>IF(SUM(AS325:AT325)=0,"",AT325&amp;":"&amp;AS325)</f>
        <v/>
      </c>
      <c r="Y325" s="62"/>
      <c r="Z325" s="40" t="str">
        <f>IF(SUM(AS324:AT324)=0,"",AS324&amp;":"&amp;AT324)</f>
        <v/>
      </c>
      <c r="AA325" s="262"/>
      <c r="AB325" s="263"/>
      <c r="AC325" s="263"/>
      <c r="AD325" s="264"/>
      <c r="AE325" s="2"/>
      <c r="AF325" s="12"/>
      <c r="AG325" s="12"/>
      <c r="AH325" s="72" t="s">
        <v>18</v>
      </c>
      <c r="AI325" s="74">
        <f>IF(ISBLANK(S325),"",VLOOKUP(S325,'[1]plan gier'!$X$1:$AN$65536,12,FALSE))</f>
        <v>21</v>
      </c>
      <c r="AJ325" s="75">
        <f>IF(ISBLANK(S325),"",VLOOKUP(S325,'[1]plan gier'!$X$1:$AN$65536,13,FALSE))</f>
        <v>11</v>
      </c>
      <c r="AK325" s="75">
        <f>IF(ISBLANK(S325),"",VLOOKUP(S325,'[1]plan gier'!$X$1:$AN$65536,14,FALSE))</f>
        <v>21</v>
      </c>
      <c r="AL325" s="75">
        <f>IF(ISBLANK(S325),"",VLOOKUP(S325,'[1]plan gier'!$X$1:$AN$65536,15,FALSE))</f>
        <v>11</v>
      </c>
      <c r="AM325" s="75">
        <f>IF(ISBLANK(S325),"",VLOOKUP(S325,'[1]plan gier'!$X$1:$AN$65536,16,FALSE))</f>
        <v>0</v>
      </c>
      <c r="AN325" s="75">
        <f>IF(ISBLANK(S325),"",VLOOKUP(S325,'[1]plan gier'!$X$1:$AN$65536,17,FALSE))</f>
        <v>0</v>
      </c>
      <c r="AO325" s="76">
        <f t="shared" si="34"/>
        <v>21</v>
      </c>
      <c r="AP325" s="75">
        <f t="shared" si="34"/>
        <v>11</v>
      </c>
      <c r="AQ325" s="77">
        <f t="shared" si="34"/>
        <v>21</v>
      </c>
      <c r="AR325" s="75">
        <f t="shared" si="34"/>
        <v>11</v>
      </c>
      <c r="AS325" s="77">
        <f t="shared" si="34"/>
        <v>0</v>
      </c>
      <c r="AT325" s="75">
        <f t="shared" si="34"/>
        <v>0</v>
      </c>
      <c r="AU325" s="54">
        <f>SUM(AO325:AT325)</f>
        <v>64</v>
      </c>
      <c r="AV325" s="13">
        <v>3</v>
      </c>
      <c r="AW325" s="74">
        <f>IF(AI323&lt;AJ323,1,0)+IF(AK323&lt;AL323,1,0)+IF(AM323&lt;AN323,1,0)</f>
        <v>0</v>
      </c>
      <c r="AX325" s="75">
        <f>BA323</f>
        <v>2</v>
      </c>
      <c r="AY325" s="75">
        <f>IF(AI324&lt;AJ324,1,0)+IF(AK324&lt;AL324,1,0)+IF(AM324&lt;AN324,1,0)</f>
        <v>0</v>
      </c>
      <c r="AZ325" s="75">
        <f>BA324</f>
        <v>2</v>
      </c>
      <c r="BA325" s="78"/>
      <c r="BB325" s="79"/>
      <c r="BE325" s="74">
        <f>AP323+AR323+AT323+AP324+AR324+AT324</f>
        <v>25</v>
      </c>
      <c r="BF325" s="80">
        <f>AO323+AQ323+AS323+AO324+AQ324+AS324</f>
        <v>84</v>
      </c>
      <c r="BG325" s="74">
        <f>AW325+AY325</f>
        <v>0</v>
      </c>
      <c r="BH325" s="80">
        <f>AX325+AZ325</f>
        <v>4</v>
      </c>
      <c r="BI325" s="74">
        <f>IF(AW325&gt;AX325,1,0)+IF(AY325&gt;AZ325,1,0)</f>
        <v>0</v>
      </c>
      <c r="BJ325" s="81">
        <f>IF(AX325&gt;AW325,1,0)+IF(AZ325&gt;AY325,1,0)</f>
        <v>2</v>
      </c>
      <c r="BK325" s="82">
        <f>IF(BI325+BJ325=0,"",IF(BL325=MAX(BL323:BL325),1,IF(BL325=MIN(BL323:BL325),3,2)))</f>
        <v>3</v>
      </c>
      <c r="BL325" s="60">
        <f>IF(BI325+BJ325&lt;&gt;0,BI325+1+(BG325-BH325)/100+(BE325-BF325)/100000+(BE325/BF325)/1000000,0)</f>
        <v>0.95941029761904761</v>
      </c>
    </row>
    <row r="326" spans="1:64" ht="11.45" customHeight="1" x14ac:dyDescent="0.2">
      <c r="A326" s="2"/>
      <c r="J326" s="28"/>
      <c r="K326" s="28"/>
      <c r="L326" s="28"/>
      <c r="O326" s="28"/>
      <c r="P326" s="28"/>
      <c r="Q326" s="2"/>
      <c r="R326" s="2"/>
      <c r="S326" s="2"/>
      <c r="T326" s="241">
        <v>3</v>
      </c>
      <c r="U326" s="244" t="str">
        <f>IF(AND(N327&lt;&gt;"",N328&lt;&gt;""),CONCATENATE(VLOOKUP(N327,[1]zawodnicy!$A$1:$E$65536,1,FALSE)," ",VLOOKUP(N327,[1]zawodnicy!$A$1:$E$65536,2,FALSE)," ",VLOOKUP(N327,[1]zawodnicy!$A$1:$E$65536,3,FALSE)," - ",VLOOKUP(N327,[1]zawodnicy!$A$1:$E$65536,4,FALSE)),"")</f>
        <v>X02 Matas GELZINIS - Litwa</v>
      </c>
      <c r="V326" s="245"/>
      <c r="W326" s="246"/>
      <c r="X326" s="46" t="str">
        <f>IF(SUM(AO323:AP323)=0,"",AP323&amp;":"&amp;AO323)</f>
        <v>6:21</v>
      </c>
      <c r="Y326" s="83" t="str">
        <f>IF(SUM(AO324:AP324)=0,"",AP324&amp;":"&amp;AO324)</f>
        <v>5:21</v>
      </c>
      <c r="Z326" s="84"/>
      <c r="AA326" s="247" t="str">
        <f>IF(SUM(AW325:AZ325)=0,"",BE325&amp;":"&amp;BF325)</f>
        <v>25:84</v>
      </c>
      <c r="AB326" s="250" t="str">
        <f>IF(SUM(AW325:AZ325)=0,"",BG325&amp;":"&amp;BH325)</f>
        <v>0:4</v>
      </c>
      <c r="AC326" s="250" t="str">
        <f>IF(SUM(AW325:AZ325)=0,"",BI325&amp;":"&amp;BJ325)</f>
        <v>0:2</v>
      </c>
      <c r="AD326" s="253">
        <f>IF(SUM(BI323:BI325)&gt;0,BK325,"")</f>
        <v>3</v>
      </c>
      <c r="AE326" s="2"/>
      <c r="AF326" s="12"/>
      <c r="AG326" s="12"/>
      <c r="BE326" s="19">
        <f>SUM(BE323:BE325)</f>
        <v>173</v>
      </c>
      <c r="BF326" s="19">
        <f>SUM(BF323:BF325)</f>
        <v>173</v>
      </c>
      <c r="BG326" s="19">
        <f>SUM(BG323:BG325)</f>
        <v>6</v>
      </c>
      <c r="BH326" s="19">
        <f>SUM(BH323:BH325)</f>
        <v>6</v>
      </c>
      <c r="BK326" s="19"/>
      <c r="BL326" s="20"/>
    </row>
    <row r="327" spans="1:64" ht="11.45" customHeight="1" x14ac:dyDescent="0.2">
      <c r="A327" s="19"/>
      <c r="J327" s="19"/>
      <c r="K327" s="19"/>
      <c r="L327" s="19"/>
      <c r="N327" s="33" t="s">
        <v>225</v>
      </c>
      <c r="O327" s="34">
        <f>IF(O319&gt;0,(O319&amp;3)*1,"")</f>
        <v>63</v>
      </c>
      <c r="Q327" s="85"/>
      <c r="R327" s="85"/>
      <c r="S327" s="85"/>
      <c r="T327" s="242"/>
      <c r="U327" s="244" t="str">
        <f>IF(AND(N327&lt;&gt;"",N328=""),CONCATENATE(VLOOKUP(N327,[1]zawodnicy!$A$1:$E$65536,1,FALSE)," ",VLOOKUP(N327,[1]zawodnicy!$A$1:$E$65536,2,FALSE)," ",VLOOKUP(N327,[1]zawodnicy!$A$1:$E$65536,3,FALSE)," - ",VLOOKUP(N327,[1]zawodnicy!$A$1:$E$65536,4,FALSE)),"")</f>
        <v/>
      </c>
      <c r="V327" s="245"/>
      <c r="W327" s="246"/>
      <c r="X327" s="61" t="str">
        <f>IF(SUM(AQ323:AR323)=0,"",AR323&amp;":"&amp;AQ323)</f>
        <v>4:21</v>
      </c>
      <c r="Y327" s="36" t="str">
        <f>IF(SUM(AQ324:AR324)=0,"",AR324&amp;":"&amp;AQ324)</f>
        <v>10:21</v>
      </c>
      <c r="Z327" s="86"/>
      <c r="AA327" s="248"/>
      <c r="AB327" s="251"/>
      <c r="AC327" s="251"/>
      <c r="AD327" s="254"/>
      <c r="AE327" s="2"/>
      <c r="AF327" s="12"/>
      <c r="AG327" s="1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row>
    <row r="328" spans="1:64" ht="11.45" customHeight="1" thickBot="1" x14ac:dyDescent="0.25">
      <c r="A328" s="2"/>
      <c r="J328" s="28"/>
      <c r="K328" s="28"/>
      <c r="L328" s="28"/>
      <c r="N328" s="38" t="s">
        <v>194</v>
      </c>
      <c r="O328" s="28"/>
      <c r="P328" s="28"/>
      <c r="Q328" s="2"/>
      <c r="R328" s="2"/>
      <c r="S328" s="2"/>
      <c r="T328" s="243"/>
      <c r="U328" s="256" t="str">
        <f>IF(N328&lt;&gt;"",CONCATENATE(VLOOKUP(N328,[1]zawodnicy!$A$1:$E$65536,1,FALSE)," ",VLOOKUP(N328,[1]zawodnicy!$A$1:$E$65536,2,FALSE)," ",VLOOKUP(N328,[1]zawodnicy!$A$1:$E$65536,3,FALSE)," - ",VLOOKUP(N328,[1]zawodnicy!$A$1:$E$65536,4,FALSE)),"")</f>
        <v>X03 Ugne MASILIONYTE - Litwa</v>
      </c>
      <c r="V328" s="257"/>
      <c r="W328" s="258"/>
      <c r="X328" s="87" t="str">
        <f>IF(SUM(AS323:AT323)=0,"",AT323&amp;":"&amp;AS323)</f>
        <v/>
      </c>
      <c r="Y328" s="88" t="str">
        <f>IF(SUM(AS324:AT324)=0,"",AT324&amp;":"&amp;AS324)</f>
        <v/>
      </c>
      <c r="Z328" s="89"/>
      <c r="AA328" s="249"/>
      <c r="AB328" s="252"/>
      <c r="AC328" s="252"/>
      <c r="AD328" s="255"/>
      <c r="AE328" s="10"/>
      <c r="AF328" s="12"/>
      <c r="AG328" s="1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row>
    <row r="329" spans="1:64" s="19" customFormat="1" ht="5.0999999999999996" customHeight="1" thickBot="1" x14ac:dyDescent="0.25">
      <c r="M329" s="90"/>
      <c r="O329" s="90"/>
      <c r="P329" s="90"/>
      <c r="Q329" s="91"/>
      <c r="R329" s="91"/>
      <c r="S329" s="91"/>
      <c r="T329" s="91"/>
      <c r="U329" s="5"/>
      <c r="V329" s="5"/>
      <c r="W329" s="5"/>
      <c r="AA329" s="92"/>
      <c r="AB329" s="91"/>
      <c r="AC329" s="91"/>
      <c r="AD329" s="91"/>
      <c r="AE329" s="91"/>
      <c r="AF329" s="91"/>
      <c r="AI329" s="93"/>
      <c r="AJ329" s="94"/>
      <c r="AK329" s="94"/>
    </row>
    <row r="330" spans="1:64" ht="11.45" customHeight="1" thickBot="1" x14ac:dyDescent="0.25">
      <c r="N330" s="11"/>
      <c r="O330" s="21">
        <v>7</v>
      </c>
      <c r="Q330" s="277" t="str">
        <f>"Grupa "&amp;O330&amp;"."</f>
        <v>Grupa 7.</v>
      </c>
      <c r="R330" s="277"/>
      <c r="S330" s="277"/>
      <c r="T330" s="22" t="s">
        <v>1</v>
      </c>
      <c r="U330" s="278" t="s">
        <v>2</v>
      </c>
      <c r="V330" s="279"/>
      <c r="W330" s="280"/>
      <c r="X330" s="22">
        <v>1</v>
      </c>
      <c r="Y330" s="23">
        <v>2</v>
      </c>
      <c r="Z330" s="24">
        <v>3</v>
      </c>
      <c r="AA330" s="25" t="s">
        <v>3</v>
      </c>
      <c r="AB330" s="26" t="s">
        <v>4</v>
      </c>
      <c r="AC330" s="26" t="s">
        <v>5</v>
      </c>
      <c r="AD330" s="27" t="s">
        <v>6</v>
      </c>
      <c r="AE330" s="2"/>
      <c r="AF330" s="12"/>
      <c r="AG330" s="12"/>
      <c r="BK330" s="19"/>
      <c r="BL330" s="20"/>
    </row>
    <row r="331" spans="1:64" ht="11.45" customHeight="1" x14ac:dyDescent="0.2">
      <c r="J331" s="28"/>
      <c r="K331" s="28"/>
      <c r="L331" s="28"/>
      <c r="N331" s="29" t="s">
        <v>263</v>
      </c>
      <c r="Q331" s="274" t="s">
        <v>7</v>
      </c>
      <c r="R331" s="274"/>
      <c r="S331" s="275" t="s">
        <v>8</v>
      </c>
      <c r="T331" s="276">
        <v>1</v>
      </c>
      <c r="U331" s="244" t="str">
        <f>IF(AND(N332&lt;&gt;"",N333&lt;&gt;""),CONCATENATE(VLOOKUP(N332,[1]zawodnicy!$A$1:$E$65536,1,FALSE)," ",VLOOKUP(N332,[1]zawodnicy!$A$1:$E$65536,2,FALSE)," ",VLOOKUP(N332,[1]zawodnicy!$A$1:$E$65536,3,FALSE)," - ",VLOOKUP(N332,[1]zawodnicy!$A$1:$E$65536,4,FALSE)),"")</f>
        <v>G4577 Jakub GIREŃ - MKS Strzelce Opolskie</v>
      </c>
      <c r="V331" s="245"/>
      <c r="W331" s="246"/>
      <c r="X331" s="30"/>
      <c r="Y331" s="31" t="str">
        <f>IF(SUM(AO336:AP336)=0,"",AO336&amp;":"&amp;AP336)</f>
        <v>21:18</v>
      </c>
      <c r="Z331" s="32" t="str">
        <f>IF(SUM(AO334:AP334)=0,"",AO334&amp;":"&amp;AP334)</f>
        <v>12:21</v>
      </c>
      <c r="AA331" s="270" t="str">
        <f>IF(SUM(AY334:BB334)=0,"",BE334&amp;":"&amp;BF334)</f>
        <v>90:83</v>
      </c>
      <c r="AB331" s="271" t="str">
        <f>IF(SUM(AY334:BB334)=0,"",BG334&amp;":"&amp;BH334)</f>
        <v>3:2</v>
      </c>
      <c r="AC331" s="271" t="str">
        <f>IF(SUM(AY334:BB334)=0,"",BI334&amp;":"&amp;BJ334)</f>
        <v>1:1</v>
      </c>
      <c r="AD331" s="272">
        <f>IF(SUM(BI334:BI336)&gt;0,BK334,"")</f>
        <v>2</v>
      </c>
      <c r="AE331" s="2"/>
      <c r="AF331" s="12"/>
      <c r="AG331" s="12"/>
      <c r="AH331" s="14"/>
      <c r="AI331" s="273" t="s">
        <v>9</v>
      </c>
      <c r="AJ331" s="273"/>
      <c r="AK331" s="273"/>
      <c r="AL331" s="273"/>
      <c r="AM331" s="273"/>
      <c r="AN331" s="273"/>
      <c r="AO331" s="273" t="s">
        <v>10</v>
      </c>
      <c r="AP331" s="273"/>
      <c r="AQ331" s="273"/>
      <c r="AR331" s="273"/>
      <c r="AS331" s="273"/>
      <c r="AT331" s="273"/>
      <c r="BK331" s="19"/>
      <c r="BL331" s="20"/>
    </row>
    <row r="332" spans="1:64" ht="11.45" customHeight="1" thickBot="1" x14ac:dyDescent="0.25">
      <c r="I332" s="2" t="str">
        <f>"1"&amp;O330&amp;N331</f>
        <v>17mieszana M</v>
      </c>
      <c r="J332" s="10" t="str">
        <f>IF(AD331="","",IF(AD331=1,N332,IF(AD334=1,N335,IF(AD337=1,N338,""))))</f>
        <v>B4431</v>
      </c>
      <c r="K332" s="10" t="str">
        <f>IF(AD331="","",IF(AD331=1,N333,IF(AD334=1,N336,IF(AD337=1,N339,""))))</f>
        <v>G3411</v>
      </c>
      <c r="L332" s="10"/>
      <c r="N332" s="33" t="s">
        <v>251</v>
      </c>
      <c r="O332" s="34">
        <f>IF(O330&gt;0,(O330&amp;1)*1,"")</f>
        <v>71</v>
      </c>
      <c r="Q332" s="274"/>
      <c r="R332" s="274"/>
      <c r="S332" s="275"/>
      <c r="T332" s="242"/>
      <c r="U332" s="244" t="str">
        <f>IF(AND(N332&lt;&gt;"",N333=""),CONCATENATE(VLOOKUP(N332,[1]zawodnicy!$A$1:$E$65536,1,FALSE)," ",VLOOKUP(N332,[1]zawodnicy!$A$1:$E$65536,2,FALSE)," ",VLOOKUP(N332,[1]zawodnicy!$A$1:$E$65536,3,FALSE)," - ",VLOOKUP(N332,[1]zawodnicy!$A$1:$E$65536,4,FALSE)),"")</f>
        <v/>
      </c>
      <c r="V332" s="245"/>
      <c r="W332" s="246"/>
      <c r="X332" s="35"/>
      <c r="Y332" s="36" t="str">
        <f>IF(SUM(AQ336:AR336)=0,"",AQ336&amp;":"&amp;AR336)</f>
        <v>21:13</v>
      </c>
      <c r="Z332" s="37" t="str">
        <f>IF(SUM(AQ334:AR334)=0,"",AQ334&amp;":"&amp;AR334)</f>
        <v>21:10</v>
      </c>
      <c r="AA332" s="248"/>
      <c r="AB332" s="251"/>
      <c r="AC332" s="251"/>
      <c r="AD332" s="254"/>
      <c r="AE332" s="2"/>
      <c r="AF332" s="12"/>
      <c r="AG332" s="12"/>
      <c r="AH332" s="14"/>
      <c r="BE332" s="19">
        <f>SUM(BE334:BE336)</f>
        <v>279</v>
      </c>
      <c r="BF332" s="19">
        <f>SUM(BF334:BF336)</f>
        <v>279</v>
      </c>
      <c r="BG332" s="19">
        <f>SUM(BG334:BG336)</f>
        <v>8</v>
      </c>
      <c r="BH332" s="19">
        <f>SUM(BH334:BH336)</f>
        <v>8</v>
      </c>
      <c r="BK332" s="19"/>
      <c r="BL332" s="20"/>
    </row>
    <row r="333" spans="1:64" ht="11.45" customHeight="1" thickBot="1" x14ac:dyDescent="0.25">
      <c r="J333" s="10"/>
      <c r="K333" s="28"/>
      <c r="L333" s="28"/>
      <c r="N333" s="38" t="s">
        <v>161</v>
      </c>
      <c r="O333" s="28"/>
      <c r="P333" s="28"/>
      <c r="Q333" s="274"/>
      <c r="R333" s="274"/>
      <c r="S333" s="275"/>
      <c r="T333" s="261"/>
      <c r="U333" s="265" t="str">
        <f>IF(N333&lt;&gt;"",CONCATENATE(VLOOKUP(N333,[1]zawodnicy!$A$1:$E$65536,1,FALSE)," ",VLOOKUP(N333,[1]zawodnicy!$A$1:$E$65536,2,FALSE)," ",VLOOKUP(N333,[1]zawodnicy!$A$1:$E$65536,3,FALSE)," - ",VLOOKUP(N333,[1]zawodnicy!$A$1:$E$65536,4,FALSE)),"")</f>
        <v>K4136 Weronika KOŚCIÓŁEK - LKS Technik Głubczyce</v>
      </c>
      <c r="V333" s="266"/>
      <c r="W333" s="267"/>
      <c r="X333" s="35"/>
      <c r="Y333" s="39" t="str">
        <f>IF(SUM(AS336:AT336)=0,"",AS336&amp;":"&amp;AT336)</f>
        <v/>
      </c>
      <c r="Z333" s="40" t="str">
        <f>IF(SUM(AS334:AT334)=0,"",AS334&amp;":"&amp;AT334)</f>
        <v>15:21</v>
      </c>
      <c r="AA333" s="262"/>
      <c r="AB333" s="263"/>
      <c r="AC333" s="263"/>
      <c r="AD333" s="264"/>
      <c r="AE333" s="2"/>
      <c r="AF333" s="12"/>
      <c r="AG333" s="12"/>
      <c r="AH333" s="14"/>
      <c r="AI333" s="259" t="s">
        <v>12</v>
      </c>
      <c r="AJ333" s="269"/>
      <c r="AK333" s="268" t="s">
        <v>13</v>
      </c>
      <c r="AL333" s="269"/>
      <c r="AM333" s="268" t="s">
        <v>14</v>
      </c>
      <c r="AN333" s="260"/>
      <c r="AO333" s="259" t="s">
        <v>12</v>
      </c>
      <c r="AP333" s="269"/>
      <c r="AQ333" s="268" t="s">
        <v>13</v>
      </c>
      <c r="AR333" s="269"/>
      <c r="AS333" s="268" t="s">
        <v>14</v>
      </c>
      <c r="AT333" s="269"/>
      <c r="AU333" s="12"/>
      <c r="AV333" s="12"/>
      <c r="AW333" s="259">
        <v>1</v>
      </c>
      <c r="AX333" s="269"/>
      <c r="AY333" s="268">
        <v>2</v>
      </c>
      <c r="AZ333" s="269"/>
      <c r="BA333" s="268">
        <v>3</v>
      </c>
      <c r="BB333" s="260"/>
      <c r="BE333" s="259" t="s">
        <v>3</v>
      </c>
      <c r="BF333" s="260"/>
      <c r="BG333" s="259" t="s">
        <v>4</v>
      </c>
      <c r="BH333" s="260"/>
      <c r="BI333" s="259" t="s">
        <v>5</v>
      </c>
      <c r="BJ333" s="260"/>
      <c r="BK333" s="41" t="s">
        <v>6</v>
      </c>
      <c r="BL333" s="20"/>
    </row>
    <row r="334" spans="1:64" ht="11.45" customHeight="1" x14ac:dyDescent="0.2">
      <c r="A334" s="19">
        <f>S334</f>
        <v>55</v>
      </c>
      <c r="B334" s="2" t="str">
        <f>IF(N332="","",N332)</f>
        <v>G4577</v>
      </c>
      <c r="C334" s="2" t="str">
        <f>IF(N333="","",N333)</f>
        <v>K4136</v>
      </c>
      <c r="D334" s="2" t="str">
        <f>IF(N338="","",N338)</f>
        <v>B4431</v>
      </c>
      <c r="E334" s="2" t="str">
        <f>IF(N339="","",N339)</f>
        <v>G3411</v>
      </c>
      <c r="I334" s="2" t="str">
        <f>"2"&amp;O330&amp;N331</f>
        <v>27mieszana M</v>
      </c>
      <c r="J334" s="10" t="str">
        <f>IF(AD334="","",IF(AD331=2,N332,IF(AD334=2,N335,IF(AD337=2,N338,""))))</f>
        <v>G4577</v>
      </c>
      <c r="K334" s="10" t="str">
        <f>IF(AD334="","",IF(AD331=2,N333,IF(AD334=2,N336,IF(AD337=2,N339,""))))</f>
        <v>K4136</v>
      </c>
      <c r="M334" s="42" t="str">
        <f>N331</f>
        <v>mieszana M</v>
      </c>
      <c r="O334" s="28"/>
      <c r="P334" s="28"/>
      <c r="Q334" s="43" t="str">
        <f>IF(AU334&gt;0,"",IF(A334=0,"",IF(VLOOKUP(A334,'[1]plan gier'!A$1:S$65536,19,FALSE)="","",VLOOKUP(A334,'[1]plan gier'!A$1:S$65536,19,FALSE))))</f>
        <v/>
      </c>
      <c r="R334" s="44" t="s">
        <v>15</v>
      </c>
      <c r="S334" s="45">
        <v>55</v>
      </c>
      <c r="T334" s="241">
        <v>2</v>
      </c>
      <c r="U334" s="244" t="str">
        <f>IF(AND(N335&lt;&gt;"",N336&lt;&gt;""),CONCATENATE(VLOOKUP(N335,[1]zawodnicy!$A$1:$E$65536,1,FALSE)," ",VLOOKUP(N335,[1]zawodnicy!$A$1:$E$65536,2,FALSE)," ",VLOOKUP(N335,[1]zawodnicy!$A$1:$E$65536,3,FALSE)," - ",VLOOKUP(N335,[1]zawodnicy!$A$1:$E$65536,4,FALSE)),"")</f>
        <v>X15 Ilya SHCHARBENKA - Mińsk Białoruś</v>
      </c>
      <c r="V334" s="245"/>
      <c r="W334" s="246"/>
      <c r="X334" s="46" t="str">
        <f>IF(SUM(AO336:AP336)=0,"",AP336&amp;":"&amp;AO336)</f>
        <v>18:21</v>
      </c>
      <c r="Y334" s="47"/>
      <c r="Z334" s="48" t="str">
        <f>IF(SUM(AO335:AP335)=0,"",AO335&amp;":"&amp;AP335)</f>
        <v>11:21</v>
      </c>
      <c r="AA334" s="247" t="str">
        <f>IF(SUM(AW335:AX335,BA335:BB335)=0,"",BE335&amp;":"&amp;BF335)</f>
        <v>75:104</v>
      </c>
      <c r="AB334" s="250" t="str">
        <f>IF(SUM(AW335:AX335,BA335:BB335)=0,"",BG335&amp;":"&amp;BH335)</f>
        <v>1:4</v>
      </c>
      <c r="AC334" s="250" t="str">
        <f>IF(SUM(AW335:AX335,BA335:BB335)=0,"",BI335&amp;":"&amp;BJ335)</f>
        <v>0:2</v>
      </c>
      <c r="AD334" s="253">
        <f>IF(SUM(BI334:BI336)&gt;0,BK335,"")</f>
        <v>3</v>
      </c>
      <c r="AE334" s="2"/>
      <c r="AF334" s="12"/>
      <c r="AG334" s="12"/>
      <c r="AH334" s="44" t="s">
        <v>15</v>
      </c>
      <c r="AI334" s="49">
        <f>IF(ISBLANK(S334),"",VLOOKUP(S334,'[1]plan gier'!$X$1:$AN$65536,12,FALSE))</f>
        <v>12</v>
      </c>
      <c r="AJ334" s="50">
        <f>IF(ISBLANK(S334),"",VLOOKUP(S334,'[1]plan gier'!$X$1:$AN$65536,13,FALSE))</f>
        <v>21</v>
      </c>
      <c r="AK334" s="50">
        <f>IF(ISBLANK(S334),"",VLOOKUP(S334,'[1]plan gier'!$X$1:$AN$65536,14,FALSE))</f>
        <v>21</v>
      </c>
      <c r="AL334" s="50">
        <f>IF(ISBLANK(S334),"",VLOOKUP(S334,'[1]plan gier'!$X$1:$AN$65536,15,FALSE))</f>
        <v>10</v>
      </c>
      <c r="AM334" s="50">
        <f>IF(ISBLANK(S334),"",VLOOKUP(S334,'[1]plan gier'!$X$1:$AN$65536,16,FALSE))</f>
        <v>15</v>
      </c>
      <c r="AN334" s="50">
        <f>IF(ISBLANK(S334),"",VLOOKUP(S334,'[1]plan gier'!$X$1:$AN$65536,17,FALSE))</f>
        <v>21</v>
      </c>
      <c r="AO334" s="51">
        <f t="shared" ref="AO334:AT336" si="35">IF(AI334="",0,AI334)</f>
        <v>12</v>
      </c>
      <c r="AP334" s="52">
        <f t="shared" si="35"/>
        <v>21</v>
      </c>
      <c r="AQ334" s="53">
        <f t="shared" si="35"/>
        <v>21</v>
      </c>
      <c r="AR334" s="52">
        <f t="shared" si="35"/>
        <v>10</v>
      </c>
      <c r="AS334" s="53">
        <f t="shared" si="35"/>
        <v>15</v>
      </c>
      <c r="AT334" s="52">
        <f t="shared" si="35"/>
        <v>21</v>
      </c>
      <c r="AU334" s="54">
        <f>SUM(AO334:AT334)</f>
        <v>100</v>
      </c>
      <c r="AV334" s="13">
        <v>1</v>
      </c>
      <c r="AW334" s="55"/>
      <c r="AX334" s="56"/>
      <c r="AY334" s="50">
        <f>IF(AI336&gt;AJ336,1,0)+IF(AK336&gt;AL336,1,0)+IF(AM336&gt;AN336,1,0)</f>
        <v>2</v>
      </c>
      <c r="AZ334" s="50">
        <f>AW335</f>
        <v>0</v>
      </c>
      <c r="BA334" s="50">
        <f>IF(AI334&gt;AJ334,1,0)+IF(AK334&gt;AL334,1,0)+IF(AM334&gt;AN334,1,0)</f>
        <v>1</v>
      </c>
      <c r="BB334" s="57">
        <f>AW336</f>
        <v>2</v>
      </c>
      <c r="BE334" s="49">
        <f>AO334+AQ334+AS334+AO336+AQ336+AS336</f>
        <v>90</v>
      </c>
      <c r="BF334" s="57">
        <f>AP334+AR334+AT334+AP336+AR336+AT336</f>
        <v>83</v>
      </c>
      <c r="BG334" s="49">
        <f>AY334+BA334</f>
        <v>3</v>
      </c>
      <c r="BH334" s="57">
        <f>AZ334+BB334</f>
        <v>2</v>
      </c>
      <c r="BI334" s="49">
        <f>IF(AY334&gt;AZ334,1,0)+IF(BA334&gt;BB334,1,0)</f>
        <v>1</v>
      </c>
      <c r="BJ334" s="58">
        <f>IF(AZ334&gt;AY334,1,0)+IF(BB334&gt;BA334,1,0)</f>
        <v>1</v>
      </c>
      <c r="BK334" s="59">
        <f>IF(BI334+BJ334=0,"",IF(BL334=MAX(BL334:BL336),1,IF(BL334=MIN(BL334:BL336),3,2)))</f>
        <v>2</v>
      </c>
      <c r="BL334" s="60">
        <f>IF(BI334+BJ334&lt;&gt;0,BI334+1+(BG334-BH334)/100+(BE334-BF334)/100000+(BE334/BF334)/1000000,0)</f>
        <v>2.010071084337349</v>
      </c>
    </row>
    <row r="335" spans="1:64" ht="11.45" customHeight="1" x14ac:dyDescent="0.2">
      <c r="A335" s="19">
        <f>S335</f>
        <v>121</v>
      </c>
      <c r="B335" s="2" t="str">
        <f>IF(N335="","",N335)</f>
        <v>X15</v>
      </c>
      <c r="C335" s="2" t="str">
        <f>IF(N336="","",N336)</f>
        <v>X14</v>
      </c>
      <c r="D335" s="2" t="str">
        <f>IF(N338="","",N338)</f>
        <v>B4431</v>
      </c>
      <c r="E335" s="2" t="str">
        <f>IF(N339="","",N339)</f>
        <v>G3411</v>
      </c>
      <c r="J335" s="10"/>
      <c r="K335" s="19"/>
      <c r="M335" s="42" t="str">
        <f>N331</f>
        <v>mieszana M</v>
      </c>
      <c r="N335" s="33" t="s">
        <v>244</v>
      </c>
      <c r="O335" s="34">
        <f>IF(O330&gt;0,(O330&amp;2)*1,"")</f>
        <v>72</v>
      </c>
      <c r="Q335" s="43" t="str">
        <f>IF(AU335&gt;0,"",IF(A335=0,"",IF(VLOOKUP(A335,'[1]plan gier'!A$1:S$65536,19,FALSE)="","",VLOOKUP(A335,'[1]plan gier'!A$1:S$65536,19,FALSE))))</f>
        <v/>
      </c>
      <c r="R335" s="44" t="s">
        <v>17</v>
      </c>
      <c r="S335" s="45">
        <v>121</v>
      </c>
      <c r="T335" s="242"/>
      <c r="U335" s="244" t="str">
        <f>IF(AND(N335&lt;&gt;"",N336=""),CONCATENATE(VLOOKUP(N335,[1]zawodnicy!$A$1:$E$65536,1,FALSE)," ",VLOOKUP(N335,[1]zawodnicy!$A$1:$E$65536,2,FALSE)," ",VLOOKUP(N335,[1]zawodnicy!$A$1:$E$65536,3,FALSE)," - ",VLOOKUP(N335,[1]zawodnicy!$A$1:$E$65536,4,FALSE)),"")</f>
        <v/>
      </c>
      <c r="V335" s="245"/>
      <c r="W335" s="246"/>
      <c r="X335" s="61" t="str">
        <f>IF(SUM(AQ336:AR336)=0,"",AR336&amp;":"&amp;AQ336)</f>
        <v>13:21</v>
      </c>
      <c r="Y335" s="62"/>
      <c r="Z335" s="37" t="str">
        <f>IF(SUM(AQ335:AR335)=0,"",AQ335&amp;":"&amp;AR335)</f>
        <v>22:20</v>
      </c>
      <c r="AA335" s="248"/>
      <c r="AB335" s="251"/>
      <c r="AC335" s="251"/>
      <c r="AD335" s="254"/>
      <c r="AE335" s="2"/>
      <c r="AF335" s="12"/>
      <c r="AG335" s="12"/>
      <c r="AH335" s="44" t="s">
        <v>17</v>
      </c>
      <c r="AI335" s="63">
        <f>IF(ISBLANK(S335),"",VLOOKUP(S335,'[1]plan gier'!$X$1:$AN$65536,12,FALSE))</f>
        <v>11</v>
      </c>
      <c r="AJ335" s="64">
        <f>IF(ISBLANK(S335),"",VLOOKUP(S335,'[1]plan gier'!$X$1:$AN$65536,13,FALSE))</f>
        <v>21</v>
      </c>
      <c r="AK335" s="64">
        <f>IF(ISBLANK(S335),"",VLOOKUP(S335,'[1]plan gier'!$X$1:$AN$65536,14,FALSE))</f>
        <v>22</v>
      </c>
      <c r="AL335" s="64">
        <f>IF(ISBLANK(S335),"",VLOOKUP(S335,'[1]plan gier'!$X$1:$AN$65536,15,FALSE))</f>
        <v>20</v>
      </c>
      <c r="AM335" s="64">
        <f>IF(ISBLANK(S335),"",VLOOKUP(S335,'[1]plan gier'!$X$1:$AN$65536,16,FALSE))</f>
        <v>11</v>
      </c>
      <c r="AN335" s="64">
        <f>IF(ISBLANK(S335),"",VLOOKUP(S335,'[1]plan gier'!$X$1:$AN$65536,17,FALSE))</f>
        <v>21</v>
      </c>
      <c r="AO335" s="65">
        <f t="shared" si="35"/>
        <v>11</v>
      </c>
      <c r="AP335" s="64">
        <f t="shared" si="35"/>
        <v>21</v>
      </c>
      <c r="AQ335" s="66">
        <f t="shared" si="35"/>
        <v>22</v>
      </c>
      <c r="AR335" s="64">
        <f t="shared" si="35"/>
        <v>20</v>
      </c>
      <c r="AS335" s="66">
        <f t="shared" si="35"/>
        <v>11</v>
      </c>
      <c r="AT335" s="64">
        <f t="shared" si="35"/>
        <v>21</v>
      </c>
      <c r="AU335" s="54">
        <f>SUM(AO335:AT335)</f>
        <v>106</v>
      </c>
      <c r="AV335" s="13">
        <v>2</v>
      </c>
      <c r="AW335" s="63">
        <f>IF(AI336&lt;AJ336,1,0)+IF(AK336&lt;AL336,1,0)+IF(AM336&lt;AN336,1,0)</f>
        <v>0</v>
      </c>
      <c r="AX335" s="64">
        <f>AY334</f>
        <v>2</v>
      </c>
      <c r="AY335" s="67"/>
      <c r="AZ335" s="68"/>
      <c r="BA335" s="64">
        <f>IF(AI335&gt;AJ335,1,0)+IF(AK335&gt;AL335,1,0)+IF(AM335&gt;AN335,1,0)</f>
        <v>1</v>
      </c>
      <c r="BB335" s="69">
        <f>AY336</f>
        <v>2</v>
      </c>
      <c r="BE335" s="63">
        <f>AO335+AQ335+AS335+AP336+AR336+AT336</f>
        <v>75</v>
      </c>
      <c r="BF335" s="69">
        <f>AP335+AR335+AT335+AO336+AQ336+AS336</f>
        <v>104</v>
      </c>
      <c r="BG335" s="63">
        <f>AW335+BA335</f>
        <v>1</v>
      </c>
      <c r="BH335" s="69">
        <f>AX335+BB335</f>
        <v>4</v>
      </c>
      <c r="BI335" s="63">
        <f>IF(AW335&gt;AX335,1,0)+IF(BA335&gt;BB335,1,0)</f>
        <v>0</v>
      </c>
      <c r="BJ335" s="70">
        <f>IF(AX335&gt;AW335,1,0)+IF(BB335&gt;BA335,1,0)</f>
        <v>2</v>
      </c>
      <c r="BK335" s="71">
        <f>IF(BI335+BJ335=0,"",IF(BL335=MAX(BL334:BL336),1,IF(BL335=MIN(BL334:BL336),3,2)))</f>
        <v>3</v>
      </c>
      <c r="BL335" s="60">
        <f>IF(BI335+BJ335&lt;&gt;0,BI335+1+(BG335-BH335)/100+(BE335-BF335)/100000+(BE335/BF335)/1000000,0)</f>
        <v>0.96971072115384616</v>
      </c>
    </row>
    <row r="336" spans="1:64" ht="11.45" customHeight="1" thickBot="1" x14ac:dyDescent="0.25">
      <c r="A336" s="19">
        <f>S336</f>
        <v>268</v>
      </c>
      <c r="B336" s="2" t="str">
        <f>IF(N332="","",N332)</f>
        <v>G4577</v>
      </c>
      <c r="C336" s="2" t="str">
        <f>IF(N333="","",N333)</f>
        <v>K4136</v>
      </c>
      <c r="D336" s="2" t="str">
        <f>IF(N335="","",N335)</f>
        <v>X15</v>
      </c>
      <c r="E336" s="2" t="str">
        <f>IF(N336="","",N336)</f>
        <v>X14</v>
      </c>
      <c r="I336" s="2" t="str">
        <f>"3"&amp;O330&amp;N331</f>
        <v>37mieszana M</v>
      </c>
      <c r="J336" s="10" t="str">
        <f>IF(AD337="","",IF(AD331=3,N332,IF(AD334=3,N335,IF(AD337=3,N338,""))))</f>
        <v>X15</v>
      </c>
      <c r="K336" s="10" t="str">
        <f>IF(AD337="","",IF(AD331=3,N333,IF(AD334=3,N336,IF(AD337=3,N339,""))))</f>
        <v>X14</v>
      </c>
      <c r="M336" s="42" t="str">
        <f>N331</f>
        <v>mieszana M</v>
      </c>
      <c r="N336" s="38" t="s">
        <v>275</v>
      </c>
      <c r="O336" s="28"/>
      <c r="P336" s="28"/>
      <c r="Q336" s="43" t="str">
        <f>IF(AU336&gt;0,"",IF(A336=0,"",IF(VLOOKUP(A336,'[1]plan gier'!A$1:S$65536,19,FALSE)="","",VLOOKUP(A336,'[1]plan gier'!A$1:S$65536,19,FALSE))))</f>
        <v/>
      </c>
      <c r="R336" s="72" t="s">
        <v>18</v>
      </c>
      <c r="S336" s="45">
        <v>268</v>
      </c>
      <c r="T336" s="261"/>
      <c r="U336" s="265" t="str">
        <f>IF(N336&lt;&gt;"",CONCATENATE(VLOOKUP(N336,[1]zawodnicy!$A$1:$E$65536,1,FALSE)," ",VLOOKUP(N336,[1]zawodnicy!$A$1:$E$65536,2,FALSE)," ",VLOOKUP(N336,[1]zawodnicy!$A$1:$E$65536,3,FALSE)," - ",VLOOKUP(N336,[1]zawodnicy!$A$1:$E$65536,4,FALSE)),"")</f>
        <v>X14 Yana  ZDROK - Mińsk Białoruś</v>
      </c>
      <c r="V336" s="266"/>
      <c r="W336" s="267"/>
      <c r="X336" s="73" t="str">
        <f>IF(SUM(AS336:AT336)=0,"",AT336&amp;":"&amp;AS336)</f>
        <v/>
      </c>
      <c r="Y336" s="62"/>
      <c r="Z336" s="40" t="str">
        <f>IF(SUM(AS335:AT335)=0,"",AS335&amp;":"&amp;AT335)</f>
        <v>11:21</v>
      </c>
      <c r="AA336" s="262"/>
      <c r="AB336" s="263"/>
      <c r="AC336" s="263"/>
      <c r="AD336" s="264"/>
      <c r="AE336" s="2"/>
      <c r="AF336" s="12"/>
      <c r="AG336" s="12"/>
      <c r="AH336" s="72" t="s">
        <v>18</v>
      </c>
      <c r="AI336" s="74">
        <f>IF(ISBLANK(S336),"",VLOOKUP(S336,'[1]plan gier'!$X$1:$AN$65536,12,FALSE))</f>
        <v>21</v>
      </c>
      <c r="AJ336" s="75">
        <f>IF(ISBLANK(S336),"",VLOOKUP(S336,'[1]plan gier'!$X$1:$AN$65536,13,FALSE))</f>
        <v>18</v>
      </c>
      <c r="AK336" s="75">
        <f>IF(ISBLANK(S336),"",VLOOKUP(S336,'[1]plan gier'!$X$1:$AN$65536,14,FALSE))</f>
        <v>21</v>
      </c>
      <c r="AL336" s="75">
        <f>IF(ISBLANK(S336),"",VLOOKUP(S336,'[1]plan gier'!$X$1:$AN$65536,15,FALSE))</f>
        <v>13</v>
      </c>
      <c r="AM336" s="75">
        <f>IF(ISBLANK(S336),"",VLOOKUP(S336,'[1]plan gier'!$X$1:$AN$65536,16,FALSE))</f>
        <v>0</v>
      </c>
      <c r="AN336" s="75">
        <f>IF(ISBLANK(S336),"",VLOOKUP(S336,'[1]plan gier'!$X$1:$AN$65536,17,FALSE))</f>
        <v>0</v>
      </c>
      <c r="AO336" s="76">
        <f t="shared" si="35"/>
        <v>21</v>
      </c>
      <c r="AP336" s="75">
        <f t="shared" si="35"/>
        <v>18</v>
      </c>
      <c r="AQ336" s="77">
        <f t="shared" si="35"/>
        <v>21</v>
      </c>
      <c r="AR336" s="75">
        <f t="shared" si="35"/>
        <v>13</v>
      </c>
      <c r="AS336" s="77">
        <f t="shared" si="35"/>
        <v>0</v>
      </c>
      <c r="AT336" s="75">
        <f t="shared" si="35"/>
        <v>0</v>
      </c>
      <c r="AU336" s="54">
        <f>SUM(AO336:AT336)</f>
        <v>73</v>
      </c>
      <c r="AV336" s="13">
        <v>3</v>
      </c>
      <c r="AW336" s="74">
        <f>IF(AI334&lt;AJ334,1,0)+IF(AK334&lt;AL334,1,0)+IF(AM334&lt;AN334,1,0)</f>
        <v>2</v>
      </c>
      <c r="AX336" s="75">
        <f>BA334</f>
        <v>1</v>
      </c>
      <c r="AY336" s="75">
        <f>IF(AI335&lt;AJ335,1,0)+IF(AK335&lt;AL335,1,0)+IF(AM335&lt;AN335,1,0)</f>
        <v>2</v>
      </c>
      <c r="AZ336" s="75">
        <f>BA335</f>
        <v>1</v>
      </c>
      <c r="BA336" s="78"/>
      <c r="BB336" s="79"/>
      <c r="BE336" s="74">
        <f>AP334+AR334+AT334+AP335+AR335+AT335</f>
        <v>114</v>
      </c>
      <c r="BF336" s="80">
        <f>AO334+AQ334+AS334+AO335+AQ335+AS335</f>
        <v>92</v>
      </c>
      <c r="BG336" s="74">
        <f>AW336+AY336</f>
        <v>4</v>
      </c>
      <c r="BH336" s="80">
        <f>AX336+AZ336</f>
        <v>2</v>
      </c>
      <c r="BI336" s="74">
        <f>IF(AW336&gt;AX336,1,0)+IF(AY336&gt;AZ336,1,0)</f>
        <v>2</v>
      </c>
      <c r="BJ336" s="81">
        <f>IF(AX336&gt;AW336,1,0)+IF(AZ336&gt;AY336,1,0)</f>
        <v>0</v>
      </c>
      <c r="BK336" s="82">
        <f>IF(BI336+BJ336=0,"",IF(BL336=MAX(BL334:BL336),1,IF(BL336=MIN(BL334:BL336),3,2)))</f>
        <v>1</v>
      </c>
      <c r="BL336" s="60">
        <f>IF(BI336+BJ336&lt;&gt;0,BI336+1+(BG336-BH336)/100+(BE336-BF336)/100000+(BE336/BF336)/1000000,0)</f>
        <v>3.0202212391304348</v>
      </c>
    </row>
    <row r="337" spans="1:64" ht="11.45" customHeight="1" x14ac:dyDescent="0.2">
      <c r="A337" s="2"/>
      <c r="J337" s="28"/>
      <c r="K337" s="28"/>
      <c r="L337" s="28"/>
      <c r="O337" s="28"/>
      <c r="P337" s="28"/>
      <c r="Q337" s="2"/>
      <c r="R337" s="2"/>
      <c r="S337" s="2"/>
      <c r="T337" s="241">
        <v>3</v>
      </c>
      <c r="U337" s="244" t="str">
        <f>IF(AND(N338&lt;&gt;"",N339&lt;&gt;""),CONCATENATE(VLOOKUP(N338,[1]zawodnicy!$A$1:$E$65536,1,FALSE)," ",VLOOKUP(N338,[1]zawodnicy!$A$1:$E$65536,2,FALSE)," ",VLOOKUP(N338,[1]zawodnicy!$A$1:$E$65536,3,FALSE)," - ",VLOOKUP(N338,[1]zawodnicy!$A$1:$E$65536,4,FALSE)),"")</f>
        <v>B4431 Michał BIENIA - UKS Aktywna Piątka Przemyśl</v>
      </c>
      <c r="V337" s="245"/>
      <c r="W337" s="246"/>
      <c r="X337" s="46" t="str">
        <f>IF(SUM(AO334:AP334)=0,"",AP334&amp;":"&amp;AO334)</f>
        <v>21:12</v>
      </c>
      <c r="Y337" s="83" t="str">
        <f>IF(SUM(AO335:AP335)=0,"",AP335&amp;":"&amp;AO335)</f>
        <v>21:11</v>
      </c>
      <c r="Z337" s="84"/>
      <c r="AA337" s="247" t="str">
        <f>IF(SUM(AW336:AZ336)=0,"",BE336&amp;":"&amp;BF336)</f>
        <v>114:92</v>
      </c>
      <c r="AB337" s="250" t="str">
        <f>IF(SUM(AW336:AZ336)=0,"",BG336&amp;":"&amp;BH336)</f>
        <v>4:2</v>
      </c>
      <c r="AC337" s="250" t="str">
        <f>IF(SUM(AW336:AZ336)=0,"",BI336&amp;":"&amp;BJ336)</f>
        <v>2:0</v>
      </c>
      <c r="AD337" s="253">
        <f>IF(SUM(BI334:BI336)&gt;0,BK336,"")</f>
        <v>1</v>
      </c>
      <c r="AE337" s="2"/>
      <c r="AF337" s="12"/>
      <c r="AG337" s="12"/>
      <c r="BE337" s="19">
        <f>SUM(BE334:BE336)</f>
        <v>279</v>
      </c>
      <c r="BF337" s="19">
        <f>SUM(BF334:BF336)</f>
        <v>279</v>
      </c>
      <c r="BG337" s="19">
        <f>SUM(BG334:BG336)</f>
        <v>8</v>
      </c>
      <c r="BH337" s="19">
        <f>SUM(BH334:BH336)</f>
        <v>8</v>
      </c>
      <c r="BK337" s="19"/>
      <c r="BL337" s="20"/>
    </row>
    <row r="338" spans="1:64" ht="11.45" customHeight="1" x14ac:dyDescent="0.2">
      <c r="A338" s="19"/>
      <c r="J338" s="19"/>
      <c r="K338" s="19"/>
      <c r="L338" s="19"/>
      <c r="N338" s="33" t="s">
        <v>221</v>
      </c>
      <c r="O338" s="34">
        <f>IF(O330&gt;0,(O330&amp;3)*1,"")</f>
        <v>73</v>
      </c>
      <c r="Q338" s="85"/>
      <c r="R338" s="85"/>
      <c r="S338" s="85"/>
      <c r="T338" s="242"/>
      <c r="U338" s="244" t="str">
        <f>IF(AND(N338&lt;&gt;"",N339=""),CONCATENATE(VLOOKUP(N338,[1]zawodnicy!$A$1:$E$65536,1,FALSE)," ",VLOOKUP(N338,[1]zawodnicy!$A$1:$E$65536,2,FALSE)," ",VLOOKUP(N338,[1]zawodnicy!$A$1:$E$65536,3,FALSE)," - ",VLOOKUP(N338,[1]zawodnicy!$A$1:$E$65536,4,FALSE)),"")</f>
        <v/>
      </c>
      <c r="V338" s="245"/>
      <c r="W338" s="246"/>
      <c r="X338" s="61" t="str">
        <f>IF(SUM(AQ334:AR334)=0,"",AR334&amp;":"&amp;AQ334)</f>
        <v>10:21</v>
      </c>
      <c r="Y338" s="36" t="str">
        <f>IF(SUM(AQ335:AR335)=0,"",AR335&amp;":"&amp;AQ335)</f>
        <v>20:22</v>
      </c>
      <c r="Z338" s="86"/>
      <c r="AA338" s="248"/>
      <c r="AB338" s="251"/>
      <c r="AC338" s="251"/>
      <c r="AD338" s="254"/>
      <c r="AE338" s="2"/>
      <c r="AF338" s="12"/>
      <c r="AG338" s="1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row>
    <row r="339" spans="1:64" ht="11.45" customHeight="1" thickBot="1" x14ac:dyDescent="0.25">
      <c r="A339" s="2"/>
      <c r="J339" s="28"/>
      <c r="K339" s="28"/>
      <c r="L339" s="28"/>
      <c r="N339" s="38" t="s">
        <v>209</v>
      </c>
      <c r="O339" s="28"/>
      <c r="P339" s="28"/>
      <c r="Q339" s="2"/>
      <c r="R339" s="2"/>
      <c r="S339" s="2"/>
      <c r="T339" s="243"/>
      <c r="U339" s="256" t="str">
        <f>IF(N339&lt;&gt;"",CONCATENATE(VLOOKUP(N339,[1]zawodnicy!$A$1:$E$65536,1,FALSE)," ",VLOOKUP(N339,[1]zawodnicy!$A$1:$E$65536,2,FALSE)," ",VLOOKUP(N339,[1]zawodnicy!$A$1:$E$65536,3,FALSE)," - ",VLOOKUP(N339,[1]zawodnicy!$A$1:$E$65536,4,FALSE)),"")</f>
        <v>G3411 Magdalena GOLENIA - UKS Sokół Ropczyce</v>
      </c>
      <c r="V339" s="257"/>
      <c r="W339" s="258"/>
      <c r="X339" s="87" t="str">
        <f>IF(SUM(AS334:AT334)=0,"",AT334&amp;":"&amp;AS334)</f>
        <v>21:15</v>
      </c>
      <c r="Y339" s="88" t="str">
        <f>IF(SUM(AS335:AT335)=0,"",AT335&amp;":"&amp;AS335)</f>
        <v>21:11</v>
      </c>
      <c r="Z339" s="89"/>
      <c r="AA339" s="249"/>
      <c r="AB339" s="252"/>
      <c r="AC339" s="252"/>
      <c r="AD339" s="255"/>
      <c r="AE339" s="10"/>
      <c r="AF339" s="12"/>
      <c r="AG339" s="1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row>
    <row r="340" spans="1:64" s="19" customFormat="1" ht="5.0999999999999996" customHeight="1" thickBot="1" x14ac:dyDescent="0.25">
      <c r="M340" s="90"/>
      <c r="O340" s="90"/>
      <c r="P340" s="90"/>
      <c r="Q340" s="91"/>
      <c r="R340" s="91"/>
      <c r="S340" s="91"/>
      <c r="T340" s="91"/>
      <c r="U340" s="5"/>
      <c r="V340" s="5"/>
      <c r="W340" s="5"/>
      <c r="AA340" s="92"/>
      <c r="AB340" s="91"/>
      <c r="AC340" s="91"/>
      <c r="AD340" s="91"/>
      <c r="AE340" s="91"/>
      <c r="AF340" s="91"/>
      <c r="AI340" s="93"/>
      <c r="AJ340" s="94"/>
      <c r="AK340" s="94"/>
    </row>
    <row r="341" spans="1:64" ht="11.45" customHeight="1" thickBot="1" x14ac:dyDescent="0.25">
      <c r="B341" s="2" t="s">
        <v>63</v>
      </c>
      <c r="N341" s="138"/>
      <c r="O341" s="21">
        <v>8</v>
      </c>
      <c r="Q341" s="277" t="str">
        <f>"Grupa "&amp;O341&amp;"."</f>
        <v>Grupa 8.</v>
      </c>
      <c r="R341" s="277"/>
      <c r="S341" s="277"/>
      <c r="T341" s="22" t="s">
        <v>1</v>
      </c>
      <c r="U341" s="278" t="s">
        <v>2</v>
      </c>
      <c r="V341" s="279"/>
      <c r="W341" s="280"/>
      <c r="X341" s="22">
        <v>1</v>
      </c>
      <c r="Y341" s="139">
        <v>2</v>
      </c>
      <c r="Z341" s="23">
        <v>3</v>
      </c>
      <c r="AA341" s="140">
        <v>4</v>
      </c>
      <c r="AB341" s="141" t="s">
        <v>3</v>
      </c>
      <c r="AC341" s="142" t="s">
        <v>4</v>
      </c>
      <c r="AD341" s="26" t="s">
        <v>5</v>
      </c>
      <c r="AE341" s="143" t="s">
        <v>6</v>
      </c>
      <c r="AF341" s="12"/>
      <c r="AG341" s="12"/>
      <c r="AI341" s="273" t="s">
        <v>9</v>
      </c>
      <c r="AJ341" s="273"/>
      <c r="AK341" s="273"/>
      <c r="AL341" s="273"/>
      <c r="AM341" s="273"/>
      <c r="AN341" s="273"/>
      <c r="AO341" s="273" t="s">
        <v>10</v>
      </c>
      <c r="AP341" s="273"/>
      <c r="AQ341" s="273"/>
      <c r="AR341" s="273"/>
      <c r="AS341" s="273"/>
      <c r="AT341" s="273"/>
      <c r="BK341" s="19"/>
      <c r="BL341" s="20"/>
    </row>
    <row r="342" spans="1:64" ht="11.45" customHeight="1" x14ac:dyDescent="0.2">
      <c r="N342" s="29" t="s">
        <v>263</v>
      </c>
      <c r="Q342" s="274" t="s">
        <v>7</v>
      </c>
      <c r="R342" s="274"/>
      <c r="S342" s="275" t="s">
        <v>8</v>
      </c>
      <c r="T342" s="242">
        <v>1</v>
      </c>
      <c r="U342" s="244" t="str">
        <f>IF(AND(N343&lt;&gt;"",N344&lt;&gt;""),CONCATENATE(VLOOKUP(N343,[1]zawodnicy!$A$1:$E$65536,1,FALSE)," ",VLOOKUP(N343,[1]zawodnicy!$A$1:$E$65536,2,FALSE)," ",VLOOKUP(N343,[1]zawodnicy!$A$1:$E$65536,3,FALSE)," - ",VLOOKUP(N343,[1]zawodnicy!$A$1:$E$65536,4,FALSE)),"")</f>
        <v>S4287 Michał SOBOLEWSKI - SKB Suwałki</v>
      </c>
      <c r="V342" s="245"/>
      <c r="W342" s="246"/>
      <c r="X342" s="35"/>
      <c r="Y342" s="36" t="str">
        <f>IF(SUM(AO350:AP350)=0,"",AO350&amp;":"&amp;AP350)</f>
        <v>21:17</v>
      </c>
      <c r="Z342" s="36" t="str">
        <f>IF(SUM(AO345:AP345)=0,"",AO345&amp;":"&amp;AP345)</f>
        <v>14:21</v>
      </c>
      <c r="AA342" s="144" t="str">
        <f>IF(SUM(AO347:AP347)=0,"",AO347&amp;":"&amp;AP347)</f>
        <v>21:9</v>
      </c>
      <c r="AB342" s="242" t="str">
        <f>IF(SUM(AY345:BD345)=0,"",BE345&amp;":"&amp;BF345)</f>
        <v>140:103</v>
      </c>
      <c r="AC342" s="251" t="str">
        <f>IF(SUM(AY345:BD345)=0,"",BG345&amp;":"&amp;BH345)</f>
        <v>6:1</v>
      </c>
      <c r="AD342" s="251" t="str">
        <f>IF(SUM(AY345:BD345)=0,"",BI345&amp;":"&amp;BJ345)</f>
        <v>3:0</v>
      </c>
      <c r="AE342" s="254">
        <f>IF(SUM(BI345:BI348)&gt;0,BK345,"")</f>
        <v>1</v>
      </c>
      <c r="AF342" s="12"/>
      <c r="AG342" s="12"/>
      <c r="BK342" s="19"/>
      <c r="BL342" s="20"/>
    </row>
    <row r="343" spans="1:64" ht="11.45" customHeight="1" thickBot="1" x14ac:dyDescent="0.25">
      <c r="H343" s="10"/>
      <c r="I343" s="2" t="str">
        <f>"1"&amp;O341&amp;N342</f>
        <v>18mieszana M</v>
      </c>
      <c r="J343" s="10" t="str">
        <f>IF(AE342="","",IF(AE342=1,N343,IF(AE345=1,N346,IF(AE348=1,N349,IF(AE351=1,N352,"")))))</f>
        <v>S4287</v>
      </c>
      <c r="K343" s="10" t="str">
        <f>IF(AE342="","",IF(AE342=1,N344,IF(AE345=1,N347,IF(AE348=1,N350,IF(AE351=1,N353,"")))))</f>
        <v>P4286</v>
      </c>
      <c r="L343" s="10"/>
      <c r="N343" s="33" t="s">
        <v>234</v>
      </c>
      <c r="O343" s="34">
        <f>IF(O341&gt;0,(O341&amp;1)*1,"")</f>
        <v>81</v>
      </c>
      <c r="Q343" s="274"/>
      <c r="R343" s="274"/>
      <c r="S343" s="275"/>
      <c r="T343" s="242"/>
      <c r="U343" s="244" t="str">
        <f>IF(AND(N343&lt;&gt;"",N344=""),CONCATENATE(VLOOKUP(N343,[1]zawodnicy!$A$1:$E$65536,1,FALSE)," ",VLOOKUP(N343,[1]zawodnicy!$A$1:$E$65536,2,FALSE)," ",VLOOKUP(N343,[1]zawodnicy!$A$1:$E$65536,3,FALSE)," - ",VLOOKUP(N343,[1]zawodnicy!$A$1:$E$65536,4,FALSE)),"")</f>
        <v/>
      </c>
      <c r="V343" s="245"/>
      <c r="W343" s="246"/>
      <c r="X343" s="35"/>
      <c r="Y343" s="36" t="str">
        <f>IF(SUM(AQ350:AR350)=0,"",AQ350&amp;":"&amp;AR350)</f>
        <v>21:13</v>
      </c>
      <c r="Z343" s="36" t="str">
        <f>IF(SUM(AQ345:AR345)=0,"",AQ345&amp;":"&amp;AR345)</f>
        <v>21:19</v>
      </c>
      <c r="AA343" s="144" t="str">
        <f>IF(SUM(AQ347:AR347)=0,"",AQ347&amp;":"&amp;AR347)</f>
        <v>21:8</v>
      </c>
      <c r="AB343" s="242"/>
      <c r="AC343" s="251"/>
      <c r="AD343" s="251"/>
      <c r="AE343" s="254"/>
      <c r="AF343" s="12"/>
      <c r="AG343" s="12"/>
      <c r="BK343" s="19"/>
      <c r="BL343" s="20"/>
    </row>
    <row r="344" spans="1:64" ht="11.45" customHeight="1" thickBot="1" x14ac:dyDescent="0.25">
      <c r="J344" s="10"/>
      <c r="K344" s="28"/>
      <c r="L344" s="28"/>
      <c r="N344" s="38" t="s">
        <v>276</v>
      </c>
      <c r="O344" s="28"/>
      <c r="P344" s="28"/>
      <c r="Q344" s="274"/>
      <c r="R344" s="274"/>
      <c r="S344" s="275"/>
      <c r="T344" s="261"/>
      <c r="U344" s="265" t="str">
        <f>IF(N344&lt;&gt;"",CONCATENATE(VLOOKUP(N344,[1]zawodnicy!$A$1:$E$65536,1,FALSE)," ",VLOOKUP(N344,[1]zawodnicy!$A$1:$E$65536,2,FALSE)," ",VLOOKUP(N344,[1]zawodnicy!$A$1:$E$65536,3,FALSE)," - ",VLOOKUP(N344,[1]zawodnicy!$A$1:$E$65536,4,FALSE)),"")</f>
        <v>P4286 Ewelina PODZIEWSKA - SKB Suwałki</v>
      </c>
      <c r="V344" s="266"/>
      <c r="W344" s="267"/>
      <c r="X344" s="35"/>
      <c r="Y344" s="39" t="str">
        <f>IF(SUM(AS350:AT350)=0,"",AS350&amp;":"&amp;AT350)</f>
        <v/>
      </c>
      <c r="Z344" s="39" t="str">
        <f>IF(SUM(AS345:AT345)=0,"",AS345&amp;":"&amp;AT345)</f>
        <v>21:16</v>
      </c>
      <c r="AA344" s="145" t="str">
        <f>IF(SUM(AS347:AT347)=0,"",AS347&amp;":"&amp;AT347)</f>
        <v/>
      </c>
      <c r="AB344" s="242"/>
      <c r="AC344" s="251"/>
      <c r="AD344" s="251"/>
      <c r="AE344" s="254"/>
      <c r="AF344" s="12"/>
      <c r="AG344" s="12"/>
      <c r="AI344" s="283" t="s">
        <v>12</v>
      </c>
      <c r="AJ344" s="281"/>
      <c r="AK344" s="281" t="s">
        <v>13</v>
      </c>
      <c r="AL344" s="281"/>
      <c r="AM344" s="281" t="s">
        <v>14</v>
      </c>
      <c r="AN344" s="281"/>
      <c r="AO344" s="283" t="s">
        <v>12</v>
      </c>
      <c r="AP344" s="281"/>
      <c r="AQ344" s="281" t="s">
        <v>13</v>
      </c>
      <c r="AR344" s="281"/>
      <c r="AS344" s="281" t="s">
        <v>14</v>
      </c>
      <c r="AT344" s="282"/>
      <c r="AW344" s="283">
        <v>1</v>
      </c>
      <c r="AX344" s="281"/>
      <c r="AY344" s="281">
        <v>2</v>
      </c>
      <c r="AZ344" s="281"/>
      <c r="BA344" s="281">
        <v>3</v>
      </c>
      <c r="BB344" s="281"/>
      <c r="BC344" s="281">
        <v>4</v>
      </c>
      <c r="BD344" s="282"/>
      <c r="BE344" s="283" t="s">
        <v>3</v>
      </c>
      <c r="BF344" s="282"/>
      <c r="BG344" s="283" t="s">
        <v>4</v>
      </c>
      <c r="BH344" s="282"/>
      <c r="BI344" s="283" t="s">
        <v>5</v>
      </c>
      <c r="BJ344" s="268"/>
      <c r="BK344" s="41" t="s">
        <v>6</v>
      </c>
      <c r="BL344" s="20"/>
    </row>
    <row r="345" spans="1:64" ht="11.45" customHeight="1" x14ac:dyDescent="0.2">
      <c r="A345" s="19">
        <f t="shared" ref="A345:A350" si="36">S345</f>
        <v>56</v>
      </c>
      <c r="B345" s="19" t="str">
        <f>IF(N343="","",N343)</f>
        <v>S4287</v>
      </c>
      <c r="C345" s="19" t="str">
        <f>IF(N344="","",N344)</f>
        <v>P4286</v>
      </c>
      <c r="D345" s="19" t="str">
        <f>IF(N349="","",N349)</f>
        <v>P4121</v>
      </c>
      <c r="E345" s="19" t="str">
        <f>IF(N350="","",N350)</f>
        <v>R4591</v>
      </c>
      <c r="H345" s="10"/>
      <c r="I345" s="2" t="str">
        <f>"2"&amp;O341&amp;N342</f>
        <v>28mieszana M</v>
      </c>
      <c r="J345" s="10" t="str">
        <f>IF(AE345="","",IF(AE342=2,N343,IF(AE345=2,N346,IF(AE348=2,N349,IF(AE351=2,N352,"")))))</f>
        <v>P4121</v>
      </c>
      <c r="K345" s="10" t="str">
        <f>IF(AE345="","",IF(AE342=2,N344,IF(AE345=2,N347,IF(AE348=2,N350,IF(AE351=2,N353,"")))))</f>
        <v>R4591</v>
      </c>
      <c r="L345" s="10"/>
      <c r="M345" s="42" t="str">
        <f>N342</f>
        <v>mieszana M</v>
      </c>
      <c r="O345" s="28"/>
      <c r="P345" s="28"/>
      <c r="Q345" s="43" t="str">
        <f>IF(AU345&gt;0,"",IF(A345=0,"",IF(VLOOKUP(A345,'[1]plan gier'!A$1:S$65536,19,FALSE)="","",VLOOKUP(A345,'[1]plan gier'!A$1:S$65536,19,FALSE))))</f>
        <v/>
      </c>
      <c r="R345" s="44" t="s">
        <v>15</v>
      </c>
      <c r="S345" s="146">
        <v>56</v>
      </c>
      <c r="T345" s="241">
        <v>2</v>
      </c>
      <c r="U345" s="244" t="str">
        <f>IF(AND(N346&lt;&gt;"",N347&lt;&gt;""),CONCATENATE(VLOOKUP(N346,[1]zawodnicy!$A$1:$E$65536,1,FALSE)," ",VLOOKUP(N346,[1]zawodnicy!$A$1:$E$65536,2,FALSE)," ",VLOOKUP(N346,[1]zawodnicy!$A$1:$E$65536,3,FALSE)," - ",VLOOKUP(N346,[1]zawodnicy!$A$1:$E$65536,4,FALSE)),"")</f>
        <v>R4718 Patryk RÓG - MKS Stal Nowa Dęba</v>
      </c>
      <c r="V345" s="245"/>
      <c r="W345" s="246"/>
      <c r="X345" s="46" t="str">
        <f>IF(SUM(AO350:AP350)=0,"",AP350&amp;":"&amp;AO350)</f>
        <v>17:21</v>
      </c>
      <c r="Y345" s="147"/>
      <c r="Z345" s="83" t="str">
        <f>IF(SUM(AO348:AP348)=0,"",AO348&amp;":"&amp;AP348)</f>
        <v>11:21</v>
      </c>
      <c r="AA345" s="48" t="str">
        <f>IF(SUM(AO346:AP346)=0,"",AO346&amp;":"&amp;AP346)</f>
        <v>18:21</v>
      </c>
      <c r="AB345" s="241" t="str">
        <f>IF(SUM(AW346:AX346,BA346:BD346)=0,"",BE346&amp;":"&amp;BF346)</f>
        <v>116:129</v>
      </c>
      <c r="AC345" s="250" t="str">
        <f>IF(SUM(AW346:AX346,BA346:BD346)=0,"",BG346&amp;":"&amp;BH346)</f>
        <v>2:5</v>
      </c>
      <c r="AD345" s="250" t="str">
        <f>IF(SUM(AW346:AX346,BA346:BD346)=0,"",BI346&amp;":"&amp;BJ346)</f>
        <v>1:2</v>
      </c>
      <c r="AE345" s="253">
        <f>IF(SUM(BI345:BI348)&gt;0,BK346,"")</f>
        <v>3</v>
      </c>
      <c r="AF345" s="12"/>
      <c r="AG345" s="12"/>
      <c r="AH345" s="44" t="s">
        <v>15</v>
      </c>
      <c r="AI345" s="148">
        <f>IF(ISBLANK(S345),"",VLOOKUP(S345,'[1]plan gier'!$X$1:$AN$65536,12,FALSE))</f>
        <v>14</v>
      </c>
      <c r="AJ345" s="52">
        <f>IF(ISBLANK(S345),"",VLOOKUP(S345,'[1]plan gier'!$X$1:$AN$65536,13,FALSE))</f>
        <v>21</v>
      </c>
      <c r="AK345" s="52">
        <f>IF(ISBLANK(S345),"",VLOOKUP(S345,'[1]plan gier'!$X$1:$AN$65536,14,FALSE))</f>
        <v>21</v>
      </c>
      <c r="AL345" s="52">
        <f>IF(ISBLANK(S345),"",VLOOKUP(S345,'[1]plan gier'!$X$1:$AN$65536,15,FALSE))</f>
        <v>19</v>
      </c>
      <c r="AM345" s="52">
        <f>IF(ISBLANK(S345),"",VLOOKUP(S345,'[1]plan gier'!$X$1:$AN$65536,16,FALSE))</f>
        <v>21</v>
      </c>
      <c r="AN345" s="52">
        <f>IF(ISBLANK(S345),"",VLOOKUP(S345,'[1]plan gier'!$X$1:$AN$65536,17,FALSE))</f>
        <v>16</v>
      </c>
      <c r="AO345" s="49">
        <f t="shared" ref="AO345:AT350" si="37">IF(AI345="",0,AI345)</f>
        <v>14</v>
      </c>
      <c r="AP345" s="50">
        <f t="shared" si="37"/>
        <v>21</v>
      </c>
      <c r="AQ345" s="50">
        <f t="shared" si="37"/>
        <v>21</v>
      </c>
      <c r="AR345" s="50">
        <f t="shared" si="37"/>
        <v>19</v>
      </c>
      <c r="AS345" s="50">
        <f t="shared" si="37"/>
        <v>21</v>
      </c>
      <c r="AT345" s="57">
        <f t="shared" si="37"/>
        <v>16</v>
      </c>
      <c r="AU345" s="149">
        <f t="shared" ref="AU345:AU350" si="38">SUM(AO345:AT345)</f>
        <v>112</v>
      </c>
      <c r="AV345" s="5">
        <v>1</v>
      </c>
      <c r="AW345" s="284"/>
      <c r="AX345" s="285"/>
      <c r="AY345" s="50">
        <f>IF(AI350&gt;AJ350,1,0)+IF(AK350&gt;AL350,1,0)+IF(AM350&gt;AN350,1,0)</f>
        <v>2</v>
      </c>
      <c r="AZ345" s="50">
        <f>AW346</f>
        <v>0</v>
      </c>
      <c r="BA345" s="50">
        <f>IF(AI345&gt;AJ345,1,0)+IF(AK345&gt;AL345,1,0)+IF(AM345&gt;AN345,1,0)</f>
        <v>2</v>
      </c>
      <c r="BB345" s="52">
        <f>AW347</f>
        <v>1</v>
      </c>
      <c r="BC345" s="150">
        <f>IF(AI347&gt;AJ347,1,0)+IF(AK347&gt;AL347,1,0)+IF(AM347&gt;AN347,1,0)</f>
        <v>2</v>
      </c>
      <c r="BD345" s="58">
        <f>AW348</f>
        <v>0</v>
      </c>
      <c r="BE345" s="148">
        <f>AO345+AQ345+AS345+AO347+AQ347+AS347+AO350+AQ350+AS350</f>
        <v>140</v>
      </c>
      <c r="BF345" s="151">
        <f>AP345+AR345+AT345+AP347+AR347+AT347+AP350+AR350+AT350</f>
        <v>103</v>
      </c>
      <c r="BG345" s="148">
        <f>AY345+BA345+BC345</f>
        <v>6</v>
      </c>
      <c r="BH345" s="152">
        <f>AZ345+BB345+BD345</f>
        <v>1</v>
      </c>
      <c r="BI345" s="148">
        <f>IF(AY345&gt;AZ345,1,0)+IF(BA345&gt;BB345,1,0)+IF(BC345&gt;BD345,1,0)</f>
        <v>3</v>
      </c>
      <c r="BJ345" s="152">
        <f>IF(AZ345&gt;AY345,1,0)+IF(BB345&gt;BA345,1,0)+IF(BD345&gt;BC345,1,0)</f>
        <v>0</v>
      </c>
      <c r="BK345" s="153">
        <f>IF(BI345+BJ345=0,"",IF(BL345=MAX(BL345:BL348),1,IF(BL345=LARGE(BL345:BL348,2),2,IF(BL345=MIN(BL345:BL348),4,3))))</f>
        <v>1</v>
      </c>
      <c r="BL345" s="60">
        <f>IF(BI345+BJ345&lt;&gt;0,BI345+1+(BG345-BH345)/100+(BE345-BF345)/100000+(BE345/BF345)/1000000,0)</f>
        <v>4.050371359223301</v>
      </c>
    </row>
    <row r="346" spans="1:64" ht="11.45" customHeight="1" x14ac:dyDescent="0.2">
      <c r="A346" s="19">
        <f t="shared" si="36"/>
        <v>57</v>
      </c>
      <c r="B346" s="19" t="str">
        <f>IF(N346="","",N346)</f>
        <v>R4718</v>
      </c>
      <c r="C346" s="19" t="str">
        <f>IF(N347="","",N347)</f>
        <v>X22</v>
      </c>
      <c r="D346" s="19" t="str">
        <f>IF(N352="","",N352)</f>
        <v>K5874</v>
      </c>
      <c r="E346" s="19" t="str">
        <f>IF(N353="","",N353)</f>
        <v>W4281</v>
      </c>
      <c r="J346" s="10"/>
      <c r="K346" s="19"/>
      <c r="L346" s="19"/>
      <c r="M346" s="42" t="str">
        <f>N342</f>
        <v>mieszana M</v>
      </c>
      <c r="N346" s="33" t="s">
        <v>238</v>
      </c>
      <c r="O346" s="34">
        <f>IF(O341&gt;0,(O341&amp;2)*1,"")</f>
        <v>82</v>
      </c>
      <c r="Q346" s="43" t="str">
        <f>IF(AU346&gt;0,"",IF(A346=0,"",IF(VLOOKUP(A346,'[1]plan gier'!A$1:S$65536,19,FALSE)="","",VLOOKUP(A346,'[1]plan gier'!A$1:S$65536,19,FALSE))))</f>
        <v/>
      </c>
      <c r="R346" s="44" t="s">
        <v>66</v>
      </c>
      <c r="S346" s="146">
        <v>57</v>
      </c>
      <c r="T346" s="242"/>
      <c r="U346" s="244" t="str">
        <f>IF(AND(N346&lt;&gt;"",N347=""),CONCATENATE(VLOOKUP(N346,[1]zawodnicy!$A$1:$E$65536,1,FALSE)," ",VLOOKUP(N346,[1]zawodnicy!$A$1:$E$65536,2,FALSE)," ",VLOOKUP(N346,[1]zawodnicy!$A$1:$E$65536,3,FALSE)," - ",VLOOKUP(N346,[1]zawodnicy!$A$1:$E$65536,4,FALSE)),"")</f>
        <v/>
      </c>
      <c r="V346" s="245"/>
      <c r="W346" s="246"/>
      <c r="X346" s="61" t="str">
        <f>IF(SUM(AQ350:AR350)=0,"",AR350&amp;":"&amp;AQ350)</f>
        <v>13:21</v>
      </c>
      <c r="Y346" s="154"/>
      <c r="Z346" s="36" t="str">
        <f>IF(SUM(AQ348:AR348)=0,"",AQ348&amp;":"&amp;AR348)</f>
        <v>15:21</v>
      </c>
      <c r="AA346" s="37" t="str">
        <f>IF(SUM(AQ346:AR346)=0,"",AQ346&amp;":"&amp;AR346)</f>
        <v>21:15</v>
      </c>
      <c r="AB346" s="242"/>
      <c r="AC346" s="251"/>
      <c r="AD346" s="251"/>
      <c r="AE346" s="254"/>
      <c r="AF346" s="12"/>
      <c r="AG346" s="12"/>
      <c r="AH346" s="44" t="s">
        <v>66</v>
      </c>
      <c r="AI346" s="49">
        <f>IF(ISBLANK(S346),"",VLOOKUP(S346,'[1]plan gier'!$X$1:$AN$65536,12,FALSE))</f>
        <v>18</v>
      </c>
      <c r="AJ346" s="50">
        <f>IF(ISBLANK(S346),"",VLOOKUP(S346,'[1]plan gier'!$X$1:$AN$65536,13,FALSE))</f>
        <v>21</v>
      </c>
      <c r="AK346" s="50">
        <f>IF(ISBLANK(S346),"",VLOOKUP(S346,'[1]plan gier'!$X$1:$AN$65536,14,FALSE))</f>
        <v>21</v>
      </c>
      <c r="AL346" s="50">
        <f>IF(ISBLANK(S346),"",VLOOKUP(S346,'[1]plan gier'!$X$1:$AN$65536,15,FALSE))</f>
        <v>15</v>
      </c>
      <c r="AM346" s="50">
        <f>IF(ISBLANK(S346),"",VLOOKUP(S346,'[1]plan gier'!$X$1:$AN$65536,16,FALSE))</f>
        <v>21</v>
      </c>
      <c r="AN346" s="50">
        <f>IF(ISBLANK(S346),"",VLOOKUP(S346,'[1]plan gier'!$X$1:$AN$65536,17,FALSE))</f>
        <v>9</v>
      </c>
      <c r="AO346" s="63">
        <f t="shared" si="37"/>
        <v>18</v>
      </c>
      <c r="AP346" s="64">
        <f t="shared" si="37"/>
        <v>21</v>
      </c>
      <c r="AQ346" s="64">
        <f t="shared" si="37"/>
        <v>21</v>
      </c>
      <c r="AR346" s="64">
        <f t="shared" si="37"/>
        <v>15</v>
      </c>
      <c r="AS346" s="64">
        <f t="shared" si="37"/>
        <v>21</v>
      </c>
      <c r="AT346" s="69">
        <f t="shared" si="37"/>
        <v>9</v>
      </c>
      <c r="AU346" s="149">
        <f t="shared" si="38"/>
        <v>105</v>
      </c>
      <c r="AV346" s="5">
        <v>2</v>
      </c>
      <c r="AW346" s="63">
        <f>IF(AI350&lt;AJ350,1,0)+IF(AK350&lt;AL350,1,0)+IF(AM350&lt;AN350,1,0)</f>
        <v>0</v>
      </c>
      <c r="AX346" s="64">
        <f>AY345</f>
        <v>2</v>
      </c>
      <c r="AY346" s="155"/>
      <c r="AZ346" s="156"/>
      <c r="BA346" s="64">
        <f>IF(AI348&gt;AJ348,1,0)+IF(AK348&gt;AL348,1,0)+IF(AM348&gt;AN348,1,0)</f>
        <v>0</v>
      </c>
      <c r="BB346" s="64">
        <f>AY347</f>
        <v>2</v>
      </c>
      <c r="BC346" s="157">
        <f>IF(AI346&gt;AJ346,1,0)+IF(AK346&gt;AL346,1,0)+IF(AM346&gt;AN346,1,0)</f>
        <v>2</v>
      </c>
      <c r="BD346" s="70">
        <f>AY348</f>
        <v>1</v>
      </c>
      <c r="BE346" s="63">
        <f>AO346+AQ346+AS346+AO348+AQ348+AS348+AP350+AR350+AT350</f>
        <v>116</v>
      </c>
      <c r="BF346" s="70">
        <f>AP346+AR346+AT346+AP348+AR348+AT348+AO350+AQ350+AS350</f>
        <v>129</v>
      </c>
      <c r="BG346" s="63">
        <f>AW346+BA346+BC346</f>
        <v>2</v>
      </c>
      <c r="BH346" s="69">
        <f>AX346+BB346+BD346</f>
        <v>5</v>
      </c>
      <c r="BI346" s="63">
        <f>IF(AW346&gt;AX346,1,0)+IF(BA346&gt;BB346,1,0)+IF(BC346&gt;BD346,1,0)</f>
        <v>1</v>
      </c>
      <c r="BJ346" s="69">
        <f>IF(AX346&gt;AW346,1,0)+IF(BB346&gt;BA346,1,0)+IF(BD346&gt;BC346,1,0)</f>
        <v>2</v>
      </c>
      <c r="BK346" s="71">
        <f>IF(BI346+BJ346=0,"",IF(BL346=MAX(BL345:BL348),1,IF(BL346=LARGE(BL345:BL348,2),2,IF(BL346=MIN(BL345:BL348),4,3))))</f>
        <v>3</v>
      </c>
      <c r="BL346" s="60">
        <f>IF(BI346+BJ346&lt;&gt;0,BI346+1+(BG346-BH346)/100+(BE346-BF346)/100000+(BE346/BF346)/1000000,0)</f>
        <v>1.9698708992248062</v>
      </c>
    </row>
    <row r="347" spans="1:64" ht="11.45" customHeight="1" x14ac:dyDescent="0.2">
      <c r="A347" s="19">
        <f t="shared" si="36"/>
        <v>122</v>
      </c>
      <c r="B347" s="19" t="str">
        <f>IF(N343="","",N343)</f>
        <v>S4287</v>
      </c>
      <c r="C347" s="19" t="str">
        <f>IF(N344="","",N344)</f>
        <v>P4286</v>
      </c>
      <c r="D347" s="19" t="str">
        <f>IF(N352="","",N352)</f>
        <v>K5874</v>
      </c>
      <c r="E347" s="19" t="str">
        <f>IF(N353="","",N353)</f>
        <v>W4281</v>
      </c>
      <c r="H347" s="10"/>
      <c r="I347" s="2" t="str">
        <f>"3"&amp;O341&amp;N342</f>
        <v>38mieszana M</v>
      </c>
      <c r="J347" s="10" t="str">
        <f>IF(AE348="","",IF(AE342=3,N343,IF(AE345=3,N346,IF(AE348=3,N349,IF(AE351=3,N352,"")))))</f>
        <v>R4718</v>
      </c>
      <c r="K347" s="10" t="str">
        <f>IF(AE348="","",IF(AE342=3,N344,IF(AE345=3,N347,IF(AE348=3,N350,IF(AE351=3,N353,"")))))</f>
        <v>X22</v>
      </c>
      <c r="L347" s="10"/>
      <c r="M347" s="42" t="str">
        <f>N342</f>
        <v>mieszana M</v>
      </c>
      <c r="N347" s="38" t="s">
        <v>277</v>
      </c>
      <c r="O347" s="28"/>
      <c r="P347" s="28"/>
      <c r="Q347" s="43" t="str">
        <f>IF(AU347&gt;0,"",IF(A347=0,"",IF(VLOOKUP(A347,'[1]plan gier'!A$1:S$65536,19,FALSE)="","",VLOOKUP(A347,'[1]plan gier'!A$1:S$65536,19,FALSE))))</f>
        <v/>
      </c>
      <c r="R347" s="44" t="s">
        <v>68</v>
      </c>
      <c r="S347" s="146">
        <v>122</v>
      </c>
      <c r="T347" s="261"/>
      <c r="U347" s="265" t="str">
        <f>IF(N347&lt;&gt;"",CONCATENATE(VLOOKUP(N347,[1]zawodnicy!$A$1:$E$65536,1,FALSE)," ",VLOOKUP(N347,[1]zawodnicy!$A$1:$E$65536,2,FALSE)," ",VLOOKUP(N347,[1]zawodnicy!$A$1:$E$65536,3,FALSE)," - ",VLOOKUP(N347,[1]zawodnicy!$A$1:$E$65536,4,FALSE)),"")</f>
        <v>X22 Elyzaveta NIKOLAEVA - Vinnica Ukraina</v>
      </c>
      <c r="V347" s="266"/>
      <c r="W347" s="267"/>
      <c r="X347" s="73" t="str">
        <f>IF(SUM(AS350:AT350)=0,"",AT350&amp;":"&amp;AS350)</f>
        <v/>
      </c>
      <c r="Y347" s="154"/>
      <c r="Z347" s="39" t="str">
        <f>IF(SUM(AS348:AT348)=0,"",AS348&amp;":"&amp;AT348)</f>
        <v/>
      </c>
      <c r="AA347" s="40" t="str">
        <f>IF(SUM(AS346:AT346)=0,"",AS346&amp;":"&amp;AT346)</f>
        <v>21:9</v>
      </c>
      <c r="AB347" s="242"/>
      <c r="AC347" s="251"/>
      <c r="AD347" s="251"/>
      <c r="AE347" s="254"/>
      <c r="AF347" s="12"/>
      <c r="AG347" s="12"/>
      <c r="AH347" s="44" t="s">
        <v>68</v>
      </c>
      <c r="AI347" s="49">
        <f>IF(ISBLANK(S347),"",VLOOKUP(S347,'[1]plan gier'!$X$1:$AN$65536,12,FALSE))</f>
        <v>21</v>
      </c>
      <c r="AJ347" s="50">
        <f>IF(ISBLANK(S347),"",VLOOKUP(S347,'[1]plan gier'!$X$1:$AN$65536,13,FALSE))</f>
        <v>9</v>
      </c>
      <c r="AK347" s="50">
        <f>IF(ISBLANK(S347),"",VLOOKUP(S347,'[1]plan gier'!$X$1:$AN$65536,14,FALSE))</f>
        <v>21</v>
      </c>
      <c r="AL347" s="50">
        <f>IF(ISBLANK(S347),"",VLOOKUP(S347,'[1]plan gier'!$X$1:$AN$65536,15,FALSE))</f>
        <v>8</v>
      </c>
      <c r="AM347" s="50">
        <f>IF(ISBLANK(S347),"",VLOOKUP(S347,'[1]plan gier'!$X$1:$AN$65536,16,FALSE))</f>
        <v>0</v>
      </c>
      <c r="AN347" s="50">
        <f>IF(ISBLANK(S347),"",VLOOKUP(S347,'[1]plan gier'!$X$1:$AN$65536,17,FALSE))</f>
        <v>0</v>
      </c>
      <c r="AO347" s="63">
        <f t="shared" si="37"/>
        <v>21</v>
      </c>
      <c r="AP347" s="64">
        <f t="shared" si="37"/>
        <v>9</v>
      </c>
      <c r="AQ347" s="64">
        <f t="shared" si="37"/>
        <v>21</v>
      </c>
      <c r="AR347" s="64">
        <f t="shared" si="37"/>
        <v>8</v>
      </c>
      <c r="AS347" s="64">
        <f t="shared" si="37"/>
        <v>0</v>
      </c>
      <c r="AT347" s="69">
        <f t="shared" si="37"/>
        <v>0</v>
      </c>
      <c r="AU347" s="149">
        <f t="shared" si="38"/>
        <v>59</v>
      </c>
      <c r="AV347" s="5">
        <v>3</v>
      </c>
      <c r="AW347" s="63">
        <f>IF(AI345&lt;AJ345,1,0)+IF(AK345&lt;AL345,1,0)+IF(AM345&lt;AN345,1,0)</f>
        <v>1</v>
      </c>
      <c r="AX347" s="64">
        <f>BA345</f>
        <v>2</v>
      </c>
      <c r="AY347" s="64">
        <f>IF(AI348&lt;AJ348,1,0)+IF(AK348&lt;AL348,1,0)+IF(AM348&lt;AN348,1,0)</f>
        <v>2</v>
      </c>
      <c r="AZ347" s="64">
        <f>BA346</f>
        <v>0</v>
      </c>
      <c r="BA347" s="155"/>
      <c r="BB347" s="156"/>
      <c r="BC347" s="64">
        <f>IF(AI349&gt;AJ349,1,0)+IF(AK349&gt;AL349,1,0)+IF(AM349&gt;AN349,1,0)</f>
        <v>2</v>
      </c>
      <c r="BD347" s="70">
        <f>BA348</f>
        <v>0</v>
      </c>
      <c r="BE347" s="158">
        <f>AP345+AR345+AT345+AP348+AR348+AT348+AO349+AQ349+AS349</f>
        <v>140</v>
      </c>
      <c r="BF347" s="159">
        <f>AO345+AQ345+AS345+AO348+AQ348+AS348+AP349+AR349+AT349</f>
        <v>97</v>
      </c>
      <c r="BG347" s="158">
        <f>AW347+AY347+BC347</f>
        <v>5</v>
      </c>
      <c r="BH347" s="160">
        <f>AX347+AZ347+BD347</f>
        <v>2</v>
      </c>
      <c r="BI347" s="63">
        <f>IF(AW347&gt;AX347,1,0)+IF(AY347&gt;AZ347,1,0)+IF(BC347&gt;BD347,1,0)</f>
        <v>2</v>
      </c>
      <c r="BJ347" s="69">
        <f>IF(AX347&gt;AW347,1,0)+IF(AZ347&gt;AY347,1,0)+IF(BD347&gt;BC347,1,0)</f>
        <v>1</v>
      </c>
      <c r="BK347" s="71">
        <f>IF(BI347+BJ347=0,"",IF(BL347=MAX(BL345:BL348),1,IF(BL347=LARGE(BL345:BL348,2),2,IF(BL347=MIN(BL345:BL348),4,3))))</f>
        <v>2</v>
      </c>
      <c r="BL347" s="60">
        <f>IF(BI347+BJ347&lt;&gt;0,BI347+1+(BG347-BH347)/100+(BE347-BF347)/100000+(BE347/BF347)/1000000,0)</f>
        <v>3.0304314432989692</v>
      </c>
    </row>
    <row r="348" spans="1:64" ht="11.45" customHeight="1" thickBot="1" x14ac:dyDescent="0.25">
      <c r="A348" s="19">
        <f t="shared" si="36"/>
        <v>123</v>
      </c>
      <c r="B348" s="19" t="str">
        <f>IF(N346="","",N346)</f>
        <v>R4718</v>
      </c>
      <c r="C348" s="19" t="str">
        <f>IF(N347="","",N347)</f>
        <v>X22</v>
      </c>
      <c r="D348" s="19" t="str">
        <f>IF(N349="","",N349)</f>
        <v>P4121</v>
      </c>
      <c r="E348" s="19" t="str">
        <f>IF(N350="","",N350)</f>
        <v>R4591</v>
      </c>
      <c r="J348" s="10"/>
      <c r="K348" s="28"/>
      <c r="L348" s="28"/>
      <c r="M348" s="42" t="str">
        <f>N342</f>
        <v>mieszana M</v>
      </c>
      <c r="O348" s="28"/>
      <c r="P348" s="28"/>
      <c r="Q348" s="43" t="str">
        <f>IF(AU348&gt;0,"",IF(A348=0,"",IF(VLOOKUP(A348,'[1]plan gier'!A$1:S$65536,19,FALSE)="","",VLOOKUP(A348,'[1]plan gier'!A$1:S$65536,19,FALSE))))</f>
        <v/>
      </c>
      <c r="R348" s="44" t="s">
        <v>17</v>
      </c>
      <c r="S348" s="146">
        <v>123</v>
      </c>
      <c r="T348" s="241">
        <v>3</v>
      </c>
      <c r="U348" s="244" t="str">
        <f>IF(AND(N349&lt;&gt;"",N350&lt;&gt;""),CONCATENATE(VLOOKUP(N349,[1]zawodnicy!$A$1:$E$65536,1,FALSE)," ",VLOOKUP(N349,[1]zawodnicy!$A$1:$E$65536,2,FALSE)," ",VLOOKUP(N349,[1]zawodnicy!$A$1:$E$65536,3,FALSE)," - ",VLOOKUP(N349,[1]zawodnicy!$A$1:$E$65536,4,FALSE)),"")</f>
        <v>P4121 Konrad PŁOCH - UKS Start Widełka</v>
      </c>
      <c r="V348" s="245"/>
      <c r="W348" s="246"/>
      <c r="X348" s="46" t="str">
        <f>IF(SUM(AO345:AP345)=0,"",AP345&amp;":"&amp;AO345)</f>
        <v>21:14</v>
      </c>
      <c r="Y348" s="83" t="str">
        <f>IF(SUM(AO348:AP348)=0,"",AP348&amp;":"&amp;AO348)</f>
        <v>21:11</v>
      </c>
      <c r="Z348" s="47"/>
      <c r="AA348" s="48" t="str">
        <f>IF(SUM(AO349:AP349)=0,"",AO349&amp;":"&amp;AP349)</f>
        <v>21:7</v>
      </c>
      <c r="AB348" s="241" t="str">
        <f>IF(SUM(AW347:AZ347,BC347:BD347)=0,"",BE347&amp;":"&amp;BF347)</f>
        <v>140:97</v>
      </c>
      <c r="AC348" s="250" t="str">
        <f>IF(SUM(AW347:AZ347,BC347:BD347)=0,"",BG347&amp;":"&amp;BH347)</f>
        <v>5:2</v>
      </c>
      <c r="AD348" s="250" t="str">
        <f>IF(SUM(AW347:AZ347,BC347:BD347)=0,"",BI347&amp;":"&amp;BJ347)</f>
        <v>2:1</v>
      </c>
      <c r="AE348" s="253">
        <f>IF(SUM(BI345:BI348)&gt;0,BK347,"")</f>
        <v>2</v>
      </c>
      <c r="AF348" s="12"/>
      <c r="AG348" s="12"/>
      <c r="AH348" s="44" t="s">
        <v>17</v>
      </c>
      <c r="AI348" s="49">
        <f>IF(ISBLANK(S348),"",VLOOKUP(S348,'[1]plan gier'!$X$1:$AN$65536,12,FALSE))</f>
        <v>11</v>
      </c>
      <c r="AJ348" s="50">
        <f>IF(ISBLANK(S348),"",VLOOKUP(S348,'[1]plan gier'!$X$1:$AN$65536,13,FALSE))</f>
        <v>21</v>
      </c>
      <c r="AK348" s="50">
        <f>IF(ISBLANK(S348),"",VLOOKUP(S348,'[1]plan gier'!$X$1:$AN$65536,14,FALSE))</f>
        <v>15</v>
      </c>
      <c r="AL348" s="50">
        <f>IF(ISBLANK(S348),"",VLOOKUP(S348,'[1]plan gier'!$X$1:$AN$65536,15,FALSE))</f>
        <v>21</v>
      </c>
      <c r="AM348" s="50">
        <f>IF(ISBLANK(S348),"",VLOOKUP(S348,'[1]plan gier'!$X$1:$AN$65536,16,FALSE))</f>
        <v>0</v>
      </c>
      <c r="AN348" s="50">
        <f>IF(ISBLANK(S348),"",VLOOKUP(S348,'[1]plan gier'!$X$1:$AN$65536,17,FALSE))</f>
        <v>0</v>
      </c>
      <c r="AO348" s="63">
        <f t="shared" si="37"/>
        <v>11</v>
      </c>
      <c r="AP348" s="64">
        <f t="shared" si="37"/>
        <v>21</v>
      </c>
      <c r="AQ348" s="64">
        <f t="shared" si="37"/>
        <v>15</v>
      </c>
      <c r="AR348" s="64">
        <f t="shared" si="37"/>
        <v>21</v>
      </c>
      <c r="AS348" s="64">
        <f t="shared" si="37"/>
        <v>0</v>
      </c>
      <c r="AT348" s="69">
        <f t="shared" si="37"/>
        <v>0</v>
      </c>
      <c r="AU348" s="149">
        <f t="shared" si="38"/>
        <v>68</v>
      </c>
      <c r="AV348" s="5">
        <v>4</v>
      </c>
      <c r="AW348" s="161">
        <f>IF(AI347&lt;AJ347,1,0)+IF(AK347&lt;AL347,1,0)+IF(AM347&lt;AN347,1,0)</f>
        <v>0</v>
      </c>
      <c r="AX348" s="162">
        <f>BC345</f>
        <v>2</v>
      </c>
      <c r="AY348" s="162">
        <f>IF(AI346&lt;AJ346,1,0)+IF(AK346&lt;AL346,1,0)+IF(AM346&lt;AN346,1,0)</f>
        <v>1</v>
      </c>
      <c r="AZ348" s="162">
        <f>BC346</f>
        <v>2</v>
      </c>
      <c r="BA348" s="75">
        <f>IF(AI349&lt;AJ349,1,0)+IF(AK349&lt;AL349,1,0)+IF(AM349&lt;AN349,1,0)</f>
        <v>0</v>
      </c>
      <c r="BB348" s="75">
        <f>BC347</f>
        <v>2</v>
      </c>
      <c r="BC348" s="163"/>
      <c r="BD348" s="164"/>
      <c r="BE348" s="74">
        <f>AP346+AR346+AT346+AP347+AR347+AT347+AP349+AR349+AT349</f>
        <v>77</v>
      </c>
      <c r="BF348" s="81">
        <f>AO346+AQ346+AS346+AO347+AQ347+AS347+AO349+AQ349+AS349</f>
        <v>144</v>
      </c>
      <c r="BG348" s="74">
        <f>AW348+AY348+BA348</f>
        <v>1</v>
      </c>
      <c r="BH348" s="80">
        <f>AX348+AZ348+BB348</f>
        <v>6</v>
      </c>
      <c r="BI348" s="74">
        <f>IF(AW348&gt;AX348,1,0)+IF(AY348&gt;AZ348,1,0)+IF(BA348&gt;BB348,1,0)</f>
        <v>0</v>
      </c>
      <c r="BJ348" s="80">
        <f>IF(AX348&gt;AW348,1,0)+IF(AZ348&gt;AY348,1,0)+IF(BB348&gt;BA348,1,0)</f>
        <v>3</v>
      </c>
      <c r="BK348" s="82">
        <f>IF(BI348+BJ348=0,"",IF(BL348=MAX(BL345:BL348),1,IF(BL348=LARGE(BL345:BL348,2),2,IF(BL348=MIN(BL345:BL348),4,3))))</f>
        <v>4</v>
      </c>
      <c r="BL348" s="60">
        <f>IF(BI348+BJ348&lt;&gt;0,BI348+1+(BG348-BH348)/100+(BE348-BF348)/100000+(BE348/BF348)/1000000,0)</f>
        <v>0.94933053472222217</v>
      </c>
    </row>
    <row r="349" spans="1:64" ht="11.45" customHeight="1" x14ac:dyDescent="0.2">
      <c r="A349" s="19">
        <f t="shared" si="36"/>
        <v>269</v>
      </c>
      <c r="B349" s="19" t="str">
        <f>IF(N349="","",N349)</f>
        <v>P4121</v>
      </c>
      <c r="C349" s="19" t="str">
        <f>IF(N350="","",N350)</f>
        <v>R4591</v>
      </c>
      <c r="D349" s="19" t="str">
        <f>IF(N352="","",N352)</f>
        <v>K5874</v>
      </c>
      <c r="E349" s="19" t="str">
        <f>IF(N353="","",N353)</f>
        <v>W4281</v>
      </c>
      <c r="H349" s="10"/>
      <c r="I349" s="2" t="str">
        <f>"4"&amp;O341&amp;N342</f>
        <v>48mieszana M</v>
      </c>
      <c r="J349" s="10" t="str">
        <f>IF(AE351="","",IF(AE342=4,N343,IF(AE345=4,N346,IF(AE348=4,N349,IF(AE351=4,N352,"")))))</f>
        <v>K5874</v>
      </c>
      <c r="K349" s="10" t="str">
        <f>IF(AE351="","",IF(AE342=4,N344,IF(AE345=4,N347,IF(AE348=4,N350,IF(AE351=4,N353,"")))))</f>
        <v>W4281</v>
      </c>
      <c r="L349" s="10"/>
      <c r="M349" s="42" t="str">
        <f>N342</f>
        <v>mieszana M</v>
      </c>
      <c r="N349" s="33" t="s">
        <v>227</v>
      </c>
      <c r="O349" s="34">
        <f>IF(O341&gt;0,(O341&amp;3)*1,"")</f>
        <v>83</v>
      </c>
      <c r="Q349" s="43" t="str">
        <f>IF(AU349&gt;0,"",IF(A349=0,"",IF(VLOOKUP(A349,'[1]plan gier'!A$1:S$65536,19,FALSE)="","",VLOOKUP(A349,'[1]plan gier'!A$1:S$65536,19,FALSE))))</f>
        <v/>
      </c>
      <c r="R349" s="44" t="s">
        <v>69</v>
      </c>
      <c r="S349" s="146">
        <v>269</v>
      </c>
      <c r="T349" s="242"/>
      <c r="U349" s="244" t="str">
        <f>IF(AND(N349&lt;&gt;"",N350=""),CONCATENATE(VLOOKUP(N349,[1]zawodnicy!$A$1:$E$65536,1,FALSE)," ",VLOOKUP(N349,[1]zawodnicy!$A$1:$E$65536,2,FALSE)," ",VLOOKUP(N349,[1]zawodnicy!$A$1:$E$65536,3,FALSE)," - ",VLOOKUP(N349,[1]zawodnicy!$A$1:$E$65536,4,FALSE)),"")</f>
        <v/>
      </c>
      <c r="V349" s="245"/>
      <c r="W349" s="246"/>
      <c r="X349" s="61" t="str">
        <f>IF(SUM(AQ345:AR345)=0,"",AR345&amp;":"&amp;AQ345)</f>
        <v>19:21</v>
      </c>
      <c r="Y349" s="36" t="str">
        <f>IF(SUM(AQ348:AR348)=0,"",AR348&amp;":"&amp;AQ348)</f>
        <v>21:15</v>
      </c>
      <c r="Z349" s="62"/>
      <c r="AA349" s="37" t="str">
        <f>IF(SUM(AQ349:AR349)=0,"",AQ349&amp;":"&amp;AR349)</f>
        <v>21:8</v>
      </c>
      <c r="AB349" s="242"/>
      <c r="AC349" s="251"/>
      <c r="AD349" s="251"/>
      <c r="AE349" s="254"/>
      <c r="AF349" s="12"/>
      <c r="AG349" s="12"/>
      <c r="AH349" s="44" t="s">
        <v>69</v>
      </c>
      <c r="AI349" s="49">
        <f>IF(ISBLANK(S349),"",VLOOKUP(S349,'[1]plan gier'!$X$1:$AN$65536,12,FALSE))</f>
        <v>21</v>
      </c>
      <c r="AJ349" s="50">
        <f>IF(ISBLANK(S349),"",VLOOKUP(S349,'[1]plan gier'!$X$1:$AN$65536,13,FALSE))</f>
        <v>7</v>
      </c>
      <c r="AK349" s="50">
        <f>IF(ISBLANK(S349),"",VLOOKUP(S349,'[1]plan gier'!$X$1:$AN$65536,14,FALSE))</f>
        <v>21</v>
      </c>
      <c r="AL349" s="50">
        <f>IF(ISBLANK(S349),"",VLOOKUP(S349,'[1]plan gier'!$X$1:$AN$65536,15,FALSE))</f>
        <v>8</v>
      </c>
      <c r="AM349" s="50">
        <f>IF(ISBLANK(S349),"",VLOOKUP(S349,'[1]plan gier'!$X$1:$AN$65536,16,FALSE))</f>
        <v>0</v>
      </c>
      <c r="AN349" s="50">
        <f>IF(ISBLANK(S349),"",VLOOKUP(S349,'[1]plan gier'!$X$1:$AN$65536,17,FALSE))</f>
        <v>0</v>
      </c>
      <c r="AO349" s="63">
        <f t="shared" si="37"/>
        <v>21</v>
      </c>
      <c r="AP349" s="64">
        <f t="shared" si="37"/>
        <v>7</v>
      </c>
      <c r="AQ349" s="64">
        <f t="shared" si="37"/>
        <v>21</v>
      </c>
      <c r="AR349" s="64">
        <f t="shared" si="37"/>
        <v>8</v>
      </c>
      <c r="AS349" s="64">
        <f t="shared" si="37"/>
        <v>0</v>
      </c>
      <c r="AT349" s="69">
        <f t="shared" si="37"/>
        <v>0</v>
      </c>
      <c r="AU349" s="149">
        <f t="shared" si="38"/>
        <v>57</v>
      </c>
      <c r="BE349" s="19">
        <f t="shared" ref="BE349:BJ349" si="39">SUM(BE345:BE348)</f>
        <v>473</v>
      </c>
      <c r="BF349" s="19">
        <f t="shared" si="39"/>
        <v>473</v>
      </c>
      <c r="BG349" s="19">
        <f t="shared" si="39"/>
        <v>14</v>
      </c>
      <c r="BH349" s="19">
        <f t="shared" si="39"/>
        <v>14</v>
      </c>
      <c r="BI349" s="19">
        <f t="shared" si="39"/>
        <v>6</v>
      </c>
      <c r="BJ349" s="19">
        <f t="shared" si="39"/>
        <v>6</v>
      </c>
      <c r="BK349" s="19"/>
      <c r="BL349" s="20"/>
    </row>
    <row r="350" spans="1:64" ht="11.45" customHeight="1" thickBot="1" x14ac:dyDescent="0.25">
      <c r="A350" s="19">
        <f t="shared" si="36"/>
        <v>270</v>
      </c>
      <c r="B350" s="19" t="str">
        <f>IF(N343="","",N343)</f>
        <v>S4287</v>
      </c>
      <c r="C350" s="19" t="str">
        <f>IF(N344="","",N344)</f>
        <v>P4286</v>
      </c>
      <c r="D350" s="19" t="str">
        <f>IF(N346="","",N346)</f>
        <v>R4718</v>
      </c>
      <c r="E350" s="19" t="str">
        <f>IF(N347="","",N347)</f>
        <v>X22</v>
      </c>
      <c r="J350" s="28"/>
      <c r="K350" s="28"/>
      <c r="L350" s="28"/>
      <c r="M350" s="42" t="str">
        <f>N342</f>
        <v>mieszana M</v>
      </c>
      <c r="N350" s="38" t="s">
        <v>179</v>
      </c>
      <c r="O350" s="28"/>
      <c r="P350" s="28"/>
      <c r="Q350" s="43" t="str">
        <f>IF(AU350&gt;0,"",IF(A350=0,"",IF(VLOOKUP(A350,'[1]plan gier'!A$1:S$65536,19,FALSE)="","",VLOOKUP(A350,'[1]plan gier'!A$1:S$65536,19,FALSE))))</f>
        <v/>
      </c>
      <c r="R350" s="44" t="s">
        <v>18</v>
      </c>
      <c r="S350" s="146">
        <v>270</v>
      </c>
      <c r="T350" s="261"/>
      <c r="U350" s="265" t="str">
        <f>IF(N350&lt;&gt;"",CONCATENATE(VLOOKUP(N350,[1]zawodnicy!$A$1:$E$65536,1,FALSE)," ",VLOOKUP(N350,[1]zawodnicy!$A$1:$E$65536,2,FALSE)," ",VLOOKUP(N350,[1]zawodnicy!$A$1:$E$65536,3,FALSE)," - ",VLOOKUP(N350,[1]zawodnicy!$A$1:$E$65536,4,FALSE)),"")</f>
        <v>R4591 Natalia RÓG - MKS Stal Nowa Dęba</v>
      </c>
      <c r="V350" s="266"/>
      <c r="W350" s="267"/>
      <c r="X350" s="73" t="str">
        <f>IF(SUM(AS345:AT345)=0,"",AT345&amp;":"&amp;AS345)</f>
        <v>16:21</v>
      </c>
      <c r="Y350" s="39" t="str">
        <f>IF(SUM(AS348:AT348)=0,"",AT348&amp;":"&amp;AS348)</f>
        <v/>
      </c>
      <c r="Z350" s="62"/>
      <c r="AA350" s="40" t="str">
        <f>IF(SUM(AS349:AT349)=0,"",AS349&amp;":"&amp;AT349)</f>
        <v/>
      </c>
      <c r="AB350" s="242"/>
      <c r="AC350" s="251"/>
      <c r="AD350" s="251"/>
      <c r="AE350" s="254"/>
      <c r="AF350" s="12"/>
      <c r="AG350" s="12"/>
      <c r="AH350" s="44" t="s">
        <v>18</v>
      </c>
      <c r="AI350" s="161">
        <f>IF(ISBLANK(S350),"",VLOOKUP(S350,'[1]plan gier'!$X$1:$AN$65536,12,FALSE))</f>
        <v>21</v>
      </c>
      <c r="AJ350" s="162">
        <f>IF(ISBLANK(S350),"",VLOOKUP(S350,'[1]plan gier'!$X$1:$AN$65536,13,FALSE))</f>
        <v>17</v>
      </c>
      <c r="AK350" s="162">
        <f>IF(ISBLANK(S350),"",VLOOKUP(S350,'[1]plan gier'!$X$1:$AN$65536,14,FALSE))</f>
        <v>21</v>
      </c>
      <c r="AL350" s="162">
        <f>IF(ISBLANK(S350),"",VLOOKUP(S350,'[1]plan gier'!$X$1:$AN$65536,15,FALSE))</f>
        <v>13</v>
      </c>
      <c r="AM350" s="162">
        <f>IF(ISBLANK(S350),"",VLOOKUP(S350,'[1]plan gier'!$X$1:$AN$65536,16,FALSE))</f>
        <v>0</v>
      </c>
      <c r="AN350" s="162">
        <f>IF(ISBLANK(S350),"",VLOOKUP(S350,'[1]plan gier'!$X$1:$AN$65536,17,FALSE))</f>
        <v>0</v>
      </c>
      <c r="AO350" s="74">
        <f t="shared" si="37"/>
        <v>21</v>
      </c>
      <c r="AP350" s="75">
        <f t="shared" si="37"/>
        <v>17</v>
      </c>
      <c r="AQ350" s="75">
        <f t="shared" si="37"/>
        <v>21</v>
      </c>
      <c r="AR350" s="75">
        <f t="shared" si="37"/>
        <v>13</v>
      </c>
      <c r="AS350" s="75">
        <f t="shared" si="37"/>
        <v>0</v>
      </c>
      <c r="AT350" s="80">
        <f t="shared" si="37"/>
        <v>0</v>
      </c>
      <c r="AU350" s="149">
        <f t="shared" si="38"/>
        <v>72</v>
      </c>
      <c r="BK350" s="19"/>
      <c r="BL350" s="20"/>
    </row>
    <row r="351" spans="1:64" ht="11.45" customHeight="1" x14ac:dyDescent="0.2">
      <c r="A351" s="2"/>
      <c r="J351" s="28"/>
      <c r="K351" s="28"/>
      <c r="L351" s="28"/>
      <c r="O351" s="28"/>
      <c r="P351" s="28"/>
      <c r="Q351" s="2"/>
      <c r="R351" s="2"/>
      <c r="S351" s="2"/>
      <c r="T351" s="241">
        <v>4</v>
      </c>
      <c r="U351" s="244" t="str">
        <f>IF(AND(N352&lt;&gt;"",N353&lt;&gt;""),CONCATENATE(VLOOKUP(N352,[1]zawodnicy!$A$1:$E$65536,1,FALSE)," ",VLOOKUP(N352,[1]zawodnicy!$A$1:$E$65536,2,FALSE)," ",VLOOKUP(N352,[1]zawodnicy!$A$1:$E$65536,3,FALSE)," - ",VLOOKUP(N352,[1]zawodnicy!$A$1:$E$65536,4,FALSE)),"")</f>
        <v>K5874 Maciej KURAN - ----</v>
      </c>
      <c r="V351" s="245"/>
      <c r="W351" s="246"/>
      <c r="X351" s="46" t="str">
        <f>IF(SUM(AO347:AP347)=0,"",AP347&amp;":"&amp;AO347)</f>
        <v>9:21</v>
      </c>
      <c r="Y351" s="83" t="str">
        <f>IF(SUM(AO346:AP346)=0,"",AP346&amp;":"&amp;AO346)</f>
        <v>21:18</v>
      </c>
      <c r="Z351" s="83" t="str">
        <f>IF(SUM(AO349:AP349)=0,"",AP349&amp;":"&amp;AO349)</f>
        <v>7:21</v>
      </c>
      <c r="AA351" s="165"/>
      <c r="AB351" s="241" t="str">
        <f>IF(SUM(AW348:BB348)=0,"",BE348&amp;":"&amp;BF348)</f>
        <v>77:144</v>
      </c>
      <c r="AC351" s="250" t="str">
        <f>IF(SUM(AW348:BB348)=0,"",BG348&amp;":"&amp;BH348)</f>
        <v>1:6</v>
      </c>
      <c r="AD351" s="250" t="str">
        <f>IF(SUM(AW348:BB348)=0,"",BI348&amp;":"&amp;BJ348)</f>
        <v>0:3</v>
      </c>
      <c r="AE351" s="253">
        <f>IF(SUM(BI345:BI348)&gt;0,BK348,"")</f>
        <v>4</v>
      </c>
      <c r="AF351" s="12"/>
      <c r="AG351" s="12"/>
      <c r="AH351" s="2"/>
      <c r="AI351" s="2"/>
      <c r="AJ351" s="2"/>
      <c r="AK351" s="2"/>
      <c r="AL351" s="2"/>
      <c r="AM351" s="2"/>
      <c r="AN351" s="2"/>
      <c r="AO351" s="2"/>
      <c r="AP351" s="2"/>
      <c r="AQ351" s="2"/>
      <c r="AR351" s="2"/>
      <c r="AS351" s="2"/>
      <c r="AT351" s="2"/>
      <c r="AU351" s="2"/>
      <c r="BK351" s="19"/>
      <c r="BL351" s="20"/>
    </row>
    <row r="352" spans="1:64" ht="11.45" customHeight="1" x14ac:dyDescent="0.2">
      <c r="A352" s="19"/>
      <c r="B352" s="19"/>
      <c r="C352" s="19"/>
      <c r="D352" s="19"/>
      <c r="E352" s="19"/>
      <c r="H352" s="10"/>
      <c r="J352" s="19"/>
      <c r="K352" s="19"/>
      <c r="L352" s="19"/>
      <c r="N352" s="33" t="s">
        <v>237</v>
      </c>
      <c r="O352" s="34">
        <f>IF(O341&gt;0,(O341&amp;4)*1,"")</f>
        <v>84</v>
      </c>
      <c r="Q352" s="85"/>
      <c r="R352" s="85"/>
      <c r="S352" s="85"/>
      <c r="T352" s="242"/>
      <c r="U352" s="244" t="str">
        <f>IF(AND(N352&lt;&gt;"",N353=""),CONCATENATE(VLOOKUP(N352,[1]zawodnicy!$A$1:$E$65536,1,FALSE)," ",VLOOKUP(N352,[1]zawodnicy!$A$1:$E$65536,2,FALSE)," ",VLOOKUP(N352,[1]zawodnicy!$A$1:$E$65536,3,FALSE)," - ",VLOOKUP(N352,[1]zawodnicy!$A$1:$E$65536,4,FALSE)),"")</f>
        <v/>
      </c>
      <c r="V352" s="245"/>
      <c r="W352" s="246"/>
      <c r="X352" s="61" t="str">
        <f>IF(SUM(AQ347:AR347)=0,"",AR347&amp;":"&amp;AQ347)</f>
        <v>8:21</v>
      </c>
      <c r="Y352" s="36" t="str">
        <f>IF(SUM(AQ346:AR346)=0,"",AR346&amp;":"&amp;AQ346)</f>
        <v>15:21</v>
      </c>
      <c r="Z352" s="36" t="str">
        <f>IF(SUM(AQ349:AR349)=0,"",AR349&amp;":"&amp;AQ349)</f>
        <v>8:21</v>
      </c>
      <c r="AA352" s="166"/>
      <c r="AB352" s="242"/>
      <c r="AC352" s="251"/>
      <c r="AD352" s="251"/>
      <c r="AE352" s="254"/>
      <c r="AF352" s="12"/>
      <c r="AG352" s="1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row>
    <row r="353" spans="1:63" ht="11.45" customHeight="1" thickBot="1" x14ac:dyDescent="0.25">
      <c r="A353" s="2"/>
      <c r="J353" s="28"/>
      <c r="K353" s="28"/>
      <c r="L353" s="28"/>
      <c r="N353" s="38" t="s">
        <v>171</v>
      </c>
      <c r="O353" s="28"/>
      <c r="P353" s="28"/>
      <c r="Q353" s="2"/>
      <c r="R353" s="2"/>
      <c r="S353" s="2"/>
      <c r="T353" s="243"/>
      <c r="U353" s="256" t="str">
        <f>IF(N353&lt;&gt;"",CONCATENATE(VLOOKUP(N353,[1]zawodnicy!$A$1:$E$65536,1,FALSE)," ",VLOOKUP(N353,[1]zawodnicy!$A$1:$E$65536,2,FALSE)," ",VLOOKUP(N353,[1]zawodnicy!$A$1:$E$65536,3,FALSE)," - ",VLOOKUP(N353,[1]zawodnicy!$A$1:$E$65536,4,FALSE)),"")</f>
        <v>W4281 Ida WIŚNIEWSKA - ----</v>
      </c>
      <c r="V353" s="257"/>
      <c r="W353" s="258"/>
      <c r="X353" s="87" t="str">
        <f>IF(SUM(AS347:AT347)=0,"",AT347&amp;":"&amp;AS347)</f>
        <v/>
      </c>
      <c r="Y353" s="88" t="str">
        <f>IF(SUM(AS346:AT346)=0,"",AT346&amp;":"&amp;AS346)</f>
        <v>9:21</v>
      </c>
      <c r="Z353" s="88" t="str">
        <f>IF(SUM(AS349:AT349)=0,"",AT349&amp;":"&amp;AS349)</f>
        <v/>
      </c>
      <c r="AA353" s="89"/>
      <c r="AB353" s="243"/>
      <c r="AC353" s="252"/>
      <c r="AD353" s="252"/>
      <c r="AE353" s="255"/>
      <c r="AF353" s="12"/>
      <c r="AG353" s="1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row>
    <row r="355" spans="1:63" ht="12.75" x14ac:dyDescent="0.2">
      <c r="J355" s="2"/>
      <c r="K355" s="2"/>
      <c r="L355" s="2"/>
      <c r="M355" s="95"/>
      <c r="N355" s="96">
        <v>1</v>
      </c>
      <c r="O355" s="97">
        <v>8</v>
      </c>
      <c r="P355" s="98"/>
      <c r="Q355" s="1"/>
      <c r="R355" s="1"/>
      <c r="S355" s="1"/>
      <c r="T355" s="229"/>
      <c r="U355" s="229"/>
      <c r="V355" s="229"/>
      <c r="W355" s="229"/>
      <c r="X355" s="229"/>
      <c r="Y355" s="229"/>
      <c r="Z355" s="229"/>
      <c r="AA355" s="229"/>
      <c r="AB355" s="229"/>
      <c r="AC355" s="229"/>
      <c r="AD355" s="229"/>
      <c r="AE355" s="229"/>
      <c r="AF355" s="229"/>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row>
    <row r="356" spans="1:63" ht="12.75" x14ac:dyDescent="0.2">
      <c r="J356" s="2"/>
      <c r="K356" s="2"/>
      <c r="L356" s="2"/>
      <c r="N356" s="99" t="s">
        <v>263</v>
      </c>
      <c r="P356" s="98"/>
      <c r="Q356" s="1"/>
      <c r="R356" s="1"/>
      <c r="S356" s="1"/>
      <c r="T356" s="1"/>
      <c r="U356" s="1"/>
      <c r="V356" s="101"/>
      <c r="W356" s="101"/>
      <c r="X356" s="101"/>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row>
    <row r="357" spans="1:63" ht="12.75" x14ac:dyDescent="0.2">
      <c r="J357" s="2"/>
      <c r="K357" s="2"/>
      <c r="L357" s="2"/>
      <c r="M357" s="95"/>
      <c r="N357" s="119"/>
      <c r="O357" s="120">
        <f>IF(P357="","",1)</f>
        <v>1</v>
      </c>
      <c r="P357" s="121">
        <f>IF(O355&gt;4,1,"")</f>
        <v>1</v>
      </c>
      <c r="Q357" s="113">
        <f>O357</f>
        <v>1</v>
      </c>
      <c r="R357" s="113"/>
      <c r="S357" s="113"/>
      <c r="T357" s="234" t="str">
        <f>UPPER(IF(O357="","",IF(ISTEXT(N357),N357,IF(AND(N355&gt;0,O357&gt;0),VLOOKUP(N355&amp;O357&amp;N356,I:K,2,FALSE),""))))</f>
        <v>W4701</v>
      </c>
      <c r="U357" s="235"/>
      <c r="V357" s="122" t="str">
        <f>IF(T357&lt;&gt;"",CONCATENATE(VLOOKUP(T357,[1]zawodnicy!$A$1:$E$65536,2,FALSE)," ",VLOOKUP(T357,[1]zawodnicy!$A$1:$E$65536,3,FALSE)," - ",VLOOKUP(T357,[1]zawodnicy!$A$1:$E$65536,4,FALSE)),"")</f>
        <v>Radosław WRÓBEL - KB Vol-Trick Kępno</v>
      </c>
      <c r="W357" s="123"/>
      <c r="X357" s="228" t="str">
        <f>IF(ISBLANK(W358),IF(AND(LEN(T357)&gt;0,LEN(T359)=0),VLOOKUP(T357,[1]zawodnicy!$A$1:$E$65536,3,FALSE),IF(AND(LEN(T359)&gt;0,LEN(T357)=0),VLOOKUP(T359,[1]zawodnicy!$A$1:$E$65536,3,FALSE),"")),IF((VLOOKUP(W358,'[1]plan gier'!$X$1:$AF$65536,7,FALSE))="","",VLOOKUP(VLOOKUP(W358,'[1]plan gier'!$X$1:$AF$65536,7,FALSE),[1]zawodnicy!$A$1:$E$65536,3,FALSE)))</f>
        <v>KOBYLNIK</v>
      </c>
      <c r="Y357" s="229"/>
      <c r="Z357" s="229"/>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row>
    <row r="358" spans="1:63" ht="12.75" x14ac:dyDescent="0.2">
      <c r="A358" s="102">
        <f>W358</f>
        <v>417</v>
      </c>
      <c r="B358" s="2" t="str">
        <f>IF(TYPE(T357)=16,"",T357)</f>
        <v>W4701</v>
      </c>
      <c r="C358" s="2" t="str">
        <f>IF(TYPE(T358)=16,"",T358)</f>
        <v>F3777</v>
      </c>
      <c r="D358" s="2" t="str">
        <f>IF(TYPE(T359)=16,"",T359)</f>
        <v>K4563</v>
      </c>
      <c r="E358" s="2" t="str">
        <f>IF(TYPE(T360)=16,"",T360)</f>
        <v>F4371</v>
      </c>
      <c r="F358" s="2" t="str">
        <f>IF(A358=0,IF(AND(LEN(B358)&gt;1,LEN(D358)=0),VLOOKUP(B358,[1]zawodnicy!$A$1:$E$65536,1,FALSE),IF(AND(LEN(D358)&gt;1,LEN(B358)=0),VLOOKUP(D358,[1]zawodnicy!$A$1:$E$65536,1,FALSE),"")),IF((VLOOKUP(A358,'[1]plan gier'!$X$1:$AF$65536,7,FALSE))="","",VLOOKUP(VLOOKUP(A358,'[1]plan gier'!$X$1:$AF$65536,7,FALSE),[1]zawodnicy!$A$1:$E$65536,1,FALSE)))</f>
        <v>K4563</v>
      </c>
      <c r="G358" s="2" t="str">
        <f>IF(A358=0,IF(AND(LEN(C358)&gt;1,LEN(E358)=0),VLOOKUP(C358,[1]zawodnicy!$A$1:$E$65536,1,FALSE),IF(AND(LEN(E358)&gt;1,LEN(C358)=0),VLOOKUP(E358,[1]zawodnicy!$A$1:$E$65536,1,FALSE),"")),IF((VLOOKUP(A358,'[1]plan gier'!$X$1:$AF$65536,8,FALSE))="","",VLOOKUP(VLOOKUP(A358,'[1]plan gier'!$X$1:$AF$65536,8,FALSE),[1]zawodnicy!$A$1:$E$65536,1,FALSE)))</f>
        <v>F4371</v>
      </c>
      <c r="H358" s="2" t="str">
        <f>IF(A358=0,"",IF((VLOOKUP(A358,'[1]plan gier'!$X$1:$AF$65536,7,FALSE))="","",VLOOKUP(A358,'[1]plan gier'!$X$1:$AF$65536,9,FALSE)))</f>
        <v>21:17,21:19</v>
      </c>
      <c r="L358" s="124" t="str">
        <f>IF(A358=0,"",IF(VLOOKUP(A358,'[1]plan gier'!A$1:S$65536,19,FALSE)="","",VLOOKUP(A358,'[1]plan gier'!A$1:S$65536,19,FALSE)))</f>
        <v>nie 10:00</v>
      </c>
      <c r="M358" s="2" t="str">
        <f>N356</f>
        <v>mieszana M</v>
      </c>
      <c r="N358" s="125"/>
      <c r="O358" s="121"/>
      <c r="P358" s="121"/>
      <c r="Q358" s="114"/>
      <c r="R358" s="114"/>
      <c r="S358" s="114"/>
      <c r="T358" s="224" t="str">
        <f>UPPER(IF(O357="","",IF(ISTEXT(N358),N358,IF(AND(N355&gt;0,O357&gt;0),VLOOKUP(N355&amp;O357&amp;N356,I:K,3,FALSE),""))))</f>
        <v>F3777</v>
      </c>
      <c r="U358" s="225"/>
      <c r="V358" s="126" t="str">
        <f>IF(T358&lt;&gt;"",CONCATENATE(VLOOKUP(T358,[1]zawodnicy!$A$1:$E$65536,2,FALSE)," ",VLOOKUP(T358,[1]zawodnicy!$A$1:$E$65536,3,FALSE)," - ",VLOOKUP(T358,[1]zawodnicy!$A$1:$E$65536,4,FALSE)),"")</f>
        <v>Aleksandra FELSKA - UKS Orkan Przeźmierowo</v>
      </c>
      <c r="W358" s="127">
        <v>417</v>
      </c>
      <c r="X358" s="231" t="str">
        <f>IF(ISBLANK(W358),IF(AND(LEN(T358)&gt;0,LEN(T360)=0),VLOOKUP(T358,[1]zawodnicy!$A$1:$E$65536,3,FALSE),IF(AND(LEN(T360)&gt;0,LEN(T358)=0),VLOOKUP(T360,[1]zawodnicy!$A$1:$E$65536,3,FALSE),"")),IF((VLOOKUP(W358,'[1]plan gier'!$X$1:$AF$65536,8,FALSE))="","",VLOOKUP(VLOOKUP(W358,'[1]plan gier'!$X$1:$AF$65536,8,FALSE),[1]zawodnicy!$A$1:$E$65536,3,FALSE)))</f>
        <v>FORYTA</v>
      </c>
      <c r="Y358" s="232"/>
      <c r="Z358" s="23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row>
    <row r="359" spans="1:63" ht="12.75" x14ac:dyDescent="0.2">
      <c r="J359" s="2"/>
      <c r="K359" s="2"/>
      <c r="L359" s="2"/>
      <c r="M359" s="95"/>
      <c r="N359" s="125"/>
      <c r="O359" s="120">
        <f>IF(P359="","",MAX(O357:O358)+1)</f>
        <v>2</v>
      </c>
      <c r="P359" s="121">
        <f>IF(O355&gt;7,5,"")</f>
        <v>5</v>
      </c>
      <c r="Q359" s="113">
        <f>O359</f>
        <v>2</v>
      </c>
      <c r="R359" s="113"/>
      <c r="S359" s="113"/>
      <c r="T359" s="234" t="str">
        <f>UPPER(IF(O359="","",IF(ISTEXT(N359),N359,IF(AND(N355&gt;0,O359&gt;0),VLOOKUP(N355&amp;O359&amp;N356,I:K,2,FALSE),""))))</f>
        <v>K4563</v>
      </c>
      <c r="U359" s="235"/>
      <c r="V359" s="122" t="str">
        <f>IF(T359&lt;&gt;"",CONCATENATE(VLOOKUP(T359,[1]zawodnicy!$A$1:$E$65536,2,FALSE)," ",VLOOKUP(T359,[1]zawodnicy!$A$1:$E$65536,3,FALSE)," - ",VLOOKUP(T359,[1]zawodnicy!$A$1:$E$65536,4,FALSE)),"")</f>
        <v>Kordian KOBYLNIK - LKS Technik Głubczyce</v>
      </c>
      <c r="W359" s="128"/>
      <c r="X359" s="237" t="str">
        <f>IF(ISBLANK(W358),"",IF((VLOOKUP(W358,'[1]plan gier'!$X$1:$AF$65536,7,FALSE))="",L358,VLOOKUP(W358,'[1]plan gier'!$X$1:$AF$65536,9,FALSE)))</f>
        <v>21:17,21:19</v>
      </c>
      <c r="Y359" s="237"/>
      <c r="Z359" s="240"/>
      <c r="AA359" s="229" t="str">
        <f>IF(ISBLANK(Z360),IF(AND(LEN(X357)&gt;0,LEN(X361)=0),X357,IF(AND(LEN(X361)&gt;0,LEN(X357)=0),X361,"")),IF((VLOOKUP(Z360,'[1]plan gier'!$X$1:$AF$65536,7,FALSE))="","",VLOOKUP(VLOOKUP(Z360,'[1]plan gier'!$X$1:$AF$65536,7,FALSE),[1]zawodnicy!$A$1:$E$65536,3,FALSE)))</f>
        <v>KOBYLNIK</v>
      </c>
      <c r="AB359" s="229"/>
      <c r="AC359" s="229"/>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row>
    <row r="360" spans="1:63" ht="13.5" thickBot="1" x14ac:dyDescent="0.25">
      <c r="A360" s="111">
        <f>Z360</f>
        <v>437</v>
      </c>
      <c r="B360" s="2" t="str">
        <f>F358</f>
        <v>K4563</v>
      </c>
      <c r="C360" s="2" t="str">
        <f>G358</f>
        <v>F4371</v>
      </c>
      <c r="D360" s="2" t="str">
        <f>F362</f>
        <v>K4283</v>
      </c>
      <c r="E360" s="2" t="str">
        <f>G362</f>
        <v>J4598</v>
      </c>
      <c r="F360" s="2" t="str">
        <f>IF(A360=0,IF(AND(LEN(B360)&gt;0,LEN(D360)=0),B360,IF(AND(LEN(D360)&gt;0,LEN(B360)=0),D360,"")),IF((VLOOKUP(A360,'[1]plan gier'!$X$1:$AF$65536,7,FALSE))="","",VLOOKUP(VLOOKUP(A360,'[1]plan gier'!$X$1:$AF$65536,7,FALSE),[1]zawodnicy!$A$1:$E$65536,1,FALSE)))</f>
        <v>K4563</v>
      </c>
      <c r="G360" s="2" t="str">
        <f>IF(A360=0,IF(AND(LEN(C360)&gt;0,LEN(E360)=0),C360,IF(AND(LEN(E360)&gt;0,LEN(C360)=0),E360,"")),IF((VLOOKUP(A360,'[1]plan gier'!$X$1:$AF$65536,8,FALSE))="","",VLOOKUP(VLOOKUP(A360,'[1]plan gier'!$X$1:$AF$65536,8,FALSE),[1]zawodnicy!$A$1:$E$65536,1,FALSE)))</f>
        <v>F4371</v>
      </c>
      <c r="H360" s="2" t="str">
        <f>IF(A360=0,"",IF((VLOOKUP(A360,'[1]plan gier'!$X$1:$AF$65536,7,FALSE))="","",VLOOKUP(A360,'[1]plan gier'!$X$1:$AF$65536,9,FALSE)))</f>
        <v>21:14,21:13</v>
      </c>
      <c r="L360" s="124" t="str">
        <f>IF(A360=0,"",IF(VLOOKUP(A360,'[1]plan gier'!A$1:S$65536,19,FALSE)="","",VLOOKUP(A360,'[1]plan gier'!A$1:S$65536,19,FALSE)))</f>
        <v>nie 11:00</v>
      </c>
      <c r="M360" s="2" t="str">
        <f>N356</f>
        <v>mieszana M</v>
      </c>
      <c r="N360" s="129"/>
      <c r="O360" s="121"/>
      <c r="P360" s="121"/>
      <c r="Q360" s="114"/>
      <c r="R360" s="114"/>
      <c r="S360" s="114"/>
      <c r="T360" s="238" t="str">
        <f>UPPER(IF(O359="","",IF(ISTEXT(N360),N360,IF(AND(N355&gt;0,O359&gt;0),VLOOKUP(N355&amp;O359&amp;N356,I:K,3,FALSE),""))))</f>
        <v>F4371</v>
      </c>
      <c r="U360" s="239"/>
      <c r="V360" s="130" t="str">
        <f>IF(T360&lt;&gt;"",CONCATENATE(VLOOKUP(T360,[1]zawodnicy!$A$1:$E$65536,2,FALSE)," ",VLOOKUP(T360,[1]zawodnicy!$A$1:$E$65536,3,FALSE)," - ",VLOOKUP(T360,[1]zawodnicy!$A$1:$E$65536,4,FALSE)),"")</f>
        <v>Agnieszka FORYTA - STB Energia Lubliniec</v>
      </c>
      <c r="W360" s="131"/>
      <c r="X360" s="114"/>
      <c r="Y360" s="10"/>
      <c r="Z360" s="115">
        <v>437</v>
      </c>
      <c r="AA360" s="231" t="str">
        <f>IF(ISBLANK(Z360),IF(AND(LEN(X358)&gt;0,LEN(X362)=0),X358,IF(AND(LEN(X362)&gt;0,LEN(X358)=0),X362,"")),IF((VLOOKUP(Z360,'[1]plan gier'!$X$1:$AF$65536,8,FALSE))="","",VLOOKUP(VLOOKUP(Z360,'[1]plan gier'!$X$1:$AF$65536,8,FALSE),[1]zawodnicy!$A$1:$E$65536,3,FALSE)))</f>
        <v>FORYTA</v>
      </c>
      <c r="AB360" s="232"/>
      <c r="AC360" s="23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row>
    <row r="361" spans="1:63" ht="13.5" thickTop="1" x14ac:dyDescent="0.2">
      <c r="J361" s="2"/>
      <c r="K361" s="2"/>
      <c r="L361" s="2"/>
      <c r="M361" s="95"/>
      <c r="N361" s="132"/>
      <c r="O361" s="120">
        <f>IF(P361="","",MAX(O357:O360)+1)</f>
        <v>3</v>
      </c>
      <c r="P361" s="121">
        <f>IF(O355&gt;4,9,"")</f>
        <v>9</v>
      </c>
      <c r="Q361" s="113">
        <f>O361</f>
        <v>3</v>
      </c>
      <c r="R361" s="113"/>
      <c r="S361" s="113"/>
      <c r="T361" s="226" t="str">
        <f>UPPER(IF(O361="","",IF(ISTEXT(N361),N361,IF(AND(N355&gt;0,O361&gt;0),VLOOKUP(N355&amp;O361&amp;N356,I:K,2,FALSE),""))))</f>
        <v>K4283</v>
      </c>
      <c r="U361" s="227"/>
      <c r="V361" s="133" t="str">
        <f>IF(T361&lt;&gt;"",CONCATENATE(VLOOKUP(T361,[1]zawodnicy!$A$1:$E$65536,2,FALSE)," ",VLOOKUP(T361,[1]zawodnicy!$A$1:$E$65536,3,FALSE)," - ",VLOOKUP(T361,[1]zawodnicy!$A$1:$E$65536,4,FALSE)),"")</f>
        <v>Filip KRUKOWSKI - SKB Suwałki</v>
      </c>
      <c r="W361" s="134"/>
      <c r="X361" s="228" t="str">
        <f>IF(ISBLANK(W362),IF(AND(LEN(T361)&gt;0,LEN(T363)=0),VLOOKUP(T361,[1]zawodnicy!$A$1:$E$65536,3,FALSE),IF(AND(LEN(T363)&gt;0,LEN(T361)=0),VLOOKUP(T363,[1]zawodnicy!$A$1:$E$65536,3,FALSE),"")),IF((VLOOKUP(W362,'[1]plan gier'!$X$1:$AF$65536,7,FALSE))="","",VLOOKUP(VLOOKUP(W362,'[1]plan gier'!$X$1:$AF$65536,7,FALSE),[1]zawodnicy!$A$1:$E$65536,3,FALSE)))</f>
        <v>KRUKOWSKI</v>
      </c>
      <c r="Y361" s="229"/>
      <c r="Z361" s="230"/>
      <c r="AA361" s="229" t="str">
        <f>IF(ISBLANK(Z360),"",IF((VLOOKUP(Z360,'[1]plan gier'!$X$1:$AF$65536,7,FALSE))="",L360,VLOOKUP(Z360,'[1]plan gier'!$X$1:$AF$65536,9,FALSE)))</f>
        <v>21:14,21:13</v>
      </c>
      <c r="AB361" s="229"/>
      <c r="AC361" s="230"/>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row>
    <row r="362" spans="1:63" ht="12.75" x14ac:dyDescent="0.2">
      <c r="A362" s="102">
        <f>W362</f>
        <v>418</v>
      </c>
      <c r="B362" s="2" t="str">
        <f>IF(TYPE(T361)=16,"",T361)</f>
        <v>K4283</v>
      </c>
      <c r="C362" s="2" t="str">
        <f>IF(TYPE(T362)=16,"",T362)</f>
        <v>J4598</v>
      </c>
      <c r="D362" s="2" t="str">
        <f>IF(TYPE(T363)=16,"",T363)</f>
        <v>K4579</v>
      </c>
      <c r="E362" s="2" t="str">
        <f>IF(TYPE(T364)=16,"",T364)</f>
        <v>G4680</v>
      </c>
      <c r="F362" s="2" t="str">
        <f>IF(A362=0,IF(AND(LEN(B362)&gt;1,LEN(D362)=0),VLOOKUP(B362,[1]zawodnicy!$A$1:$E$65536,1,FALSE),IF(AND(LEN(D362)&gt;1,LEN(B362)=0),VLOOKUP(D362,[1]zawodnicy!$A$1:$E$65536,1,FALSE),"")),IF((VLOOKUP(A362,'[1]plan gier'!$X$1:$AF$65536,7,FALSE))="","",VLOOKUP(VLOOKUP(A362,'[1]plan gier'!$X$1:$AF$65536,7,FALSE),[1]zawodnicy!$A$1:$E$65536,1,FALSE)))</f>
        <v>K4283</v>
      </c>
      <c r="G362" s="2" t="str">
        <f>IF(A362=0,IF(AND(LEN(C362)&gt;1,LEN(E362)=0),VLOOKUP(C362,[1]zawodnicy!$A$1:$E$65536,1,FALSE),IF(AND(LEN(E362)&gt;1,LEN(C362)=0),VLOOKUP(E362,[1]zawodnicy!$A$1:$E$65536,1,FALSE),"")),IF((VLOOKUP(A362,'[1]plan gier'!$X$1:$AF$65536,8,FALSE))="","",VLOOKUP(VLOOKUP(A362,'[1]plan gier'!$X$1:$AF$65536,8,FALSE),[1]zawodnicy!$A$1:$E$65536,1,FALSE)))</f>
        <v>J4598</v>
      </c>
      <c r="H362" s="2" t="str">
        <f>IF(A362=0,"",IF((VLOOKUP(A362,'[1]plan gier'!$X$1:$AF$65536,7,FALSE))="","",VLOOKUP(A362,'[1]plan gier'!$X$1:$AF$65536,9,FALSE)))</f>
        <v>21:18,21:13</v>
      </c>
      <c r="L362" s="124" t="str">
        <f>IF(A362=0,"",IF(VLOOKUP(A362,'[1]plan gier'!A$1:S$65536,19,FALSE)="","",VLOOKUP(A362,'[1]plan gier'!A$1:S$65536,19,FALSE)))</f>
        <v>nie 10:00</v>
      </c>
      <c r="M362" s="2" t="str">
        <f>N356</f>
        <v>mieszana M</v>
      </c>
      <c r="N362" s="125"/>
      <c r="O362" s="121"/>
      <c r="P362" s="121"/>
      <c r="Q362" s="114"/>
      <c r="R362" s="114"/>
      <c r="S362" s="114"/>
      <c r="T362" s="224" t="str">
        <f>UPPER(IF(O361="","",IF(ISTEXT(N362),N362,IF(AND(N355&gt;0,O361&gt;0),VLOOKUP(N355&amp;O361&amp;N356,I:K,3,FALSE),""))))</f>
        <v>J4598</v>
      </c>
      <c r="U362" s="225"/>
      <c r="V362" s="126" t="str">
        <f>IF(T362&lt;&gt;"",CONCATENATE(VLOOKUP(T362,[1]zawodnicy!$A$1:$E$65536,2,FALSE)," ",VLOOKUP(T362,[1]zawodnicy!$A$1:$E$65536,3,FALSE)," - ",VLOOKUP(T362,[1]zawodnicy!$A$1:$E$65536,4,FALSE)),"")</f>
        <v>Karolina JODZIO - SKB Suwałki</v>
      </c>
      <c r="W362" s="127">
        <v>418</v>
      </c>
      <c r="X362" s="231" t="str">
        <f>IF(ISBLANK(W362),IF(AND(LEN(T362)&gt;0,LEN(T364)=0),VLOOKUP(T362,[1]zawodnicy!$A$1:$E$65536,3,FALSE),IF(AND(LEN(T364)&gt;0,LEN(T362)=0),VLOOKUP(T364,[1]zawodnicy!$A$1:$E$65536,3,FALSE),"")),IF((VLOOKUP(W362,'[1]plan gier'!$X$1:$AF$65536,8,FALSE))="","",VLOOKUP(VLOOKUP(W362,'[1]plan gier'!$X$1:$AF$65536,8,FALSE),[1]zawodnicy!$A$1:$E$65536,3,FALSE)))</f>
        <v>JODZIO</v>
      </c>
      <c r="Y362" s="232"/>
      <c r="Z362" s="233"/>
      <c r="AA362" s="10"/>
      <c r="AB362" s="10"/>
      <c r="AC362" s="117"/>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row>
    <row r="363" spans="1:63" ht="12.75" x14ac:dyDescent="0.2">
      <c r="J363" s="2"/>
      <c r="K363" s="2"/>
      <c r="L363" s="2"/>
      <c r="M363" s="95"/>
      <c r="N363" s="125"/>
      <c r="O363" s="120">
        <f>IF(P363="","",MAX(O357:O362)+1)</f>
        <v>4</v>
      </c>
      <c r="P363" s="121">
        <f>IF(O355&gt;5,13,"")</f>
        <v>13</v>
      </c>
      <c r="Q363" s="113">
        <f>O363</f>
        <v>4</v>
      </c>
      <c r="R363" s="113"/>
      <c r="S363" s="113"/>
      <c r="T363" s="234" t="str">
        <f>UPPER(IF(O363="","",IF(ISTEXT(N363),N363,IF(AND(N355&gt;0,O363&gt;0),VLOOKUP(N355&amp;O363&amp;N356,I:K,2,FALSE),""))))</f>
        <v>K4579</v>
      </c>
      <c r="U363" s="235"/>
      <c r="V363" s="122" t="str">
        <f>IF(T363&lt;&gt;"",CONCATENATE(VLOOKUP(T363,[1]zawodnicy!$A$1:$E$65536,2,FALSE)," ",VLOOKUP(T363,[1]zawodnicy!$A$1:$E$65536,3,FALSE)," - ",VLOOKUP(T363,[1]zawodnicy!$A$1:$E$65536,4,FALSE)),"")</f>
        <v>Miłosz KAIM - KS Masovia Płock</v>
      </c>
      <c r="W363" s="128"/>
      <c r="X363" s="236" t="str">
        <f>IF(ISBLANK(W362),"",IF((VLOOKUP(W362,'[1]plan gier'!$X$1:$AF$65536,7,FALSE))="",L362,VLOOKUP(W362,'[1]plan gier'!$X$1:$AF$65536,9,FALSE)))</f>
        <v>21:18,21:13</v>
      </c>
      <c r="Y363" s="237"/>
      <c r="Z363" s="237"/>
      <c r="AA363" s="10"/>
      <c r="AB363" s="10"/>
      <c r="AC363" s="116"/>
      <c r="AD363" s="229" t="str">
        <f>IF(ISBLANK(AC364),IF(AND(LEN(AA359)&gt;0,LEN(AA367)=0),AA359,IF(AND(LEN(AA367)&gt;0,LEN(AA359)=0),AA367,"")),IF((VLOOKUP(AC364,'[1]plan gier'!$X$1:$AF$65536,7,FALSE))="","",VLOOKUP(VLOOKUP(AC364,'[1]plan gier'!$X$1:$AF$65536,7,FALSE),[1]zawodnicy!$A$1:$E$65536,3,FALSE)))</f>
        <v>KOBYLNIK</v>
      </c>
      <c r="AE363" s="229"/>
      <c r="AF363" s="229"/>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row>
    <row r="364" spans="1:63" ht="13.5" thickBot="1" x14ac:dyDescent="0.25">
      <c r="A364" s="171">
        <f>AC364</f>
        <v>447</v>
      </c>
      <c r="B364" s="2" t="str">
        <f>F360</f>
        <v>K4563</v>
      </c>
      <c r="C364" s="2" t="str">
        <f>G360</f>
        <v>F4371</v>
      </c>
      <c r="D364" s="2" t="str">
        <f>F368</f>
        <v>S4287</v>
      </c>
      <c r="E364" s="2" t="str">
        <f>G368</f>
        <v>P4286</v>
      </c>
      <c r="F364" s="2" t="str">
        <f>IF(A364=0,IF(AND(LEN(B364)&gt;0,LEN(D364)=0),B364,IF(AND(LEN(D364)&gt;0,LEN(B364)=0),D364,"")),IF((VLOOKUP(A364,'[1]plan gier'!$X$1:$AF$65536,7,FALSE))="","",VLOOKUP(VLOOKUP(A364,'[1]plan gier'!$X$1:$AF$65536,7,FALSE),[1]zawodnicy!$A$1:$E$65536,1,FALSE)))</f>
        <v>K4563</v>
      </c>
      <c r="G364" s="2" t="str">
        <f>IF(A364=0,IF(AND(LEN(C364)&gt;0,LEN(E364)=0),C364,IF(AND(LEN(E364)&gt;0,LEN(C364)=0),E364,"")),IF((VLOOKUP(A364,'[1]plan gier'!$X$1:$AF$65536,8,FALSE))="","",VLOOKUP(VLOOKUP(A364,'[1]plan gier'!$X$1:$AF$65536,8,FALSE),[1]zawodnicy!$A$1:$E$65536,1,FALSE)))</f>
        <v>F4371</v>
      </c>
      <c r="H364" s="2" t="str">
        <f>IF(A364=0,"",IF((VLOOKUP(A364,'[1]plan gier'!$X$1:$AF$65536,7,FALSE))="","",VLOOKUP(A364,'[1]plan gier'!$X$1:$AF$65536,9,FALSE)))</f>
        <v>21:10,21:13</v>
      </c>
      <c r="L364" s="124" t="str">
        <f>IF(A364=0,"",IF(VLOOKUP(A364,'[1]plan gier'!A$1:S$65536,19,FALSE)="","",VLOOKUP(A364,'[1]plan gier'!A$1:S$65536,19,FALSE)))</f>
        <v>nie 12:00</v>
      </c>
      <c r="M364" s="2" t="str">
        <f>N356</f>
        <v>mieszana M</v>
      </c>
      <c r="N364" s="129"/>
      <c r="O364" s="121"/>
      <c r="P364" s="121"/>
      <c r="Q364" s="114"/>
      <c r="R364" s="114"/>
      <c r="S364" s="114"/>
      <c r="T364" s="238" t="str">
        <f>UPPER(IF(O363="","",IF(ISTEXT(N364),N364,IF(AND(N355&gt;0,O363&gt;0),VLOOKUP(N355&amp;O363&amp;N356,I:K,3,FALSE),""))))</f>
        <v>G4680</v>
      </c>
      <c r="U364" s="239"/>
      <c r="V364" s="130" t="str">
        <f>IF(T364&lt;&gt;"",CONCATENATE(VLOOKUP(T364,[1]zawodnicy!$A$1:$E$65536,2,FALSE)," ",VLOOKUP(T364,[1]zawodnicy!$A$1:$E$65536,3,FALSE)," - ",VLOOKUP(T364,[1]zawodnicy!$A$1:$E$65536,4,FALSE)),"")</f>
        <v>Aneta GADOMSKA - UTS Akro-Bad Warszawa</v>
      </c>
      <c r="W364" s="131"/>
      <c r="X364" s="10"/>
      <c r="Y364" s="10"/>
      <c r="Z364" s="10"/>
      <c r="AA364" s="10"/>
      <c r="AB364" s="10"/>
      <c r="AC364" s="115">
        <v>447</v>
      </c>
      <c r="AD364" s="231" t="str">
        <f>IF(ISBLANK(AC364),IF(AND(LEN(AA360)&gt;0,LEN(AA368)=0),AA360,IF(AND(LEN(AA368)&gt;0,LEN(AA360)=0),AA368,"")),IF((VLOOKUP(AC364,'[1]plan gier'!$X$1:$AF$65536,8,FALSE))="","",VLOOKUP(VLOOKUP(AC364,'[1]plan gier'!$X$1:$AF$65536,8,FALSE),[1]zawodnicy!$A$1:$E$65536,3,FALSE)))</f>
        <v>FORYTA</v>
      </c>
      <c r="AE364" s="232"/>
      <c r="AF364" s="23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row>
    <row r="365" spans="1:63" ht="13.5" thickTop="1" x14ac:dyDescent="0.2">
      <c r="J365" s="2"/>
      <c r="K365" s="2"/>
      <c r="L365" s="2"/>
      <c r="M365" s="95"/>
      <c r="N365" s="132"/>
      <c r="O365" s="120">
        <f>IF(P365="","",MAX(O357:O364)+1)</f>
        <v>5</v>
      </c>
      <c r="P365" s="121">
        <f>IF(O355&gt;4,20,"")</f>
        <v>20</v>
      </c>
      <c r="Q365" s="113">
        <f>O365</f>
        <v>5</v>
      </c>
      <c r="R365" s="113"/>
      <c r="S365" s="113"/>
      <c r="T365" s="226" t="str">
        <f>UPPER(IF(O365="","",IF(ISTEXT(N365),N365,IF(AND(N355&gt;0,O365&gt;0),VLOOKUP(N355&amp;O365&amp;N356,I:K,2,FALSE),""))))</f>
        <v>T3691</v>
      </c>
      <c r="U365" s="227"/>
      <c r="V365" s="133" t="str">
        <f>IF(T365&lt;&gt;"",CONCATENATE(VLOOKUP(T365,[1]zawodnicy!$A$1:$E$65536,2,FALSE)," ",VLOOKUP(T365,[1]zawodnicy!$A$1:$E$65536,3,FALSE)," - ",VLOOKUP(T365,[1]zawodnicy!$A$1:$E$65536,4,FALSE)),"")</f>
        <v>Jakub TEMBIKOWSKI - UKS Badminton Stare Babice</v>
      </c>
      <c r="W365" s="134"/>
      <c r="X365" s="228" t="str">
        <f>IF(ISBLANK(W366),IF(AND(LEN(T365)&gt;0,LEN(T367)=0),VLOOKUP(T365,[1]zawodnicy!$A$1:$E$65536,3,FALSE),IF(AND(LEN(T367)&gt;0,LEN(T365)=0),VLOOKUP(T367,[1]zawodnicy!$A$1:$E$65536,3,FALSE),"")),IF((VLOOKUP(W366,'[1]plan gier'!$X$1:$AF$65536,7,FALSE))="","",VLOOKUP(VLOOKUP(W366,'[1]plan gier'!$X$1:$AF$65536,7,FALSE),[1]zawodnicy!$A$1:$E$65536,3,FALSE)))</f>
        <v>MAŁACHOWSKI</v>
      </c>
      <c r="Y365" s="229"/>
      <c r="Z365" s="229"/>
      <c r="AA365" s="10"/>
      <c r="AB365" s="10"/>
      <c r="AC365" s="116"/>
      <c r="AD365" s="229" t="str">
        <f>IF(ISBLANK(AC364),"",IF((VLOOKUP(AC364,'[1]plan gier'!$X$1:$AF$65536,7,FALSE))="",L364,VLOOKUP(AC364,'[1]plan gier'!$X$1:$AF$65536,9,FALSE)))</f>
        <v>21:10,21:13</v>
      </c>
      <c r="AE365" s="229"/>
      <c r="AF365" s="229"/>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row>
    <row r="366" spans="1:63" ht="12.75" x14ac:dyDescent="0.2">
      <c r="A366" s="102">
        <f>W366</f>
        <v>419</v>
      </c>
      <c r="B366" s="2" t="str">
        <f>IF(TYPE(T365)=16,"",T365)</f>
        <v>T3691</v>
      </c>
      <c r="C366" s="2" t="str">
        <f>IF(TYPE(T366)=16,"",T366)</f>
        <v>K4023</v>
      </c>
      <c r="D366" s="2" t="str">
        <f>IF(TYPE(T367)=16,"",T367)</f>
        <v>M4689</v>
      </c>
      <c r="E366" s="2" t="str">
        <f>IF(TYPE(T368)=16,"",T368)</f>
        <v>D3427</v>
      </c>
      <c r="F366" s="2" t="str">
        <f>IF(A366=0,IF(AND(LEN(B366)&gt;1,LEN(D366)=0),VLOOKUP(B366,[1]zawodnicy!$A$1:$E$65536,1,FALSE),IF(AND(LEN(D366)&gt;1,LEN(B366)=0),VLOOKUP(D366,[1]zawodnicy!$A$1:$E$65536,1,FALSE),"")),IF((VLOOKUP(A366,'[1]plan gier'!$X$1:$AF$65536,7,FALSE))="","",VLOOKUP(VLOOKUP(A366,'[1]plan gier'!$X$1:$AF$65536,7,FALSE),[1]zawodnicy!$A$1:$E$65536,1,FALSE)))</f>
        <v>M4689</v>
      </c>
      <c r="G366" s="2" t="str">
        <f>IF(A366=0,IF(AND(LEN(C366)&gt;1,LEN(E366)=0),VLOOKUP(C366,[1]zawodnicy!$A$1:$E$65536,1,FALSE),IF(AND(LEN(E366)&gt;1,LEN(C366)=0),VLOOKUP(E366,[1]zawodnicy!$A$1:$E$65536,1,FALSE),"")),IF((VLOOKUP(A366,'[1]plan gier'!$X$1:$AF$65536,8,FALSE))="","",VLOOKUP(VLOOKUP(A366,'[1]plan gier'!$X$1:$AF$65536,8,FALSE),[1]zawodnicy!$A$1:$E$65536,1,FALSE)))</f>
        <v>D3427</v>
      </c>
      <c r="H366" s="2" t="str">
        <f>IF(A366=0,"",IF((VLOOKUP(A366,'[1]plan gier'!$X$1:$AF$65536,7,FALSE))="","",VLOOKUP(A366,'[1]plan gier'!$X$1:$AF$65536,9,FALSE)))</f>
        <v>21:16,21:9</v>
      </c>
      <c r="L366" s="124" t="str">
        <f>IF(A366=0,"",IF(VLOOKUP(A366,'[1]plan gier'!A$1:S$65536,19,FALSE)="","",VLOOKUP(A366,'[1]plan gier'!A$1:S$65536,19,FALSE)))</f>
        <v>nie 10:00</v>
      </c>
      <c r="M366" s="2" t="str">
        <f>N356</f>
        <v>mieszana M</v>
      </c>
      <c r="N366" s="125"/>
      <c r="O366" s="121"/>
      <c r="P366" s="121"/>
      <c r="Q366" s="114"/>
      <c r="R366" s="114"/>
      <c r="S366" s="114"/>
      <c r="T366" s="224" t="str">
        <f>UPPER(IF(O365="","",IF(ISTEXT(N366),N366,IF(AND(N355&gt;0,O365&gt;0),VLOOKUP(N355&amp;O365&amp;N356,I:K,3,FALSE),""))))</f>
        <v>K4023</v>
      </c>
      <c r="U366" s="225"/>
      <c r="V366" s="126" t="str">
        <f>IF(T366&lt;&gt;"",CONCATENATE(VLOOKUP(T366,[1]zawodnicy!$A$1:$E$65536,2,FALSE)," ",VLOOKUP(T366,[1]zawodnicy!$A$1:$E$65536,3,FALSE)," - ",VLOOKUP(T366,[1]zawodnicy!$A$1:$E$65536,4,FALSE)),"")</f>
        <v>Agnieszka KOPER - KKS Warmia Olsztyn</v>
      </c>
      <c r="W366" s="127">
        <v>419</v>
      </c>
      <c r="X366" s="231" t="str">
        <f>IF(ISBLANK(W366),IF(AND(LEN(T366)&gt;0,LEN(T368)=0),VLOOKUP(T366,[1]zawodnicy!$A$1:$E$65536,3,FALSE),IF(AND(LEN(T368)&gt;0,LEN(T366)=0),VLOOKUP(T368,[1]zawodnicy!$A$1:$E$65536,3,FALSE),"")),IF((VLOOKUP(W366,'[1]plan gier'!$X$1:$AF$65536,8,FALSE))="","",VLOOKUP(VLOOKUP(W366,'[1]plan gier'!$X$1:$AF$65536,8,FALSE),[1]zawodnicy!$A$1:$E$65536,3,FALSE)))</f>
        <v>DĄBCZYŃSKA</v>
      </c>
      <c r="Y366" s="232"/>
      <c r="Z366" s="232"/>
      <c r="AA366" s="10"/>
      <c r="AB366" s="10"/>
      <c r="AC366" s="117"/>
      <c r="AD366" s="10"/>
      <c r="AE366" s="10"/>
      <c r="AF366" s="10"/>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row>
    <row r="367" spans="1:63" ht="12.75" x14ac:dyDescent="0.2">
      <c r="J367" s="2"/>
      <c r="K367" s="2"/>
      <c r="L367" s="2"/>
      <c r="M367" s="95"/>
      <c r="N367" s="125"/>
      <c r="O367" s="120">
        <f>IF(P367="","",MAX(O357:O366)+1)</f>
        <v>6</v>
      </c>
      <c r="P367" s="121">
        <f>IF(O355&gt;4,24,"")</f>
        <v>24</v>
      </c>
      <c r="Q367" s="113">
        <f>O367</f>
        <v>6</v>
      </c>
      <c r="R367" s="113"/>
      <c r="S367" s="113"/>
      <c r="T367" s="234" t="str">
        <f>UPPER(IF(O367="","",IF(ISTEXT(N367),N367,IF(AND(N355&gt;0,O367&gt;0),VLOOKUP(N355&amp;O367&amp;N356,I:K,2,FALSE),""))))</f>
        <v>M4689</v>
      </c>
      <c r="U367" s="235"/>
      <c r="V367" s="122" t="str">
        <f>IF(T367&lt;&gt;"",CONCATENATE(VLOOKUP(T367,[1]zawodnicy!$A$1:$E$65536,2,FALSE)," ",VLOOKUP(T367,[1]zawodnicy!$A$1:$E$65536,3,FALSE)," - ",VLOOKUP(T367,[1]zawodnicy!$A$1:$E$65536,4,FALSE)),"")</f>
        <v>Maciej MAŁACHOWSKI - UKS Kometa Sianów</v>
      </c>
      <c r="W367" s="128"/>
      <c r="X367" s="237" t="str">
        <f>IF(ISBLANK(W366),"",IF((VLOOKUP(W366,'[1]plan gier'!$X$1:$AF$65536,7,FALSE))="",L366,VLOOKUP(W366,'[1]plan gier'!$X$1:$AF$65536,9,FALSE)))</f>
        <v>21:16,21:9</v>
      </c>
      <c r="Y367" s="237"/>
      <c r="Z367" s="240"/>
      <c r="AA367" s="229" t="str">
        <f>IF(ISBLANK(Z368),IF(AND(LEN(X365)&gt;0,LEN(X369)=0),X365,IF(AND(LEN(X369)&gt;0,LEN(X365)=0),X369,"")),IF((VLOOKUP(Z368,'[1]plan gier'!$X$1:$AF$65536,7,FALSE))="","",VLOOKUP(VLOOKUP(Z368,'[1]plan gier'!$X$1:$AF$65536,7,FALSE),[1]zawodnicy!$A$1:$E$65536,3,FALSE)))</f>
        <v>SOBOLEWSKI</v>
      </c>
      <c r="AB367" s="229"/>
      <c r="AC367" s="230"/>
      <c r="AD367" s="10"/>
      <c r="AE367" s="10"/>
      <c r="AF367" s="10"/>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row>
    <row r="368" spans="1:63" ht="13.5" thickBot="1" x14ac:dyDescent="0.25">
      <c r="A368" s="111">
        <f>Z368</f>
        <v>438</v>
      </c>
      <c r="B368" s="2" t="str">
        <f>F366</f>
        <v>M4689</v>
      </c>
      <c r="C368" s="2" t="str">
        <f>G366</f>
        <v>D3427</v>
      </c>
      <c r="D368" s="2" t="str">
        <f>F370</f>
        <v>S4287</v>
      </c>
      <c r="E368" s="2" t="str">
        <f>G370</f>
        <v>P4286</v>
      </c>
      <c r="F368" s="2" t="str">
        <f>IF(A368=0,IF(AND(LEN(B368)&gt;0,LEN(D368)=0),B368,IF(AND(LEN(D368)&gt;0,LEN(B368)=0),D368,"")),IF((VLOOKUP(A368,'[1]plan gier'!$X$1:$AF$65536,7,FALSE))="","",VLOOKUP(VLOOKUP(A368,'[1]plan gier'!$X$1:$AF$65536,7,FALSE),[1]zawodnicy!$A$1:$E$65536,1,FALSE)))</f>
        <v>S4287</v>
      </c>
      <c r="G368" s="2" t="str">
        <f>IF(A368=0,IF(AND(LEN(C368)&gt;0,LEN(E368)=0),C368,IF(AND(LEN(E368)&gt;0,LEN(C368)=0),E368,"")),IF((VLOOKUP(A368,'[1]plan gier'!$X$1:$AF$65536,8,FALSE))="","",VLOOKUP(VLOOKUP(A368,'[1]plan gier'!$X$1:$AF$65536,8,FALSE),[1]zawodnicy!$A$1:$E$65536,1,FALSE)))</f>
        <v>P4286</v>
      </c>
      <c r="H368" s="2" t="str">
        <f>IF(A368=0,"",IF((VLOOKUP(A368,'[1]plan gier'!$X$1:$AF$65536,7,FALSE))="","",VLOOKUP(A368,'[1]plan gier'!$X$1:$AF$65536,9,FALSE)))</f>
        <v>21:17,21:17</v>
      </c>
      <c r="L368" s="124" t="str">
        <f>IF(A368=0,"",IF(VLOOKUP(A368,'[1]plan gier'!A$1:S$65536,19,FALSE)="","",VLOOKUP(A368,'[1]plan gier'!A$1:S$65536,19,FALSE)))</f>
        <v>nie 11:00</v>
      </c>
      <c r="M368" s="2" t="str">
        <f>N356</f>
        <v>mieszana M</v>
      </c>
      <c r="N368" s="129"/>
      <c r="O368" s="121"/>
      <c r="P368" s="121"/>
      <c r="Q368" s="114"/>
      <c r="R368" s="114"/>
      <c r="S368" s="114"/>
      <c r="T368" s="238" t="str">
        <f>UPPER(IF(O367="","",IF(ISTEXT(N368),N368,IF(AND(N355&gt;0,O367&gt;0),VLOOKUP(N355&amp;O367&amp;N356,I:K,3,FALSE),""))))</f>
        <v>D3427</v>
      </c>
      <c r="U368" s="239"/>
      <c r="V368" s="130" t="str">
        <f>IF(T368&lt;&gt;"",CONCATENATE(VLOOKUP(T368,[1]zawodnicy!$A$1:$E$65536,2,FALSE)," ",VLOOKUP(T368,[1]zawodnicy!$A$1:$E$65536,3,FALSE)," - ",VLOOKUP(T368,[1]zawodnicy!$A$1:$E$65536,4,FALSE)),"")</f>
        <v>Wiktoria DĄBCZYŃSKA - MKS Orlicz Suchedniów</v>
      </c>
      <c r="W368" s="131"/>
      <c r="X368" s="114"/>
      <c r="Y368" s="10"/>
      <c r="Z368" s="115">
        <v>438</v>
      </c>
      <c r="AA368" s="231" t="str">
        <f>IF(ISBLANK(Z368),IF(AND(LEN(X366)&gt;0,LEN(X370)=0),X366,IF(AND(LEN(X370)&gt;0,LEN(X366)=0),X370,"")),IF((VLOOKUP(Z368,'[1]plan gier'!$X$1:$AF$65536,8,FALSE))="","",VLOOKUP(VLOOKUP(Z368,'[1]plan gier'!$X$1:$AF$65536,8,FALSE),[1]zawodnicy!$A$1:$E$65536,3,FALSE)))</f>
        <v>PODZIEWSKA</v>
      </c>
      <c r="AB368" s="232"/>
      <c r="AC368" s="233"/>
      <c r="AD368" s="10"/>
      <c r="AE368" s="10"/>
      <c r="AF368" s="10"/>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row>
    <row r="369" spans="1:64" ht="13.5" thickTop="1" x14ac:dyDescent="0.2">
      <c r="J369" s="2"/>
      <c r="K369" s="2"/>
      <c r="L369" s="2"/>
      <c r="M369" s="95"/>
      <c r="N369" s="132"/>
      <c r="O369" s="120">
        <f>IF(P369="","",MAX(O357:O368)+1)</f>
        <v>7</v>
      </c>
      <c r="P369" s="121">
        <f>IF(O355&gt;6,28,"")</f>
        <v>28</v>
      </c>
      <c r="Q369" s="113">
        <f>O369</f>
        <v>7</v>
      </c>
      <c r="R369" s="113"/>
      <c r="S369" s="113"/>
      <c r="T369" s="226" t="str">
        <f>UPPER(IF(O369="","",IF(ISTEXT(N369),N369,IF(AND(N355&gt;0,O369&gt;0),VLOOKUP(N355&amp;O369&amp;N356,I:K,2,FALSE),""))))</f>
        <v>B4431</v>
      </c>
      <c r="U369" s="227"/>
      <c r="V369" s="133" t="str">
        <f>IF(T369&lt;&gt;"",CONCATENATE(VLOOKUP(T369,[1]zawodnicy!$A$1:$E$65536,2,FALSE)," ",VLOOKUP(T369,[1]zawodnicy!$A$1:$E$65536,3,FALSE)," - ",VLOOKUP(T369,[1]zawodnicy!$A$1:$E$65536,4,FALSE)),"")</f>
        <v>Michał BIENIA - UKS Aktywna Piątka Przemyśl</v>
      </c>
      <c r="W369" s="134"/>
      <c r="X369" s="228" t="str">
        <f>IF(ISBLANK(W370),IF(AND(LEN(T369)&gt;0,LEN(T371)=0),VLOOKUP(T369,[1]zawodnicy!$A$1:$E$65536,3,FALSE),IF(AND(LEN(T371)&gt;0,LEN(T369)=0),VLOOKUP(T371,[1]zawodnicy!$A$1:$E$65536,3,FALSE),"")),IF((VLOOKUP(W370,'[1]plan gier'!$X$1:$AF$65536,7,FALSE))="","",VLOOKUP(VLOOKUP(W370,'[1]plan gier'!$X$1:$AF$65536,7,FALSE),[1]zawodnicy!$A$1:$E$65536,3,FALSE)))</f>
        <v>SOBOLEWSKI</v>
      </c>
      <c r="Y369" s="229"/>
      <c r="Z369" s="230"/>
      <c r="AA369" s="229" t="str">
        <f>IF(ISBLANK(Z368),"",IF((VLOOKUP(Z368,'[1]plan gier'!$X$1:$AF$65536,7,FALSE))="",L368,VLOOKUP(Z368,'[1]plan gier'!$X$1:$AF$65536,9,FALSE)))</f>
        <v>21:17,21:17</v>
      </c>
      <c r="AB369" s="229"/>
      <c r="AC369" s="229"/>
      <c r="AD369" s="114"/>
      <c r="AE369" s="114"/>
      <c r="AF369" s="114"/>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row>
    <row r="370" spans="1:64" ht="12.75" x14ac:dyDescent="0.2">
      <c r="A370" s="102">
        <f>W370</f>
        <v>420</v>
      </c>
      <c r="B370" s="2" t="str">
        <f>IF(TYPE(T369)=16,"",T369)</f>
        <v>B4431</v>
      </c>
      <c r="C370" s="2" t="str">
        <f>IF(TYPE(T370)=16,"",T370)</f>
        <v>G3411</v>
      </c>
      <c r="D370" s="2" t="str">
        <f>IF(TYPE(T371)=16,"",T371)</f>
        <v>S4287</v>
      </c>
      <c r="E370" s="2" t="str">
        <f>IF(TYPE(T372)=16,"",T372)</f>
        <v>P4286</v>
      </c>
      <c r="F370" s="2" t="str">
        <f>IF(A370=0,IF(AND(LEN(B370)&gt;1,LEN(D370)=0),VLOOKUP(B370,[1]zawodnicy!$A$1:$E$65536,1,FALSE),IF(AND(LEN(D370)&gt;1,LEN(B370)=0),VLOOKUP(D370,[1]zawodnicy!$A$1:$E$65536,1,FALSE),"")),IF((VLOOKUP(A370,'[1]plan gier'!$X$1:$AF$65536,7,FALSE))="","",VLOOKUP(VLOOKUP(A370,'[1]plan gier'!$X$1:$AF$65536,7,FALSE),[1]zawodnicy!$A$1:$E$65536,1,FALSE)))</f>
        <v>S4287</v>
      </c>
      <c r="G370" s="2" t="str">
        <f>IF(A370=0,IF(AND(LEN(C370)&gt;1,LEN(E370)=0),VLOOKUP(C370,[1]zawodnicy!$A$1:$E$65536,1,FALSE),IF(AND(LEN(E370)&gt;1,LEN(C370)=0),VLOOKUP(E370,[1]zawodnicy!$A$1:$E$65536,1,FALSE),"")),IF((VLOOKUP(A370,'[1]plan gier'!$X$1:$AF$65536,8,FALSE))="","",VLOOKUP(VLOOKUP(A370,'[1]plan gier'!$X$1:$AF$65536,8,FALSE),[1]zawodnicy!$A$1:$E$65536,1,FALSE)))</f>
        <v>P4286</v>
      </c>
      <c r="H370" s="2" t="str">
        <f>IF(A370=0,"",IF((VLOOKUP(A370,'[1]plan gier'!$X$1:$AF$65536,7,FALSE))="","",VLOOKUP(A370,'[1]plan gier'!$X$1:$AF$65536,9,FALSE)))</f>
        <v>21:11,21:19</v>
      </c>
      <c r="L370" s="124" t="str">
        <f>IF(A370=0,"",IF(VLOOKUP(A370,'[1]plan gier'!A$1:S$65536,19,FALSE)="","",VLOOKUP(A370,'[1]plan gier'!A$1:S$65536,19,FALSE)))</f>
        <v>nie 10:00</v>
      </c>
      <c r="M370" s="2" t="str">
        <f>N356</f>
        <v>mieszana M</v>
      </c>
      <c r="N370" s="125"/>
      <c r="O370" s="121"/>
      <c r="P370" s="121"/>
      <c r="Q370" s="114"/>
      <c r="R370" s="114"/>
      <c r="S370" s="114"/>
      <c r="T370" s="224" t="str">
        <f>UPPER(IF(O369="","",IF(ISTEXT(N370),N370,IF(AND(N355&gt;0,O369&gt;0),VLOOKUP(N355&amp;O369&amp;N356,I:K,3,FALSE),""))))</f>
        <v>G3411</v>
      </c>
      <c r="U370" s="225"/>
      <c r="V370" s="126" t="str">
        <f>IF(T370&lt;&gt;"",CONCATENATE(VLOOKUP(T370,[1]zawodnicy!$A$1:$E$65536,2,FALSE)," ",VLOOKUP(T370,[1]zawodnicy!$A$1:$E$65536,3,FALSE)," - ",VLOOKUP(T370,[1]zawodnicy!$A$1:$E$65536,4,FALSE)),"")</f>
        <v>Magdalena GOLENIA - UKS Sokół Ropczyce</v>
      </c>
      <c r="W370" s="127">
        <v>420</v>
      </c>
      <c r="X370" s="231" t="str">
        <f>IF(ISBLANK(W370),IF(AND(LEN(T370)&gt;0,LEN(T372)=0),VLOOKUP(T370,[1]zawodnicy!$A$1:$E$65536,3,FALSE),IF(AND(LEN(T372)&gt;0,LEN(T370)=0),VLOOKUP(T372,[1]zawodnicy!$A$1:$E$65536,3,FALSE),"")),IF((VLOOKUP(W370,'[1]plan gier'!$X$1:$AF$65536,8,FALSE))="","",VLOOKUP(VLOOKUP(W370,'[1]plan gier'!$X$1:$AF$65536,8,FALSE),[1]zawodnicy!$A$1:$E$65536,3,FALSE)))</f>
        <v>PODZIEWSKA</v>
      </c>
      <c r="Y370" s="232"/>
      <c r="Z370" s="233"/>
      <c r="AA370" s="2"/>
      <c r="AB370" s="2"/>
      <c r="AC370" s="2"/>
      <c r="AD370" s="10"/>
      <c r="AE370" s="10"/>
      <c r="AF370" s="10"/>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row>
    <row r="371" spans="1:64" ht="12.75" x14ac:dyDescent="0.2">
      <c r="J371" s="2"/>
      <c r="K371" s="2"/>
      <c r="L371" s="2"/>
      <c r="M371" s="95"/>
      <c r="N371" s="125"/>
      <c r="O371" s="120">
        <f>IF(P371="","",MAX(O357:O370)+1)</f>
        <v>8</v>
      </c>
      <c r="P371" s="121">
        <f>IF(O355&gt;4,32,"")</f>
        <v>32</v>
      </c>
      <c r="Q371" s="113">
        <f>O371</f>
        <v>8</v>
      </c>
      <c r="R371" s="113"/>
      <c r="S371" s="113"/>
      <c r="T371" s="234" t="str">
        <f>UPPER(IF(O371="","",IF(ISTEXT(N371),N371,IF(AND(N355&gt;0,O371&gt;0),VLOOKUP(N355&amp;O371&amp;N356,I:K,2,FALSE),""))))</f>
        <v>S4287</v>
      </c>
      <c r="U371" s="235"/>
      <c r="V371" s="122" t="str">
        <f>IF(T371&lt;&gt;"",CONCATENATE(VLOOKUP(T371,[1]zawodnicy!$A$1:$E$65536,2,FALSE)," ",VLOOKUP(T371,[1]zawodnicy!$A$1:$E$65536,3,FALSE)," - ",VLOOKUP(T371,[1]zawodnicy!$A$1:$E$65536,4,FALSE)),"")</f>
        <v>Michał SOBOLEWSKI - SKB Suwałki</v>
      </c>
      <c r="W371" s="128"/>
      <c r="X371" s="236" t="str">
        <f>IF(ISBLANK(W370),"",IF((VLOOKUP(W370,'[1]plan gier'!$X$1:$AF$65536,7,FALSE))="",L370,VLOOKUP(W370,'[1]plan gier'!$X$1:$AF$65536,9,FALSE)))</f>
        <v>21:11,21:19</v>
      </c>
      <c r="Y371" s="237"/>
      <c r="Z371" s="237"/>
      <c r="AA371" s="2"/>
      <c r="AB371" s="2"/>
      <c r="AC371" s="114"/>
      <c r="AD371" s="114"/>
      <c r="AE371" s="114"/>
      <c r="AF371" s="114"/>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row>
    <row r="372" spans="1:64" ht="12.75" x14ac:dyDescent="0.2">
      <c r="A372" s="135"/>
      <c r="B372" s="16"/>
      <c r="C372" s="16"/>
      <c r="D372" s="16"/>
      <c r="E372" s="16"/>
      <c r="F372" s="16"/>
      <c r="G372" s="16"/>
      <c r="H372" s="16"/>
      <c r="I372" s="16"/>
      <c r="M372" s="16"/>
      <c r="N372" s="125"/>
      <c r="O372" s="121"/>
      <c r="P372" s="121"/>
      <c r="Q372" s="114"/>
      <c r="R372" s="114"/>
      <c r="S372" s="114"/>
      <c r="T372" s="224" t="str">
        <f>UPPER(IF(O371="","",IF(ISTEXT(N372),N372,IF(AND(N355&gt;0,O371&gt;0),VLOOKUP(N355&amp;O371&amp;N356,I:K,3,FALSE),""))))</f>
        <v>P4286</v>
      </c>
      <c r="U372" s="225"/>
      <c r="V372" s="126" t="str">
        <f>IF(T372&lt;&gt;"",CONCATENATE(VLOOKUP(T372,[1]zawodnicy!$A$1:$E$65536,2,FALSE)," ",VLOOKUP(T372,[1]zawodnicy!$A$1:$E$65536,3,FALSE)," - ",VLOOKUP(T372,[1]zawodnicy!$A$1:$E$65536,4,FALSE)),"")</f>
        <v>Ewelina PODZIEWSKA - SKB Suwałki</v>
      </c>
      <c r="W372" s="136"/>
      <c r="X372" s="10"/>
      <c r="Y372" s="10"/>
      <c r="Z372" s="10"/>
      <c r="AA372" s="2"/>
      <c r="AB372" s="2"/>
      <c r="AC372" s="137"/>
      <c r="AD372" s="114"/>
      <c r="AE372" s="114"/>
      <c r="AF372" s="114"/>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row>
    <row r="374" spans="1:64" ht="11.45" customHeight="1" x14ac:dyDescent="0.2">
      <c r="M374" s="16"/>
      <c r="N374" s="17" t="s">
        <v>278</v>
      </c>
      <c r="R374" s="18"/>
      <c r="S374" s="18"/>
      <c r="T374" s="277" t="str">
        <f>"Gra "&amp;N374</f>
        <v>Gra pojedyncza dziewcząt MM</v>
      </c>
      <c r="U374" s="277"/>
      <c r="V374" s="277"/>
      <c r="W374" s="277"/>
      <c r="X374" s="277"/>
      <c r="Y374" s="277"/>
      <c r="Z374" s="277"/>
      <c r="AA374" s="277"/>
      <c r="AB374" s="277"/>
      <c r="AC374" s="277"/>
      <c r="AD374" s="277"/>
      <c r="AE374" s="18"/>
    </row>
    <row r="375" spans="1:64" ht="11.45" customHeight="1" thickBot="1" x14ac:dyDescent="0.25"/>
    <row r="376" spans="1:64" ht="11.45" customHeight="1" thickBot="1" x14ac:dyDescent="0.25">
      <c r="N376" s="11"/>
      <c r="O376" s="21">
        <v>1</v>
      </c>
      <c r="Q376" s="277" t="str">
        <f>"Grupa "&amp;O376&amp;"."</f>
        <v>Grupa 1.</v>
      </c>
      <c r="R376" s="277"/>
      <c r="S376" s="277"/>
      <c r="T376" s="22" t="s">
        <v>1</v>
      </c>
      <c r="U376" s="278" t="s">
        <v>2</v>
      </c>
      <c r="V376" s="279"/>
      <c r="W376" s="280"/>
      <c r="X376" s="22">
        <v>1</v>
      </c>
      <c r="Y376" s="23">
        <v>2</v>
      </c>
      <c r="Z376" s="24">
        <v>3</v>
      </c>
      <c r="AA376" s="25" t="s">
        <v>3</v>
      </c>
      <c r="AB376" s="26" t="s">
        <v>4</v>
      </c>
      <c r="AC376" s="26" t="s">
        <v>5</v>
      </c>
      <c r="AD376" s="27" t="s">
        <v>6</v>
      </c>
      <c r="AE376" s="2"/>
      <c r="AF376" s="12"/>
      <c r="AG376" s="12"/>
      <c r="BK376" s="19"/>
      <c r="BL376" s="20"/>
    </row>
    <row r="377" spans="1:64" ht="11.45" customHeight="1" x14ac:dyDescent="0.2">
      <c r="J377" s="28"/>
      <c r="K377" s="28"/>
      <c r="L377" s="28"/>
      <c r="N377" s="29" t="s">
        <v>278</v>
      </c>
      <c r="Q377" s="274" t="s">
        <v>7</v>
      </c>
      <c r="R377" s="274"/>
      <c r="S377" s="275" t="s">
        <v>8</v>
      </c>
      <c r="T377" s="276">
        <v>1</v>
      </c>
      <c r="U377" s="244" t="str">
        <f>IF(AND(N378&lt;&gt;"",N379&lt;&gt;""),CONCATENATE(VLOOKUP(N378,[1]zawodnicy!$A$1:$E$65536,1,FALSE)," ",VLOOKUP(N378,[1]zawodnicy!$A$1:$E$65536,2,FALSE)," ",VLOOKUP(N378,[1]zawodnicy!$A$1:$E$65536,3,FALSE)," - ",VLOOKUP(N378,[1]zawodnicy!$A$1:$E$65536,4,FALSE)),"")</f>
        <v/>
      </c>
      <c r="V377" s="245"/>
      <c r="W377" s="246"/>
      <c r="X377" s="30"/>
      <c r="Y377" s="31" t="str">
        <f>IF(SUM(AO382:AP382)=0,"",AO382&amp;":"&amp;AP382)</f>
        <v>21:0</v>
      </c>
      <c r="Z377" s="32" t="str">
        <f>IF(SUM(AO380:AP380)=0,"",AO380&amp;":"&amp;AP380)</f>
        <v>21:12</v>
      </c>
      <c r="AA377" s="270" t="str">
        <f>IF(SUM(AY380:BB380)=0,"",BE380&amp;":"&amp;BF380)</f>
        <v>84:21</v>
      </c>
      <c r="AB377" s="271" t="str">
        <f>IF(SUM(AY380:BB380)=0,"",BG380&amp;":"&amp;BH380)</f>
        <v>4:0</v>
      </c>
      <c r="AC377" s="271" t="str">
        <f>IF(SUM(AY380:BB380)=0,"",BI380&amp;":"&amp;BJ380)</f>
        <v>2:0</v>
      </c>
      <c r="AD377" s="272">
        <f>IF(SUM(BI380:BI382)&gt;0,BK380,"")</f>
        <v>1</v>
      </c>
      <c r="AE377" s="2"/>
      <c r="AF377" s="12"/>
      <c r="AG377" s="12"/>
      <c r="AH377" s="14"/>
      <c r="AI377" s="273" t="s">
        <v>9</v>
      </c>
      <c r="AJ377" s="273"/>
      <c r="AK377" s="273"/>
      <c r="AL377" s="273"/>
      <c r="AM377" s="273"/>
      <c r="AN377" s="273"/>
      <c r="AO377" s="273" t="s">
        <v>10</v>
      </c>
      <c r="AP377" s="273"/>
      <c r="AQ377" s="273"/>
      <c r="AR377" s="273"/>
      <c r="AS377" s="273"/>
      <c r="AT377" s="273"/>
      <c r="BK377" s="19"/>
      <c r="BL377" s="20"/>
    </row>
    <row r="378" spans="1:64" ht="11.45" customHeight="1" thickBot="1" x14ac:dyDescent="0.25">
      <c r="I378" s="2" t="str">
        <f>"1"&amp;O376&amp;N377</f>
        <v>11pojedyncza dziewcząt MM</v>
      </c>
      <c r="J378" s="10" t="str">
        <f>IF(AD377="","",IF(AD377=1,N378,IF(AD380=1,N381,IF(AD383=1,N384,""))))</f>
        <v>D4628</v>
      </c>
      <c r="K378" s="10">
        <f>IF(AD377="","",IF(AD377=1,N379,IF(AD380=1,N382,IF(AD383=1,N385,""))))</f>
        <v>0</v>
      </c>
      <c r="L378" s="10"/>
      <c r="N378" s="187" t="s">
        <v>279</v>
      </c>
      <c r="O378" s="34">
        <f>IF(O376&gt;0,(O376&amp;1)*1,"")</f>
        <v>11</v>
      </c>
      <c r="Q378" s="274"/>
      <c r="R378" s="274"/>
      <c r="S378" s="275"/>
      <c r="T378" s="242"/>
      <c r="U378" s="244" t="str">
        <f>IF(AND(N378&lt;&gt;"",N379=""),CONCATENATE(VLOOKUP(N378,[1]zawodnicy!$A$1:$E$65536,1,FALSE)," ",VLOOKUP(N378,[1]zawodnicy!$A$1:$E$65536,2,FALSE)," ",VLOOKUP(N378,[1]zawodnicy!$A$1:$E$65536,3,FALSE)," - ",VLOOKUP(N378,[1]zawodnicy!$A$1:$E$65536,4,FALSE)),"")</f>
        <v>D4628 Anna DUDA - ULKS U-2 Lotka Bytów</v>
      </c>
      <c r="V378" s="245"/>
      <c r="W378" s="246"/>
      <c r="X378" s="35"/>
      <c r="Y378" s="36" t="str">
        <f>IF(SUM(AQ382:AR382)=0,"",AQ382&amp;":"&amp;AR382)</f>
        <v>21:0</v>
      </c>
      <c r="Z378" s="37" t="str">
        <f>IF(SUM(AQ380:AR380)=0,"",AQ380&amp;":"&amp;AR380)</f>
        <v>21:9</v>
      </c>
      <c r="AA378" s="248"/>
      <c r="AB378" s="251"/>
      <c r="AC378" s="251"/>
      <c r="AD378" s="254"/>
      <c r="AE378" s="2"/>
      <c r="AF378" s="12"/>
      <c r="AG378" s="12"/>
      <c r="AH378" s="14"/>
      <c r="BE378" s="19">
        <f>SUM(BE380:BE382)</f>
        <v>147</v>
      </c>
      <c r="BF378" s="19">
        <f>SUM(BF380:BF382)</f>
        <v>147</v>
      </c>
      <c r="BG378" s="19">
        <f>SUM(BG380:BG382)</f>
        <v>6</v>
      </c>
      <c r="BH378" s="19">
        <f>SUM(BH380:BH382)</f>
        <v>6</v>
      </c>
      <c r="BK378" s="19"/>
      <c r="BL378" s="20"/>
    </row>
    <row r="379" spans="1:64" ht="11.45" customHeight="1" thickBot="1" x14ac:dyDescent="0.25">
      <c r="J379" s="10"/>
      <c r="K379" s="28"/>
      <c r="L379" s="28"/>
      <c r="N379" s="38"/>
      <c r="O379" s="28"/>
      <c r="P379" s="28"/>
      <c r="Q379" s="274"/>
      <c r="R379" s="274"/>
      <c r="S379" s="275"/>
      <c r="T379" s="261"/>
      <c r="U379" s="265" t="str">
        <f>IF(N379&lt;&gt;"",CONCATENATE(VLOOKUP(N379,[1]zawodnicy!$A$1:$E$65536,1,FALSE)," ",VLOOKUP(N379,[1]zawodnicy!$A$1:$E$65536,2,FALSE)," ",VLOOKUP(N379,[1]zawodnicy!$A$1:$E$65536,3,FALSE)," - ",VLOOKUP(N379,[1]zawodnicy!$A$1:$E$65536,4,FALSE)),"")</f>
        <v/>
      </c>
      <c r="V379" s="266"/>
      <c r="W379" s="267"/>
      <c r="X379" s="35"/>
      <c r="Y379" s="39" t="str">
        <f>IF(SUM(AS382:AT382)=0,"",AS382&amp;":"&amp;AT382)</f>
        <v/>
      </c>
      <c r="Z379" s="40" t="str">
        <f>IF(SUM(AS380:AT380)=0,"",AS380&amp;":"&amp;AT380)</f>
        <v/>
      </c>
      <c r="AA379" s="262"/>
      <c r="AB379" s="263"/>
      <c r="AC379" s="263"/>
      <c r="AD379" s="264"/>
      <c r="AE379" s="2"/>
      <c r="AF379" s="12"/>
      <c r="AG379" s="12"/>
      <c r="AH379" s="14"/>
      <c r="AI379" s="259" t="s">
        <v>12</v>
      </c>
      <c r="AJ379" s="269"/>
      <c r="AK379" s="268" t="s">
        <v>13</v>
      </c>
      <c r="AL379" s="269"/>
      <c r="AM379" s="268" t="s">
        <v>14</v>
      </c>
      <c r="AN379" s="260"/>
      <c r="AO379" s="259" t="s">
        <v>12</v>
      </c>
      <c r="AP379" s="269"/>
      <c r="AQ379" s="268" t="s">
        <v>13</v>
      </c>
      <c r="AR379" s="269"/>
      <c r="AS379" s="268" t="s">
        <v>14</v>
      </c>
      <c r="AT379" s="269"/>
      <c r="AU379" s="12"/>
      <c r="AV379" s="12"/>
      <c r="AW379" s="259">
        <v>1</v>
      </c>
      <c r="AX379" s="269"/>
      <c r="AY379" s="268">
        <v>2</v>
      </c>
      <c r="AZ379" s="269"/>
      <c r="BA379" s="268">
        <v>3</v>
      </c>
      <c r="BB379" s="260"/>
      <c r="BE379" s="259" t="s">
        <v>3</v>
      </c>
      <c r="BF379" s="260"/>
      <c r="BG379" s="259" t="s">
        <v>4</v>
      </c>
      <c r="BH379" s="260"/>
      <c r="BI379" s="259" t="s">
        <v>5</v>
      </c>
      <c r="BJ379" s="260"/>
      <c r="BK379" s="41" t="s">
        <v>6</v>
      </c>
      <c r="BL379" s="20"/>
    </row>
    <row r="380" spans="1:64" ht="11.45" customHeight="1" x14ac:dyDescent="0.2">
      <c r="A380" s="19">
        <f>S380</f>
        <v>100</v>
      </c>
      <c r="B380" s="2" t="str">
        <f>IF(N378="","",N378)</f>
        <v>D4628</v>
      </c>
      <c r="C380" s="2" t="str">
        <f>IF(N379="","",N379)</f>
        <v/>
      </c>
      <c r="D380" s="2" t="str">
        <f>IF(N384="","",N384)</f>
        <v>W5952</v>
      </c>
      <c r="E380" s="2" t="str">
        <f>IF(N385="","",N385)</f>
        <v/>
      </c>
      <c r="I380" s="2" t="str">
        <f>"2"&amp;O376&amp;N377</f>
        <v>21pojedyncza dziewcząt MM</v>
      </c>
      <c r="J380" s="10" t="str">
        <f>IF(AD380="","",IF(AD377=2,N378,IF(AD380=2,N381,IF(AD383=2,N384,""))))</f>
        <v>W5952</v>
      </c>
      <c r="K380" s="10">
        <f>IF(AD380="","",IF(AD377=2,N379,IF(AD380=2,N382,IF(AD383=2,N385,""))))</f>
        <v>0</v>
      </c>
      <c r="M380" s="42" t="str">
        <f>N377</f>
        <v>pojedyncza dziewcząt MM</v>
      </c>
      <c r="O380" s="28"/>
      <c r="P380" s="28"/>
      <c r="Q380" s="43" t="str">
        <f>IF(AU380&gt;0,"",IF(A380=0,"",IF(VLOOKUP(A380,'[1]plan gier'!A$1:S$65536,19,FALSE)="","",VLOOKUP(A380,'[1]plan gier'!A$1:S$65536,19,FALSE))))</f>
        <v/>
      </c>
      <c r="R380" s="44" t="s">
        <v>15</v>
      </c>
      <c r="S380" s="45">
        <v>100</v>
      </c>
      <c r="T380" s="241">
        <v>2</v>
      </c>
      <c r="U380" s="244" t="str">
        <f>IF(AND(N381&lt;&gt;"",N382&lt;&gt;""),CONCATENATE(VLOOKUP(N381,[1]zawodnicy!$A$1:$E$65536,1,FALSE)," ",VLOOKUP(N381,[1]zawodnicy!$A$1:$E$65536,2,FALSE)," ",VLOOKUP(N381,[1]zawodnicy!$A$1:$E$65536,3,FALSE)," - ",VLOOKUP(N381,[1]zawodnicy!$A$1:$E$65536,4,FALSE)),"")</f>
        <v/>
      </c>
      <c r="V380" s="245"/>
      <c r="W380" s="246"/>
      <c r="X380" s="46" t="str">
        <f>IF(SUM(AO382:AP382)=0,"",AP382&amp;":"&amp;AO382)</f>
        <v>0:21</v>
      </c>
      <c r="Y380" s="47"/>
      <c r="Z380" s="48" t="str">
        <f>IF(SUM(AO381:AP381)=0,"",AO381&amp;":"&amp;AP381)</f>
        <v>0:21</v>
      </c>
      <c r="AA380" s="247" t="str">
        <f>IF(SUM(AW381:AX381,BA381:BB381)=0,"",BE381&amp;":"&amp;BF381)</f>
        <v>0:84</v>
      </c>
      <c r="AB380" s="250" t="str">
        <f>IF(SUM(AW381:AX381,BA381:BB381)=0,"",BG381&amp;":"&amp;BH381)</f>
        <v>0:4</v>
      </c>
      <c r="AC380" s="250" t="str">
        <f>IF(SUM(AW381:AX381,BA381:BB381)=0,"",BI381&amp;":"&amp;BJ381)</f>
        <v>0:2</v>
      </c>
      <c r="AD380" s="253">
        <f>IF(SUM(BI380:BI382)&gt;0,BK381,"")</f>
        <v>3</v>
      </c>
      <c r="AE380" s="2"/>
      <c r="AF380" s="12"/>
      <c r="AG380" s="12"/>
      <c r="AH380" s="44" t="s">
        <v>15</v>
      </c>
      <c r="AI380" s="49">
        <f>IF(ISBLANK(S380),"",VLOOKUP(S380,'[1]plan gier'!$X$1:$AN$65536,12,FALSE))</f>
        <v>21</v>
      </c>
      <c r="AJ380" s="50">
        <f>IF(ISBLANK(S380),"",VLOOKUP(S380,'[1]plan gier'!$X$1:$AN$65536,13,FALSE))</f>
        <v>12</v>
      </c>
      <c r="AK380" s="50">
        <f>IF(ISBLANK(S380),"",VLOOKUP(S380,'[1]plan gier'!$X$1:$AN$65536,14,FALSE))</f>
        <v>21</v>
      </c>
      <c r="AL380" s="50">
        <f>IF(ISBLANK(S380),"",VLOOKUP(S380,'[1]plan gier'!$X$1:$AN$65536,15,FALSE))</f>
        <v>9</v>
      </c>
      <c r="AM380" s="50">
        <f>IF(ISBLANK(S380),"",VLOOKUP(S380,'[1]plan gier'!$X$1:$AN$65536,16,FALSE))</f>
        <v>0</v>
      </c>
      <c r="AN380" s="50">
        <f>IF(ISBLANK(S380),"",VLOOKUP(S380,'[1]plan gier'!$X$1:$AN$65536,17,FALSE))</f>
        <v>0</v>
      </c>
      <c r="AO380" s="51">
        <f t="shared" ref="AO380:AT382" si="40">IF(AI380="",0,AI380)</f>
        <v>21</v>
      </c>
      <c r="AP380" s="52">
        <f t="shared" si="40"/>
        <v>12</v>
      </c>
      <c r="AQ380" s="53">
        <f t="shared" si="40"/>
        <v>21</v>
      </c>
      <c r="AR380" s="52">
        <f t="shared" si="40"/>
        <v>9</v>
      </c>
      <c r="AS380" s="53">
        <f t="shared" si="40"/>
        <v>0</v>
      </c>
      <c r="AT380" s="52">
        <f t="shared" si="40"/>
        <v>0</v>
      </c>
      <c r="AU380" s="54">
        <f>SUM(AO380:AT380)</f>
        <v>63</v>
      </c>
      <c r="AV380" s="13">
        <v>1</v>
      </c>
      <c r="AW380" s="55"/>
      <c r="AX380" s="56"/>
      <c r="AY380" s="50">
        <f>IF(AI382&gt;AJ382,1,0)+IF(AK382&gt;AL382,1,0)+IF(AM382&gt;AN382,1,0)</f>
        <v>2</v>
      </c>
      <c r="AZ380" s="50">
        <f>AW381</f>
        <v>0</v>
      </c>
      <c r="BA380" s="50">
        <f>IF(AI380&gt;AJ380,1,0)+IF(AK380&gt;AL380,1,0)+IF(AM380&gt;AN380,1,0)</f>
        <v>2</v>
      </c>
      <c r="BB380" s="57">
        <f>AW382</f>
        <v>0</v>
      </c>
      <c r="BE380" s="49">
        <f>AO380+AQ380+AS380+AO382+AQ382+AS382</f>
        <v>84</v>
      </c>
      <c r="BF380" s="57">
        <f>AP380+AR380+AT380+AP382+AR382+AT382</f>
        <v>21</v>
      </c>
      <c r="BG380" s="49">
        <f>AY380+BA380</f>
        <v>4</v>
      </c>
      <c r="BH380" s="57">
        <f>AZ380+BB380</f>
        <v>0</v>
      </c>
      <c r="BI380" s="49">
        <f>IF(AY380&gt;AZ380,1,0)+IF(BA380&gt;BB380,1,0)</f>
        <v>2</v>
      </c>
      <c r="BJ380" s="58">
        <f>IF(AZ380&gt;AY380,1,0)+IF(BB380&gt;BA380,1,0)</f>
        <v>0</v>
      </c>
      <c r="BK380" s="59">
        <f>IF(BI380+BJ380=0,"",IF(BL380=MAX(BL380:BL382),1,IF(BL380=MIN(BL380:BL382),3,2)))</f>
        <v>1</v>
      </c>
      <c r="BL380" s="60">
        <f>IF(BI380+BJ380&lt;&gt;0,BI380+1+(BG380-BH380)/100+(BE380-BF380)/100000+(BE380/BF380)/1000000,0)</f>
        <v>3.0406340000000003</v>
      </c>
    </row>
    <row r="381" spans="1:64" ht="11.45" customHeight="1" x14ac:dyDescent="0.2">
      <c r="A381" s="19">
        <f>S381</f>
        <v>166</v>
      </c>
      <c r="B381" s="2" t="str">
        <f>IF(N381="","",N381)</f>
        <v>X50</v>
      </c>
      <c r="C381" s="2" t="str">
        <f>IF(N382="","",N382)</f>
        <v/>
      </c>
      <c r="D381" s="2" t="str">
        <f>IF(N384="","",N384)</f>
        <v>W5952</v>
      </c>
      <c r="E381" s="2" t="str">
        <f>IF(N385="","",N385)</f>
        <v/>
      </c>
      <c r="J381" s="10"/>
      <c r="K381" s="19"/>
      <c r="M381" s="42" t="str">
        <f>N377</f>
        <v>pojedyncza dziewcząt MM</v>
      </c>
      <c r="N381" s="188" t="s">
        <v>280</v>
      </c>
      <c r="O381" s="34">
        <f>IF(O376&gt;0,(O376&amp;2)*1,"")</f>
        <v>12</v>
      </c>
      <c r="Q381" s="43" t="str">
        <f>IF(AU381&gt;0,"",IF(A381=0,"",IF(VLOOKUP(A381,'[1]plan gier'!A$1:S$65536,19,FALSE)="","",VLOOKUP(A381,'[1]plan gier'!A$1:S$65536,19,FALSE))))</f>
        <v/>
      </c>
      <c r="R381" s="44" t="s">
        <v>17</v>
      </c>
      <c r="S381" s="45">
        <v>166</v>
      </c>
      <c r="T381" s="242"/>
      <c r="U381" s="244" t="str">
        <f>IF(AND(N381&lt;&gt;"",N382=""),CONCATENATE(VLOOKUP(N381,[1]zawodnicy!$A$1:$E$65536,1,FALSE)," ",VLOOKUP(N381,[1]zawodnicy!$A$1:$E$65536,2,FALSE)," ",VLOOKUP(N381,[1]zawodnicy!$A$1:$E$65536,3,FALSE)," - ",VLOOKUP(N381,[1]zawodnicy!$A$1:$E$65536,4,FALSE)),"")</f>
        <v>X50 Sara Skoupilová  - Slavoj Cesky Tesin</v>
      </c>
      <c r="V381" s="245"/>
      <c r="W381" s="246"/>
      <c r="X381" s="61" t="str">
        <f>IF(SUM(AQ382:AR382)=0,"",AR382&amp;":"&amp;AQ382)</f>
        <v>0:21</v>
      </c>
      <c r="Y381" s="62"/>
      <c r="Z381" s="37" t="str">
        <f>IF(SUM(AQ381:AR381)=0,"",AQ381&amp;":"&amp;AR381)</f>
        <v>0:21</v>
      </c>
      <c r="AA381" s="248"/>
      <c r="AB381" s="251"/>
      <c r="AC381" s="251"/>
      <c r="AD381" s="254"/>
      <c r="AE381" s="2"/>
      <c r="AF381" s="12"/>
      <c r="AG381" s="12"/>
      <c r="AH381" s="44" t="s">
        <v>17</v>
      </c>
      <c r="AI381" s="63">
        <f>IF(ISBLANK(S381),"",VLOOKUP(S381,'[1]plan gier'!$X$1:$AN$65536,12,FALSE))</f>
        <v>0</v>
      </c>
      <c r="AJ381" s="64">
        <f>IF(ISBLANK(S381),"",VLOOKUP(S381,'[1]plan gier'!$X$1:$AN$65536,13,FALSE))</f>
        <v>21</v>
      </c>
      <c r="AK381" s="64">
        <f>IF(ISBLANK(S381),"",VLOOKUP(S381,'[1]plan gier'!$X$1:$AN$65536,14,FALSE))</f>
        <v>0</v>
      </c>
      <c r="AL381" s="64">
        <f>IF(ISBLANK(S381),"",VLOOKUP(S381,'[1]plan gier'!$X$1:$AN$65536,15,FALSE))</f>
        <v>21</v>
      </c>
      <c r="AM381" s="64">
        <f>IF(ISBLANK(S381),"",VLOOKUP(S381,'[1]plan gier'!$X$1:$AN$65536,16,FALSE))</f>
        <v>0</v>
      </c>
      <c r="AN381" s="64">
        <f>IF(ISBLANK(S381),"",VLOOKUP(S381,'[1]plan gier'!$X$1:$AN$65536,17,FALSE))</f>
        <v>0</v>
      </c>
      <c r="AO381" s="65">
        <f t="shared" si="40"/>
        <v>0</v>
      </c>
      <c r="AP381" s="64">
        <f t="shared" si="40"/>
        <v>21</v>
      </c>
      <c r="AQ381" s="66">
        <f t="shared" si="40"/>
        <v>0</v>
      </c>
      <c r="AR381" s="64">
        <f t="shared" si="40"/>
        <v>21</v>
      </c>
      <c r="AS381" s="66">
        <f t="shared" si="40"/>
        <v>0</v>
      </c>
      <c r="AT381" s="64">
        <f t="shared" si="40"/>
        <v>0</v>
      </c>
      <c r="AU381" s="54">
        <f>SUM(AO381:AT381)</f>
        <v>42</v>
      </c>
      <c r="AV381" s="13">
        <v>2</v>
      </c>
      <c r="AW381" s="63">
        <f>IF(AI382&lt;AJ382,1,0)+IF(AK382&lt;AL382,1,0)+IF(AM382&lt;AN382,1,0)</f>
        <v>0</v>
      </c>
      <c r="AX381" s="64">
        <f>AY380</f>
        <v>2</v>
      </c>
      <c r="AY381" s="67"/>
      <c r="AZ381" s="68"/>
      <c r="BA381" s="64">
        <f>IF(AI381&gt;AJ381,1,0)+IF(AK381&gt;AL381,1,0)+IF(AM381&gt;AN381,1,0)</f>
        <v>0</v>
      </c>
      <c r="BB381" s="69">
        <f>AY382</f>
        <v>2</v>
      </c>
      <c r="BE381" s="63">
        <f>AO381+AQ381+AS381+AP382+AR382+AT382</f>
        <v>0</v>
      </c>
      <c r="BF381" s="69">
        <f>AP381+AR381+AT381+AO382+AQ382+AS382</f>
        <v>84</v>
      </c>
      <c r="BG381" s="63">
        <f>AW381+BA381</f>
        <v>0</v>
      </c>
      <c r="BH381" s="69">
        <f>AX381+BB381</f>
        <v>4</v>
      </c>
      <c r="BI381" s="63">
        <f>IF(AW381&gt;AX381,1,0)+IF(BA381&gt;BB381,1,0)</f>
        <v>0</v>
      </c>
      <c r="BJ381" s="70">
        <f>IF(AX381&gt;AW381,1,0)+IF(BB381&gt;BA381,1,0)</f>
        <v>2</v>
      </c>
      <c r="BK381" s="71">
        <f>IF(BI381+BJ381=0,"",IF(BL381=MAX(BL380:BL382),1,IF(BL381=MIN(BL380:BL382),3,2)))</f>
        <v>3</v>
      </c>
      <c r="BL381" s="60">
        <f>IF(BI381+BJ381&lt;&gt;0,BI381+1+(BG381-BH381)/100+(BE381-BF381)/100000+(BE381/BF381)/1000000,0)</f>
        <v>0.95916000000000001</v>
      </c>
    </row>
    <row r="382" spans="1:64" ht="11.45" customHeight="1" thickBot="1" x14ac:dyDescent="0.25">
      <c r="A382" s="19">
        <f>S382</f>
        <v>219</v>
      </c>
      <c r="B382" s="2" t="str">
        <f>IF(N378="","",N378)</f>
        <v>D4628</v>
      </c>
      <c r="C382" s="2" t="str">
        <f>IF(N379="","",N379)</f>
        <v/>
      </c>
      <c r="D382" s="2" t="str">
        <f>IF(N381="","",N381)</f>
        <v>X50</v>
      </c>
      <c r="E382" s="2" t="str">
        <f>IF(N382="","",N382)</f>
        <v/>
      </c>
      <c r="I382" s="2" t="str">
        <f>"3"&amp;O376&amp;N377</f>
        <v>31pojedyncza dziewcząt MM</v>
      </c>
      <c r="J382" s="10" t="str">
        <f>IF(AD383="","",IF(AD377=3,N378,IF(AD380=3,N381,IF(AD383=3,N384,""))))</f>
        <v>X50</v>
      </c>
      <c r="K382" s="10">
        <f>IF(AD383="","",IF(AD377=3,N379,IF(AD380=3,N382,IF(AD383=3,N385,""))))</f>
        <v>0</v>
      </c>
      <c r="M382" s="42" t="str">
        <f>N377</f>
        <v>pojedyncza dziewcząt MM</v>
      </c>
      <c r="N382" s="38"/>
      <c r="O382" s="28"/>
      <c r="P382" s="28"/>
      <c r="Q382" s="43" t="str">
        <f>IF(AU382&gt;0,"",IF(A382=0,"",IF(VLOOKUP(A382,'[1]plan gier'!A$1:S$65536,19,FALSE)="","",VLOOKUP(A382,'[1]plan gier'!A$1:S$65536,19,FALSE))))</f>
        <v/>
      </c>
      <c r="R382" s="72" t="s">
        <v>18</v>
      </c>
      <c r="S382" s="45">
        <v>219</v>
      </c>
      <c r="T382" s="261"/>
      <c r="U382" s="265" t="str">
        <f>IF(N382&lt;&gt;"",CONCATENATE(VLOOKUP(N382,[1]zawodnicy!$A$1:$E$65536,1,FALSE)," ",VLOOKUP(N382,[1]zawodnicy!$A$1:$E$65536,2,FALSE)," ",VLOOKUP(N382,[1]zawodnicy!$A$1:$E$65536,3,FALSE)," - ",VLOOKUP(N382,[1]zawodnicy!$A$1:$E$65536,4,FALSE)),"")</f>
        <v/>
      </c>
      <c r="V382" s="266"/>
      <c r="W382" s="267"/>
      <c r="X382" s="73" t="str">
        <f>IF(SUM(AS382:AT382)=0,"",AT382&amp;":"&amp;AS382)</f>
        <v/>
      </c>
      <c r="Y382" s="62"/>
      <c r="Z382" s="40" t="str">
        <f>IF(SUM(AS381:AT381)=0,"",AS381&amp;":"&amp;AT381)</f>
        <v/>
      </c>
      <c r="AA382" s="262"/>
      <c r="AB382" s="263"/>
      <c r="AC382" s="263"/>
      <c r="AD382" s="264"/>
      <c r="AE382" s="2"/>
      <c r="AF382" s="12"/>
      <c r="AG382" s="12"/>
      <c r="AH382" s="72" t="s">
        <v>18</v>
      </c>
      <c r="AI382" s="74">
        <f>IF(ISBLANK(S382),"",VLOOKUP(S382,'[1]plan gier'!$X$1:$AN$65536,12,FALSE))</f>
        <v>21</v>
      </c>
      <c r="AJ382" s="75">
        <f>IF(ISBLANK(S382),"",VLOOKUP(S382,'[1]plan gier'!$X$1:$AN$65536,13,FALSE))</f>
        <v>0</v>
      </c>
      <c r="AK382" s="75">
        <f>IF(ISBLANK(S382),"",VLOOKUP(S382,'[1]plan gier'!$X$1:$AN$65536,14,FALSE))</f>
        <v>21</v>
      </c>
      <c r="AL382" s="75">
        <f>IF(ISBLANK(S382),"",VLOOKUP(S382,'[1]plan gier'!$X$1:$AN$65536,15,FALSE))</f>
        <v>0</v>
      </c>
      <c r="AM382" s="75">
        <f>IF(ISBLANK(S382),"",VLOOKUP(S382,'[1]plan gier'!$X$1:$AN$65536,16,FALSE))</f>
        <v>0</v>
      </c>
      <c r="AN382" s="75">
        <f>IF(ISBLANK(S382),"",VLOOKUP(S382,'[1]plan gier'!$X$1:$AN$65536,17,FALSE))</f>
        <v>0</v>
      </c>
      <c r="AO382" s="76">
        <f t="shared" si="40"/>
        <v>21</v>
      </c>
      <c r="AP382" s="75">
        <f t="shared" si="40"/>
        <v>0</v>
      </c>
      <c r="AQ382" s="77">
        <f t="shared" si="40"/>
        <v>21</v>
      </c>
      <c r="AR382" s="75">
        <f t="shared" si="40"/>
        <v>0</v>
      </c>
      <c r="AS382" s="77">
        <f t="shared" si="40"/>
        <v>0</v>
      </c>
      <c r="AT382" s="75">
        <f t="shared" si="40"/>
        <v>0</v>
      </c>
      <c r="AU382" s="54">
        <f>SUM(AO382:AT382)</f>
        <v>42</v>
      </c>
      <c r="AV382" s="13">
        <v>3</v>
      </c>
      <c r="AW382" s="74">
        <f>IF(AI380&lt;AJ380,1,0)+IF(AK380&lt;AL380,1,0)+IF(AM380&lt;AN380,1,0)</f>
        <v>0</v>
      </c>
      <c r="AX382" s="75">
        <f>BA380</f>
        <v>2</v>
      </c>
      <c r="AY382" s="75">
        <f>IF(AI381&lt;AJ381,1,0)+IF(AK381&lt;AL381,1,0)+IF(AM381&lt;AN381,1,0)</f>
        <v>2</v>
      </c>
      <c r="AZ382" s="75">
        <f>BA381</f>
        <v>0</v>
      </c>
      <c r="BA382" s="78"/>
      <c r="BB382" s="79"/>
      <c r="BE382" s="74">
        <f>AP380+AR380+AT380+AP381+AR381+AT381</f>
        <v>63</v>
      </c>
      <c r="BF382" s="80">
        <f>AO380+AQ380+AS380+AO381+AQ381+AS381</f>
        <v>42</v>
      </c>
      <c r="BG382" s="74">
        <f>AW382+AY382</f>
        <v>2</v>
      </c>
      <c r="BH382" s="80">
        <f>AX382+AZ382</f>
        <v>2</v>
      </c>
      <c r="BI382" s="74">
        <f>IF(AW382&gt;AX382,1,0)+IF(AY382&gt;AZ382,1,0)</f>
        <v>1</v>
      </c>
      <c r="BJ382" s="81">
        <f>IF(AX382&gt;AW382,1,0)+IF(AZ382&gt;AY382,1,0)</f>
        <v>1</v>
      </c>
      <c r="BK382" s="82">
        <f>IF(BI382+BJ382=0,"",IF(BL382=MAX(BL380:BL382),1,IF(BL382=MIN(BL380:BL382),3,2)))</f>
        <v>2</v>
      </c>
      <c r="BL382" s="60">
        <f>IF(BI382+BJ382&lt;&gt;0,BI382+1+(BG382-BH382)/100+(BE382-BF382)/100000+(BE382/BF382)/1000000,0)</f>
        <v>2.0002115000000003</v>
      </c>
    </row>
    <row r="383" spans="1:64" ht="11.45" customHeight="1" x14ac:dyDescent="0.2">
      <c r="A383" s="2"/>
      <c r="J383" s="28"/>
      <c r="K383" s="28"/>
      <c r="L383" s="28"/>
      <c r="O383" s="28"/>
      <c r="P383" s="28"/>
      <c r="Q383" s="2"/>
      <c r="R383" s="2"/>
      <c r="S383" s="2"/>
      <c r="T383" s="241">
        <v>3</v>
      </c>
      <c r="U383" s="244" t="str">
        <f>IF(AND(N384&lt;&gt;"",N385&lt;&gt;""),CONCATENATE(VLOOKUP(N384,[1]zawodnicy!$A$1:$E$65536,1,FALSE)," ",VLOOKUP(N384,[1]zawodnicy!$A$1:$E$65536,2,FALSE)," ",VLOOKUP(N384,[1]zawodnicy!$A$1:$E$65536,3,FALSE)," - ",VLOOKUP(N384,[1]zawodnicy!$A$1:$E$65536,4,FALSE)),"")</f>
        <v/>
      </c>
      <c r="V383" s="245"/>
      <c r="W383" s="246"/>
      <c r="X383" s="46" t="str">
        <f>IF(SUM(AO380:AP380)=0,"",AP380&amp;":"&amp;AO380)</f>
        <v>12:21</v>
      </c>
      <c r="Y383" s="83" t="str">
        <f>IF(SUM(AO381:AP381)=0,"",AP381&amp;":"&amp;AO381)</f>
        <v>21:0</v>
      </c>
      <c r="Z383" s="84"/>
      <c r="AA383" s="247" t="str">
        <f>IF(SUM(AW382:AZ382)=0,"",BE382&amp;":"&amp;BF382)</f>
        <v>63:42</v>
      </c>
      <c r="AB383" s="250" t="str">
        <f>IF(SUM(AW382:AZ382)=0,"",BG382&amp;":"&amp;BH382)</f>
        <v>2:2</v>
      </c>
      <c r="AC383" s="250" t="str">
        <f>IF(SUM(AW382:AZ382)=0,"",BI382&amp;":"&amp;BJ382)</f>
        <v>1:1</v>
      </c>
      <c r="AD383" s="253">
        <f>IF(SUM(BI380:BI382)&gt;0,BK382,"")</f>
        <v>2</v>
      </c>
      <c r="AE383" s="2"/>
      <c r="AF383" s="12"/>
      <c r="AG383" s="12"/>
      <c r="BE383" s="19">
        <f>SUM(BE380:BE382)</f>
        <v>147</v>
      </c>
      <c r="BF383" s="19">
        <f>SUM(BF380:BF382)</f>
        <v>147</v>
      </c>
      <c r="BG383" s="19">
        <f>SUM(BG380:BG382)</f>
        <v>6</v>
      </c>
      <c r="BH383" s="19">
        <f>SUM(BH380:BH382)</f>
        <v>6</v>
      </c>
      <c r="BK383" s="19"/>
      <c r="BL383" s="20"/>
    </row>
    <row r="384" spans="1:64" ht="11.45" customHeight="1" x14ac:dyDescent="0.2">
      <c r="A384" s="19"/>
      <c r="J384" s="19"/>
      <c r="K384" s="19"/>
      <c r="L384" s="19"/>
      <c r="N384" s="188" t="s">
        <v>281</v>
      </c>
      <c r="O384" s="34">
        <f>IF(O376&gt;0,(O376&amp;3)*1,"")</f>
        <v>13</v>
      </c>
      <c r="Q384" s="85"/>
      <c r="R384" s="85"/>
      <c r="S384" s="85"/>
      <c r="T384" s="242"/>
      <c r="U384" s="244" t="str">
        <f>IF(AND(N384&lt;&gt;"",N385=""),CONCATENATE(VLOOKUP(N384,[1]zawodnicy!$A$1:$E$65536,1,FALSE)," ",VLOOKUP(N384,[1]zawodnicy!$A$1:$E$65536,2,FALSE)," ",VLOOKUP(N384,[1]zawodnicy!$A$1:$E$65536,3,FALSE)," - ",VLOOKUP(N384,[1]zawodnicy!$A$1:$E$65536,4,FALSE)),"")</f>
        <v>W5952 Małgorzata WILCZAK - ----</v>
      </c>
      <c r="V384" s="245"/>
      <c r="W384" s="246"/>
      <c r="X384" s="61" t="str">
        <f>IF(SUM(AQ380:AR380)=0,"",AR380&amp;":"&amp;AQ380)</f>
        <v>9:21</v>
      </c>
      <c r="Y384" s="36" t="str">
        <f>IF(SUM(AQ381:AR381)=0,"",AR381&amp;":"&amp;AQ381)</f>
        <v>21:0</v>
      </c>
      <c r="Z384" s="86"/>
      <c r="AA384" s="248"/>
      <c r="AB384" s="251"/>
      <c r="AC384" s="251"/>
      <c r="AD384" s="254"/>
      <c r="AE384" s="2"/>
      <c r="AF384" s="12"/>
      <c r="AG384" s="1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row>
    <row r="385" spans="1:64" ht="11.45" customHeight="1" thickBot="1" x14ac:dyDescent="0.25">
      <c r="A385" s="2"/>
      <c r="J385" s="28"/>
      <c r="K385" s="28"/>
      <c r="L385" s="28"/>
      <c r="N385" s="38"/>
      <c r="O385" s="28"/>
      <c r="P385" s="28"/>
      <c r="Q385" s="2"/>
      <c r="R385" s="2"/>
      <c r="S385" s="2"/>
      <c r="T385" s="243"/>
      <c r="U385" s="256" t="str">
        <f>IF(N385&lt;&gt;"",CONCATENATE(VLOOKUP(N385,[1]zawodnicy!$A$1:$E$65536,1,FALSE)," ",VLOOKUP(N385,[1]zawodnicy!$A$1:$E$65536,2,FALSE)," ",VLOOKUP(N385,[1]zawodnicy!$A$1:$E$65536,3,FALSE)," - ",VLOOKUP(N385,[1]zawodnicy!$A$1:$E$65536,4,FALSE)),"")</f>
        <v/>
      </c>
      <c r="V385" s="257"/>
      <c r="W385" s="258"/>
      <c r="X385" s="87" t="str">
        <f>IF(SUM(AS380:AT380)=0,"",AT380&amp;":"&amp;AS380)</f>
        <v/>
      </c>
      <c r="Y385" s="88" t="str">
        <f>IF(SUM(AS381:AT381)=0,"",AT381&amp;":"&amp;AS381)</f>
        <v/>
      </c>
      <c r="Z385" s="89"/>
      <c r="AA385" s="249"/>
      <c r="AB385" s="252"/>
      <c r="AC385" s="252"/>
      <c r="AD385" s="255"/>
      <c r="AE385" s="10"/>
      <c r="AF385" s="12"/>
      <c r="AG385" s="1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row>
    <row r="386" spans="1:64" s="19" customFormat="1" ht="5.0999999999999996" customHeight="1" thickBot="1" x14ac:dyDescent="0.25">
      <c r="M386" s="90"/>
      <c r="O386" s="90"/>
      <c r="P386" s="90"/>
      <c r="Q386" s="91"/>
      <c r="R386" s="91"/>
      <c r="S386" s="91"/>
      <c r="T386" s="91"/>
      <c r="U386" s="5"/>
      <c r="V386" s="5"/>
      <c r="W386" s="5"/>
      <c r="AA386" s="92"/>
      <c r="AB386" s="91"/>
      <c r="AC386" s="91"/>
      <c r="AD386" s="91"/>
      <c r="AE386" s="91"/>
      <c r="AF386" s="91"/>
      <c r="AI386" s="93"/>
      <c r="AJ386" s="94"/>
      <c r="AK386" s="94"/>
    </row>
    <row r="387" spans="1:64" ht="11.45" customHeight="1" thickBot="1" x14ac:dyDescent="0.25">
      <c r="N387" s="11"/>
      <c r="O387" s="21">
        <v>2</v>
      </c>
      <c r="Q387" s="277" t="str">
        <f>"Grupa "&amp;O387&amp;"."</f>
        <v>Grupa 2.</v>
      </c>
      <c r="R387" s="277"/>
      <c r="S387" s="277"/>
      <c r="T387" s="22" t="s">
        <v>1</v>
      </c>
      <c r="U387" s="278" t="s">
        <v>2</v>
      </c>
      <c r="V387" s="279"/>
      <c r="W387" s="280"/>
      <c r="X387" s="22">
        <v>1</v>
      </c>
      <c r="Y387" s="23">
        <v>2</v>
      </c>
      <c r="Z387" s="24">
        <v>3</v>
      </c>
      <c r="AA387" s="25" t="s">
        <v>3</v>
      </c>
      <c r="AB387" s="26" t="s">
        <v>4</v>
      </c>
      <c r="AC387" s="26" t="s">
        <v>5</v>
      </c>
      <c r="AD387" s="27" t="s">
        <v>6</v>
      </c>
      <c r="AE387" s="2"/>
      <c r="AF387" s="12"/>
      <c r="AG387" s="12"/>
      <c r="BK387" s="19"/>
      <c r="BL387" s="20"/>
    </row>
    <row r="388" spans="1:64" ht="11.45" customHeight="1" x14ac:dyDescent="0.2">
      <c r="J388" s="28"/>
      <c r="K388" s="28"/>
      <c r="L388" s="28"/>
      <c r="N388" s="29" t="s">
        <v>278</v>
      </c>
      <c r="Q388" s="274" t="s">
        <v>7</v>
      </c>
      <c r="R388" s="274"/>
      <c r="S388" s="275" t="s">
        <v>8</v>
      </c>
      <c r="T388" s="276">
        <v>1</v>
      </c>
      <c r="U388" s="244" t="str">
        <f>IF(AND(N389&lt;&gt;"",N390&lt;&gt;""),CONCATENATE(VLOOKUP(N389,[1]zawodnicy!$A$1:$E$65536,1,FALSE)," ",VLOOKUP(N389,[1]zawodnicy!$A$1:$E$65536,2,FALSE)," ",VLOOKUP(N389,[1]zawodnicy!$A$1:$E$65536,3,FALSE)," - ",VLOOKUP(N389,[1]zawodnicy!$A$1:$E$65536,4,FALSE)),"")</f>
        <v/>
      </c>
      <c r="V388" s="245"/>
      <c r="W388" s="246"/>
      <c r="X388" s="30"/>
      <c r="Y388" s="31" t="str">
        <f>IF(SUM(AO393:AP393)=0,"",AO393&amp;":"&amp;AP393)</f>
        <v>21:7</v>
      </c>
      <c r="Z388" s="32" t="str">
        <f>IF(SUM(AO391:AP391)=0,"",AO391&amp;":"&amp;AP391)</f>
        <v>21:14</v>
      </c>
      <c r="AA388" s="270" t="str">
        <f>IF(SUM(AY391:BB391)=0,"",BE391&amp;":"&amp;BF391)</f>
        <v>84:50</v>
      </c>
      <c r="AB388" s="271" t="str">
        <f>IF(SUM(AY391:BB391)=0,"",BG391&amp;":"&amp;BH391)</f>
        <v>4:0</v>
      </c>
      <c r="AC388" s="271" t="str">
        <f>IF(SUM(AY391:BB391)=0,"",BI391&amp;":"&amp;BJ391)</f>
        <v>2:0</v>
      </c>
      <c r="AD388" s="272">
        <f>IF(SUM(BI391:BI393)&gt;0,BK391,"")</f>
        <v>1</v>
      </c>
      <c r="AE388" s="2"/>
      <c r="AF388" s="12"/>
      <c r="AG388" s="12"/>
      <c r="AH388" s="14"/>
      <c r="AI388" s="273" t="s">
        <v>9</v>
      </c>
      <c r="AJ388" s="273"/>
      <c r="AK388" s="273"/>
      <c r="AL388" s="273"/>
      <c r="AM388" s="273"/>
      <c r="AN388" s="273"/>
      <c r="AO388" s="273" t="s">
        <v>10</v>
      </c>
      <c r="AP388" s="273"/>
      <c r="AQ388" s="273"/>
      <c r="AR388" s="273"/>
      <c r="AS388" s="273"/>
      <c r="AT388" s="273"/>
      <c r="BK388" s="19"/>
      <c r="BL388" s="20"/>
    </row>
    <row r="389" spans="1:64" ht="11.45" customHeight="1" thickBot="1" x14ac:dyDescent="0.25">
      <c r="I389" s="2" t="str">
        <f>"1"&amp;O387&amp;N388</f>
        <v>12pojedyncza dziewcząt MM</v>
      </c>
      <c r="J389" s="10" t="str">
        <f>IF(AD388="","",IF(AD388=1,N389,IF(AD391=1,N392,IF(AD394=1,N395,""))))</f>
        <v>K5208</v>
      </c>
      <c r="K389" s="10">
        <f>IF(AD388="","",IF(AD388=1,N390,IF(AD391=1,N393,IF(AD394=1,N396,""))))</f>
        <v>0</v>
      </c>
      <c r="L389" s="10"/>
      <c r="N389" s="187" t="s">
        <v>282</v>
      </c>
      <c r="O389" s="34">
        <f>IF(O387&gt;0,(O387&amp;1)*1,"")</f>
        <v>21</v>
      </c>
      <c r="Q389" s="274"/>
      <c r="R389" s="274"/>
      <c r="S389" s="275"/>
      <c r="T389" s="242"/>
      <c r="U389" s="244" t="str">
        <f>IF(AND(N389&lt;&gt;"",N390=""),CONCATENATE(VLOOKUP(N389,[1]zawodnicy!$A$1:$E$65536,1,FALSE)," ",VLOOKUP(N389,[1]zawodnicy!$A$1:$E$65536,2,FALSE)," ",VLOOKUP(N389,[1]zawodnicy!$A$1:$E$65536,3,FALSE)," - ",VLOOKUP(N389,[1]zawodnicy!$A$1:$E$65536,4,FALSE)),"")</f>
        <v>K5208 Dominika KWAŚNIK - UKS Feniks Kędzierzyn-Koźle</v>
      </c>
      <c r="V389" s="245"/>
      <c r="W389" s="246"/>
      <c r="X389" s="35"/>
      <c r="Y389" s="36" t="str">
        <f>IF(SUM(AQ393:AR393)=0,"",AQ393&amp;":"&amp;AR393)</f>
        <v>21:16</v>
      </c>
      <c r="Z389" s="37" t="str">
        <f>IF(SUM(AQ391:AR391)=0,"",AQ391&amp;":"&amp;AR391)</f>
        <v>21:13</v>
      </c>
      <c r="AA389" s="248"/>
      <c r="AB389" s="251"/>
      <c r="AC389" s="251"/>
      <c r="AD389" s="254"/>
      <c r="AE389" s="2"/>
      <c r="AF389" s="12"/>
      <c r="AG389" s="12"/>
      <c r="AH389" s="14"/>
      <c r="BE389" s="19">
        <f>SUM(BE391:BE393)</f>
        <v>250</v>
      </c>
      <c r="BF389" s="19">
        <f>SUM(BF391:BF393)</f>
        <v>250</v>
      </c>
      <c r="BG389" s="19">
        <f>SUM(BG391:BG393)</f>
        <v>7</v>
      </c>
      <c r="BH389" s="19">
        <f>SUM(BH391:BH393)</f>
        <v>7</v>
      </c>
      <c r="BK389" s="19"/>
      <c r="BL389" s="20"/>
    </row>
    <row r="390" spans="1:64" ht="11.45" customHeight="1" thickBot="1" x14ac:dyDescent="0.25">
      <c r="J390" s="10"/>
      <c r="K390" s="28"/>
      <c r="L390" s="28"/>
      <c r="N390" s="38"/>
      <c r="O390" s="28"/>
      <c r="P390" s="28"/>
      <c r="Q390" s="274"/>
      <c r="R390" s="274"/>
      <c r="S390" s="275"/>
      <c r="T390" s="261"/>
      <c r="U390" s="265" t="str">
        <f>IF(N390&lt;&gt;"",CONCATENATE(VLOOKUP(N390,[1]zawodnicy!$A$1:$E$65536,1,FALSE)," ",VLOOKUP(N390,[1]zawodnicy!$A$1:$E$65536,2,FALSE)," ",VLOOKUP(N390,[1]zawodnicy!$A$1:$E$65536,3,FALSE)," - ",VLOOKUP(N390,[1]zawodnicy!$A$1:$E$65536,4,FALSE)),"")</f>
        <v/>
      </c>
      <c r="V390" s="266"/>
      <c r="W390" s="267"/>
      <c r="X390" s="35"/>
      <c r="Y390" s="39" t="str">
        <f>IF(SUM(AS393:AT393)=0,"",AS393&amp;":"&amp;AT393)</f>
        <v/>
      </c>
      <c r="Z390" s="40" t="str">
        <f>IF(SUM(AS391:AT391)=0,"",AS391&amp;":"&amp;AT391)</f>
        <v/>
      </c>
      <c r="AA390" s="262"/>
      <c r="AB390" s="263"/>
      <c r="AC390" s="263"/>
      <c r="AD390" s="264"/>
      <c r="AE390" s="2"/>
      <c r="AF390" s="12"/>
      <c r="AG390" s="12"/>
      <c r="AH390" s="14"/>
      <c r="AI390" s="259" t="s">
        <v>12</v>
      </c>
      <c r="AJ390" s="269"/>
      <c r="AK390" s="268" t="s">
        <v>13</v>
      </c>
      <c r="AL390" s="269"/>
      <c r="AM390" s="268" t="s">
        <v>14</v>
      </c>
      <c r="AN390" s="260"/>
      <c r="AO390" s="259" t="s">
        <v>12</v>
      </c>
      <c r="AP390" s="269"/>
      <c r="AQ390" s="268" t="s">
        <v>13</v>
      </c>
      <c r="AR390" s="269"/>
      <c r="AS390" s="268" t="s">
        <v>14</v>
      </c>
      <c r="AT390" s="269"/>
      <c r="AU390" s="12"/>
      <c r="AV390" s="12"/>
      <c r="AW390" s="259">
        <v>1</v>
      </c>
      <c r="AX390" s="269"/>
      <c r="AY390" s="268">
        <v>2</v>
      </c>
      <c r="AZ390" s="269"/>
      <c r="BA390" s="268">
        <v>3</v>
      </c>
      <c r="BB390" s="260"/>
      <c r="BE390" s="259" t="s">
        <v>3</v>
      </c>
      <c r="BF390" s="260"/>
      <c r="BG390" s="259" t="s">
        <v>4</v>
      </c>
      <c r="BH390" s="260"/>
      <c r="BI390" s="259" t="s">
        <v>5</v>
      </c>
      <c r="BJ390" s="260"/>
      <c r="BK390" s="41" t="s">
        <v>6</v>
      </c>
      <c r="BL390" s="20"/>
    </row>
    <row r="391" spans="1:64" ht="11.45" customHeight="1" x14ac:dyDescent="0.2">
      <c r="A391" s="19">
        <f>S391</f>
        <v>101</v>
      </c>
      <c r="B391" s="2" t="str">
        <f>IF(N389="","",N389)</f>
        <v>K5208</v>
      </c>
      <c r="C391" s="2" t="str">
        <f>IF(N390="","",N390)</f>
        <v/>
      </c>
      <c r="D391" s="2" t="str">
        <f>IF(N395="","",N395)</f>
        <v>F4870</v>
      </c>
      <c r="E391" s="2" t="str">
        <f>IF(N396="","",N396)</f>
        <v/>
      </c>
      <c r="I391" s="2" t="str">
        <f>"2"&amp;O387&amp;N388</f>
        <v>22pojedyncza dziewcząt MM</v>
      </c>
      <c r="J391" s="10" t="str">
        <f>IF(AD391="","",IF(AD388=2,N389,IF(AD391=2,N392,IF(AD394=2,N395,""))))</f>
        <v>K5600</v>
      </c>
      <c r="K391" s="10">
        <f>IF(AD391="","",IF(AD388=2,N390,IF(AD391=2,N393,IF(AD394=2,N396,""))))</f>
        <v>0</v>
      </c>
      <c r="M391" s="42" t="str">
        <f>N388</f>
        <v>pojedyncza dziewcząt MM</v>
      </c>
      <c r="O391" s="28"/>
      <c r="P391" s="28"/>
      <c r="Q391" s="43" t="str">
        <f>IF(AU391&gt;0,"",IF(A391=0,"",IF(VLOOKUP(A391,'[1]plan gier'!A$1:S$65536,19,FALSE)="","",VLOOKUP(A391,'[1]plan gier'!A$1:S$65536,19,FALSE))))</f>
        <v/>
      </c>
      <c r="R391" s="44" t="s">
        <v>15</v>
      </c>
      <c r="S391" s="45">
        <v>101</v>
      </c>
      <c r="T391" s="241">
        <v>2</v>
      </c>
      <c r="U391" s="244" t="str">
        <f>IF(AND(N392&lt;&gt;"",N393&lt;&gt;""),CONCATENATE(VLOOKUP(N392,[1]zawodnicy!$A$1:$E$65536,1,FALSE)," ",VLOOKUP(N392,[1]zawodnicy!$A$1:$E$65536,2,FALSE)," ",VLOOKUP(N392,[1]zawodnicy!$A$1:$E$65536,3,FALSE)," - ",VLOOKUP(N392,[1]zawodnicy!$A$1:$E$65536,4,FALSE)),"")</f>
        <v/>
      </c>
      <c r="V391" s="245"/>
      <c r="W391" s="246"/>
      <c r="X391" s="46" t="str">
        <f>IF(SUM(AO393:AP393)=0,"",AP393&amp;":"&amp;AO393)</f>
        <v>7:21</v>
      </c>
      <c r="Y391" s="47"/>
      <c r="Z391" s="48" t="str">
        <f>IF(SUM(AO392:AP392)=0,"",AO392&amp;":"&amp;AP392)</f>
        <v>15:21</v>
      </c>
      <c r="AA391" s="247" t="str">
        <f>IF(SUM(AW392:AX392,BA392:BB392)=0,"",BE392&amp;":"&amp;BF392)</f>
        <v>80:101</v>
      </c>
      <c r="AB391" s="250" t="str">
        <f>IF(SUM(AW392:AX392,BA392:BB392)=0,"",BG392&amp;":"&amp;BH392)</f>
        <v>2:3</v>
      </c>
      <c r="AC391" s="250" t="str">
        <f>IF(SUM(AW392:AX392,BA392:BB392)=0,"",BI392&amp;":"&amp;BJ392)</f>
        <v>1:1</v>
      </c>
      <c r="AD391" s="253">
        <f>IF(SUM(BI391:BI393)&gt;0,BK392,"")</f>
        <v>2</v>
      </c>
      <c r="AE391" s="2"/>
      <c r="AF391" s="12"/>
      <c r="AG391" s="12"/>
      <c r="AH391" s="44" t="s">
        <v>15</v>
      </c>
      <c r="AI391" s="49">
        <f>IF(ISBLANK(S391),"",VLOOKUP(S391,'[1]plan gier'!$X$1:$AN$65536,12,FALSE))</f>
        <v>21</v>
      </c>
      <c r="AJ391" s="50">
        <f>IF(ISBLANK(S391),"",VLOOKUP(S391,'[1]plan gier'!$X$1:$AN$65536,13,FALSE))</f>
        <v>14</v>
      </c>
      <c r="AK391" s="50">
        <f>IF(ISBLANK(S391),"",VLOOKUP(S391,'[1]plan gier'!$X$1:$AN$65536,14,FALSE))</f>
        <v>21</v>
      </c>
      <c r="AL391" s="50">
        <f>IF(ISBLANK(S391),"",VLOOKUP(S391,'[1]plan gier'!$X$1:$AN$65536,15,FALSE))</f>
        <v>13</v>
      </c>
      <c r="AM391" s="50">
        <f>IF(ISBLANK(S391),"",VLOOKUP(S391,'[1]plan gier'!$X$1:$AN$65536,16,FALSE))</f>
        <v>0</v>
      </c>
      <c r="AN391" s="50">
        <f>IF(ISBLANK(S391),"",VLOOKUP(S391,'[1]plan gier'!$X$1:$AN$65536,17,FALSE))</f>
        <v>0</v>
      </c>
      <c r="AO391" s="51">
        <f t="shared" ref="AO391:AT393" si="41">IF(AI391="",0,AI391)</f>
        <v>21</v>
      </c>
      <c r="AP391" s="52">
        <f t="shared" si="41"/>
        <v>14</v>
      </c>
      <c r="AQ391" s="53">
        <f t="shared" si="41"/>
        <v>21</v>
      </c>
      <c r="AR391" s="52">
        <f t="shared" si="41"/>
        <v>13</v>
      </c>
      <c r="AS391" s="53">
        <f t="shared" si="41"/>
        <v>0</v>
      </c>
      <c r="AT391" s="52">
        <f t="shared" si="41"/>
        <v>0</v>
      </c>
      <c r="AU391" s="54">
        <f>SUM(AO391:AT391)</f>
        <v>69</v>
      </c>
      <c r="AV391" s="13">
        <v>1</v>
      </c>
      <c r="AW391" s="55"/>
      <c r="AX391" s="56"/>
      <c r="AY391" s="50">
        <f>IF(AI393&gt;AJ393,1,0)+IF(AK393&gt;AL393,1,0)+IF(AM393&gt;AN393,1,0)</f>
        <v>2</v>
      </c>
      <c r="AZ391" s="50">
        <f>AW392</f>
        <v>0</v>
      </c>
      <c r="BA391" s="50">
        <f>IF(AI391&gt;AJ391,1,0)+IF(AK391&gt;AL391,1,0)+IF(AM391&gt;AN391,1,0)</f>
        <v>2</v>
      </c>
      <c r="BB391" s="57">
        <f>AW393</f>
        <v>0</v>
      </c>
      <c r="BE391" s="49">
        <f>AO391+AQ391+AS391+AO393+AQ393+AS393</f>
        <v>84</v>
      </c>
      <c r="BF391" s="57">
        <f>AP391+AR391+AT391+AP393+AR393+AT393</f>
        <v>50</v>
      </c>
      <c r="BG391" s="49">
        <f>AY391+BA391</f>
        <v>4</v>
      </c>
      <c r="BH391" s="57">
        <f>AZ391+BB391</f>
        <v>0</v>
      </c>
      <c r="BI391" s="49">
        <f>IF(AY391&gt;AZ391,1,0)+IF(BA391&gt;BB391,1,0)</f>
        <v>2</v>
      </c>
      <c r="BJ391" s="58">
        <f>IF(AZ391&gt;AY391,1,0)+IF(BB391&gt;BA391,1,0)</f>
        <v>0</v>
      </c>
      <c r="BK391" s="59">
        <f>IF(BI391+BJ391=0,"",IF(BL391=MAX(BL391:BL393),1,IF(BL391=MIN(BL391:BL393),3,2)))</f>
        <v>1</v>
      </c>
      <c r="BL391" s="60">
        <f>IF(BI391+BJ391&lt;&gt;0,BI391+1+(BG391-BH391)/100+(BE391-BF391)/100000+(BE391/BF391)/1000000,0)</f>
        <v>3.04034168</v>
      </c>
    </row>
    <row r="392" spans="1:64" ht="11.45" customHeight="1" x14ac:dyDescent="0.2">
      <c r="A392" s="19">
        <f>S392</f>
        <v>167</v>
      </c>
      <c r="B392" s="2" t="str">
        <f>IF(N392="","",N392)</f>
        <v>K5600</v>
      </c>
      <c r="C392" s="2" t="str">
        <f>IF(N393="","",N393)</f>
        <v/>
      </c>
      <c r="D392" s="2" t="str">
        <f>IF(N395="","",N395)</f>
        <v>F4870</v>
      </c>
      <c r="E392" s="2" t="str">
        <f>IF(N396="","",N396)</f>
        <v/>
      </c>
      <c r="J392" s="10"/>
      <c r="K392" s="19"/>
      <c r="M392" s="42" t="str">
        <f>N388</f>
        <v>pojedyncza dziewcząt MM</v>
      </c>
      <c r="N392" s="187" t="s">
        <v>283</v>
      </c>
      <c r="O392" s="34">
        <f>IF(O387&gt;0,(O387&amp;2)*1,"")</f>
        <v>22</v>
      </c>
      <c r="Q392" s="43" t="str">
        <f>IF(AU392&gt;0,"",IF(A392=0,"",IF(VLOOKUP(A392,'[1]plan gier'!A$1:S$65536,19,FALSE)="","",VLOOKUP(A392,'[1]plan gier'!A$1:S$65536,19,FALSE))))</f>
        <v/>
      </c>
      <c r="R392" s="44" t="s">
        <v>17</v>
      </c>
      <c r="S392" s="45">
        <v>167</v>
      </c>
      <c r="T392" s="242"/>
      <c r="U392" s="244" t="str">
        <f>IF(AND(N392&lt;&gt;"",N393=""),CONCATENATE(VLOOKUP(N392,[1]zawodnicy!$A$1:$E$65536,1,FALSE)," ",VLOOKUP(N392,[1]zawodnicy!$A$1:$E$65536,2,FALSE)," ",VLOOKUP(N392,[1]zawodnicy!$A$1:$E$65536,3,FALSE)," - ",VLOOKUP(N392,[1]zawodnicy!$A$1:$E$65536,4,FALSE)),"")</f>
        <v>K5600 Gabriela KUŁAKOWSKA - UKS Hubal Białystok</v>
      </c>
      <c r="V392" s="245"/>
      <c r="W392" s="246"/>
      <c r="X392" s="61" t="str">
        <f>IF(SUM(AQ393:AR393)=0,"",AR393&amp;":"&amp;AQ393)</f>
        <v>16:21</v>
      </c>
      <c r="Y392" s="62"/>
      <c r="Z392" s="37" t="str">
        <f>IF(SUM(AQ392:AR392)=0,"",AQ392&amp;":"&amp;AR392)</f>
        <v>21:19</v>
      </c>
      <c r="AA392" s="248"/>
      <c r="AB392" s="251"/>
      <c r="AC392" s="251"/>
      <c r="AD392" s="254"/>
      <c r="AE392" s="2"/>
      <c r="AF392" s="12"/>
      <c r="AG392" s="12"/>
      <c r="AH392" s="44" t="s">
        <v>17</v>
      </c>
      <c r="AI392" s="63">
        <f>IF(ISBLANK(S392),"",VLOOKUP(S392,'[1]plan gier'!$X$1:$AN$65536,12,FALSE))</f>
        <v>15</v>
      </c>
      <c r="AJ392" s="64">
        <f>IF(ISBLANK(S392),"",VLOOKUP(S392,'[1]plan gier'!$X$1:$AN$65536,13,FALSE))</f>
        <v>21</v>
      </c>
      <c r="AK392" s="64">
        <f>IF(ISBLANK(S392),"",VLOOKUP(S392,'[1]plan gier'!$X$1:$AN$65536,14,FALSE))</f>
        <v>21</v>
      </c>
      <c r="AL392" s="64">
        <f>IF(ISBLANK(S392),"",VLOOKUP(S392,'[1]plan gier'!$X$1:$AN$65536,15,FALSE))</f>
        <v>19</v>
      </c>
      <c r="AM392" s="64">
        <f>IF(ISBLANK(S392),"",VLOOKUP(S392,'[1]plan gier'!$X$1:$AN$65536,16,FALSE))</f>
        <v>21</v>
      </c>
      <c r="AN392" s="64">
        <f>IF(ISBLANK(S392),"",VLOOKUP(S392,'[1]plan gier'!$X$1:$AN$65536,17,FALSE))</f>
        <v>19</v>
      </c>
      <c r="AO392" s="65">
        <f t="shared" si="41"/>
        <v>15</v>
      </c>
      <c r="AP392" s="64">
        <f t="shared" si="41"/>
        <v>21</v>
      </c>
      <c r="AQ392" s="66">
        <f t="shared" si="41"/>
        <v>21</v>
      </c>
      <c r="AR392" s="64">
        <f t="shared" si="41"/>
        <v>19</v>
      </c>
      <c r="AS392" s="66">
        <f t="shared" si="41"/>
        <v>21</v>
      </c>
      <c r="AT392" s="64">
        <f t="shared" si="41"/>
        <v>19</v>
      </c>
      <c r="AU392" s="54">
        <f>SUM(AO392:AT392)</f>
        <v>116</v>
      </c>
      <c r="AV392" s="13">
        <v>2</v>
      </c>
      <c r="AW392" s="63">
        <f>IF(AI393&lt;AJ393,1,0)+IF(AK393&lt;AL393,1,0)+IF(AM393&lt;AN393,1,0)</f>
        <v>0</v>
      </c>
      <c r="AX392" s="64">
        <f>AY391</f>
        <v>2</v>
      </c>
      <c r="AY392" s="67"/>
      <c r="AZ392" s="68"/>
      <c r="BA392" s="64">
        <f>IF(AI392&gt;AJ392,1,0)+IF(AK392&gt;AL392,1,0)+IF(AM392&gt;AN392,1,0)</f>
        <v>2</v>
      </c>
      <c r="BB392" s="69">
        <f>AY393</f>
        <v>1</v>
      </c>
      <c r="BE392" s="63">
        <f>AO392+AQ392+AS392+AP393+AR393+AT393</f>
        <v>80</v>
      </c>
      <c r="BF392" s="69">
        <f>AP392+AR392+AT392+AO393+AQ393+AS393</f>
        <v>101</v>
      </c>
      <c r="BG392" s="63">
        <f>AW392+BA392</f>
        <v>2</v>
      </c>
      <c r="BH392" s="69">
        <f>AX392+BB392</f>
        <v>3</v>
      </c>
      <c r="BI392" s="63">
        <f>IF(AW392&gt;AX392,1,0)+IF(BA392&gt;BB392,1,0)</f>
        <v>1</v>
      </c>
      <c r="BJ392" s="70">
        <f>IF(AX392&gt;AW392,1,0)+IF(BB392&gt;BA392,1,0)</f>
        <v>1</v>
      </c>
      <c r="BK392" s="71">
        <f>IF(BI392+BJ392=0,"",IF(BL392=MAX(BL391:BL393),1,IF(BL392=MIN(BL391:BL393),3,2)))</f>
        <v>2</v>
      </c>
      <c r="BL392" s="60">
        <f>IF(BI392+BJ392&lt;&gt;0,BI392+1+(BG392-BH392)/100+(BE392-BF392)/100000+(BE392/BF392)/1000000,0)</f>
        <v>1.9897907920792079</v>
      </c>
    </row>
    <row r="393" spans="1:64" ht="11.45" customHeight="1" thickBot="1" x14ac:dyDescent="0.25">
      <c r="A393" s="19">
        <f>S393</f>
        <v>220</v>
      </c>
      <c r="B393" s="2" t="str">
        <f>IF(N389="","",N389)</f>
        <v>K5208</v>
      </c>
      <c r="C393" s="2" t="str">
        <f>IF(N390="","",N390)</f>
        <v/>
      </c>
      <c r="D393" s="2" t="str">
        <f>IF(N392="","",N392)</f>
        <v>K5600</v>
      </c>
      <c r="E393" s="2" t="str">
        <f>IF(N393="","",N393)</f>
        <v/>
      </c>
      <c r="I393" s="2" t="str">
        <f>"3"&amp;O387&amp;N388</f>
        <v>32pojedyncza dziewcząt MM</v>
      </c>
      <c r="J393" s="10" t="str">
        <f>IF(AD394="","",IF(AD388=3,N389,IF(AD391=3,N392,IF(AD394=3,N395,""))))</f>
        <v>F4870</v>
      </c>
      <c r="K393" s="10">
        <f>IF(AD394="","",IF(AD388=3,N390,IF(AD391=3,N393,IF(AD394=3,N396,""))))</f>
        <v>0</v>
      </c>
      <c r="M393" s="42" t="str">
        <f>N388</f>
        <v>pojedyncza dziewcząt MM</v>
      </c>
      <c r="N393" s="38"/>
      <c r="O393" s="28"/>
      <c r="P393" s="28"/>
      <c r="Q393" s="43" t="str">
        <f>IF(AU393&gt;0,"",IF(A393=0,"",IF(VLOOKUP(A393,'[1]plan gier'!A$1:S$65536,19,FALSE)="","",VLOOKUP(A393,'[1]plan gier'!A$1:S$65536,19,FALSE))))</f>
        <v/>
      </c>
      <c r="R393" s="72" t="s">
        <v>18</v>
      </c>
      <c r="S393" s="45">
        <v>220</v>
      </c>
      <c r="T393" s="261"/>
      <c r="U393" s="265" t="str">
        <f>IF(N393&lt;&gt;"",CONCATENATE(VLOOKUP(N393,[1]zawodnicy!$A$1:$E$65536,1,FALSE)," ",VLOOKUP(N393,[1]zawodnicy!$A$1:$E$65536,2,FALSE)," ",VLOOKUP(N393,[1]zawodnicy!$A$1:$E$65536,3,FALSE)," - ",VLOOKUP(N393,[1]zawodnicy!$A$1:$E$65536,4,FALSE)),"")</f>
        <v/>
      </c>
      <c r="V393" s="266"/>
      <c r="W393" s="267"/>
      <c r="X393" s="73" t="str">
        <f>IF(SUM(AS393:AT393)=0,"",AT393&amp;":"&amp;AS393)</f>
        <v/>
      </c>
      <c r="Y393" s="62"/>
      <c r="Z393" s="40" t="str">
        <f>IF(SUM(AS392:AT392)=0,"",AS392&amp;":"&amp;AT392)</f>
        <v>21:19</v>
      </c>
      <c r="AA393" s="262"/>
      <c r="AB393" s="263"/>
      <c r="AC393" s="263"/>
      <c r="AD393" s="264"/>
      <c r="AE393" s="2"/>
      <c r="AF393" s="12"/>
      <c r="AG393" s="12"/>
      <c r="AH393" s="72" t="s">
        <v>18</v>
      </c>
      <c r="AI393" s="74">
        <f>IF(ISBLANK(S393),"",VLOOKUP(S393,'[1]plan gier'!$X$1:$AN$65536,12,FALSE))</f>
        <v>21</v>
      </c>
      <c r="AJ393" s="75">
        <f>IF(ISBLANK(S393),"",VLOOKUP(S393,'[1]plan gier'!$X$1:$AN$65536,13,FALSE))</f>
        <v>7</v>
      </c>
      <c r="AK393" s="75">
        <f>IF(ISBLANK(S393),"",VLOOKUP(S393,'[1]plan gier'!$X$1:$AN$65536,14,FALSE))</f>
        <v>21</v>
      </c>
      <c r="AL393" s="75">
        <f>IF(ISBLANK(S393),"",VLOOKUP(S393,'[1]plan gier'!$X$1:$AN$65536,15,FALSE))</f>
        <v>16</v>
      </c>
      <c r="AM393" s="75">
        <f>IF(ISBLANK(S393),"",VLOOKUP(S393,'[1]plan gier'!$X$1:$AN$65536,16,FALSE))</f>
        <v>0</v>
      </c>
      <c r="AN393" s="75">
        <f>IF(ISBLANK(S393),"",VLOOKUP(S393,'[1]plan gier'!$X$1:$AN$65536,17,FALSE))</f>
        <v>0</v>
      </c>
      <c r="AO393" s="76">
        <f t="shared" si="41"/>
        <v>21</v>
      </c>
      <c r="AP393" s="75">
        <f t="shared" si="41"/>
        <v>7</v>
      </c>
      <c r="AQ393" s="77">
        <f t="shared" si="41"/>
        <v>21</v>
      </c>
      <c r="AR393" s="75">
        <f t="shared" si="41"/>
        <v>16</v>
      </c>
      <c r="AS393" s="77">
        <f t="shared" si="41"/>
        <v>0</v>
      </c>
      <c r="AT393" s="75">
        <f t="shared" si="41"/>
        <v>0</v>
      </c>
      <c r="AU393" s="54">
        <f>SUM(AO393:AT393)</f>
        <v>65</v>
      </c>
      <c r="AV393" s="13">
        <v>3</v>
      </c>
      <c r="AW393" s="74">
        <f>IF(AI391&lt;AJ391,1,0)+IF(AK391&lt;AL391,1,0)+IF(AM391&lt;AN391,1,0)</f>
        <v>0</v>
      </c>
      <c r="AX393" s="75">
        <f>BA391</f>
        <v>2</v>
      </c>
      <c r="AY393" s="75">
        <f>IF(AI392&lt;AJ392,1,0)+IF(AK392&lt;AL392,1,0)+IF(AM392&lt;AN392,1,0)</f>
        <v>1</v>
      </c>
      <c r="AZ393" s="75">
        <f>BA392</f>
        <v>2</v>
      </c>
      <c r="BA393" s="78"/>
      <c r="BB393" s="79"/>
      <c r="BE393" s="74">
        <f>AP391+AR391+AT391+AP392+AR392+AT392</f>
        <v>86</v>
      </c>
      <c r="BF393" s="80">
        <f>AO391+AQ391+AS391+AO392+AQ392+AS392</f>
        <v>99</v>
      </c>
      <c r="BG393" s="74">
        <f>AW393+AY393</f>
        <v>1</v>
      </c>
      <c r="BH393" s="80">
        <f>AX393+AZ393</f>
        <v>4</v>
      </c>
      <c r="BI393" s="74">
        <f>IF(AW393&gt;AX393,1,0)+IF(AY393&gt;AZ393,1,0)</f>
        <v>0</v>
      </c>
      <c r="BJ393" s="81">
        <f>IF(AX393&gt;AW393,1,0)+IF(AZ393&gt;AY393,1,0)</f>
        <v>2</v>
      </c>
      <c r="BK393" s="82">
        <f>IF(BI393+BJ393=0,"",IF(BL393=MAX(BL391:BL393),1,IF(BL393=MIN(BL391:BL393),3,2)))</f>
        <v>3</v>
      </c>
      <c r="BL393" s="60">
        <f>IF(BI393+BJ393&lt;&gt;0,BI393+1+(BG393-BH393)/100+(BE393-BF393)/100000+(BE393/BF393)/1000000,0)</f>
        <v>0.96987086868686867</v>
      </c>
    </row>
    <row r="394" spans="1:64" ht="11.45" customHeight="1" x14ac:dyDescent="0.2">
      <c r="A394" s="2"/>
      <c r="J394" s="28"/>
      <c r="K394" s="28"/>
      <c r="L394" s="28"/>
      <c r="O394" s="28"/>
      <c r="P394" s="28"/>
      <c r="Q394" s="2"/>
      <c r="R394" s="2"/>
      <c r="S394" s="2"/>
      <c r="T394" s="241">
        <v>3</v>
      </c>
      <c r="U394" s="244" t="str">
        <f>IF(AND(N395&lt;&gt;"",N396&lt;&gt;""),CONCATENATE(VLOOKUP(N395,[1]zawodnicy!$A$1:$E$65536,1,FALSE)," ",VLOOKUP(N395,[1]zawodnicy!$A$1:$E$65536,2,FALSE)," ",VLOOKUP(N395,[1]zawodnicy!$A$1:$E$65536,3,FALSE)," - ",VLOOKUP(N395,[1]zawodnicy!$A$1:$E$65536,4,FALSE)),"")</f>
        <v/>
      </c>
      <c r="V394" s="245"/>
      <c r="W394" s="246"/>
      <c r="X394" s="46" t="str">
        <f>IF(SUM(AO391:AP391)=0,"",AP391&amp;":"&amp;AO391)</f>
        <v>14:21</v>
      </c>
      <c r="Y394" s="83" t="str">
        <f>IF(SUM(AO392:AP392)=0,"",AP392&amp;":"&amp;AO392)</f>
        <v>21:15</v>
      </c>
      <c r="Z394" s="84"/>
      <c r="AA394" s="247" t="str">
        <f>IF(SUM(AW393:AZ393)=0,"",BE393&amp;":"&amp;BF393)</f>
        <v>86:99</v>
      </c>
      <c r="AB394" s="250" t="str">
        <f>IF(SUM(AW393:AZ393)=0,"",BG393&amp;":"&amp;BH393)</f>
        <v>1:4</v>
      </c>
      <c r="AC394" s="250" t="str">
        <f>IF(SUM(AW393:AZ393)=0,"",BI393&amp;":"&amp;BJ393)</f>
        <v>0:2</v>
      </c>
      <c r="AD394" s="253">
        <f>IF(SUM(BI391:BI393)&gt;0,BK393,"")</f>
        <v>3</v>
      </c>
      <c r="AE394" s="2"/>
      <c r="AF394" s="12"/>
      <c r="AG394" s="12"/>
      <c r="BE394" s="19">
        <f>SUM(BE391:BE393)</f>
        <v>250</v>
      </c>
      <c r="BF394" s="19">
        <f>SUM(BF391:BF393)</f>
        <v>250</v>
      </c>
      <c r="BG394" s="19">
        <f>SUM(BG391:BG393)</f>
        <v>7</v>
      </c>
      <c r="BH394" s="19">
        <f>SUM(BH391:BH393)</f>
        <v>7</v>
      </c>
      <c r="BK394" s="19"/>
      <c r="BL394" s="20"/>
    </row>
    <row r="395" spans="1:64" ht="11.45" customHeight="1" x14ac:dyDescent="0.2">
      <c r="A395" s="19"/>
      <c r="J395" s="19"/>
      <c r="K395" s="19"/>
      <c r="L395" s="19"/>
      <c r="N395" s="188" t="s">
        <v>284</v>
      </c>
      <c r="O395" s="34">
        <f>IF(O387&gt;0,(O387&amp;3)*1,"")</f>
        <v>23</v>
      </c>
      <c r="Q395" s="85"/>
      <c r="R395" s="85"/>
      <c r="S395" s="85"/>
      <c r="T395" s="242"/>
      <c r="U395" s="244" t="str">
        <f>IF(AND(N395&lt;&gt;"",N396=""),CONCATENATE(VLOOKUP(N395,[1]zawodnicy!$A$1:$E$65536,1,FALSE)," ",VLOOKUP(N395,[1]zawodnicy!$A$1:$E$65536,2,FALSE)," ",VLOOKUP(N395,[1]zawodnicy!$A$1:$E$65536,3,FALSE)," - ",VLOOKUP(N395,[1]zawodnicy!$A$1:$E$65536,4,FALSE)),"")</f>
        <v>F4870 Marcelina FRANCZUK - MMKS Gdańsk</v>
      </c>
      <c r="V395" s="245"/>
      <c r="W395" s="246"/>
      <c r="X395" s="61" t="str">
        <f>IF(SUM(AQ391:AR391)=0,"",AR391&amp;":"&amp;AQ391)</f>
        <v>13:21</v>
      </c>
      <c r="Y395" s="36" t="str">
        <f>IF(SUM(AQ392:AR392)=0,"",AR392&amp;":"&amp;AQ392)</f>
        <v>19:21</v>
      </c>
      <c r="Z395" s="86"/>
      <c r="AA395" s="248"/>
      <c r="AB395" s="251"/>
      <c r="AC395" s="251"/>
      <c r="AD395" s="254"/>
      <c r="AE395" s="2"/>
      <c r="AF395" s="12"/>
      <c r="AG395" s="1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row>
    <row r="396" spans="1:64" ht="11.45" customHeight="1" thickBot="1" x14ac:dyDescent="0.25">
      <c r="A396" s="2"/>
      <c r="J396" s="28"/>
      <c r="K396" s="28"/>
      <c r="L396" s="28"/>
      <c r="N396" s="38"/>
      <c r="O396" s="28"/>
      <c r="P396" s="28"/>
      <c r="Q396" s="2"/>
      <c r="R396" s="2"/>
      <c r="S396" s="2"/>
      <c r="T396" s="243"/>
      <c r="U396" s="256" t="str">
        <f>IF(N396&lt;&gt;"",CONCATENATE(VLOOKUP(N396,[1]zawodnicy!$A$1:$E$65536,1,FALSE)," ",VLOOKUP(N396,[1]zawodnicy!$A$1:$E$65536,2,FALSE)," ",VLOOKUP(N396,[1]zawodnicy!$A$1:$E$65536,3,FALSE)," - ",VLOOKUP(N396,[1]zawodnicy!$A$1:$E$65536,4,FALSE)),"")</f>
        <v/>
      </c>
      <c r="V396" s="257"/>
      <c r="W396" s="258"/>
      <c r="X396" s="87" t="str">
        <f>IF(SUM(AS391:AT391)=0,"",AT391&amp;":"&amp;AS391)</f>
        <v/>
      </c>
      <c r="Y396" s="88" t="str">
        <f>IF(SUM(AS392:AT392)=0,"",AT392&amp;":"&amp;AS392)</f>
        <v>19:21</v>
      </c>
      <c r="Z396" s="89"/>
      <c r="AA396" s="249"/>
      <c r="AB396" s="252"/>
      <c r="AC396" s="252"/>
      <c r="AD396" s="255"/>
      <c r="AE396" s="10"/>
      <c r="AF396" s="12"/>
      <c r="AG396" s="1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row>
    <row r="397" spans="1:64" s="19" customFormat="1" ht="5.0999999999999996" customHeight="1" thickBot="1" x14ac:dyDescent="0.25">
      <c r="M397" s="90"/>
      <c r="O397" s="90"/>
      <c r="P397" s="90"/>
      <c r="Q397" s="91"/>
      <c r="R397" s="91"/>
      <c r="S397" s="91"/>
      <c r="T397" s="91"/>
      <c r="U397" s="5"/>
      <c r="V397" s="5"/>
      <c r="W397" s="5"/>
      <c r="AA397" s="92"/>
      <c r="AB397" s="91"/>
      <c r="AC397" s="91"/>
      <c r="AD397" s="91"/>
      <c r="AE397" s="91"/>
      <c r="AF397" s="91"/>
      <c r="AI397" s="93"/>
      <c r="AJ397" s="94"/>
      <c r="AK397" s="94"/>
    </row>
    <row r="398" spans="1:64" ht="11.45" customHeight="1" thickBot="1" x14ac:dyDescent="0.25">
      <c r="N398" s="11"/>
      <c r="O398" s="21">
        <v>3</v>
      </c>
      <c r="Q398" s="277" t="str">
        <f>"Grupa "&amp;O398&amp;"."</f>
        <v>Grupa 3.</v>
      </c>
      <c r="R398" s="277"/>
      <c r="S398" s="277"/>
      <c r="T398" s="22" t="s">
        <v>1</v>
      </c>
      <c r="U398" s="278" t="s">
        <v>2</v>
      </c>
      <c r="V398" s="279"/>
      <c r="W398" s="280"/>
      <c r="X398" s="22">
        <v>1</v>
      </c>
      <c r="Y398" s="23">
        <v>2</v>
      </c>
      <c r="Z398" s="24">
        <v>3</v>
      </c>
      <c r="AA398" s="25" t="s">
        <v>3</v>
      </c>
      <c r="AB398" s="26" t="s">
        <v>4</v>
      </c>
      <c r="AC398" s="26" t="s">
        <v>5</v>
      </c>
      <c r="AD398" s="27" t="s">
        <v>6</v>
      </c>
      <c r="AE398" s="2"/>
      <c r="AF398" s="12"/>
      <c r="AG398" s="12"/>
      <c r="BK398" s="19"/>
      <c r="BL398" s="20"/>
    </row>
    <row r="399" spans="1:64" ht="11.45" customHeight="1" x14ac:dyDescent="0.2">
      <c r="J399" s="28"/>
      <c r="K399" s="28"/>
      <c r="L399" s="28"/>
      <c r="N399" s="29" t="s">
        <v>278</v>
      </c>
      <c r="Q399" s="274" t="s">
        <v>7</v>
      </c>
      <c r="R399" s="274"/>
      <c r="S399" s="275" t="s">
        <v>8</v>
      </c>
      <c r="T399" s="276">
        <v>1</v>
      </c>
      <c r="U399" s="244" t="str">
        <f>IF(AND(N400&lt;&gt;"",N401&lt;&gt;""),CONCATENATE(VLOOKUP(N400,[1]zawodnicy!$A$1:$E$65536,1,FALSE)," ",VLOOKUP(N400,[1]zawodnicy!$A$1:$E$65536,2,FALSE)," ",VLOOKUP(N400,[1]zawodnicy!$A$1:$E$65536,3,FALSE)," - ",VLOOKUP(N400,[1]zawodnicy!$A$1:$E$65536,4,FALSE)),"")</f>
        <v/>
      </c>
      <c r="V399" s="245"/>
      <c r="W399" s="246"/>
      <c r="X399" s="30"/>
      <c r="Y399" s="31" t="str">
        <f>IF(SUM(AO404:AP404)=0,"",AO404&amp;":"&amp;AP404)</f>
        <v>21:14</v>
      </c>
      <c r="Z399" s="32" t="str">
        <f>IF(SUM(AO402:AP402)=0,"",AO402&amp;":"&amp;AP402)</f>
        <v>21:12</v>
      </c>
      <c r="AA399" s="270" t="str">
        <f>IF(SUM(AY402:BB402)=0,"",BE402&amp;":"&amp;BF402)</f>
        <v>84:54</v>
      </c>
      <c r="AB399" s="271" t="str">
        <f>IF(SUM(AY402:BB402)=0,"",BG402&amp;":"&amp;BH402)</f>
        <v>4:0</v>
      </c>
      <c r="AC399" s="271" t="str">
        <f>IF(SUM(AY402:BB402)=0,"",BI402&amp;":"&amp;BJ402)</f>
        <v>2:0</v>
      </c>
      <c r="AD399" s="272">
        <f>IF(SUM(BI402:BI404)&gt;0,BK402,"")</f>
        <v>1</v>
      </c>
      <c r="AE399" s="2"/>
      <c r="AF399" s="12"/>
      <c r="AG399" s="12"/>
      <c r="AH399" s="14"/>
      <c r="AI399" s="273" t="s">
        <v>9</v>
      </c>
      <c r="AJ399" s="273"/>
      <c r="AK399" s="273"/>
      <c r="AL399" s="273"/>
      <c r="AM399" s="273"/>
      <c r="AN399" s="273"/>
      <c r="AO399" s="273" t="s">
        <v>10</v>
      </c>
      <c r="AP399" s="273"/>
      <c r="AQ399" s="273"/>
      <c r="AR399" s="273"/>
      <c r="AS399" s="273"/>
      <c r="AT399" s="273"/>
      <c r="BK399" s="19"/>
      <c r="BL399" s="20"/>
    </row>
    <row r="400" spans="1:64" ht="11.45" customHeight="1" thickBot="1" x14ac:dyDescent="0.25">
      <c r="I400" s="2" t="str">
        <f>"1"&amp;O398&amp;N399</f>
        <v>13pojedyncza dziewcząt MM</v>
      </c>
      <c r="J400" s="10" t="str">
        <f>IF(AD399="","",IF(AD399=1,N400,IF(AD402=1,N403,IF(AD405=1,N406,""))))</f>
        <v>P4759</v>
      </c>
      <c r="K400" s="10">
        <f>IF(AD399="","",IF(AD399=1,N401,IF(AD402=1,N404,IF(AD405=1,N407,""))))</f>
        <v>0</v>
      </c>
      <c r="L400" s="10"/>
      <c r="N400" s="188" t="s">
        <v>285</v>
      </c>
      <c r="O400" s="34">
        <f>IF(O398&gt;0,(O398&amp;1)*1,"")</f>
        <v>31</v>
      </c>
      <c r="Q400" s="274"/>
      <c r="R400" s="274"/>
      <c r="S400" s="275"/>
      <c r="T400" s="242"/>
      <c r="U400" s="244" t="str">
        <f>IF(AND(N400&lt;&gt;"",N401=""),CONCATENATE(VLOOKUP(N400,[1]zawodnicy!$A$1:$E$65536,1,FALSE)," ",VLOOKUP(N400,[1]zawodnicy!$A$1:$E$65536,2,FALSE)," ",VLOOKUP(N400,[1]zawodnicy!$A$1:$E$65536,3,FALSE)," - ",VLOOKUP(N400,[1]zawodnicy!$A$1:$E$65536,4,FALSE)),"")</f>
        <v>P4759 Martyna PIETRZAK - MLKS Solec Kuj.</v>
      </c>
      <c r="V400" s="245"/>
      <c r="W400" s="246"/>
      <c r="X400" s="35"/>
      <c r="Y400" s="36" t="str">
        <f>IF(SUM(AQ404:AR404)=0,"",AQ404&amp;":"&amp;AR404)</f>
        <v>21:10</v>
      </c>
      <c r="Z400" s="37" t="str">
        <f>IF(SUM(AQ402:AR402)=0,"",AQ402&amp;":"&amp;AR402)</f>
        <v>21:18</v>
      </c>
      <c r="AA400" s="248"/>
      <c r="AB400" s="251"/>
      <c r="AC400" s="251"/>
      <c r="AD400" s="254"/>
      <c r="AE400" s="2"/>
      <c r="AF400" s="12"/>
      <c r="AG400" s="12"/>
      <c r="AH400" s="14"/>
      <c r="BE400" s="19">
        <f>SUM(BE402:BE404)</f>
        <v>246</v>
      </c>
      <c r="BF400" s="19">
        <f>SUM(BF402:BF404)</f>
        <v>246</v>
      </c>
      <c r="BG400" s="19">
        <f>SUM(BG402:BG404)</f>
        <v>7</v>
      </c>
      <c r="BH400" s="19">
        <f>SUM(BH402:BH404)</f>
        <v>7</v>
      </c>
      <c r="BK400" s="19"/>
      <c r="BL400" s="20"/>
    </row>
    <row r="401" spans="1:64" ht="11.45" customHeight="1" thickBot="1" x14ac:dyDescent="0.25">
      <c r="J401" s="10"/>
      <c r="K401" s="28"/>
      <c r="L401" s="28"/>
      <c r="N401" s="38"/>
      <c r="O401" s="28"/>
      <c r="P401" s="28"/>
      <c r="Q401" s="274"/>
      <c r="R401" s="274"/>
      <c r="S401" s="275"/>
      <c r="T401" s="261"/>
      <c r="U401" s="265" t="str">
        <f>IF(N401&lt;&gt;"",CONCATENATE(VLOOKUP(N401,[1]zawodnicy!$A$1:$E$65536,1,FALSE)," ",VLOOKUP(N401,[1]zawodnicy!$A$1:$E$65536,2,FALSE)," ",VLOOKUP(N401,[1]zawodnicy!$A$1:$E$65536,3,FALSE)," - ",VLOOKUP(N401,[1]zawodnicy!$A$1:$E$65536,4,FALSE)),"")</f>
        <v/>
      </c>
      <c r="V401" s="266"/>
      <c r="W401" s="267"/>
      <c r="X401" s="35"/>
      <c r="Y401" s="39" t="str">
        <f>IF(SUM(AS404:AT404)=0,"",AS404&amp;":"&amp;AT404)</f>
        <v/>
      </c>
      <c r="Z401" s="40" t="str">
        <f>IF(SUM(AS402:AT402)=0,"",AS402&amp;":"&amp;AT402)</f>
        <v/>
      </c>
      <c r="AA401" s="262"/>
      <c r="AB401" s="263"/>
      <c r="AC401" s="263"/>
      <c r="AD401" s="264"/>
      <c r="AE401" s="2"/>
      <c r="AF401" s="12"/>
      <c r="AG401" s="12"/>
      <c r="AH401" s="14"/>
      <c r="AI401" s="259" t="s">
        <v>12</v>
      </c>
      <c r="AJ401" s="269"/>
      <c r="AK401" s="268" t="s">
        <v>13</v>
      </c>
      <c r="AL401" s="269"/>
      <c r="AM401" s="268" t="s">
        <v>14</v>
      </c>
      <c r="AN401" s="260"/>
      <c r="AO401" s="259" t="s">
        <v>12</v>
      </c>
      <c r="AP401" s="269"/>
      <c r="AQ401" s="268" t="s">
        <v>13</v>
      </c>
      <c r="AR401" s="269"/>
      <c r="AS401" s="268" t="s">
        <v>14</v>
      </c>
      <c r="AT401" s="269"/>
      <c r="AU401" s="12"/>
      <c r="AV401" s="12"/>
      <c r="AW401" s="259">
        <v>1</v>
      </c>
      <c r="AX401" s="269"/>
      <c r="AY401" s="268">
        <v>2</v>
      </c>
      <c r="AZ401" s="269"/>
      <c r="BA401" s="268">
        <v>3</v>
      </c>
      <c r="BB401" s="260"/>
      <c r="BE401" s="259" t="s">
        <v>3</v>
      </c>
      <c r="BF401" s="260"/>
      <c r="BG401" s="259" t="s">
        <v>4</v>
      </c>
      <c r="BH401" s="260"/>
      <c r="BI401" s="259" t="s">
        <v>5</v>
      </c>
      <c r="BJ401" s="260"/>
      <c r="BK401" s="41" t="s">
        <v>6</v>
      </c>
      <c r="BL401" s="20"/>
    </row>
    <row r="402" spans="1:64" ht="11.45" customHeight="1" x14ac:dyDescent="0.2">
      <c r="A402" s="19">
        <f>S402</f>
        <v>102</v>
      </c>
      <c r="B402" s="2" t="str">
        <f>IF(N400="","",N400)</f>
        <v>P4759</v>
      </c>
      <c r="C402" s="2" t="str">
        <f>IF(N401="","",N401)</f>
        <v/>
      </c>
      <c r="D402" s="2" t="str">
        <f>IF(N406="","",N406)</f>
        <v>T5222</v>
      </c>
      <c r="E402" s="2" t="str">
        <f>IF(N407="","",N407)</f>
        <v/>
      </c>
      <c r="I402" s="2" t="str">
        <f>"2"&amp;O398&amp;N399</f>
        <v>23pojedyncza dziewcząt MM</v>
      </c>
      <c r="J402" s="10" t="str">
        <f>IF(AD402="","",IF(AD399=2,N400,IF(AD402=2,N403,IF(AD405=2,N406,""))))</f>
        <v>X30</v>
      </c>
      <c r="K402" s="10">
        <f>IF(AD402="","",IF(AD399=2,N401,IF(AD402=2,N404,IF(AD405=2,N407,""))))</f>
        <v>0</v>
      </c>
      <c r="M402" s="42" t="str">
        <f>N399</f>
        <v>pojedyncza dziewcząt MM</v>
      </c>
      <c r="O402" s="28"/>
      <c r="P402" s="28"/>
      <c r="Q402" s="43" t="str">
        <f>IF(AU402&gt;0,"",IF(A402=0,"",IF(VLOOKUP(A402,'[1]plan gier'!A$1:S$65536,19,FALSE)="","",VLOOKUP(A402,'[1]plan gier'!A$1:S$65536,19,FALSE))))</f>
        <v/>
      </c>
      <c r="R402" s="44" t="s">
        <v>15</v>
      </c>
      <c r="S402" s="45">
        <v>102</v>
      </c>
      <c r="T402" s="241">
        <v>2</v>
      </c>
      <c r="U402" s="244" t="str">
        <f>IF(AND(N403&lt;&gt;"",N404&lt;&gt;""),CONCATENATE(VLOOKUP(N403,[1]zawodnicy!$A$1:$E$65536,1,FALSE)," ",VLOOKUP(N403,[1]zawodnicy!$A$1:$E$65536,2,FALSE)," ",VLOOKUP(N403,[1]zawodnicy!$A$1:$E$65536,3,FALSE)," - ",VLOOKUP(N403,[1]zawodnicy!$A$1:$E$65536,4,FALSE)),"")</f>
        <v/>
      </c>
      <c r="V402" s="245"/>
      <c r="W402" s="246"/>
      <c r="X402" s="46" t="str">
        <f>IF(SUM(AO404:AP404)=0,"",AP404&amp;":"&amp;AO404)</f>
        <v>14:21</v>
      </c>
      <c r="Y402" s="47"/>
      <c r="Z402" s="48" t="str">
        <f>IF(SUM(AO403:AP403)=0,"",AO403&amp;":"&amp;AP403)</f>
        <v>21:18</v>
      </c>
      <c r="AA402" s="247" t="str">
        <f>IF(SUM(AW403:AX403,BA403:BB403)=0,"",BE403&amp;":"&amp;BF403)</f>
        <v>84:90</v>
      </c>
      <c r="AB402" s="250" t="str">
        <f>IF(SUM(AW403:AX403,BA403:BB403)=0,"",BG403&amp;":"&amp;BH403)</f>
        <v>2:3</v>
      </c>
      <c r="AC402" s="250" t="str">
        <f>IF(SUM(AW403:AX403,BA403:BB403)=0,"",BI403&amp;":"&amp;BJ403)</f>
        <v>1:1</v>
      </c>
      <c r="AD402" s="253">
        <f>IF(SUM(BI402:BI404)&gt;0,BK403,"")</f>
        <v>2</v>
      </c>
      <c r="AE402" s="2"/>
      <c r="AF402" s="12"/>
      <c r="AG402" s="12"/>
      <c r="AH402" s="44" t="s">
        <v>15</v>
      </c>
      <c r="AI402" s="49">
        <f>IF(ISBLANK(S402),"",VLOOKUP(S402,'[1]plan gier'!$X$1:$AN$65536,12,FALSE))</f>
        <v>21</v>
      </c>
      <c r="AJ402" s="50">
        <f>IF(ISBLANK(S402),"",VLOOKUP(S402,'[1]plan gier'!$X$1:$AN$65536,13,FALSE))</f>
        <v>12</v>
      </c>
      <c r="AK402" s="50">
        <f>IF(ISBLANK(S402),"",VLOOKUP(S402,'[1]plan gier'!$X$1:$AN$65536,14,FALSE))</f>
        <v>21</v>
      </c>
      <c r="AL402" s="50">
        <f>IF(ISBLANK(S402),"",VLOOKUP(S402,'[1]plan gier'!$X$1:$AN$65536,15,FALSE))</f>
        <v>18</v>
      </c>
      <c r="AM402" s="50">
        <f>IF(ISBLANK(S402),"",VLOOKUP(S402,'[1]plan gier'!$X$1:$AN$65536,16,FALSE))</f>
        <v>0</v>
      </c>
      <c r="AN402" s="50">
        <f>IF(ISBLANK(S402),"",VLOOKUP(S402,'[1]plan gier'!$X$1:$AN$65536,17,FALSE))</f>
        <v>0</v>
      </c>
      <c r="AO402" s="51">
        <f t="shared" ref="AO402:AT404" si="42">IF(AI402="",0,AI402)</f>
        <v>21</v>
      </c>
      <c r="AP402" s="52">
        <f t="shared" si="42"/>
        <v>12</v>
      </c>
      <c r="AQ402" s="53">
        <f t="shared" si="42"/>
        <v>21</v>
      </c>
      <c r="AR402" s="52">
        <f t="shared" si="42"/>
        <v>18</v>
      </c>
      <c r="AS402" s="53">
        <f t="shared" si="42"/>
        <v>0</v>
      </c>
      <c r="AT402" s="52">
        <f t="shared" si="42"/>
        <v>0</v>
      </c>
      <c r="AU402" s="54">
        <f>SUM(AO402:AT402)</f>
        <v>72</v>
      </c>
      <c r="AV402" s="13">
        <v>1</v>
      </c>
      <c r="AW402" s="55"/>
      <c r="AX402" s="56"/>
      <c r="AY402" s="50">
        <f>IF(AI404&gt;AJ404,1,0)+IF(AK404&gt;AL404,1,0)+IF(AM404&gt;AN404,1,0)</f>
        <v>2</v>
      </c>
      <c r="AZ402" s="50">
        <f>AW403</f>
        <v>0</v>
      </c>
      <c r="BA402" s="50">
        <f>IF(AI402&gt;AJ402,1,0)+IF(AK402&gt;AL402,1,0)+IF(AM402&gt;AN402,1,0)</f>
        <v>2</v>
      </c>
      <c r="BB402" s="57">
        <f>AW404</f>
        <v>0</v>
      </c>
      <c r="BE402" s="49">
        <f>AO402+AQ402+AS402+AO404+AQ404+AS404</f>
        <v>84</v>
      </c>
      <c r="BF402" s="57">
        <f>AP402+AR402+AT402+AP404+AR404+AT404</f>
        <v>54</v>
      </c>
      <c r="BG402" s="49">
        <f>AY402+BA402</f>
        <v>4</v>
      </c>
      <c r="BH402" s="57">
        <f>AZ402+BB402</f>
        <v>0</v>
      </c>
      <c r="BI402" s="49">
        <f>IF(AY402&gt;AZ402,1,0)+IF(BA402&gt;BB402,1,0)</f>
        <v>2</v>
      </c>
      <c r="BJ402" s="58">
        <f>IF(AZ402&gt;AY402,1,0)+IF(BB402&gt;BA402,1,0)</f>
        <v>0</v>
      </c>
      <c r="BK402" s="59">
        <f>IF(BI402+BJ402=0,"",IF(BL402=MAX(BL402:BL404),1,IF(BL402=MIN(BL402:BL404),3,2)))</f>
        <v>1</v>
      </c>
      <c r="BL402" s="60">
        <f>IF(BI402+BJ402&lt;&gt;0,BI402+1+(BG402-BH402)/100+(BE402-BF402)/100000+(BE402/BF402)/1000000,0)</f>
        <v>3.0403015555555557</v>
      </c>
    </row>
    <row r="403" spans="1:64" ht="11.45" customHeight="1" x14ac:dyDescent="0.2">
      <c r="A403" s="19">
        <f>S403</f>
        <v>168</v>
      </c>
      <c r="B403" s="2" t="str">
        <f>IF(N403="","",N403)</f>
        <v>X30</v>
      </c>
      <c r="C403" s="2" t="str">
        <f>IF(N404="","",N404)</f>
        <v/>
      </c>
      <c r="D403" s="2" t="str">
        <f>IF(N406="","",N406)</f>
        <v>T5222</v>
      </c>
      <c r="E403" s="2" t="str">
        <f>IF(N407="","",N407)</f>
        <v/>
      </c>
      <c r="J403" s="10"/>
      <c r="K403" s="19"/>
      <c r="M403" s="42" t="str">
        <f>N399</f>
        <v>pojedyncza dziewcząt MM</v>
      </c>
      <c r="N403" s="188" t="s">
        <v>286</v>
      </c>
      <c r="O403" s="34">
        <f>IF(O398&gt;0,(O398&amp;2)*1,"")</f>
        <v>32</v>
      </c>
      <c r="Q403" s="43" t="str">
        <f>IF(AU403&gt;0,"",IF(A403=0,"",IF(VLOOKUP(A403,'[1]plan gier'!A$1:S$65536,19,FALSE)="","",VLOOKUP(A403,'[1]plan gier'!A$1:S$65536,19,FALSE))))</f>
        <v/>
      </c>
      <c r="R403" s="44" t="s">
        <v>17</v>
      </c>
      <c r="S403" s="45">
        <v>168</v>
      </c>
      <c r="T403" s="242"/>
      <c r="U403" s="244" t="str">
        <f>IF(AND(N403&lt;&gt;"",N404=""),CONCATENATE(VLOOKUP(N403,[1]zawodnicy!$A$1:$E$65536,1,FALSE)," ",VLOOKUP(N403,[1]zawodnicy!$A$1:$E$65536,2,FALSE)," ",VLOOKUP(N403,[1]zawodnicy!$A$1:$E$65536,3,FALSE)," - ",VLOOKUP(N403,[1]zawodnicy!$A$1:$E$65536,4,FALSE)),"")</f>
        <v>X30 Lizaveta BAYAROUSKAYA - Białoruś</v>
      </c>
      <c r="V403" s="245"/>
      <c r="W403" s="246"/>
      <c r="X403" s="61" t="str">
        <f>IF(SUM(AQ404:AR404)=0,"",AR404&amp;":"&amp;AQ404)</f>
        <v>10:21</v>
      </c>
      <c r="Y403" s="62"/>
      <c r="Z403" s="37" t="str">
        <f>IF(SUM(AQ403:AR403)=0,"",AQ403&amp;":"&amp;AR403)</f>
        <v>18:21</v>
      </c>
      <c r="AA403" s="248"/>
      <c r="AB403" s="251"/>
      <c r="AC403" s="251"/>
      <c r="AD403" s="254"/>
      <c r="AE403" s="2"/>
      <c r="AF403" s="12"/>
      <c r="AG403" s="12"/>
      <c r="AH403" s="44" t="s">
        <v>17</v>
      </c>
      <c r="AI403" s="63">
        <f>IF(ISBLANK(S403),"",VLOOKUP(S403,'[1]plan gier'!$X$1:$AN$65536,12,FALSE))</f>
        <v>21</v>
      </c>
      <c r="AJ403" s="64">
        <f>IF(ISBLANK(S403),"",VLOOKUP(S403,'[1]plan gier'!$X$1:$AN$65536,13,FALSE))</f>
        <v>18</v>
      </c>
      <c r="AK403" s="64">
        <f>IF(ISBLANK(S403),"",VLOOKUP(S403,'[1]plan gier'!$X$1:$AN$65536,14,FALSE))</f>
        <v>18</v>
      </c>
      <c r="AL403" s="64">
        <f>IF(ISBLANK(S403),"",VLOOKUP(S403,'[1]plan gier'!$X$1:$AN$65536,15,FALSE))</f>
        <v>21</v>
      </c>
      <c r="AM403" s="64">
        <f>IF(ISBLANK(S403),"",VLOOKUP(S403,'[1]plan gier'!$X$1:$AN$65536,16,FALSE))</f>
        <v>21</v>
      </c>
      <c r="AN403" s="64">
        <f>IF(ISBLANK(S403),"",VLOOKUP(S403,'[1]plan gier'!$X$1:$AN$65536,17,FALSE))</f>
        <v>9</v>
      </c>
      <c r="AO403" s="65">
        <f t="shared" si="42"/>
        <v>21</v>
      </c>
      <c r="AP403" s="64">
        <f t="shared" si="42"/>
        <v>18</v>
      </c>
      <c r="AQ403" s="66">
        <f t="shared" si="42"/>
        <v>18</v>
      </c>
      <c r="AR403" s="64">
        <f t="shared" si="42"/>
        <v>21</v>
      </c>
      <c r="AS403" s="66">
        <f t="shared" si="42"/>
        <v>21</v>
      </c>
      <c r="AT403" s="64">
        <f t="shared" si="42"/>
        <v>9</v>
      </c>
      <c r="AU403" s="54">
        <f>SUM(AO403:AT403)</f>
        <v>108</v>
      </c>
      <c r="AV403" s="13">
        <v>2</v>
      </c>
      <c r="AW403" s="63">
        <f>IF(AI404&lt;AJ404,1,0)+IF(AK404&lt;AL404,1,0)+IF(AM404&lt;AN404,1,0)</f>
        <v>0</v>
      </c>
      <c r="AX403" s="64">
        <f>AY402</f>
        <v>2</v>
      </c>
      <c r="AY403" s="67"/>
      <c r="AZ403" s="68"/>
      <c r="BA403" s="64">
        <f>IF(AI403&gt;AJ403,1,0)+IF(AK403&gt;AL403,1,0)+IF(AM403&gt;AN403,1,0)</f>
        <v>2</v>
      </c>
      <c r="BB403" s="69">
        <f>AY404</f>
        <v>1</v>
      </c>
      <c r="BE403" s="63">
        <f>AO403+AQ403+AS403+AP404+AR404+AT404</f>
        <v>84</v>
      </c>
      <c r="BF403" s="69">
        <f>AP403+AR403+AT403+AO404+AQ404+AS404</f>
        <v>90</v>
      </c>
      <c r="BG403" s="63">
        <f>AW403+BA403</f>
        <v>2</v>
      </c>
      <c r="BH403" s="69">
        <f>AX403+BB403</f>
        <v>3</v>
      </c>
      <c r="BI403" s="63">
        <f>IF(AW403&gt;AX403,1,0)+IF(BA403&gt;BB403,1,0)</f>
        <v>1</v>
      </c>
      <c r="BJ403" s="70">
        <f>IF(AX403&gt;AW403,1,0)+IF(BB403&gt;BA403,1,0)</f>
        <v>1</v>
      </c>
      <c r="BK403" s="71">
        <f>IF(BI403+BJ403=0,"",IF(BL403=MAX(BL402:BL404),1,IF(BL403=MIN(BL402:BL404),3,2)))</f>
        <v>2</v>
      </c>
      <c r="BL403" s="60">
        <f>IF(BI403+BJ403&lt;&gt;0,BI403+1+(BG403-BH403)/100+(BE403-BF403)/100000+(BE403/BF403)/1000000,0)</f>
        <v>1.9899409333333333</v>
      </c>
    </row>
    <row r="404" spans="1:64" ht="11.45" customHeight="1" thickBot="1" x14ac:dyDescent="0.25">
      <c r="A404" s="19">
        <f>S404</f>
        <v>221</v>
      </c>
      <c r="B404" s="2" t="str">
        <f>IF(N400="","",N400)</f>
        <v>P4759</v>
      </c>
      <c r="C404" s="2" t="str">
        <f>IF(N401="","",N401)</f>
        <v/>
      </c>
      <c r="D404" s="2" t="str">
        <f>IF(N403="","",N403)</f>
        <v>X30</v>
      </c>
      <c r="E404" s="2" t="str">
        <f>IF(N404="","",N404)</f>
        <v/>
      </c>
      <c r="I404" s="2" t="str">
        <f>"3"&amp;O398&amp;N399</f>
        <v>33pojedyncza dziewcząt MM</v>
      </c>
      <c r="J404" s="10" t="str">
        <f>IF(AD405="","",IF(AD399=3,N400,IF(AD402=3,N403,IF(AD405=3,N406,""))))</f>
        <v>T5222</v>
      </c>
      <c r="K404" s="10">
        <f>IF(AD405="","",IF(AD399=3,N401,IF(AD402=3,N404,IF(AD405=3,N407,""))))</f>
        <v>0</v>
      </c>
      <c r="M404" s="42" t="str">
        <f>N399</f>
        <v>pojedyncza dziewcząt MM</v>
      </c>
      <c r="N404" s="38"/>
      <c r="O404" s="28"/>
      <c r="P404" s="28"/>
      <c r="Q404" s="43" t="str">
        <f>IF(AU404&gt;0,"",IF(A404=0,"",IF(VLOOKUP(A404,'[1]plan gier'!A$1:S$65536,19,FALSE)="","",VLOOKUP(A404,'[1]plan gier'!A$1:S$65536,19,FALSE))))</f>
        <v/>
      </c>
      <c r="R404" s="72" t="s">
        <v>18</v>
      </c>
      <c r="S404" s="45">
        <v>221</v>
      </c>
      <c r="T404" s="261"/>
      <c r="U404" s="265" t="str">
        <f>IF(N404&lt;&gt;"",CONCATENATE(VLOOKUP(N404,[1]zawodnicy!$A$1:$E$65536,1,FALSE)," ",VLOOKUP(N404,[1]zawodnicy!$A$1:$E$65536,2,FALSE)," ",VLOOKUP(N404,[1]zawodnicy!$A$1:$E$65536,3,FALSE)," - ",VLOOKUP(N404,[1]zawodnicy!$A$1:$E$65536,4,FALSE)),"")</f>
        <v/>
      </c>
      <c r="V404" s="266"/>
      <c r="W404" s="267"/>
      <c r="X404" s="73" t="str">
        <f>IF(SUM(AS404:AT404)=0,"",AT404&amp;":"&amp;AS404)</f>
        <v/>
      </c>
      <c r="Y404" s="62"/>
      <c r="Z404" s="40" t="str">
        <f>IF(SUM(AS403:AT403)=0,"",AS403&amp;":"&amp;AT403)</f>
        <v>21:9</v>
      </c>
      <c r="AA404" s="262"/>
      <c r="AB404" s="263"/>
      <c r="AC404" s="263"/>
      <c r="AD404" s="264"/>
      <c r="AE404" s="2"/>
      <c r="AF404" s="12"/>
      <c r="AG404" s="12"/>
      <c r="AH404" s="72" t="s">
        <v>18</v>
      </c>
      <c r="AI404" s="74">
        <f>IF(ISBLANK(S404),"",VLOOKUP(S404,'[1]plan gier'!$X$1:$AN$65536,12,FALSE))</f>
        <v>21</v>
      </c>
      <c r="AJ404" s="75">
        <f>IF(ISBLANK(S404),"",VLOOKUP(S404,'[1]plan gier'!$X$1:$AN$65536,13,FALSE))</f>
        <v>14</v>
      </c>
      <c r="AK404" s="75">
        <f>IF(ISBLANK(S404),"",VLOOKUP(S404,'[1]plan gier'!$X$1:$AN$65536,14,FALSE))</f>
        <v>21</v>
      </c>
      <c r="AL404" s="75">
        <f>IF(ISBLANK(S404),"",VLOOKUP(S404,'[1]plan gier'!$X$1:$AN$65536,15,FALSE))</f>
        <v>10</v>
      </c>
      <c r="AM404" s="75">
        <f>IF(ISBLANK(S404),"",VLOOKUP(S404,'[1]plan gier'!$X$1:$AN$65536,16,FALSE))</f>
        <v>0</v>
      </c>
      <c r="AN404" s="75">
        <f>IF(ISBLANK(S404),"",VLOOKUP(S404,'[1]plan gier'!$X$1:$AN$65536,17,FALSE))</f>
        <v>0</v>
      </c>
      <c r="AO404" s="76">
        <f t="shared" si="42"/>
        <v>21</v>
      </c>
      <c r="AP404" s="75">
        <f t="shared" si="42"/>
        <v>14</v>
      </c>
      <c r="AQ404" s="77">
        <f t="shared" si="42"/>
        <v>21</v>
      </c>
      <c r="AR404" s="75">
        <f t="shared" si="42"/>
        <v>10</v>
      </c>
      <c r="AS404" s="77">
        <f t="shared" si="42"/>
        <v>0</v>
      </c>
      <c r="AT404" s="75">
        <f t="shared" si="42"/>
        <v>0</v>
      </c>
      <c r="AU404" s="54">
        <f>SUM(AO404:AT404)</f>
        <v>66</v>
      </c>
      <c r="AV404" s="13">
        <v>3</v>
      </c>
      <c r="AW404" s="74">
        <f>IF(AI402&lt;AJ402,1,0)+IF(AK402&lt;AL402,1,0)+IF(AM402&lt;AN402,1,0)</f>
        <v>0</v>
      </c>
      <c r="AX404" s="75">
        <f>BA402</f>
        <v>2</v>
      </c>
      <c r="AY404" s="75">
        <f>IF(AI403&lt;AJ403,1,0)+IF(AK403&lt;AL403,1,0)+IF(AM403&lt;AN403,1,0)</f>
        <v>1</v>
      </c>
      <c r="AZ404" s="75">
        <f>BA403</f>
        <v>2</v>
      </c>
      <c r="BA404" s="78"/>
      <c r="BB404" s="79"/>
      <c r="BE404" s="74">
        <f>AP402+AR402+AT402+AP403+AR403+AT403</f>
        <v>78</v>
      </c>
      <c r="BF404" s="80">
        <f>AO402+AQ402+AS402+AO403+AQ403+AS403</f>
        <v>102</v>
      </c>
      <c r="BG404" s="74">
        <f>AW404+AY404</f>
        <v>1</v>
      </c>
      <c r="BH404" s="80">
        <f>AX404+AZ404</f>
        <v>4</v>
      </c>
      <c r="BI404" s="74">
        <f>IF(AW404&gt;AX404,1,0)+IF(AY404&gt;AZ404,1,0)</f>
        <v>0</v>
      </c>
      <c r="BJ404" s="81">
        <f>IF(AX404&gt;AW404,1,0)+IF(AZ404&gt;AY404,1,0)</f>
        <v>2</v>
      </c>
      <c r="BK404" s="82">
        <f>IF(BI404+BJ404=0,"",IF(BL404=MAX(BL402:BL404),1,IF(BL404=MIN(BL402:BL404),3,2)))</f>
        <v>3</v>
      </c>
      <c r="BL404" s="60">
        <f>IF(BI404+BJ404&lt;&gt;0,BI404+1+(BG404-BH404)/100+(BE404-BF404)/100000+(BE404/BF404)/1000000,0)</f>
        <v>0.96976076470588235</v>
      </c>
    </row>
    <row r="405" spans="1:64" ht="11.45" customHeight="1" x14ac:dyDescent="0.2">
      <c r="A405" s="2"/>
      <c r="J405" s="28"/>
      <c r="K405" s="28"/>
      <c r="L405" s="28"/>
      <c r="O405" s="28"/>
      <c r="P405" s="28"/>
      <c r="Q405" s="2"/>
      <c r="R405" s="2"/>
      <c r="S405" s="2"/>
      <c r="T405" s="241">
        <v>3</v>
      </c>
      <c r="U405" s="244" t="str">
        <f>IF(AND(N406&lt;&gt;"",N407&lt;&gt;""),CONCATENATE(VLOOKUP(N406,[1]zawodnicy!$A$1:$E$65536,1,FALSE)," ",VLOOKUP(N406,[1]zawodnicy!$A$1:$E$65536,2,FALSE)," ",VLOOKUP(N406,[1]zawodnicy!$A$1:$E$65536,3,FALSE)," - ",VLOOKUP(N406,[1]zawodnicy!$A$1:$E$65536,4,FALSE)),"")</f>
        <v/>
      </c>
      <c r="V405" s="245"/>
      <c r="W405" s="246"/>
      <c r="X405" s="46" t="str">
        <f>IF(SUM(AO402:AP402)=0,"",AP402&amp;":"&amp;AO402)</f>
        <v>12:21</v>
      </c>
      <c r="Y405" s="83" t="str">
        <f>IF(SUM(AO403:AP403)=0,"",AP403&amp;":"&amp;AO403)</f>
        <v>18:21</v>
      </c>
      <c r="Z405" s="84"/>
      <c r="AA405" s="247" t="str">
        <f>IF(SUM(AW404:AZ404)=0,"",BE404&amp;":"&amp;BF404)</f>
        <v>78:102</v>
      </c>
      <c r="AB405" s="250" t="str">
        <f>IF(SUM(AW404:AZ404)=0,"",BG404&amp;":"&amp;BH404)</f>
        <v>1:4</v>
      </c>
      <c r="AC405" s="250" t="str">
        <f>IF(SUM(AW404:AZ404)=0,"",BI404&amp;":"&amp;BJ404)</f>
        <v>0:2</v>
      </c>
      <c r="AD405" s="253">
        <f>IF(SUM(BI402:BI404)&gt;0,BK404,"")</f>
        <v>3</v>
      </c>
      <c r="AE405" s="2"/>
      <c r="AF405" s="12"/>
      <c r="AG405" s="12"/>
      <c r="BE405" s="19">
        <f>SUM(BE402:BE404)</f>
        <v>246</v>
      </c>
      <c r="BF405" s="19">
        <f>SUM(BF402:BF404)</f>
        <v>246</v>
      </c>
      <c r="BG405" s="19">
        <f>SUM(BG402:BG404)</f>
        <v>7</v>
      </c>
      <c r="BH405" s="19">
        <f>SUM(BH402:BH404)</f>
        <v>7</v>
      </c>
      <c r="BK405" s="19"/>
      <c r="BL405" s="20"/>
    </row>
    <row r="406" spans="1:64" ht="11.45" customHeight="1" x14ac:dyDescent="0.2">
      <c r="A406" s="19"/>
      <c r="J406" s="19"/>
      <c r="K406" s="19"/>
      <c r="L406" s="19"/>
      <c r="N406" s="188" t="s">
        <v>287</v>
      </c>
      <c r="O406" s="34">
        <f>IF(O398&gt;0,(O398&amp;3)*1,"")</f>
        <v>33</v>
      </c>
      <c r="Q406" s="85"/>
      <c r="R406" s="85"/>
      <c r="S406" s="85"/>
      <c r="T406" s="242"/>
      <c r="U406" s="244" t="str">
        <f>IF(AND(N406&lt;&gt;"",N407=""),CONCATENATE(VLOOKUP(N406,[1]zawodnicy!$A$1:$E$65536,1,FALSE)," ",VLOOKUP(N406,[1]zawodnicy!$A$1:$E$65536,2,FALSE)," ",VLOOKUP(N406,[1]zawodnicy!$A$1:$E$65536,3,FALSE)," - ",VLOOKUP(N406,[1]zawodnicy!$A$1:$E$65536,4,FALSE)),"")</f>
        <v>T5222 Miriam TOMALA - UKS Unia Bieruń</v>
      </c>
      <c r="V406" s="245"/>
      <c r="W406" s="246"/>
      <c r="X406" s="61" t="str">
        <f>IF(SUM(AQ402:AR402)=0,"",AR402&amp;":"&amp;AQ402)</f>
        <v>18:21</v>
      </c>
      <c r="Y406" s="36" t="str">
        <f>IF(SUM(AQ403:AR403)=0,"",AR403&amp;":"&amp;AQ403)</f>
        <v>21:18</v>
      </c>
      <c r="Z406" s="86"/>
      <c r="AA406" s="248"/>
      <c r="AB406" s="251"/>
      <c r="AC406" s="251"/>
      <c r="AD406" s="254"/>
      <c r="AE406" s="2"/>
      <c r="AF406" s="12"/>
      <c r="AG406" s="1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row>
    <row r="407" spans="1:64" ht="11.45" customHeight="1" thickBot="1" x14ac:dyDescent="0.25">
      <c r="A407" s="2"/>
      <c r="J407" s="28"/>
      <c r="K407" s="28"/>
      <c r="L407" s="28"/>
      <c r="N407" s="38"/>
      <c r="O407" s="28"/>
      <c r="P407" s="28"/>
      <c r="Q407" s="2"/>
      <c r="R407" s="2"/>
      <c r="S407" s="2"/>
      <c r="T407" s="243"/>
      <c r="U407" s="256" t="str">
        <f>IF(N407&lt;&gt;"",CONCATENATE(VLOOKUP(N407,[1]zawodnicy!$A$1:$E$65536,1,FALSE)," ",VLOOKUP(N407,[1]zawodnicy!$A$1:$E$65536,2,FALSE)," ",VLOOKUP(N407,[1]zawodnicy!$A$1:$E$65536,3,FALSE)," - ",VLOOKUP(N407,[1]zawodnicy!$A$1:$E$65536,4,FALSE)),"")</f>
        <v/>
      </c>
      <c r="V407" s="257"/>
      <c r="W407" s="258"/>
      <c r="X407" s="87" t="str">
        <f>IF(SUM(AS402:AT402)=0,"",AT402&amp;":"&amp;AS402)</f>
        <v/>
      </c>
      <c r="Y407" s="88" t="str">
        <f>IF(SUM(AS403:AT403)=0,"",AT403&amp;":"&amp;AS403)</f>
        <v>9:21</v>
      </c>
      <c r="Z407" s="89"/>
      <c r="AA407" s="249"/>
      <c r="AB407" s="252"/>
      <c r="AC407" s="252"/>
      <c r="AD407" s="255"/>
      <c r="AE407" s="10"/>
      <c r="AF407" s="12"/>
      <c r="AG407" s="1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row>
    <row r="408" spans="1:64" s="19" customFormat="1" ht="5.0999999999999996" customHeight="1" thickBot="1" x14ac:dyDescent="0.25">
      <c r="M408" s="90"/>
      <c r="O408" s="90"/>
      <c r="P408" s="90"/>
      <c r="Q408" s="91"/>
      <c r="R408" s="91"/>
      <c r="S408" s="91"/>
      <c r="T408" s="91"/>
      <c r="U408" s="5"/>
      <c r="V408" s="5"/>
      <c r="W408" s="5"/>
      <c r="AA408" s="92"/>
      <c r="AB408" s="91"/>
      <c r="AC408" s="91"/>
      <c r="AD408" s="91"/>
      <c r="AE408" s="91"/>
      <c r="AF408" s="91"/>
      <c r="AI408" s="93"/>
      <c r="AJ408" s="94"/>
      <c r="AK408" s="94"/>
    </row>
    <row r="409" spans="1:64" ht="11.45" customHeight="1" thickBot="1" x14ac:dyDescent="0.25">
      <c r="N409" s="11"/>
      <c r="O409" s="21">
        <v>4</v>
      </c>
      <c r="Q409" s="277" t="str">
        <f>"Grupa "&amp;O409&amp;"."</f>
        <v>Grupa 4.</v>
      </c>
      <c r="R409" s="277"/>
      <c r="S409" s="277"/>
      <c r="T409" s="22" t="s">
        <v>1</v>
      </c>
      <c r="U409" s="278" t="s">
        <v>2</v>
      </c>
      <c r="V409" s="279"/>
      <c r="W409" s="280"/>
      <c r="X409" s="22">
        <v>1</v>
      </c>
      <c r="Y409" s="23">
        <v>2</v>
      </c>
      <c r="Z409" s="24">
        <v>3</v>
      </c>
      <c r="AA409" s="25" t="s">
        <v>3</v>
      </c>
      <c r="AB409" s="26" t="s">
        <v>4</v>
      </c>
      <c r="AC409" s="26" t="s">
        <v>5</v>
      </c>
      <c r="AD409" s="27" t="s">
        <v>6</v>
      </c>
      <c r="AE409" s="2"/>
      <c r="AF409" s="12"/>
      <c r="AG409" s="12"/>
      <c r="BK409" s="19"/>
      <c r="BL409" s="20"/>
    </row>
    <row r="410" spans="1:64" ht="11.45" customHeight="1" x14ac:dyDescent="0.2">
      <c r="J410" s="28"/>
      <c r="K410" s="28"/>
      <c r="L410" s="28"/>
      <c r="N410" s="29" t="s">
        <v>278</v>
      </c>
      <c r="Q410" s="274" t="s">
        <v>7</v>
      </c>
      <c r="R410" s="274"/>
      <c r="S410" s="275" t="s">
        <v>8</v>
      </c>
      <c r="T410" s="276">
        <v>1</v>
      </c>
      <c r="U410" s="244" t="str">
        <f>IF(AND(N411&lt;&gt;"",N412&lt;&gt;""),CONCATENATE(VLOOKUP(N411,[1]zawodnicy!$A$1:$E$65536,1,FALSE)," ",VLOOKUP(N411,[1]zawodnicy!$A$1:$E$65536,2,FALSE)," ",VLOOKUP(N411,[1]zawodnicy!$A$1:$E$65536,3,FALSE)," - ",VLOOKUP(N411,[1]zawodnicy!$A$1:$E$65536,4,FALSE)),"")</f>
        <v/>
      </c>
      <c r="V410" s="245"/>
      <c r="W410" s="246"/>
      <c r="X410" s="30"/>
      <c r="Y410" s="31" t="str">
        <f>IF(SUM(AO415:AP415)=0,"",AO415&amp;":"&amp;AP415)</f>
        <v>21:4</v>
      </c>
      <c r="Z410" s="32" t="str">
        <f>IF(SUM(AO413:AP413)=0,"",AO413&amp;":"&amp;AP413)</f>
        <v>21:17</v>
      </c>
      <c r="AA410" s="270" t="str">
        <f>IF(SUM(AY413:BB413)=0,"",BE413&amp;":"&amp;BF413)</f>
        <v>84:49</v>
      </c>
      <c r="AB410" s="271" t="str">
        <f>IF(SUM(AY413:BB413)=0,"",BG413&amp;":"&amp;BH413)</f>
        <v>4:0</v>
      </c>
      <c r="AC410" s="271" t="str">
        <f>IF(SUM(AY413:BB413)=0,"",BI413&amp;":"&amp;BJ413)</f>
        <v>2:0</v>
      </c>
      <c r="AD410" s="272">
        <f>IF(SUM(BI413:BI415)&gt;0,BK413,"")</f>
        <v>1</v>
      </c>
      <c r="AE410" s="2"/>
      <c r="AF410" s="12"/>
      <c r="AG410" s="12"/>
      <c r="AH410" s="14"/>
      <c r="AI410" s="273" t="s">
        <v>9</v>
      </c>
      <c r="AJ410" s="273"/>
      <c r="AK410" s="273"/>
      <c r="AL410" s="273"/>
      <c r="AM410" s="273"/>
      <c r="AN410" s="273"/>
      <c r="AO410" s="273" t="s">
        <v>10</v>
      </c>
      <c r="AP410" s="273"/>
      <c r="AQ410" s="273"/>
      <c r="AR410" s="273"/>
      <c r="AS410" s="273"/>
      <c r="AT410" s="273"/>
      <c r="BK410" s="19"/>
      <c r="BL410" s="20"/>
    </row>
    <row r="411" spans="1:64" ht="11.45" customHeight="1" thickBot="1" x14ac:dyDescent="0.25">
      <c r="I411" s="2" t="str">
        <f>"1"&amp;O409&amp;N410</f>
        <v>14pojedyncza dziewcząt MM</v>
      </c>
      <c r="J411" s="10" t="str">
        <f>IF(AD410="","",IF(AD410=1,N411,IF(AD413=1,N414,IF(AD416=1,N417,""))))</f>
        <v>D5062</v>
      </c>
      <c r="K411" s="10">
        <f>IF(AD410="","",IF(AD410=1,N412,IF(AD413=1,N415,IF(AD416=1,N418,""))))</f>
        <v>0</v>
      </c>
      <c r="L411" s="10"/>
      <c r="N411" s="187" t="s">
        <v>288</v>
      </c>
      <c r="O411" s="34">
        <f>IF(O409&gt;0,(O409&amp;1)*1,"")</f>
        <v>41</v>
      </c>
      <c r="Q411" s="274"/>
      <c r="R411" s="274"/>
      <c r="S411" s="275"/>
      <c r="T411" s="242"/>
      <c r="U411" s="244" t="str">
        <f>IF(AND(N411&lt;&gt;"",N412=""),CONCATENATE(VLOOKUP(N411,[1]zawodnicy!$A$1:$E$65536,1,FALSE)," ",VLOOKUP(N411,[1]zawodnicy!$A$1:$E$65536,2,FALSE)," ",VLOOKUP(N411,[1]zawodnicy!$A$1:$E$65536,3,FALSE)," - ",VLOOKUP(N411,[1]zawodnicy!$A$1:$E$65536,4,FALSE)),"")</f>
        <v>D5062 Emilia DRĄGOWSKA - UKS Hubal Białystok</v>
      </c>
      <c r="V411" s="245"/>
      <c r="W411" s="246"/>
      <c r="X411" s="35"/>
      <c r="Y411" s="36" t="str">
        <f>IF(SUM(AQ415:AR415)=0,"",AQ415&amp;":"&amp;AR415)</f>
        <v>21:14</v>
      </c>
      <c r="Z411" s="37" t="str">
        <f>IF(SUM(AQ413:AR413)=0,"",AQ413&amp;":"&amp;AR413)</f>
        <v>21:14</v>
      </c>
      <c r="AA411" s="248"/>
      <c r="AB411" s="251"/>
      <c r="AC411" s="251"/>
      <c r="AD411" s="254"/>
      <c r="AE411" s="2"/>
      <c r="AF411" s="12"/>
      <c r="AG411" s="12"/>
      <c r="AH411" s="14"/>
      <c r="BE411" s="19">
        <f>SUM(BE413:BE415)</f>
        <v>190</v>
      </c>
      <c r="BF411" s="19">
        <f>SUM(BF413:BF415)</f>
        <v>190</v>
      </c>
      <c r="BG411" s="19">
        <f>SUM(BG413:BG415)</f>
        <v>6</v>
      </c>
      <c r="BH411" s="19">
        <f>SUM(BH413:BH415)</f>
        <v>6</v>
      </c>
      <c r="BK411" s="19"/>
      <c r="BL411" s="20"/>
    </row>
    <row r="412" spans="1:64" ht="11.45" customHeight="1" thickBot="1" x14ac:dyDescent="0.25">
      <c r="J412" s="10"/>
      <c r="K412" s="28"/>
      <c r="L412" s="28"/>
      <c r="N412" s="38"/>
      <c r="O412" s="28"/>
      <c r="P412" s="28"/>
      <c r="Q412" s="274"/>
      <c r="R412" s="274"/>
      <c r="S412" s="275"/>
      <c r="T412" s="261"/>
      <c r="U412" s="265" t="str">
        <f>IF(N412&lt;&gt;"",CONCATENATE(VLOOKUP(N412,[1]zawodnicy!$A$1:$E$65536,1,FALSE)," ",VLOOKUP(N412,[1]zawodnicy!$A$1:$E$65536,2,FALSE)," ",VLOOKUP(N412,[1]zawodnicy!$A$1:$E$65536,3,FALSE)," - ",VLOOKUP(N412,[1]zawodnicy!$A$1:$E$65536,4,FALSE)),"")</f>
        <v/>
      </c>
      <c r="V412" s="266"/>
      <c r="W412" s="267"/>
      <c r="X412" s="35"/>
      <c r="Y412" s="39" t="str">
        <f>IF(SUM(AS415:AT415)=0,"",AS415&amp;":"&amp;AT415)</f>
        <v/>
      </c>
      <c r="Z412" s="40" t="str">
        <f>IF(SUM(AS413:AT413)=0,"",AS413&amp;":"&amp;AT413)</f>
        <v/>
      </c>
      <c r="AA412" s="262"/>
      <c r="AB412" s="263"/>
      <c r="AC412" s="263"/>
      <c r="AD412" s="264"/>
      <c r="AE412" s="2"/>
      <c r="AF412" s="12"/>
      <c r="AG412" s="12"/>
      <c r="AH412" s="14"/>
      <c r="AI412" s="259" t="s">
        <v>12</v>
      </c>
      <c r="AJ412" s="269"/>
      <c r="AK412" s="268" t="s">
        <v>13</v>
      </c>
      <c r="AL412" s="269"/>
      <c r="AM412" s="268" t="s">
        <v>14</v>
      </c>
      <c r="AN412" s="260"/>
      <c r="AO412" s="259" t="s">
        <v>12</v>
      </c>
      <c r="AP412" s="269"/>
      <c r="AQ412" s="268" t="s">
        <v>13</v>
      </c>
      <c r="AR412" s="269"/>
      <c r="AS412" s="268" t="s">
        <v>14</v>
      </c>
      <c r="AT412" s="269"/>
      <c r="AU412" s="12"/>
      <c r="AV412" s="12"/>
      <c r="AW412" s="259">
        <v>1</v>
      </c>
      <c r="AX412" s="269"/>
      <c r="AY412" s="268">
        <v>2</v>
      </c>
      <c r="AZ412" s="269"/>
      <c r="BA412" s="268">
        <v>3</v>
      </c>
      <c r="BB412" s="260"/>
      <c r="BE412" s="259" t="s">
        <v>3</v>
      </c>
      <c r="BF412" s="260"/>
      <c r="BG412" s="259" t="s">
        <v>4</v>
      </c>
      <c r="BH412" s="260"/>
      <c r="BI412" s="259" t="s">
        <v>5</v>
      </c>
      <c r="BJ412" s="260"/>
      <c r="BK412" s="41" t="s">
        <v>6</v>
      </c>
      <c r="BL412" s="20"/>
    </row>
    <row r="413" spans="1:64" ht="11.45" customHeight="1" x14ac:dyDescent="0.2">
      <c r="A413" s="19">
        <f>S413</f>
        <v>103</v>
      </c>
      <c r="B413" s="2" t="str">
        <f>IF(N411="","",N411)</f>
        <v>D5062</v>
      </c>
      <c r="C413" s="2" t="str">
        <f>IF(N412="","",N412)</f>
        <v/>
      </c>
      <c r="D413" s="2" t="str">
        <f>IF(N417="","",N417)</f>
        <v>Ż5592</v>
      </c>
      <c r="E413" s="2" t="str">
        <f>IF(N418="","",N418)</f>
        <v/>
      </c>
      <c r="I413" s="2" t="str">
        <f>"2"&amp;O409&amp;N410</f>
        <v>24pojedyncza dziewcząt MM</v>
      </c>
      <c r="J413" s="10" t="str">
        <f>IF(AD413="","",IF(AD410=2,N411,IF(AD413=2,N414,IF(AD416=2,N417,""))))</f>
        <v>Ż5592</v>
      </c>
      <c r="K413" s="10">
        <f>IF(AD413="","",IF(AD410=2,N412,IF(AD413=2,N415,IF(AD416=2,N418,""))))</f>
        <v>0</v>
      </c>
      <c r="M413" s="42" t="str">
        <f>N410</f>
        <v>pojedyncza dziewcząt MM</v>
      </c>
      <c r="O413" s="28"/>
      <c r="P413" s="28"/>
      <c r="Q413" s="43" t="str">
        <f>IF(AU413&gt;0,"",IF(A413=0,"",IF(VLOOKUP(A413,'[1]plan gier'!A$1:S$65536,19,FALSE)="","",VLOOKUP(A413,'[1]plan gier'!A$1:S$65536,19,FALSE))))</f>
        <v/>
      </c>
      <c r="R413" s="44" t="s">
        <v>15</v>
      </c>
      <c r="S413" s="45">
        <v>103</v>
      </c>
      <c r="T413" s="241">
        <v>2</v>
      </c>
      <c r="U413" s="244" t="str">
        <f>IF(AND(N414&lt;&gt;"",N415&lt;&gt;""),CONCATENATE(VLOOKUP(N414,[1]zawodnicy!$A$1:$E$65536,1,FALSE)," ",VLOOKUP(N414,[1]zawodnicy!$A$1:$E$65536,2,FALSE)," ",VLOOKUP(N414,[1]zawodnicy!$A$1:$E$65536,3,FALSE)," - ",VLOOKUP(N414,[1]zawodnicy!$A$1:$E$65536,4,FALSE)),"")</f>
        <v/>
      </c>
      <c r="V413" s="245"/>
      <c r="W413" s="246"/>
      <c r="X413" s="46" t="str">
        <f>IF(SUM(AO415:AP415)=0,"",AP415&amp;":"&amp;AO415)</f>
        <v>4:21</v>
      </c>
      <c r="Y413" s="47"/>
      <c r="Z413" s="48" t="str">
        <f>IF(SUM(AO414:AP414)=0,"",AO414&amp;":"&amp;AP414)</f>
        <v>10:21</v>
      </c>
      <c r="AA413" s="247" t="str">
        <f>IF(SUM(AW414:AX414,BA414:BB414)=0,"",BE414&amp;":"&amp;BF414)</f>
        <v>33:84</v>
      </c>
      <c r="AB413" s="250" t="str">
        <f>IF(SUM(AW414:AX414,BA414:BB414)=0,"",BG414&amp;":"&amp;BH414)</f>
        <v>0:4</v>
      </c>
      <c r="AC413" s="250" t="str">
        <f>IF(SUM(AW414:AX414,BA414:BB414)=0,"",BI414&amp;":"&amp;BJ414)</f>
        <v>0:2</v>
      </c>
      <c r="AD413" s="253">
        <f>IF(SUM(BI413:BI415)&gt;0,BK414,"")</f>
        <v>3</v>
      </c>
      <c r="AE413" s="2"/>
      <c r="AF413" s="12"/>
      <c r="AG413" s="12"/>
      <c r="AH413" s="44" t="s">
        <v>15</v>
      </c>
      <c r="AI413" s="49">
        <f>IF(ISBLANK(S413),"",VLOOKUP(S413,'[1]plan gier'!$X$1:$AN$65536,12,FALSE))</f>
        <v>21</v>
      </c>
      <c r="AJ413" s="50">
        <f>IF(ISBLANK(S413),"",VLOOKUP(S413,'[1]plan gier'!$X$1:$AN$65536,13,FALSE))</f>
        <v>17</v>
      </c>
      <c r="AK413" s="50">
        <f>IF(ISBLANK(S413),"",VLOOKUP(S413,'[1]plan gier'!$X$1:$AN$65536,14,FALSE))</f>
        <v>21</v>
      </c>
      <c r="AL413" s="50">
        <f>IF(ISBLANK(S413),"",VLOOKUP(S413,'[1]plan gier'!$X$1:$AN$65536,15,FALSE))</f>
        <v>14</v>
      </c>
      <c r="AM413" s="50">
        <f>IF(ISBLANK(S413),"",VLOOKUP(S413,'[1]plan gier'!$X$1:$AN$65536,16,FALSE))</f>
        <v>0</v>
      </c>
      <c r="AN413" s="50">
        <f>IF(ISBLANK(S413),"",VLOOKUP(S413,'[1]plan gier'!$X$1:$AN$65536,17,FALSE))</f>
        <v>0</v>
      </c>
      <c r="AO413" s="51">
        <f t="shared" ref="AO413:AT415" si="43">IF(AI413="",0,AI413)</f>
        <v>21</v>
      </c>
      <c r="AP413" s="52">
        <f t="shared" si="43"/>
        <v>17</v>
      </c>
      <c r="AQ413" s="53">
        <f t="shared" si="43"/>
        <v>21</v>
      </c>
      <c r="AR413" s="52">
        <f t="shared" si="43"/>
        <v>14</v>
      </c>
      <c r="AS413" s="53">
        <f t="shared" si="43"/>
        <v>0</v>
      </c>
      <c r="AT413" s="52">
        <f t="shared" si="43"/>
        <v>0</v>
      </c>
      <c r="AU413" s="54">
        <f>SUM(AO413:AT413)</f>
        <v>73</v>
      </c>
      <c r="AV413" s="13">
        <v>1</v>
      </c>
      <c r="AW413" s="55"/>
      <c r="AX413" s="56"/>
      <c r="AY413" s="50">
        <f>IF(AI415&gt;AJ415,1,0)+IF(AK415&gt;AL415,1,0)+IF(AM415&gt;AN415,1,0)</f>
        <v>2</v>
      </c>
      <c r="AZ413" s="50">
        <f>AW414</f>
        <v>0</v>
      </c>
      <c r="BA413" s="50">
        <f>IF(AI413&gt;AJ413,1,0)+IF(AK413&gt;AL413,1,0)+IF(AM413&gt;AN413,1,0)</f>
        <v>2</v>
      </c>
      <c r="BB413" s="57">
        <f>AW415</f>
        <v>0</v>
      </c>
      <c r="BE413" s="49">
        <f>AO413+AQ413+AS413+AO415+AQ415+AS415</f>
        <v>84</v>
      </c>
      <c r="BF413" s="57">
        <f>AP413+AR413+AT413+AP415+AR415+AT415</f>
        <v>49</v>
      </c>
      <c r="BG413" s="49">
        <f>AY413+BA413</f>
        <v>4</v>
      </c>
      <c r="BH413" s="57">
        <f>AZ413+BB413</f>
        <v>0</v>
      </c>
      <c r="BI413" s="49">
        <f>IF(AY413&gt;AZ413,1,0)+IF(BA413&gt;BB413,1,0)</f>
        <v>2</v>
      </c>
      <c r="BJ413" s="58">
        <f>IF(AZ413&gt;AY413,1,0)+IF(BB413&gt;BA413,1,0)</f>
        <v>0</v>
      </c>
      <c r="BK413" s="59">
        <f>IF(BI413+BJ413=0,"",IF(BL413=MAX(BL413:BL415),1,IF(BL413=MIN(BL413:BL415),3,2)))</f>
        <v>1</v>
      </c>
      <c r="BL413" s="60">
        <f>IF(BI413+BJ413&lt;&gt;0,BI413+1+(BG413-BH413)/100+(BE413-BF413)/100000+(BE413/BF413)/1000000,0)</f>
        <v>3.0403517142857144</v>
      </c>
    </row>
    <row r="414" spans="1:64" ht="11.45" customHeight="1" x14ac:dyDescent="0.2">
      <c r="A414" s="19">
        <f>S414</f>
        <v>169</v>
      </c>
      <c r="B414" s="2" t="str">
        <f>IF(N414="","",N414)</f>
        <v>S5705</v>
      </c>
      <c r="C414" s="2" t="str">
        <f>IF(N415="","",N415)</f>
        <v/>
      </c>
      <c r="D414" s="2" t="str">
        <f>IF(N417="","",N417)</f>
        <v>Ż5592</v>
      </c>
      <c r="E414" s="2" t="str">
        <f>IF(N418="","",N418)</f>
        <v/>
      </c>
      <c r="J414" s="10"/>
      <c r="K414" s="19"/>
      <c r="M414" s="42" t="str">
        <f>N410</f>
        <v>pojedyncza dziewcząt MM</v>
      </c>
      <c r="N414" s="187" t="s">
        <v>289</v>
      </c>
      <c r="O414" s="34">
        <f>IF(O409&gt;0,(O409&amp;2)*1,"")</f>
        <v>42</v>
      </c>
      <c r="Q414" s="43" t="str">
        <f>IF(AU414&gt;0,"",IF(A414=0,"",IF(VLOOKUP(A414,'[1]plan gier'!A$1:S$65536,19,FALSE)="","",VLOOKUP(A414,'[1]plan gier'!A$1:S$65536,19,FALSE))))</f>
        <v/>
      </c>
      <c r="R414" s="44" t="s">
        <v>17</v>
      </c>
      <c r="S414" s="45">
        <v>169</v>
      </c>
      <c r="T414" s="242"/>
      <c r="U414" s="244" t="str">
        <f>IF(AND(N414&lt;&gt;"",N415=""),CONCATENATE(VLOOKUP(N414,[1]zawodnicy!$A$1:$E$65536,1,FALSE)," ",VLOOKUP(N414,[1]zawodnicy!$A$1:$E$65536,2,FALSE)," ",VLOOKUP(N414,[1]zawodnicy!$A$1:$E$65536,3,FALSE)," - ",VLOOKUP(N414,[1]zawodnicy!$A$1:$E$65536,4,FALSE)),"")</f>
        <v>S5705 Natalia STASZKIEWICZ - ULKS U-2 Lotka Bytów</v>
      </c>
      <c r="V414" s="245"/>
      <c r="W414" s="246"/>
      <c r="X414" s="61" t="str">
        <f>IF(SUM(AQ415:AR415)=0,"",AR415&amp;":"&amp;AQ415)</f>
        <v>14:21</v>
      </c>
      <c r="Y414" s="62"/>
      <c r="Z414" s="37" t="str">
        <f>IF(SUM(AQ414:AR414)=0,"",AQ414&amp;":"&amp;AR414)</f>
        <v>5:21</v>
      </c>
      <c r="AA414" s="248"/>
      <c r="AB414" s="251"/>
      <c r="AC414" s="251"/>
      <c r="AD414" s="254"/>
      <c r="AE414" s="2"/>
      <c r="AF414" s="12"/>
      <c r="AG414" s="12"/>
      <c r="AH414" s="44" t="s">
        <v>17</v>
      </c>
      <c r="AI414" s="63">
        <f>IF(ISBLANK(S414),"",VLOOKUP(S414,'[1]plan gier'!$X$1:$AN$65536,12,FALSE))</f>
        <v>10</v>
      </c>
      <c r="AJ414" s="64">
        <f>IF(ISBLANK(S414),"",VLOOKUP(S414,'[1]plan gier'!$X$1:$AN$65536,13,FALSE))</f>
        <v>21</v>
      </c>
      <c r="AK414" s="64">
        <f>IF(ISBLANK(S414),"",VLOOKUP(S414,'[1]plan gier'!$X$1:$AN$65536,14,FALSE))</f>
        <v>5</v>
      </c>
      <c r="AL414" s="64">
        <f>IF(ISBLANK(S414),"",VLOOKUP(S414,'[1]plan gier'!$X$1:$AN$65536,15,FALSE))</f>
        <v>21</v>
      </c>
      <c r="AM414" s="64">
        <f>IF(ISBLANK(S414),"",VLOOKUP(S414,'[1]plan gier'!$X$1:$AN$65536,16,FALSE))</f>
        <v>0</v>
      </c>
      <c r="AN414" s="64">
        <f>IF(ISBLANK(S414),"",VLOOKUP(S414,'[1]plan gier'!$X$1:$AN$65536,17,FALSE))</f>
        <v>0</v>
      </c>
      <c r="AO414" s="65">
        <f t="shared" si="43"/>
        <v>10</v>
      </c>
      <c r="AP414" s="64">
        <f t="shared" si="43"/>
        <v>21</v>
      </c>
      <c r="AQ414" s="66">
        <f t="shared" si="43"/>
        <v>5</v>
      </c>
      <c r="AR414" s="64">
        <f t="shared" si="43"/>
        <v>21</v>
      </c>
      <c r="AS414" s="66">
        <f t="shared" si="43"/>
        <v>0</v>
      </c>
      <c r="AT414" s="64">
        <f t="shared" si="43"/>
        <v>0</v>
      </c>
      <c r="AU414" s="54">
        <f>SUM(AO414:AT414)</f>
        <v>57</v>
      </c>
      <c r="AV414" s="13">
        <v>2</v>
      </c>
      <c r="AW414" s="63">
        <f>IF(AI415&lt;AJ415,1,0)+IF(AK415&lt;AL415,1,0)+IF(AM415&lt;AN415,1,0)</f>
        <v>0</v>
      </c>
      <c r="AX414" s="64">
        <f>AY413</f>
        <v>2</v>
      </c>
      <c r="AY414" s="67"/>
      <c r="AZ414" s="68"/>
      <c r="BA414" s="64">
        <f>IF(AI414&gt;AJ414,1,0)+IF(AK414&gt;AL414,1,0)+IF(AM414&gt;AN414,1,0)</f>
        <v>0</v>
      </c>
      <c r="BB414" s="69">
        <f>AY415</f>
        <v>2</v>
      </c>
      <c r="BE414" s="63">
        <f>AO414+AQ414+AS414+AP415+AR415+AT415</f>
        <v>33</v>
      </c>
      <c r="BF414" s="69">
        <f>AP414+AR414+AT414+AO415+AQ415+AS415</f>
        <v>84</v>
      </c>
      <c r="BG414" s="63">
        <f>AW414+BA414</f>
        <v>0</v>
      </c>
      <c r="BH414" s="69">
        <f>AX414+BB414</f>
        <v>4</v>
      </c>
      <c r="BI414" s="63">
        <f>IF(AW414&gt;AX414,1,0)+IF(BA414&gt;BB414,1,0)</f>
        <v>0</v>
      </c>
      <c r="BJ414" s="70">
        <f>IF(AX414&gt;AW414,1,0)+IF(BB414&gt;BA414,1,0)</f>
        <v>2</v>
      </c>
      <c r="BK414" s="71">
        <f>IF(BI414+BJ414=0,"",IF(BL414=MAX(BL413:BL415),1,IF(BL414=MIN(BL413:BL415),3,2)))</f>
        <v>3</v>
      </c>
      <c r="BL414" s="60">
        <f>IF(BI414+BJ414&lt;&gt;0,BI414+1+(BG414-BH414)/100+(BE414-BF414)/100000+(BE414/BF414)/1000000,0)</f>
        <v>0.95949039285714277</v>
      </c>
    </row>
    <row r="415" spans="1:64" ht="11.45" customHeight="1" thickBot="1" x14ac:dyDescent="0.25">
      <c r="A415" s="19">
        <f>S415</f>
        <v>222</v>
      </c>
      <c r="B415" s="2" t="str">
        <f>IF(N411="","",N411)</f>
        <v>D5062</v>
      </c>
      <c r="C415" s="2" t="str">
        <f>IF(N412="","",N412)</f>
        <v/>
      </c>
      <c r="D415" s="2" t="str">
        <f>IF(N414="","",N414)</f>
        <v>S5705</v>
      </c>
      <c r="E415" s="2" t="str">
        <f>IF(N415="","",N415)</f>
        <v/>
      </c>
      <c r="I415" s="2" t="str">
        <f>"3"&amp;O409&amp;N410</f>
        <v>34pojedyncza dziewcząt MM</v>
      </c>
      <c r="J415" s="10" t="str">
        <f>IF(AD416="","",IF(AD410=3,N411,IF(AD413=3,N414,IF(AD416=3,N417,""))))</f>
        <v>S5705</v>
      </c>
      <c r="K415" s="10">
        <f>IF(AD416="","",IF(AD410=3,N412,IF(AD413=3,N415,IF(AD416=3,N418,""))))</f>
        <v>0</v>
      </c>
      <c r="M415" s="42" t="str">
        <f>N410</f>
        <v>pojedyncza dziewcząt MM</v>
      </c>
      <c r="N415" s="38"/>
      <c r="O415" s="28"/>
      <c r="P415" s="28"/>
      <c r="Q415" s="43" t="str">
        <f>IF(AU415&gt;0,"",IF(A415=0,"",IF(VLOOKUP(A415,'[1]plan gier'!A$1:S$65536,19,FALSE)="","",VLOOKUP(A415,'[1]plan gier'!A$1:S$65536,19,FALSE))))</f>
        <v/>
      </c>
      <c r="R415" s="72" t="s">
        <v>18</v>
      </c>
      <c r="S415" s="45">
        <v>222</v>
      </c>
      <c r="T415" s="261"/>
      <c r="U415" s="265" t="str">
        <f>IF(N415&lt;&gt;"",CONCATENATE(VLOOKUP(N415,[1]zawodnicy!$A$1:$E$65536,1,FALSE)," ",VLOOKUP(N415,[1]zawodnicy!$A$1:$E$65536,2,FALSE)," ",VLOOKUP(N415,[1]zawodnicy!$A$1:$E$65536,3,FALSE)," - ",VLOOKUP(N415,[1]zawodnicy!$A$1:$E$65536,4,FALSE)),"")</f>
        <v/>
      </c>
      <c r="V415" s="266"/>
      <c r="W415" s="267"/>
      <c r="X415" s="73" t="str">
        <f>IF(SUM(AS415:AT415)=0,"",AT415&amp;":"&amp;AS415)</f>
        <v/>
      </c>
      <c r="Y415" s="62"/>
      <c r="Z415" s="40" t="str">
        <f>IF(SUM(AS414:AT414)=0,"",AS414&amp;":"&amp;AT414)</f>
        <v/>
      </c>
      <c r="AA415" s="262"/>
      <c r="AB415" s="263"/>
      <c r="AC415" s="263"/>
      <c r="AD415" s="264"/>
      <c r="AE415" s="2"/>
      <c r="AF415" s="12"/>
      <c r="AG415" s="12"/>
      <c r="AH415" s="72" t="s">
        <v>18</v>
      </c>
      <c r="AI415" s="74">
        <f>IF(ISBLANK(S415),"",VLOOKUP(S415,'[1]plan gier'!$X$1:$AN$65536,12,FALSE))</f>
        <v>21</v>
      </c>
      <c r="AJ415" s="75">
        <f>IF(ISBLANK(S415),"",VLOOKUP(S415,'[1]plan gier'!$X$1:$AN$65536,13,FALSE))</f>
        <v>4</v>
      </c>
      <c r="AK415" s="75">
        <f>IF(ISBLANK(S415),"",VLOOKUP(S415,'[1]plan gier'!$X$1:$AN$65536,14,FALSE))</f>
        <v>21</v>
      </c>
      <c r="AL415" s="75">
        <f>IF(ISBLANK(S415),"",VLOOKUP(S415,'[1]plan gier'!$X$1:$AN$65536,15,FALSE))</f>
        <v>14</v>
      </c>
      <c r="AM415" s="75">
        <f>IF(ISBLANK(S415),"",VLOOKUP(S415,'[1]plan gier'!$X$1:$AN$65536,16,FALSE))</f>
        <v>0</v>
      </c>
      <c r="AN415" s="75">
        <f>IF(ISBLANK(S415),"",VLOOKUP(S415,'[1]plan gier'!$X$1:$AN$65536,17,FALSE))</f>
        <v>0</v>
      </c>
      <c r="AO415" s="76">
        <f t="shared" si="43"/>
        <v>21</v>
      </c>
      <c r="AP415" s="75">
        <f t="shared" si="43"/>
        <v>4</v>
      </c>
      <c r="AQ415" s="77">
        <f t="shared" si="43"/>
        <v>21</v>
      </c>
      <c r="AR415" s="75">
        <f t="shared" si="43"/>
        <v>14</v>
      </c>
      <c r="AS415" s="77">
        <f t="shared" si="43"/>
        <v>0</v>
      </c>
      <c r="AT415" s="75">
        <f t="shared" si="43"/>
        <v>0</v>
      </c>
      <c r="AU415" s="54">
        <f>SUM(AO415:AT415)</f>
        <v>60</v>
      </c>
      <c r="AV415" s="13">
        <v>3</v>
      </c>
      <c r="AW415" s="74">
        <f>IF(AI413&lt;AJ413,1,0)+IF(AK413&lt;AL413,1,0)+IF(AM413&lt;AN413,1,0)</f>
        <v>0</v>
      </c>
      <c r="AX415" s="75">
        <f>BA413</f>
        <v>2</v>
      </c>
      <c r="AY415" s="75">
        <f>IF(AI414&lt;AJ414,1,0)+IF(AK414&lt;AL414,1,0)+IF(AM414&lt;AN414,1,0)</f>
        <v>2</v>
      </c>
      <c r="AZ415" s="75">
        <f>BA414</f>
        <v>0</v>
      </c>
      <c r="BA415" s="78"/>
      <c r="BB415" s="79"/>
      <c r="BE415" s="74">
        <f>AP413+AR413+AT413+AP414+AR414+AT414</f>
        <v>73</v>
      </c>
      <c r="BF415" s="80">
        <f>AO413+AQ413+AS413+AO414+AQ414+AS414</f>
        <v>57</v>
      </c>
      <c r="BG415" s="74">
        <f>AW415+AY415</f>
        <v>2</v>
      </c>
      <c r="BH415" s="80">
        <f>AX415+AZ415</f>
        <v>2</v>
      </c>
      <c r="BI415" s="74">
        <f>IF(AW415&gt;AX415,1,0)+IF(AY415&gt;AZ415,1,0)</f>
        <v>1</v>
      </c>
      <c r="BJ415" s="81">
        <f>IF(AX415&gt;AW415,1,0)+IF(AZ415&gt;AY415,1,0)</f>
        <v>1</v>
      </c>
      <c r="BK415" s="82">
        <f>IF(BI415+BJ415=0,"",IF(BL415=MAX(BL413:BL415),1,IF(BL415=MIN(BL413:BL415),3,2)))</f>
        <v>2</v>
      </c>
      <c r="BL415" s="60">
        <f>IF(BI415+BJ415&lt;&gt;0,BI415+1+(BG415-BH415)/100+(BE415-BF415)/100000+(BE415/BF415)/1000000,0)</f>
        <v>2.0001612807017546</v>
      </c>
    </row>
    <row r="416" spans="1:64" ht="11.45" customHeight="1" x14ac:dyDescent="0.2">
      <c r="A416" s="2"/>
      <c r="J416" s="28"/>
      <c r="K416" s="28"/>
      <c r="L416" s="28"/>
      <c r="O416" s="28"/>
      <c r="P416" s="28"/>
      <c r="Q416" s="2"/>
      <c r="R416" s="2"/>
      <c r="S416" s="2"/>
      <c r="T416" s="241">
        <v>3</v>
      </c>
      <c r="U416" s="244" t="str">
        <f>IF(AND(N417&lt;&gt;"",N418&lt;&gt;""),CONCATENATE(VLOOKUP(N417,[1]zawodnicy!$A$1:$E$65536,1,FALSE)," ",VLOOKUP(N417,[1]zawodnicy!$A$1:$E$65536,2,FALSE)," ",VLOOKUP(N417,[1]zawodnicy!$A$1:$E$65536,3,FALSE)," - ",VLOOKUP(N417,[1]zawodnicy!$A$1:$E$65536,4,FALSE)),"")</f>
        <v/>
      </c>
      <c r="V416" s="245"/>
      <c r="W416" s="246"/>
      <c r="X416" s="46" t="str">
        <f>IF(SUM(AO413:AP413)=0,"",AP413&amp;":"&amp;AO413)</f>
        <v>17:21</v>
      </c>
      <c r="Y416" s="83" t="str">
        <f>IF(SUM(AO414:AP414)=0,"",AP414&amp;":"&amp;AO414)</f>
        <v>21:10</v>
      </c>
      <c r="Z416" s="84"/>
      <c r="AA416" s="247" t="str">
        <f>IF(SUM(AW415:AZ415)=0,"",BE415&amp;":"&amp;BF415)</f>
        <v>73:57</v>
      </c>
      <c r="AB416" s="250" t="str">
        <f>IF(SUM(AW415:AZ415)=0,"",BG415&amp;":"&amp;BH415)</f>
        <v>2:2</v>
      </c>
      <c r="AC416" s="250" t="str">
        <f>IF(SUM(AW415:AZ415)=0,"",BI415&amp;":"&amp;BJ415)</f>
        <v>1:1</v>
      </c>
      <c r="AD416" s="253">
        <f>IF(SUM(BI413:BI415)&gt;0,BK415,"")</f>
        <v>2</v>
      </c>
      <c r="AE416" s="2"/>
      <c r="AF416" s="12"/>
      <c r="AG416" s="12"/>
      <c r="BE416" s="19">
        <f>SUM(BE413:BE415)</f>
        <v>190</v>
      </c>
      <c r="BF416" s="19">
        <f>SUM(BF413:BF415)</f>
        <v>190</v>
      </c>
      <c r="BG416" s="19">
        <f>SUM(BG413:BG415)</f>
        <v>6</v>
      </c>
      <c r="BH416" s="19">
        <f>SUM(BH413:BH415)</f>
        <v>6</v>
      </c>
      <c r="BK416" s="19"/>
      <c r="BL416" s="20"/>
    </row>
    <row r="417" spans="1:64" ht="11.45" customHeight="1" x14ac:dyDescent="0.2">
      <c r="A417" s="19"/>
      <c r="J417" s="19"/>
      <c r="K417" s="19"/>
      <c r="L417" s="19"/>
      <c r="N417" s="187" t="s">
        <v>290</v>
      </c>
      <c r="O417" s="34">
        <f>IF(O409&gt;0,(O409&amp;3)*1,"")</f>
        <v>43</v>
      </c>
      <c r="Q417" s="85"/>
      <c r="R417" s="85"/>
      <c r="S417" s="85"/>
      <c r="T417" s="242"/>
      <c r="U417" s="244" t="str">
        <f>IF(AND(N417&lt;&gt;"",N418=""),CONCATENATE(VLOOKUP(N417,[1]zawodnicy!$A$1:$E$65536,1,FALSE)," ",VLOOKUP(N417,[1]zawodnicy!$A$1:$E$65536,2,FALSE)," ",VLOOKUP(N417,[1]zawodnicy!$A$1:$E$65536,3,FALSE)," - ",VLOOKUP(N417,[1]zawodnicy!$A$1:$E$65536,4,FALSE)),"")</f>
        <v>Ż5592 Nina ŻWAN - UTS Akro-Bad Warszawa</v>
      </c>
      <c r="V417" s="245"/>
      <c r="W417" s="246"/>
      <c r="X417" s="61" t="str">
        <f>IF(SUM(AQ413:AR413)=0,"",AR413&amp;":"&amp;AQ413)</f>
        <v>14:21</v>
      </c>
      <c r="Y417" s="36" t="str">
        <f>IF(SUM(AQ414:AR414)=0,"",AR414&amp;":"&amp;AQ414)</f>
        <v>21:5</v>
      </c>
      <c r="Z417" s="86"/>
      <c r="AA417" s="248"/>
      <c r="AB417" s="251"/>
      <c r="AC417" s="251"/>
      <c r="AD417" s="254"/>
      <c r="AE417" s="2"/>
      <c r="AF417" s="12"/>
      <c r="AG417" s="1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row>
    <row r="418" spans="1:64" ht="11.45" customHeight="1" thickBot="1" x14ac:dyDescent="0.25">
      <c r="A418" s="2"/>
      <c r="J418" s="28"/>
      <c r="K418" s="28"/>
      <c r="L418" s="28"/>
      <c r="N418" s="38"/>
      <c r="O418" s="28"/>
      <c r="P418" s="28"/>
      <c r="Q418" s="2"/>
      <c r="R418" s="2"/>
      <c r="S418" s="2"/>
      <c r="T418" s="243"/>
      <c r="U418" s="256" t="str">
        <f>IF(N418&lt;&gt;"",CONCATENATE(VLOOKUP(N418,[1]zawodnicy!$A$1:$E$65536,1,FALSE)," ",VLOOKUP(N418,[1]zawodnicy!$A$1:$E$65536,2,FALSE)," ",VLOOKUP(N418,[1]zawodnicy!$A$1:$E$65536,3,FALSE)," - ",VLOOKUP(N418,[1]zawodnicy!$A$1:$E$65536,4,FALSE)),"")</f>
        <v/>
      </c>
      <c r="V418" s="257"/>
      <c r="W418" s="258"/>
      <c r="X418" s="87" t="str">
        <f>IF(SUM(AS413:AT413)=0,"",AT413&amp;":"&amp;AS413)</f>
        <v/>
      </c>
      <c r="Y418" s="88" t="str">
        <f>IF(SUM(AS414:AT414)=0,"",AT414&amp;":"&amp;AS414)</f>
        <v/>
      </c>
      <c r="Z418" s="89"/>
      <c r="AA418" s="249"/>
      <c r="AB418" s="252"/>
      <c r="AC418" s="252"/>
      <c r="AD418" s="255"/>
      <c r="AE418" s="10"/>
      <c r="AF418" s="12"/>
      <c r="AG418" s="1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row>
    <row r="419" spans="1:64" s="19" customFormat="1" ht="5.0999999999999996" customHeight="1" thickBot="1" x14ac:dyDescent="0.25">
      <c r="M419" s="90"/>
      <c r="O419" s="90"/>
      <c r="P419" s="90"/>
      <c r="Q419" s="91"/>
      <c r="R419" s="91"/>
      <c r="S419" s="91"/>
      <c r="T419" s="91"/>
      <c r="U419" s="5"/>
      <c r="V419" s="5"/>
      <c r="W419" s="5"/>
      <c r="AA419" s="92"/>
      <c r="AB419" s="91"/>
      <c r="AC419" s="91"/>
      <c r="AD419" s="91"/>
      <c r="AE419" s="91"/>
      <c r="AF419" s="91"/>
      <c r="AI419" s="93"/>
      <c r="AJ419" s="94"/>
      <c r="AK419" s="94"/>
    </row>
    <row r="420" spans="1:64" ht="11.45" customHeight="1" thickBot="1" x14ac:dyDescent="0.25">
      <c r="N420" s="11"/>
      <c r="O420" s="21">
        <v>5</v>
      </c>
      <c r="Q420" s="277" t="str">
        <f>"Grupa "&amp;O420&amp;"."</f>
        <v>Grupa 5.</v>
      </c>
      <c r="R420" s="277"/>
      <c r="S420" s="277"/>
      <c r="T420" s="22" t="s">
        <v>1</v>
      </c>
      <c r="U420" s="278" t="s">
        <v>2</v>
      </c>
      <c r="V420" s="279"/>
      <c r="W420" s="280"/>
      <c r="X420" s="22">
        <v>1</v>
      </c>
      <c r="Y420" s="23">
        <v>2</v>
      </c>
      <c r="Z420" s="24">
        <v>3</v>
      </c>
      <c r="AA420" s="25" t="s">
        <v>3</v>
      </c>
      <c r="AB420" s="26" t="s">
        <v>4</v>
      </c>
      <c r="AC420" s="26" t="s">
        <v>5</v>
      </c>
      <c r="AD420" s="27" t="s">
        <v>6</v>
      </c>
      <c r="AE420" s="2"/>
      <c r="AF420" s="12"/>
      <c r="AG420" s="12"/>
      <c r="BK420" s="19"/>
      <c r="BL420" s="20"/>
    </row>
    <row r="421" spans="1:64" ht="11.45" customHeight="1" x14ac:dyDescent="0.2">
      <c r="J421" s="28"/>
      <c r="K421" s="28"/>
      <c r="L421" s="28"/>
      <c r="N421" s="29" t="s">
        <v>278</v>
      </c>
      <c r="Q421" s="274" t="s">
        <v>7</v>
      </c>
      <c r="R421" s="274"/>
      <c r="S421" s="275" t="s">
        <v>8</v>
      </c>
      <c r="T421" s="276">
        <v>1</v>
      </c>
      <c r="U421" s="244" t="str">
        <f>IF(AND(N422&lt;&gt;"",N423&lt;&gt;""),CONCATENATE(VLOOKUP(N422,[1]zawodnicy!$A$1:$E$65536,1,FALSE)," ",VLOOKUP(N422,[1]zawodnicy!$A$1:$E$65536,2,FALSE)," ",VLOOKUP(N422,[1]zawodnicy!$A$1:$E$65536,3,FALSE)," - ",VLOOKUP(N422,[1]zawodnicy!$A$1:$E$65536,4,FALSE)),"")</f>
        <v/>
      </c>
      <c r="V421" s="245"/>
      <c r="W421" s="246"/>
      <c r="X421" s="30"/>
      <c r="Y421" s="31" t="str">
        <f>IF(SUM(AO426:AP426)=0,"",AO426&amp;":"&amp;AP426)</f>
        <v>21:14</v>
      </c>
      <c r="Z421" s="32" t="str">
        <f>IF(SUM(AO424:AP424)=0,"",AO424&amp;":"&amp;AP424)</f>
        <v>21:4</v>
      </c>
      <c r="AA421" s="270" t="str">
        <f>IF(SUM(AY424:BB424)=0,"",BE424&amp;":"&amp;BF424)</f>
        <v>84:48</v>
      </c>
      <c r="AB421" s="271" t="str">
        <f>IF(SUM(AY424:BB424)=0,"",BG424&amp;":"&amp;BH424)</f>
        <v>4:0</v>
      </c>
      <c r="AC421" s="271" t="str">
        <f>IF(SUM(AY424:BB424)=0,"",BI424&amp;":"&amp;BJ424)</f>
        <v>2:0</v>
      </c>
      <c r="AD421" s="272">
        <f>IF(SUM(BI424:BI426)&gt;0,BK424,"")</f>
        <v>1</v>
      </c>
      <c r="AE421" s="2"/>
      <c r="AF421" s="12"/>
      <c r="AG421" s="12"/>
      <c r="AH421" s="14"/>
      <c r="AI421" s="273" t="s">
        <v>9</v>
      </c>
      <c r="AJ421" s="273"/>
      <c r="AK421" s="273"/>
      <c r="AL421" s="273"/>
      <c r="AM421" s="273"/>
      <c r="AN421" s="273"/>
      <c r="AO421" s="273" t="s">
        <v>10</v>
      </c>
      <c r="AP421" s="273"/>
      <c r="AQ421" s="273"/>
      <c r="AR421" s="273"/>
      <c r="AS421" s="273"/>
      <c r="AT421" s="273"/>
      <c r="BK421" s="19"/>
      <c r="BL421" s="20"/>
    </row>
    <row r="422" spans="1:64" ht="11.45" customHeight="1" thickBot="1" x14ac:dyDescent="0.25">
      <c r="I422" s="2" t="str">
        <f>"1"&amp;O420&amp;N421</f>
        <v>15pojedyncza dziewcząt MM</v>
      </c>
      <c r="J422" s="10" t="str">
        <f>IF(AD421="","",IF(AD421=1,N422,IF(AD424=1,N425,IF(AD427=1,N428,""))))</f>
        <v>L5359</v>
      </c>
      <c r="K422" s="10">
        <f>IF(AD421="","",IF(AD421=1,N423,IF(AD424=1,N426,IF(AD427=1,N429,""))))</f>
        <v>0</v>
      </c>
      <c r="L422" s="10"/>
      <c r="N422" s="188" t="s">
        <v>291</v>
      </c>
      <c r="O422" s="34">
        <f>IF(O420&gt;0,(O420&amp;1)*1,"")</f>
        <v>51</v>
      </c>
      <c r="Q422" s="274"/>
      <c r="R422" s="274"/>
      <c r="S422" s="275"/>
      <c r="T422" s="242"/>
      <c r="U422" s="244" t="str">
        <f>IF(AND(N422&lt;&gt;"",N423=""),CONCATENATE(VLOOKUP(N422,[1]zawodnicy!$A$1:$E$65536,1,FALSE)," ",VLOOKUP(N422,[1]zawodnicy!$A$1:$E$65536,2,FALSE)," ",VLOOKUP(N422,[1]zawodnicy!$A$1:$E$65536,3,FALSE)," - ",VLOOKUP(N422,[1]zawodnicy!$A$1:$E$65536,4,FALSE)),"")</f>
        <v>L5359 Aleksandra LASKOWSKA - UKS Kiko Zamość</v>
      </c>
      <c r="V422" s="245"/>
      <c r="W422" s="246"/>
      <c r="X422" s="35"/>
      <c r="Y422" s="36" t="str">
        <f>IF(SUM(AQ426:AR426)=0,"",AQ426&amp;":"&amp;AR426)</f>
        <v>21:14</v>
      </c>
      <c r="Z422" s="37" t="str">
        <f>IF(SUM(AQ424:AR424)=0,"",AQ424&amp;":"&amp;AR424)</f>
        <v>21:16</v>
      </c>
      <c r="AA422" s="248"/>
      <c r="AB422" s="251"/>
      <c r="AC422" s="251"/>
      <c r="AD422" s="254"/>
      <c r="AE422" s="2"/>
      <c r="AF422" s="12"/>
      <c r="AG422" s="12"/>
      <c r="AH422" s="14"/>
      <c r="BE422" s="19">
        <f>SUM(BE424:BE426)</f>
        <v>235</v>
      </c>
      <c r="BF422" s="19">
        <f>SUM(BF424:BF426)</f>
        <v>235</v>
      </c>
      <c r="BG422" s="19">
        <f>SUM(BG424:BG426)</f>
        <v>7</v>
      </c>
      <c r="BH422" s="19">
        <f>SUM(BH424:BH426)</f>
        <v>7</v>
      </c>
      <c r="BK422" s="19"/>
      <c r="BL422" s="20"/>
    </row>
    <row r="423" spans="1:64" ht="11.45" customHeight="1" thickBot="1" x14ac:dyDescent="0.25">
      <c r="J423" s="10"/>
      <c r="K423" s="28"/>
      <c r="L423" s="28"/>
      <c r="N423" s="38"/>
      <c r="O423" s="28"/>
      <c r="P423" s="28"/>
      <c r="Q423" s="274"/>
      <c r="R423" s="274"/>
      <c r="S423" s="275"/>
      <c r="T423" s="261"/>
      <c r="U423" s="265" t="str">
        <f>IF(N423&lt;&gt;"",CONCATENATE(VLOOKUP(N423,[1]zawodnicy!$A$1:$E$65536,1,FALSE)," ",VLOOKUP(N423,[1]zawodnicy!$A$1:$E$65536,2,FALSE)," ",VLOOKUP(N423,[1]zawodnicy!$A$1:$E$65536,3,FALSE)," - ",VLOOKUP(N423,[1]zawodnicy!$A$1:$E$65536,4,FALSE)),"")</f>
        <v/>
      </c>
      <c r="V423" s="266"/>
      <c r="W423" s="267"/>
      <c r="X423" s="35"/>
      <c r="Y423" s="39" t="str">
        <f>IF(SUM(AS426:AT426)=0,"",AS426&amp;":"&amp;AT426)</f>
        <v/>
      </c>
      <c r="Z423" s="40" t="str">
        <f>IF(SUM(AS424:AT424)=0,"",AS424&amp;":"&amp;AT424)</f>
        <v/>
      </c>
      <c r="AA423" s="262"/>
      <c r="AB423" s="263"/>
      <c r="AC423" s="263"/>
      <c r="AD423" s="264"/>
      <c r="AE423" s="2"/>
      <c r="AF423" s="12"/>
      <c r="AG423" s="12"/>
      <c r="AH423" s="14"/>
      <c r="AI423" s="259" t="s">
        <v>12</v>
      </c>
      <c r="AJ423" s="269"/>
      <c r="AK423" s="268" t="s">
        <v>13</v>
      </c>
      <c r="AL423" s="269"/>
      <c r="AM423" s="268" t="s">
        <v>14</v>
      </c>
      <c r="AN423" s="260"/>
      <c r="AO423" s="259" t="s">
        <v>12</v>
      </c>
      <c r="AP423" s="269"/>
      <c r="AQ423" s="268" t="s">
        <v>13</v>
      </c>
      <c r="AR423" s="269"/>
      <c r="AS423" s="268" t="s">
        <v>14</v>
      </c>
      <c r="AT423" s="269"/>
      <c r="AU423" s="12"/>
      <c r="AV423" s="12"/>
      <c r="AW423" s="259">
        <v>1</v>
      </c>
      <c r="AX423" s="269"/>
      <c r="AY423" s="268">
        <v>2</v>
      </c>
      <c r="AZ423" s="269"/>
      <c r="BA423" s="268">
        <v>3</v>
      </c>
      <c r="BB423" s="260"/>
      <c r="BE423" s="259" t="s">
        <v>3</v>
      </c>
      <c r="BF423" s="260"/>
      <c r="BG423" s="259" t="s">
        <v>4</v>
      </c>
      <c r="BH423" s="260"/>
      <c r="BI423" s="259" t="s">
        <v>5</v>
      </c>
      <c r="BJ423" s="260"/>
      <c r="BK423" s="41" t="s">
        <v>6</v>
      </c>
      <c r="BL423" s="20"/>
    </row>
    <row r="424" spans="1:64" ht="11.45" customHeight="1" x14ac:dyDescent="0.2">
      <c r="A424" s="19">
        <f>S424</f>
        <v>104</v>
      </c>
      <c r="B424" s="2" t="str">
        <f>IF(N422="","",N422)</f>
        <v>L5359</v>
      </c>
      <c r="C424" s="2" t="str">
        <f>IF(N423="","",N423)</f>
        <v/>
      </c>
      <c r="D424" s="2" t="str">
        <f>IF(N428="","",N428)</f>
        <v>K5733</v>
      </c>
      <c r="E424" s="2" t="str">
        <f>IF(N429="","",N429)</f>
        <v/>
      </c>
      <c r="I424" s="2" t="str">
        <f>"2"&amp;O420&amp;N421</f>
        <v>25pojedyncza dziewcząt MM</v>
      </c>
      <c r="J424" s="10" t="str">
        <f>IF(AD424="","",IF(AD421=2,N422,IF(AD424=2,N425,IF(AD427=2,N428,""))))</f>
        <v>K5733</v>
      </c>
      <c r="K424" s="10">
        <f>IF(AD424="","",IF(AD421=2,N423,IF(AD424=2,N426,IF(AD427=2,N429,""))))</f>
        <v>0</v>
      </c>
      <c r="M424" s="42" t="str">
        <f>N421</f>
        <v>pojedyncza dziewcząt MM</v>
      </c>
      <c r="O424" s="28"/>
      <c r="P424" s="28"/>
      <c r="Q424" s="43" t="str">
        <f>IF(AU424&gt;0,"",IF(A424=0,"",IF(VLOOKUP(A424,'[1]plan gier'!A$1:S$65536,19,FALSE)="","",VLOOKUP(A424,'[1]plan gier'!A$1:S$65536,19,FALSE))))</f>
        <v/>
      </c>
      <c r="R424" s="44" t="s">
        <v>15</v>
      </c>
      <c r="S424" s="45">
        <v>104</v>
      </c>
      <c r="T424" s="241">
        <v>2</v>
      </c>
      <c r="U424" s="244" t="str">
        <f>IF(AND(N425&lt;&gt;"",N426&lt;&gt;""),CONCATENATE(VLOOKUP(N425,[1]zawodnicy!$A$1:$E$65536,1,FALSE)," ",VLOOKUP(N425,[1]zawodnicy!$A$1:$E$65536,2,FALSE)," ",VLOOKUP(N425,[1]zawodnicy!$A$1:$E$65536,3,FALSE)," - ",VLOOKUP(N425,[1]zawodnicy!$A$1:$E$65536,4,FALSE)),"")</f>
        <v/>
      </c>
      <c r="V424" s="245"/>
      <c r="W424" s="246"/>
      <c r="X424" s="46" t="str">
        <f>IF(SUM(AO426:AP426)=0,"",AP426&amp;":"&amp;AO426)</f>
        <v>14:21</v>
      </c>
      <c r="Y424" s="47"/>
      <c r="Z424" s="48" t="str">
        <f>IF(SUM(AO425:AP425)=0,"",AO425&amp;":"&amp;AP425)</f>
        <v>17:21</v>
      </c>
      <c r="AA424" s="247" t="str">
        <f>IF(SUM(AW425:AX425,BA425:BB425)=0,"",BE425&amp;":"&amp;BF425)</f>
        <v>79:94</v>
      </c>
      <c r="AB424" s="250" t="str">
        <f>IF(SUM(AW425:AX425,BA425:BB425)=0,"",BG425&amp;":"&amp;BH425)</f>
        <v>1:4</v>
      </c>
      <c r="AC424" s="250" t="str">
        <f>IF(SUM(AW425:AX425,BA425:BB425)=0,"",BI425&amp;":"&amp;BJ425)</f>
        <v>0:2</v>
      </c>
      <c r="AD424" s="253">
        <f>IF(SUM(BI424:BI426)&gt;0,BK425,"")</f>
        <v>3</v>
      </c>
      <c r="AE424" s="2"/>
      <c r="AF424" s="12"/>
      <c r="AG424" s="12"/>
      <c r="AH424" s="44" t="s">
        <v>15</v>
      </c>
      <c r="AI424" s="49">
        <f>IF(ISBLANK(S424),"",VLOOKUP(S424,'[1]plan gier'!$X$1:$AN$65536,12,FALSE))</f>
        <v>21</v>
      </c>
      <c r="AJ424" s="50">
        <f>IF(ISBLANK(S424),"",VLOOKUP(S424,'[1]plan gier'!$X$1:$AN$65536,13,FALSE))</f>
        <v>4</v>
      </c>
      <c r="AK424" s="50">
        <f>IF(ISBLANK(S424),"",VLOOKUP(S424,'[1]plan gier'!$X$1:$AN$65536,14,FALSE))</f>
        <v>21</v>
      </c>
      <c r="AL424" s="50">
        <f>IF(ISBLANK(S424),"",VLOOKUP(S424,'[1]plan gier'!$X$1:$AN$65536,15,FALSE))</f>
        <v>16</v>
      </c>
      <c r="AM424" s="50">
        <f>IF(ISBLANK(S424),"",VLOOKUP(S424,'[1]plan gier'!$X$1:$AN$65536,16,FALSE))</f>
        <v>0</v>
      </c>
      <c r="AN424" s="50">
        <f>IF(ISBLANK(S424),"",VLOOKUP(S424,'[1]plan gier'!$X$1:$AN$65536,17,FALSE))</f>
        <v>0</v>
      </c>
      <c r="AO424" s="51">
        <f t="shared" ref="AO424:AT426" si="44">IF(AI424="",0,AI424)</f>
        <v>21</v>
      </c>
      <c r="AP424" s="52">
        <f t="shared" si="44"/>
        <v>4</v>
      </c>
      <c r="AQ424" s="53">
        <f t="shared" si="44"/>
        <v>21</v>
      </c>
      <c r="AR424" s="52">
        <f t="shared" si="44"/>
        <v>16</v>
      </c>
      <c r="AS424" s="53">
        <f t="shared" si="44"/>
        <v>0</v>
      </c>
      <c r="AT424" s="52">
        <f t="shared" si="44"/>
        <v>0</v>
      </c>
      <c r="AU424" s="54">
        <f>SUM(AO424:AT424)</f>
        <v>62</v>
      </c>
      <c r="AV424" s="13">
        <v>1</v>
      </c>
      <c r="AW424" s="55"/>
      <c r="AX424" s="56"/>
      <c r="AY424" s="50">
        <f>IF(AI426&gt;AJ426,1,0)+IF(AK426&gt;AL426,1,0)+IF(AM426&gt;AN426,1,0)</f>
        <v>2</v>
      </c>
      <c r="AZ424" s="50">
        <f>AW425</f>
        <v>0</v>
      </c>
      <c r="BA424" s="50">
        <f>IF(AI424&gt;AJ424,1,0)+IF(AK424&gt;AL424,1,0)+IF(AM424&gt;AN424,1,0)</f>
        <v>2</v>
      </c>
      <c r="BB424" s="57">
        <f>AW426</f>
        <v>0</v>
      </c>
      <c r="BE424" s="49">
        <f>AO424+AQ424+AS424+AO426+AQ426+AS426</f>
        <v>84</v>
      </c>
      <c r="BF424" s="57">
        <f>AP424+AR424+AT424+AP426+AR426+AT426</f>
        <v>48</v>
      </c>
      <c r="BG424" s="49">
        <f>AY424+BA424</f>
        <v>4</v>
      </c>
      <c r="BH424" s="57">
        <f>AZ424+BB424</f>
        <v>0</v>
      </c>
      <c r="BI424" s="49">
        <f>IF(AY424&gt;AZ424,1,0)+IF(BA424&gt;BB424,1,0)</f>
        <v>2</v>
      </c>
      <c r="BJ424" s="58">
        <f>IF(AZ424&gt;AY424,1,0)+IF(BB424&gt;BA424,1,0)</f>
        <v>0</v>
      </c>
      <c r="BK424" s="59">
        <f>IF(BI424+BJ424=0,"",IF(BL424=MAX(BL424:BL426),1,IF(BL424=MIN(BL424:BL426),3,2)))</f>
        <v>1</v>
      </c>
      <c r="BL424" s="60">
        <f>IF(BI424+BJ424&lt;&gt;0,BI424+1+(BG424-BH424)/100+(BE424-BF424)/100000+(BE424/BF424)/1000000,0)</f>
        <v>3.0403617500000002</v>
      </c>
    </row>
    <row r="425" spans="1:64" ht="11.45" customHeight="1" x14ac:dyDescent="0.2">
      <c r="A425" s="19">
        <f>S425</f>
        <v>170</v>
      </c>
      <c r="B425" s="2" t="str">
        <f>IF(N425="","",N425)</f>
        <v>G5951</v>
      </c>
      <c r="C425" s="2" t="str">
        <f>IF(N426="","",N426)</f>
        <v/>
      </c>
      <c r="D425" s="2" t="str">
        <f>IF(N428="","",N428)</f>
        <v>K5733</v>
      </c>
      <c r="E425" s="2" t="str">
        <f>IF(N429="","",N429)</f>
        <v/>
      </c>
      <c r="J425" s="10"/>
      <c r="K425" s="19"/>
      <c r="M425" s="42" t="str">
        <f>N421</f>
        <v>pojedyncza dziewcząt MM</v>
      </c>
      <c r="N425" s="187" t="s">
        <v>292</v>
      </c>
      <c r="O425" s="34">
        <f>IF(O420&gt;0,(O420&amp;2)*1,"")</f>
        <v>52</v>
      </c>
      <c r="Q425" s="43" t="str">
        <f>IF(AU425&gt;0,"",IF(A425=0,"",IF(VLOOKUP(A425,'[1]plan gier'!A$1:S$65536,19,FALSE)="","",VLOOKUP(A425,'[1]plan gier'!A$1:S$65536,19,FALSE))))</f>
        <v/>
      </c>
      <c r="R425" s="44" t="s">
        <v>17</v>
      </c>
      <c r="S425" s="45">
        <v>170</v>
      </c>
      <c r="T425" s="242"/>
      <c r="U425" s="244" t="str">
        <f>IF(AND(N425&lt;&gt;"",N426=""),CONCATENATE(VLOOKUP(N425,[1]zawodnicy!$A$1:$E$65536,1,FALSE)," ",VLOOKUP(N425,[1]zawodnicy!$A$1:$E$65536,2,FALSE)," ",VLOOKUP(N425,[1]zawodnicy!$A$1:$E$65536,3,FALSE)," - ",VLOOKUP(N425,[1]zawodnicy!$A$1:$E$65536,4,FALSE)),"")</f>
        <v>G5951 Laura GRONKIEWICZ - KS Masovia Płock</v>
      </c>
      <c r="V425" s="245"/>
      <c r="W425" s="246"/>
      <c r="X425" s="61" t="str">
        <f>IF(SUM(AQ426:AR426)=0,"",AR426&amp;":"&amp;AQ426)</f>
        <v>14:21</v>
      </c>
      <c r="Y425" s="62"/>
      <c r="Z425" s="37" t="str">
        <f>IF(SUM(AQ425:AR425)=0,"",AQ425&amp;":"&amp;AR425)</f>
        <v>21:10</v>
      </c>
      <c r="AA425" s="248"/>
      <c r="AB425" s="251"/>
      <c r="AC425" s="251"/>
      <c r="AD425" s="254"/>
      <c r="AE425" s="2"/>
      <c r="AF425" s="12"/>
      <c r="AG425" s="12"/>
      <c r="AH425" s="44" t="s">
        <v>17</v>
      </c>
      <c r="AI425" s="63">
        <f>IF(ISBLANK(S425),"",VLOOKUP(S425,'[1]plan gier'!$X$1:$AN$65536,12,FALSE))</f>
        <v>17</v>
      </c>
      <c r="AJ425" s="64">
        <f>IF(ISBLANK(S425),"",VLOOKUP(S425,'[1]plan gier'!$X$1:$AN$65536,13,FALSE))</f>
        <v>21</v>
      </c>
      <c r="AK425" s="64">
        <f>IF(ISBLANK(S425),"",VLOOKUP(S425,'[1]plan gier'!$X$1:$AN$65536,14,FALSE))</f>
        <v>21</v>
      </c>
      <c r="AL425" s="64">
        <f>IF(ISBLANK(S425),"",VLOOKUP(S425,'[1]plan gier'!$X$1:$AN$65536,15,FALSE))</f>
        <v>10</v>
      </c>
      <c r="AM425" s="64">
        <f>IF(ISBLANK(S425),"",VLOOKUP(S425,'[1]plan gier'!$X$1:$AN$65536,16,FALSE))</f>
        <v>13</v>
      </c>
      <c r="AN425" s="64">
        <f>IF(ISBLANK(S425),"",VLOOKUP(S425,'[1]plan gier'!$X$1:$AN$65536,17,FALSE))</f>
        <v>21</v>
      </c>
      <c r="AO425" s="65">
        <f t="shared" si="44"/>
        <v>17</v>
      </c>
      <c r="AP425" s="64">
        <f t="shared" si="44"/>
        <v>21</v>
      </c>
      <c r="AQ425" s="66">
        <f t="shared" si="44"/>
        <v>21</v>
      </c>
      <c r="AR425" s="64">
        <f t="shared" si="44"/>
        <v>10</v>
      </c>
      <c r="AS425" s="66">
        <f t="shared" si="44"/>
        <v>13</v>
      </c>
      <c r="AT425" s="64">
        <f t="shared" si="44"/>
        <v>21</v>
      </c>
      <c r="AU425" s="54">
        <f>SUM(AO425:AT425)</f>
        <v>103</v>
      </c>
      <c r="AV425" s="13">
        <v>2</v>
      </c>
      <c r="AW425" s="63">
        <f>IF(AI426&lt;AJ426,1,0)+IF(AK426&lt;AL426,1,0)+IF(AM426&lt;AN426,1,0)</f>
        <v>0</v>
      </c>
      <c r="AX425" s="64">
        <f>AY424</f>
        <v>2</v>
      </c>
      <c r="AY425" s="67"/>
      <c r="AZ425" s="68"/>
      <c r="BA425" s="64">
        <f>IF(AI425&gt;AJ425,1,0)+IF(AK425&gt;AL425,1,0)+IF(AM425&gt;AN425,1,0)</f>
        <v>1</v>
      </c>
      <c r="BB425" s="69">
        <f>AY426</f>
        <v>2</v>
      </c>
      <c r="BE425" s="63">
        <f>AO425+AQ425+AS425+AP426+AR426+AT426</f>
        <v>79</v>
      </c>
      <c r="BF425" s="69">
        <f>AP425+AR425+AT425+AO426+AQ426+AS426</f>
        <v>94</v>
      </c>
      <c r="BG425" s="63">
        <f>AW425+BA425</f>
        <v>1</v>
      </c>
      <c r="BH425" s="69">
        <f>AX425+BB425</f>
        <v>4</v>
      </c>
      <c r="BI425" s="63">
        <f>IF(AW425&gt;AX425,1,0)+IF(BA425&gt;BB425,1,0)</f>
        <v>0</v>
      </c>
      <c r="BJ425" s="70">
        <f>IF(AX425&gt;AW425,1,0)+IF(BB425&gt;BA425,1,0)</f>
        <v>2</v>
      </c>
      <c r="BK425" s="71">
        <f>IF(BI425+BJ425=0,"",IF(BL425=MAX(BL424:BL426),1,IF(BL425=MIN(BL424:BL426),3,2)))</f>
        <v>3</v>
      </c>
      <c r="BL425" s="60">
        <f>IF(BI425+BJ425&lt;&gt;0,BI425+1+(BG425-BH425)/100+(BE425-BF425)/100000+(BE425/BF425)/1000000,0)</f>
        <v>0.96985084042553193</v>
      </c>
    </row>
    <row r="426" spans="1:64" ht="11.45" customHeight="1" thickBot="1" x14ac:dyDescent="0.25">
      <c r="A426" s="19">
        <f>S426</f>
        <v>223</v>
      </c>
      <c r="B426" s="2" t="str">
        <f>IF(N422="","",N422)</f>
        <v>L5359</v>
      </c>
      <c r="C426" s="2" t="str">
        <f>IF(N423="","",N423)</f>
        <v/>
      </c>
      <c r="D426" s="2" t="str">
        <f>IF(N425="","",N425)</f>
        <v>G5951</v>
      </c>
      <c r="E426" s="2" t="str">
        <f>IF(N426="","",N426)</f>
        <v/>
      </c>
      <c r="I426" s="2" t="str">
        <f>"3"&amp;O420&amp;N421</f>
        <v>35pojedyncza dziewcząt MM</v>
      </c>
      <c r="J426" s="10" t="str">
        <f>IF(AD427="","",IF(AD421=3,N422,IF(AD424=3,N425,IF(AD427=3,N428,""))))</f>
        <v>G5951</v>
      </c>
      <c r="K426" s="10">
        <f>IF(AD427="","",IF(AD421=3,N423,IF(AD424=3,N426,IF(AD427=3,N429,""))))</f>
        <v>0</v>
      </c>
      <c r="M426" s="42" t="str">
        <f>N421</f>
        <v>pojedyncza dziewcząt MM</v>
      </c>
      <c r="N426" s="38"/>
      <c r="O426" s="28"/>
      <c r="P426" s="28"/>
      <c r="Q426" s="43" t="str">
        <f>IF(AU426&gt;0,"",IF(A426=0,"",IF(VLOOKUP(A426,'[1]plan gier'!A$1:S$65536,19,FALSE)="","",VLOOKUP(A426,'[1]plan gier'!A$1:S$65536,19,FALSE))))</f>
        <v/>
      </c>
      <c r="R426" s="72" t="s">
        <v>18</v>
      </c>
      <c r="S426" s="45">
        <v>223</v>
      </c>
      <c r="T426" s="261"/>
      <c r="U426" s="265" t="str">
        <f>IF(N426&lt;&gt;"",CONCATENATE(VLOOKUP(N426,[1]zawodnicy!$A$1:$E$65536,1,FALSE)," ",VLOOKUP(N426,[1]zawodnicy!$A$1:$E$65536,2,FALSE)," ",VLOOKUP(N426,[1]zawodnicy!$A$1:$E$65536,3,FALSE)," - ",VLOOKUP(N426,[1]zawodnicy!$A$1:$E$65536,4,FALSE)),"")</f>
        <v/>
      </c>
      <c r="V426" s="266"/>
      <c r="W426" s="267"/>
      <c r="X426" s="73" t="str">
        <f>IF(SUM(AS426:AT426)=0,"",AT426&amp;":"&amp;AS426)</f>
        <v/>
      </c>
      <c r="Y426" s="62"/>
      <c r="Z426" s="40" t="str">
        <f>IF(SUM(AS425:AT425)=0,"",AS425&amp;":"&amp;AT425)</f>
        <v>13:21</v>
      </c>
      <c r="AA426" s="262"/>
      <c r="AB426" s="263"/>
      <c r="AC426" s="263"/>
      <c r="AD426" s="264"/>
      <c r="AE426" s="2"/>
      <c r="AF426" s="12"/>
      <c r="AG426" s="12"/>
      <c r="AH426" s="72" t="s">
        <v>18</v>
      </c>
      <c r="AI426" s="74">
        <f>IF(ISBLANK(S426),"",VLOOKUP(S426,'[1]plan gier'!$X$1:$AN$65536,12,FALSE))</f>
        <v>21</v>
      </c>
      <c r="AJ426" s="75">
        <f>IF(ISBLANK(S426),"",VLOOKUP(S426,'[1]plan gier'!$X$1:$AN$65536,13,FALSE))</f>
        <v>14</v>
      </c>
      <c r="AK426" s="75">
        <f>IF(ISBLANK(S426),"",VLOOKUP(S426,'[1]plan gier'!$X$1:$AN$65536,14,FALSE))</f>
        <v>21</v>
      </c>
      <c r="AL426" s="75">
        <f>IF(ISBLANK(S426),"",VLOOKUP(S426,'[1]plan gier'!$X$1:$AN$65536,15,FALSE))</f>
        <v>14</v>
      </c>
      <c r="AM426" s="75">
        <f>IF(ISBLANK(S426),"",VLOOKUP(S426,'[1]plan gier'!$X$1:$AN$65536,16,FALSE))</f>
        <v>0</v>
      </c>
      <c r="AN426" s="75">
        <f>IF(ISBLANK(S426),"",VLOOKUP(S426,'[1]plan gier'!$X$1:$AN$65536,17,FALSE))</f>
        <v>0</v>
      </c>
      <c r="AO426" s="76">
        <f t="shared" si="44"/>
        <v>21</v>
      </c>
      <c r="AP426" s="75">
        <f t="shared" si="44"/>
        <v>14</v>
      </c>
      <c r="AQ426" s="77">
        <f t="shared" si="44"/>
        <v>21</v>
      </c>
      <c r="AR426" s="75">
        <f t="shared" si="44"/>
        <v>14</v>
      </c>
      <c r="AS426" s="77">
        <f t="shared" si="44"/>
        <v>0</v>
      </c>
      <c r="AT426" s="75">
        <f t="shared" si="44"/>
        <v>0</v>
      </c>
      <c r="AU426" s="54">
        <f>SUM(AO426:AT426)</f>
        <v>70</v>
      </c>
      <c r="AV426" s="13">
        <v>3</v>
      </c>
      <c r="AW426" s="74">
        <f>IF(AI424&lt;AJ424,1,0)+IF(AK424&lt;AL424,1,0)+IF(AM424&lt;AN424,1,0)</f>
        <v>0</v>
      </c>
      <c r="AX426" s="75">
        <f>BA424</f>
        <v>2</v>
      </c>
      <c r="AY426" s="75">
        <f>IF(AI425&lt;AJ425,1,0)+IF(AK425&lt;AL425,1,0)+IF(AM425&lt;AN425,1,0)</f>
        <v>2</v>
      </c>
      <c r="AZ426" s="75">
        <f>BA425</f>
        <v>1</v>
      </c>
      <c r="BA426" s="78"/>
      <c r="BB426" s="79"/>
      <c r="BE426" s="74">
        <f>AP424+AR424+AT424+AP425+AR425+AT425</f>
        <v>72</v>
      </c>
      <c r="BF426" s="80">
        <f>AO424+AQ424+AS424+AO425+AQ425+AS425</f>
        <v>93</v>
      </c>
      <c r="BG426" s="74">
        <f>AW426+AY426</f>
        <v>2</v>
      </c>
      <c r="BH426" s="80">
        <f>AX426+AZ426</f>
        <v>3</v>
      </c>
      <c r="BI426" s="74">
        <f>IF(AW426&gt;AX426,1,0)+IF(AY426&gt;AZ426,1,0)</f>
        <v>1</v>
      </c>
      <c r="BJ426" s="81">
        <f>IF(AX426&gt;AW426,1,0)+IF(AZ426&gt;AY426,1,0)</f>
        <v>1</v>
      </c>
      <c r="BK426" s="82">
        <f>IF(BI426+BJ426=0,"",IF(BL426=MAX(BL424:BL426),1,IF(BL426=MIN(BL424:BL426),3,2)))</f>
        <v>2</v>
      </c>
      <c r="BL426" s="60">
        <f>IF(BI426+BJ426&lt;&gt;0,BI426+1+(BG426-BH426)/100+(BE426-BF426)/100000+(BE426/BF426)/1000000,0)</f>
        <v>1.9897907741935483</v>
      </c>
    </row>
    <row r="427" spans="1:64" ht="11.45" customHeight="1" x14ac:dyDescent="0.2">
      <c r="A427" s="2"/>
      <c r="J427" s="28"/>
      <c r="K427" s="28"/>
      <c r="L427" s="28"/>
      <c r="O427" s="28"/>
      <c r="P427" s="28"/>
      <c r="Q427" s="2"/>
      <c r="R427" s="2"/>
      <c r="S427" s="2"/>
      <c r="T427" s="241">
        <v>3</v>
      </c>
      <c r="U427" s="244" t="str">
        <f>IF(AND(N428&lt;&gt;"",N429&lt;&gt;""),CONCATENATE(VLOOKUP(N428,[1]zawodnicy!$A$1:$E$65536,1,FALSE)," ",VLOOKUP(N428,[1]zawodnicy!$A$1:$E$65536,2,FALSE)," ",VLOOKUP(N428,[1]zawodnicy!$A$1:$E$65536,3,FALSE)," - ",VLOOKUP(N428,[1]zawodnicy!$A$1:$E$65536,4,FALSE)),"")</f>
        <v/>
      </c>
      <c r="V427" s="245"/>
      <c r="W427" s="246"/>
      <c r="X427" s="46" t="str">
        <f>IF(SUM(AO424:AP424)=0,"",AP424&amp;":"&amp;AO424)</f>
        <v>4:21</v>
      </c>
      <c r="Y427" s="83" t="str">
        <f>IF(SUM(AO425:AP425)=0,"",AP425&amp;":"&amp;AO425)</f>
        <v>21:17</v>
      </c>
      <c r="Z427" s="84"/>
      <c r="AA427" s="247" t="str">
        <f>IF(SUM(AW426:AZ426)=0,"",BE426&amp;":"&amp;BF426)</f>
        <v>72:93</v>
      </c>
      <c r="AB427" s="250" t="str">
        <f>IF(SUM(AW426:AZ426)=0,"",BG426&amp;":"&amp;BH426)</f>
        <v>2:3</v>
      </c>
      <c r="AC427" s="250" t="str">
        <f>IF(SUM(AW426:AZ426)=0,"",BI426&amp;":"&amp;BJ426)</f>
        <v>1:1</v>
      </c>
      <c r="AD427" s="253">
        <f>IF(SUM(BI424:BI426)&gt;0,BK426,"")</f>
        <v>2</v>
      </c>
      <c r="AE427" s="2"/>
      <c r="AF427" s="12"/>
      <c r="AG427" s="12"/>
      <c r="BE427" s="19">
        <f>SUM(BE424:BE426)</f>
        <v>235</v>
      </c>
      <c r="BF427" s="19">
        <f>SUM(BF424:BF426)</f>
        <v>235</v>
      </c>
      <c r="BG427" s="19">
        <f>SUM(BG424:BG426)</f>
        <v>7</v>
      </c>
      <c r="BH427" s="19">
        <f>SUM(BH424:BH426)</f>
        <v>7</v>
      </c>
      <c r="BK427" s="19"/>
      <c r="BL427" s="20"/>
    </row>
    <row r="428" spans="1:64" ht="11.45" customHeight="1" x14ac:dyDescent="0.2">
      <c r="A428" s="19"/>
      <c r="J428" s="19"/>
      <c r="K428" s="19"/>
      <c r="L428" s="19"/>
      <c r="N428" s="188" t="s">
        <v>293</v>
      </c>
      <c r="O428" s="34">
        <f>IF(O420&gt;0,(O420&amp;3)*1,"")</f>
        <v>53</v>
      </c>
      <c r="Q428" s="85"/>
      <c r="R428" s="85"/>
      <c r="S428" s="85"/>
      <c r="T428" s="242"/>
      <c r="U428" s="244" t="str">
        <f>IF(AND(N428&lt;&gt;"",N429=""),CONCATENATE(VLOOKUP(N428,[1]zawodnicy!$A$1:$E$65536,1,FALSE)," ",VLOOKUP(N428,[1]zawodnicy!$A$1:$E$65536,2,FALSE)," ",VLOOKUP(N428,[1]zawodnicy!$A$1:$E$65536,3,FALSE)," - ",VLOOKUP(N428,[1]zawodnicy!$A$1:$E$65536,4,FALSE)),"")</f>
        <v>K5733 Paulina KARSKA - UKS Lotka Łódź</v>
      </c>
      <c r="V428" s="245"/>
      <c r="W428" s="246"/>
      <c r="X428" s="61" t="str">
        <f>IF(SUM(AQ424:AR424)=0,"",AR424&amp;":"&amp;AQ424)</f>
        <v>16:21</v>
      </c>
      <c r="Y428" s="36" t="str">
        <f>IF(SUM(AQ425:AR425)=0,"",AR425&amp;":"&amp;AQ425)</f>
        <v>10:21</v>
      </c>
      <c r="Z428" s="86"/>
      <c r="AA428" s="248"/>
      <c r="AB428" s="251"/>
      <c r="AC428" s="251"/>
      <c r="AD428" s="254"/>
      <c r="AE428" s="2"/>
      <c r="AF428" s="12"/>
      <c r="AG428" s="1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row>
    <row r="429" spans="1:64" ht="11.45" customHeight="1" thickBot="1" x14ac:dyDescent="0.25">
      <c r="A429" s="2"/>
      <c r="J429" s="28"/>
      <c r="K429" s="28"/>
      <c r="L429" s="28"/>
      <c r="N429" s="38"/>
      <c r="O429" s="28"/>
      <c r="P429" s="28"/>
      <c r="Q429" s="2"/>
      <c r="R429" s="2"/>
      <c r="S429" s="2"/>
      <c r="T429" s="243"/>
      <c r="U429" s="256" t="str">
        <f>IF(N429&lt;&gt;"",CONCATENATE(VLOOKUP(N429,[1]zawodnicy!$A$1:$E$65536,1,FALSE)," ",VLOOKUP(N429,[1]zawodnicy!$A$1:$E$65536,2,FALSE)," ",VLOOKUP(N429,[1]zawodnicy!$A$1:$E$65536,3,FALSE)," - ",VLOOKUP(N429,[1]zawodnicy!$A$1:$E$65536,4,FALSE)),"")</f>
        <v/>
      </c>
      <c r="V429" s="257"/>
      <c r="W429" s="258"/>
      <c r="X429" s="87" t="str">
        <f>IF(SUM(AS424:AT424)=0,"",AT424&amp;":"&amp;AS424)</f>
        <v/>
      </c>
      <c r="Y429" s="88" t="str">
        <f>IF(SUM(AS425:AT425)=0,"",AT425&amp;":"&amp;AS425)</f>
        <v>21:13</v>
      </c>
      <c r="Z429" s="89"/>
      <c r="AA429" s="249"/>
      <c r="AB429" s="252"/>
      <c r="AC429" s="252"/>
      <c r="AD429" s="255"/>
      <c r="AE429" s="10"/>
      <c r="AF429" s="12"/>
      <c r="AG429" s="1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row>
    <row r="430" spans="1:64" s="19" customFormat="1" ht="5.0999999999999996" customHeight="1" thickBot="1" x14ac:dyDescent="0.25">
      <c r="M430" s="90"/>
      <c r="O430" s="90"/>
      <c r="P430" s="90"/>
      <c r="Q430" s="91"/>
      <c r="R430" s="91"/>
      <c r="S430" s="91"/>
      <c r="T430" s="91"/>
      <c r="U430" s="5"/>
      <c r="V430" s="5"/>
      <c r="W430" s="5"/>
      <c r="AA430" s="92"/>
      <c r="AB430" s="91"/>
      <c r="AC430" s="91"/>
      <c r="AD430" s="91"/>
      <c r="AE430" s="91"/>
      <c r="AF430" s="91"/>
      <c r="AI430" s="93"/>
      <c r="AJ430" s="94"/>
      <c r="AK430" s="94"/>
    </row>
    <row r="431" spans="1:64" ht="11.45" customHeight="1" thickBot="1" x14ac:dyDescent="0.25">
      <c r="N431" s="11"/>
      <c r="O431" s="21">
        <v>6</v>
      </c>
      <c r="Q431" s="277" t="str">
        <f>"Grupa "&amp;O431&amp;"."</f>
        <v>Grupa 6.</v>
      </c>
      <c r="R431" s="277"/>
      <c r="S431" s="277"/>
      <c r="T431" s="22" t="s">
        <v>1</v>
      </c>
      <c r="U431" s="278" t="s">
        <v>2</v>
      </c>
      <c r="V431" s="279"/>
      <c r="W431" s="280"/>
      <c r="X431" s="22">
        <v>1</v>
      </c>
      <c r="Y431" s="23">
        <v>2</v>
      </c>
      <c r="Z431" s="24">
        <v>3</v>
      </c>
      <c r="AA431" s="25" t="s">
        <v>3</v>
      </c>
      <c r="AB431" s="26" t="s">
        <v>4</v>
      </c>
      <c r="AC431" s="26" t="s">
        <v>5</v>
      </c>
      <c r="AD431" s="27" t="s">
        <v>6</v>
      </c>
      <c r="AE431" s="2"/>
      <c r="AF431" s="12"/>
      <c r="AG431" s="12"/>
      <c r="BK431" s="19"/>
      <c r="BL431" s="20"/>
    </row>
    <row r="432" spans="1:64" ht="11.45" customHeight="1" x14ac:dyDescent="0.2">
      <c r="J432" s="28"/>
      <c r="K432" s="28"/>
      <c r="L432" s="28"/>
      <c r="N432" s="29" t="s">
        <v>278</v>
      </c>
      <c r="Q432" s="274" t="s">
        <v>7</v>
      </c>
      <c r="R432" s="274"/>
      <c r="S432" s="275" t="s">
        <v>8</v>
      </c>
      <c r="T432" s="276">
        <v>1</v>
      </c>
      <c r="U432" s="244" t="str">
        <f>IF(AND(N433&lt;&gt;"",N434&lt;&gt;""),CONCATENATE(VLOOKUP(N433,[1]zawodnicy!$A$1:$E$65536,1,FALSE)," ",VLOOKUP(N433,[1]zawodnicy!$A$1:$E$65536,2,FALSE)," ",VLOOKUP(N433,[1]zawodnicy!$A$1:$E$65536,3,FALSE)," - ",VLOOKUP(N433,[1]zawodnicy!$A$1:$E$65536,4,FALSE)),"")</f>
        <v/>
      </c>
      <c r="V432" s="245"/>
      <c r="W432" s="246"/>
      <c r="X432" s="30"/>
      <c r="Y432" s="31" t="str">
        <f>IF(SUM(AO437:AP437)=0,"",AO437&amp;":"&amp;AP437)</f>
        <v>15:21</v>
      </c>
      <c r="Z432" s="32" t="str">
        <f>IF(SUM(AO435:AP435)=0,"",AO435&amp;":"&amp;AP435)</f>
        <v>21:9</v>
      </c>
      <c r="AA432" s="270" t="str">
        <f>IF(SUM(AY435:BB435)=0,"",BE435&amp;":"&amp;BF435)</f>
        <v>71:61</v>
      </c>
      <c r="AB432" s="271" t="str">
        <f>IF(SUM(AY435:BB435)=0,"",BG435&amp;":"&amp;BH435)</f>
        <v>2:2</v>
      </c>
      <c r="AC432" s="271" t="str">
        <f>IF(SUM(AY435:BB435)=0,"",BI435&amp;":"&amp;BJ435)</f>
        <v>1:1</v>
      </c>
      <c r="AD432" s="272">
        <f>IF(SUM(BI435:BI437)&gt;0,BK435,"")</f>
        <v>2</v>
      </c>
      <c r="AE432" s="2"/>
      <c r="AF432" s="12"/>
      <c r="AG432" s="12"/>
      <c r="AH432" s="14"/>
      <c r="AI432" s="273" t="s">
        <v>9</v>
      </c>
      <c r="AJ432" s="273"/>
      <c r="AK432" s="273"/>
      <c r="AL432" s="273"/>
      <c r="AM432" s="273"/>
      <c r="AN432" s="273"/>
      <c r="AO432" s="273" t="s">
        <v>10</v>
      </c>
      <c r="AP432" s="273"/>
      <c r="AQ432" s="273"/>
      <c r="AR432" s="273"/>
      <c r="AS432" s="273"/>
      <c r="AT432" s="273"/>
      <c r="BK432" s="19"/>
      <c r="BL432" s="20"/>
    </row>
    <row r="433" spans="1:64" ht="11.45" customHeight="1" thickBot="1" x14ac:dyDescent="0.25">
      <c r="I433" s="2" t="str">
        <f>"1"&amp;O431&amp;N432</f>
        <v>16pojedyncza dziewcząt MM</v>
      </c>
      <c r="J433" s="10" t="str">
        <f>IF(AD432="","",IF(AD432=1,N433,IF(AD435=1,N436,IF(AD438=1,N439,""))))</f>
        <v>X29</v>
      </c>
      <c r="K433" s="10">
        <f>IF(AD432="","",IF(AD432=1,N434,IF(AD435=1,N437,IF(AD438=1,N440,""))))</f>
        <v>0</v>
      </c>
      <c r="L433" s="10"/>
      <c r="N433" s="188" t="s">
        <v>294</v>
      </c>
      <c r="O433" s="34">
        <f>IF(O431&gt;0,(O431&amp;1)*1,"")</f>
        <v>61</v>
      </c>
      <c r="Q433" s="274"/>
      <c r="R433" s="274"/>
      <c r="S433" s="275"/>
      <c r="T433" s="242"/>
      <c r="U433" s="244" t="str">
        <f>IF(AND(N433&lt;&gt;"",N434=""),CONCATENATE(VLOOKUP(N433,[1]zawodnicy!$A$1:$E$65536,1,FALSE)," ",VLOOKUP(N433,[1]zawodnicy!$A$1:$E$65536,2,FALSE)," ",VLOOKUP(N433,[1]zawodnicy!$A$1:$E$65536,3,FALSE)," - ",VLOOKUP(N433,[1]zawodnicy!$A$1:$E$65536,4,FALSE)),"")</f>
        <v>P4820 Aleksandra PAJĄK - MKS Orlicz Suchedniów</v>
      </c>
      <c r="V433" s="245"/>
      <c r="W433" s="246"/>
      <c r="X433" s="35"/>
      <c r="Y433" s="36" t="str">
        <f>IF(SUM(AQ437:AR437)=0,"",AQ437&amp;":"&amp;AR437)</f>
        <v>14:21</v>
      </c>
      <c r="Z433" s="37" t="str">
        <f>IF(SUM(AQ435:AR435)=0,"",AQ435&amp;":"&amp;AR435)</f>
        <v>21:10</v>
      </c>
      <c r="AA433" s="248"/>
      <c r="AB433" s="251"/>
      <c r="AC433" s="251"/>
      <c r="AD433" s="254"/>
      <c r="AE433" s="2"/>
      <c r="AF433" s="12"/>
      <c r="AG433" s="12"/>
      <c r="AH433" s="14"/>
      <c r="BE433" s="19">
        <f>SUM(BE435:BE437)</f>
        <v>184</v>
      </c>
      <c r="BF433" s="19">
        <f>SUM(BF435:BF437)</f>
        <v>184</v>
      </c>
      <c r="BG433" s="19">
        <f>SUM(BG435:BG437)</f>
        <v>6</v>
      </c>
      <c r="BH433" s="19">
        <f>SUM(BH435:BH437)</f>
        <v>6</v>
      </c>
      <c r="BK433" s="19"/>
      <c r="BL433" s="20"/>
    </row>
    <row r="434" spans="1:64" ht="11.45" customHeight="1" thickBot="1" x14ac:dyDescent="0.25">
      <c r="J434" s="10"/>
      <c r="K434" s="28"/>
      <c r="L434" s="28"/>
      <c r="N434" s="38"/>
      <c r="O434" s="28"/>
      <c r="P434" s="28"/>
      <c r="Q434" s="274"/>
      <c r="R434" s="274"/>
      <c r="S434" s="275"/>
      <c r="T434" s="261"/>
      <c r="U434" s="265" t="str">
        <f>IF(N434&lt;&gt;"",CONCATENATE(VLOOKUP(N434,[1]zawodnicy!$A$1:$E$65536,1,FALSE)," ",VLOOKUP(N434,[1]zawodnicy!$A$1:$E$65536,2,FALSE)," ",VLOOKUP(N434,[1]zawodnicy!$A$1:$E$65536,3,FALSE)," - ",VLOOKUP(N434,[1]zawodnicy!$A$1:$E$65536,4,FALSE)),"")</f>
        <v/>
      </c>
      <c r="V434" s="266"/>
      <c r="W434" s="267"/>
      <c r="X434" s="35"/>
      <c r="Y434" s="39" t="str">
        <f>IF(SUM(AS437:AT437)=0,"",AS437&amp;":"&amp;AT437)</f>
        <v/>
      </c>
      <c r="Z434" s="40" t="str">
        <f>IF(SUM(AS435:AT435)=0,"",AS435&amp;":"&amp;AT435)</f>
        <v/>
      </c>
      <c r="AA434" s="262"/>
      <c r="AB434" s="263"/>
      <c r="AC434" s="263"/>
      <c r="AD434" s="264"/>
      <c r="AE434" s="2"/>
      <c r="AF434" s="12"/>
      <c r="AG434" s="12"/>
      <c r="AH434" s="14"/>
      <c r="AI434" s="259" t="s">
        <v>12</v>
      </c>
      <c r="AJ434" s="269"/>
      <c r="AK434" s="268" t="s">
        <v>13</v>
      </c>
      <c r="AL434" s="269"/>
      <c r="AM434" s="268" t="s">
        <v>14</v>
      </c>
      <c r="AN434" s="260"/>
      <c r="AO434" s="259" t="s">
        <v>12</v>
      </c>
      <c r="AP434" s="269"/>
      <c r="AQ434" s="268" t="s">
        <v>13</v>
      </c>
      <c r="AR434" s="269"/>
      <c r="AS434" s="268" t="s">
        <v>14</v>
      </c>
      <c r="AT434" s="269"/>
      <c r="AU434" s="12"/>
      <c r="AV434" s="12"/>
      <c r="AW434" s="259">
        <v>1</v>
      </c>
      <c r="AX434" s="269"/>
      <c r="AY434" s="268">
        <v>2</v>
      </c>
      <c r="AZ434" s="269"/>
      <c r="BA434" s="268">
        <v>3</v>
      </c>
      <c r="BB434" s="260"/>
      <c r="BE434" s="259" t="s">
        <v>3</v>
      </c>
      <c r="BF434" s="260"/>
      <c r="BG434" s="259" t="s">
        <v>4</v>
      </c>
      <c r="BH434" s="260"/>
      <c r="BI434" s="259" t="s">
        <v>5</v>
      </c>
      <c r="BJ434" s="260"/>
      <c r="BK434" s="41" t="s">
        <v>6</v>
      </c>
      <c r="BL434" s="20"/>
    </row>
    <row r="435" spans="1:64" ht="11.45" customHeight="1" x14ac:dyDescent="0.2">
      <c r="A435" s="19">
        <f>S435</f>
        <v>105</v>
      </c>
      <c r="B435" s="2" t="str">
        <f>IF(N433="","",N433)</f>
        <v>P4820</v>
      </c>
      <c r="C435" s="2" t="str">
        <f>IF(N434="","",N434)</f>
        <v/>
      </c>
      <c r="D435" s="2" t="str">
        <f>IF(N439="","",N439)</f>
        <v>P5477</v>
      </c>
      <c r="E435" s="2" t="str">
        <f>IF(N440="","",N440)</f>
        <v/>
      </c>
      <c r="I435" s="2" t="str">
        <f>"2"&amp;O431&amp;N432</f>
        <v>26pojedyncza dziewcząt MM</v>
      </c>
      <c r="J435" s="10" t="str">
        <f>IF(AD435="","",IF(AD432=2,N433,IF(AD435=2,N436,IF(AD438=2,N439,""))))</f>
        <v>P4820</v>
      </c>
      <c r="K435" s="10">
        <f>IF(AD435="","",IF(AD432=2,N434,IF(AD435=2,N437,IF(AD438=2,N440,""))))</f>
        <v>0</v>
      </c>
      <c r="M435" s="42" t="str">
        <f>N432</f>
        <v>pojedyncza dziewcząt MM</v>
      </c>
      <c r="O435" s="28"/>
      <c r="P435" s="28"/>
      <c r="Q435" s="43" t="str">
        <f>IF(AU435&gt;0,"",IF(A435=0,"",IF(VLOOKUP(A435,'[1]plan gier'!A$1:S$65536,19,FALSE)="","",VLOOKUP(A435,'[1]plan gier'!A$1:S$65536,19,FALSE))))</f>
        <v/>
      </c>
      <c r="R435" s="44" t="s">
        <v>15</v>
      </c>
      <c r="S435" s="45">
        <v>105</v>
      </c>
      <c r="T435" s="241">
        <v>2</v>
      </c>
      <c r="U435" s="244" t="str">
        <f>IF(AND(N436&lt;&gt;"",N437&lt;&gt;""),CONCATENATE(VLOOKUP(N436,[1]zawodnicy!$A$1:$E$65536,1,FALSE)," ",VLOOKUP(N436,[1]zawodnicy!$A$1:$E$65536,2,FALSE)," ",VLOOKUP(N436,[1]zawodnicy!$A$1:$E$65536,3,FALSE)," - ",VLOOKUP(N436,[1]zawodnicy!$A$1:$E$65536,4,FALSE)),"")</f>
        <v/>
      </c>
      <c r="V435" s="245"/>
      <c r="W435" s="246"/>
      <c r="X435" s="46" t="str">
        <f>IF(SUM(AO437:AP437)=0,"",AP437&amp;":"&amp;AO437)</f>
        <v>21:15</v>
      </c>
      <c r="Y435" s="47"/>
      <c r="Z435" s="48" t="str">
        <f>IF(SUM(AO436:AP436)=0,"",AO436&amp;":"&amp;AP436)</f>
        <v>21:9</v>
      </c>
      <c r="AA435" s="247" t="str">
        <f>IF(SUM(AW436:AX436,BA436:BB436)=0,"",BE436&amp;":"&amp;BF436)</f>
        <v>84:39</v>
      </c>
      <c r="AB435" s="250" t="str">
        <f>IF(SUM(AW436:AX436,BA436:BB436)=0,"",BG436&amp;":"&amp;BH436)</f>
        <v>4:0</v>
      </c>
      <c r="AC435" s="250" t="str">
        <f>IF(SUM(AW436:AX436,BA436:BB436)=0,"",BI436&amp;":"&amp;BJ436)</f>
        <v>2:0</v>
      </c>
      <c r="AD435" s="253">
        <f>IF(SUM(BI435:BI437)&gt;0,BK436,"")</f>
        <v>1</v>
      </c>
      <c r="AE435" s="2"/>
      <c r="AF435" s="12"/>
      <c r="AG435" s="12"/>
      <c r="AH435" s="44" t="s">
        <v>15</v>
      </c>
      <c r="AI435" s="49">
        <f>IF(ISBLANK(S435),"",VLOOKUP(S435,'[1]plan gier'!$X$1:$AN$65536,12,FALSE))</f>
        <v>21</v>
      </c>
      <c r="AJ435" s="50">
        <f>IF(ISBLANK(S435),"",VLOOKUP(S435,'[1]plan gier'!$X$1:$AN$65536,13,FALSE))</f>
        <v>9</v>
      </c>
      <c r="AK435" s="50">
        <f>IF(ISBLANK(S435),"",VLOOKUP(S435,'[1]plan gier'!$X$1:$AN$65536,14,FALSE))</f>
        <v>21</v>
      </c>
      <c r="AL435" s="50">
        <f>IF(ISBLANK(S435),"",VLOOKUP(S435,'[1]plan gier'!$X$1:$AN$65536,15,FALSE))</f>
        <v>10</v>
      </c>
      <c r="AM435" s="50">
        <f>IF(ISBLANK(S435),"",VLOOKUP(S435,'[1]plan gier'!$X$1:$AN$65536,16,FALSE))</f>
        <v>0</v>
      </c>
      <c r="AN435" s="50">
        <f>IF(ISBLANK(S435),"",VLOOKUP(S435,'[1]plan gier'!$X$1:$AN$65536,17,FALSE))</f>
        <v>0</v>
      </c>
      <c r="AO435" s="51">
        <f t="shared" ref="AO435:AT437" si="45">IF(AI435="",0,AI435)</f>
        <v>21</v>
      </c>
      <c r="AP435" s="52">
        <f t="shared" si="45"/>
        <v>9</v>
      </c>
      <c r="AQ435" s="53">
        <f t="shared" si="45"/>
        <v>21</v>
      </c>
      <c r="AR435" s="52">
        <f t="shared" si="45"/>
        <v>10</v>
      </c>
      <c r="AS435" s="53">
        <f t="shared" si="45"/>
        <v>0</v>
      </c>
      <c r="AT435" s="52">
        <f t="shared" si="45"/>
        <v>0</v>
      </c>
      <c r="AU435" s="54">
        <f>SUM(AO435:AT435)</f>
        <v>61</v>
      </c>
      <c r="AV435" s="13">
        <v>1</v>
      </c>
      <c r="AW435" s="55"/>
      <c r="AX435" s="56"/>
      <c r="AY435" s="50">
        <f>IF(AI437&gt;AJ437,1,0)+IF(AK437&gt;AL437,1,0)+IF(AM437&gt;AN437,1,0)</f>
        <v>0</v>
      </c>
      <c r="AZ435" s="50">
        <f>AW436</f>
        <v>2</v>
      </c>
      <c r="BA435" s="50">
        <f>IF(AI435&gt;AJ435,1,0)+IF(AK435&gt;AL435,1,0)+IF(AM435&gt;AN435,1,0)</f>
        <v>2</v>
      </c>
      <c r="BB435" s="57">
        <f>AW437</f>
        <v>0</v>
      </c>
      <c r="BE435" s="49">
        <f>AO435+AQ435+AS435+AO437+AQ437+AS437</f>
        <v>71</v>
      </c>
      <c r="BF435" s="57">
        <f>AP435+AR435+AT435+AP437+AR437+AT437</f>
        <v>61</v>
      </c>
      <c r="BG435" s="49">
        <f>AY435+BA435</f>
        <v>2</v>
      </c>
      <c r="BH435" s="57">
        <f>AZ435+BB435</f>
        <v>2</v>
      </c>
      <c r="BI435" s="49">
        <f>IF(AY435&gt;AZ435,1,0)+IF(BA435&gt;BB435,1,0)</f>
        <v>1</v>
      </c>
      <c r="BJ435" s="58">
        <f>IF(AZ435&gt;AY435,1,0)+IF(BB435&gt;BA435,1,0)</f>
        <v>1</v>
      </c>
      <c r="BK435" s="59">
        <f>IF(BI435+BJ435=0,"",IF(BL435=MAX(BL435:BL437),1,IF(BL435=MIN(BL435:BL437),3,2)))</f>
        <v>2</v>
      </c>
      <c r="BL435" s="60">
        <f>IF(BI435+BJ435&lt;&gt;0,BI435+1+(BG435-BH435)/100+(BE435-BF435)/100000+(BE435/BF435)/1000000,0)</f>
        <v>2.0001011639344264</v>
      </c>
    </row>
    <row r="436" spans="1:64" ht="11.45" customHeight="1" x14ac:dyDescent="0.2">
      <c r="A436" s="19">
        <f>S436</f>
        <v>171</v>
      </c>
      <c r="B436" s="2" t="str">
        <f>IF(N436="","",N436)</f>
        <v>X29</v>
      </c>
      <c r="C436" s="2" t="str">
        <f>IF(N437="","",N437)</f>
        <v/>
      </c>
      <c r="D436" s="2" t="str">
        <f>IF(N439="","",N439)</f>
        <v>P5477</v>
      </c>
      <c r="E436" s="2" t="str">
        <f>IF(N440="","",N440)</f>
        <v/>
      </c>
      <c r="J436" s="10"/>
      <c r="K436" s="19"/>
      <c r="M436" s="42" t="str">
        <f>N432</f>
        <v>pojedyncza dziewcząt MM</v>
      </c>
      <c r="N436" s="33" t="s">
        <v>295</v>
      </c>
      <c r="O436" s="34">
        <f>IF(O431&gt;0,(O431&amp;2)*1,"")</f>
        <v>62</v>
      </c>
      <c r="Q436" s="43" t="str">
        <f>IF(AU436&gt;0,"",IF(A436=0,"",IF(VLOOKUP(A436,'[1]plan gier'!A$1:S$65536,19,FALSE)="","",VLOOKUP(A436,'[1]plan gier'!A$1:S$65536,19,FALSE))))</f>
        <v/>
      </c>
      <c r="R436" s="44" t="s">
        <v>17</v>
      </c>
      <c r="S436" s="45">
        <v>171</v>
      </c>
      <c r="T436" s="242"/>
      <c r="U436" s="244" t="str">
        <f>IF(AND(N436&lt;&gt;"",N437=""),CONCATENATE(VLOOKUP(N436,[1]zawodnicy!$A$1:$E$65536,1,FALSE)," ",VLOOKUP(N436,[1]zawodnicy!$A$1:$E$65536,2,FALSE)," ",VLOOKUP(N436,[1]zawodnicy!$A$1:$E$65536,3,FALSE)," - ",VLOOKUP(N436,[1]zawodnicy!$A$1:$E$65536,4,FALSE)),"")</f>
        <v>X29 Anastasiya KHOMICH - Białoruś</v>
      </c>
      <c r="V436" s="245"/>
      <c r="W436" s="246"/>
      <c r="X436" s="61" t="str">
        <f>IF(SUM(AQ437:AR437)=0,"",AR437&amp;":"&amp;AQ437)</f>
        <v>21:14</v>
      </c>
      <c r="Y436" s="62"/>
      <c r="Z436" s="37" t="str">
        <f>IF(SUM(AQ436:AR436)=0,"",AQ436&amp;":"&amp;AR436)</f>
        <v>21:1</v>
      </c>
      <c r="AA436" s="248"/>
      <c r="AB436" s="251"/>
      <c r="AC436" s="251"/>
      <c r="AD436" s="254"/>
      <c r="AE436" s="2"/>
      <c r="AF436" s="12"/>
      <c r="AG436" s="12"/>
      <c r="AH436" s="44" t="s">
        <v>17</v>
      </c>
      <c r="AI436" s="63">
        <f>IF(ISBLANK(S436),"",VLOOKUP(S436,'[1]plan gier'!$X$1:$AN$65536,12,FALSE))</f>
        <v>21</v>
      </c>
      <c r="AJ436" s="64">
        <f>IF(ISBLANK(S436),"",VLOOKUP(S436,'[1]plan gier'!$X$1:$AN$65536,13,FALSE))</f>
        <v>9</v>
      </c>
      <c r="AK436" s="64">
        <f>IF(ISBLANK(S436),"",VLOOKUP(S436,'[1]plan gier'!$X$1:$AN$65536,14,FALSE))</f>
        <v>21</v>
      </c>
      <c r="AL436" s="64">
        <f>IF(ISBLANK(S436),"",VLOOKUP(S436,'[1]plan gier'!$X$1:$AN$65536,15,FALSE))</f>
        <v>1</v>
      </c>
      <c r="AM436" s="64">
        <f>IF(ISBLANK(S436),"",VLOOKUP(S436,'[1]plan gier'!$X$1:$AN$65536,16,FALSE))</f>
        <v>0</v>
      </c>
      <c r="AN436" s="64">
        <f>IF(ISBLANK(S436),"",VLOOKUP(S436,'[1]plan gier'!$X$1:$AN$65536,17,FALSE))</f>
        <v>0</v>
      </c>
      <c r="AO436" s="65">
        <f t="shared" si="45"/>
        <v>21</v>
      </c>
      <c r="AP436" s="64">
        <f t="shared" si="45"/>
        <v>9</v>
      </c>
      <c r="AQ436" s="66">
        <f t="shared" si="45"/>
        <v>21</v>
      </c>
      <c r="AR436" s="64">
        <f t="shared" si="45"/>
        <v>1</v>
      </c>
      <c r="AS436" s="66">
        <f t="shared" si="45"/>
        <v>0</v>
      </c>
      <c r="AT436" s="64">
        <f t="shared" si="45"/>
        <v>0</v>
      </c>
      <c r="AU436" s="54">
        <f>SUM(AO436:AT436)</f>
        <v>52</v>
      </c>
      <c r="AV436" s="13">
        <v>2</v>
      </c>
      <c r="AW436" s="63">
        <f>IF(AI437&lt;AJ437,1,0)+IF(AK437&lt;AL437,1,0)+IF(AM437&lt;AN437,1,0)</f>
        <v>2</v>
      </c>
      <c r="AX436" s="64">
        <f>AY435</f>
        <v>0</v>
      </c>
      <c r="AY436" s="67"/>
      <c r="AZ436" s="68"/>
      <c r="BA436" s="64">
        <f>IF(AI436&gt;AJ436,1,0)+IF(AK436&gt;AL436,1,0)+IF(AM436&gt;AN436,1,0)</f>
        <v>2</v>
      </c>
      <c r="BB436" s="69">
        <f>AY437</f>
        <v>0</v>
      </c>
      <c r="BE436" s="63">
        <f>AO436+AQ436+AS436+AP437+AR437+AT437</f>
        <v>84</v>
      </c>
      <c r="BF436" s="69">
        <f>AP436+AR436+AT436+AO437+AQ437+AS437</f>
        <v>39</v>
      </c>
      <c r="BG436" s="63">
        <f>AW436+BA436</f>
        <v>4</v>
      </c>
      <c r="BH436" s="69">
        <f>AX436+BB436</f>
        <v>0</v>
      </c>
      <c r="BI436" s="63">
        <f>IF(AW436&gt;AX436,1,0)+IF(BA436&gt;BB436,1,0)</f>
        <v>2</v>
      </c>
      <c r="BJ436" s="70">
        <f>IF(AX436&gt;AW436,1,0)+IF(BB436&gt;BA436,1,0)</f>
        <v>0</v>
      </c>
      <c r="BK436" s="71">
        <f>IF(BI436+BJ436=0,"",IF(BL436=MAX(BL435:BL437),1,IF(BL436=MIN(BL435:BL437),3,2)))</f>
        <v>1</v>
      </c>
      <c r="BL436" s="60">
        <f>IF(BI436+BJ436&lt;&gt;0,BI436+1+(BG436-BH436)/100+(BE436-BF436)/100000+(BE436/BF436)/1000000,0)</f>
        <v>3.0404521538461537</v>
      </c>
    </row>
    <row r="437" spans="1:64" ht="11.45" customHeight="1" thickBot="1" x14ac:dyDescent="0.25">
      <c r="A437" s="19">
        <f>S437</f>
        <v>224</v>
      </c>
      <c r="B437" s="2" t="str">
        <f>IF(N433="","",N433)</f>
        <v>P4820</v>
      </c>
      <c r="C437" s="2" t="str">
        <f>IF(N434="","",N434)</f>
        <v/>
      </c>
      <c r="D437" s="2" t="str">
        <f>IF(N436="","",N436)</f>
        <v>X29</v>
      </c>
      <c r="E437" s="2" t="str">
        <f>IF(N437="","",N437)</f>
        <v/>
      </c>
      <c r="I437" s="2" t="str">
        <f>"3"&amp;O431&amp;N432</f>
        <v>36pojedyncza dziewcząt MM</v>
      </c>
      <c r="J437" s="10" t="str">
        <f>IF(AD438="","",IF(AD432=3,N433,IF(AD435=3,N436,IF(AD438=3,N439,""))))</f>
        <v>P5477</v>
      </c>
      <c r="K437" s="10">
        <f>IF(AD438="","",IF(AD432=3,N434,IF(AD435=3,N437,IF(AD438=3,N440,""))))</f>
        <v>0</v>
      </c>
      <c r="M437" s="42" t="str">
        <f>N432</f>
        <v>pojedyncza dziewcząt MM</v>
      </c>
      <c r="N437" s="38"/>
      <c r="O437" s="28"/>
      <c r="P437" s="28"/>
      <c r="Q437" s="43" t="str">
        <f>IF(AU437&gt;0,"",IF(A437=0,"",IF(VLOOKUP(A437,'[1]plan gier'!A$1:S$65536,19,FALSE)="","",VLOOKUP(A437,'[1]plan gier'!A$1:S$65536,19,FALSE))))</f>
        <v/>
      </c>
      <c r="R437" s="72" t="s">
        <v>18</v>
      </c>
      <c r="S437" s="45">
        <v>224</v>
      </c>
      <c r="T437" s="261"/>
      <c r="U437" s="265" t="str">
        <f>IF(N437&lt;&gt;"",CONCATENATE(VLOOKUP(N437,[1]zawodnicy!$A$1:$E$65536,1,FALSE)," ",VLOOKUP(N437,[1]zawodnicy!$A$1:$E$65536,2,FALSE)," ",VLOOKUP(N437,[1]zawodnicy!$A$1:$E$65536,3,FALSE)," - ",VLOOKUP(N437,[1]zawodnicy!$A$1:$E$65536,4,FALSE)),"")</f>
        <v/>
      </c>
      <c r="V437" s="266"/>
      <c r="W437" s="267"/>
      <c r="X437" s="73" t="str">
        <f>IF(SUM(AS437:AT437)=0,"",AT437&amp;":"&amp;AS437)</f>
        <v/>
      </c>
      <c r="Y437" s="62"/>
      <c r="Z437" s="40" t="str">
        <f>IF(SUM(AS436:AT436)=0,"",AS436&amp;":"&amp;AT436)</f>
        <v/>
      </c>
      <c r="AA437" s="262"/>
      <c r="AB437" s="263"/>
      <c r="AC437" s="263"/>
      <c r="AD437" s="264"/>
      <c r="AE437" s="2"/>
      <c r="AF437" s="12"/>
      <c r="AG437" s="12"/>
      <c r="AH437" s="72" t="s">
        <v>18</v>
      </c>
      <c r="AI437" s="74">
        <f>IF(ISBLANK(S437),"",VLOOKUP(S437,'[1]plan gier'!$X$1:$AN$65536,12,FALSE))</f>
        <v>15</v>
      </c>
      <c r="AJ437" s="75">
        <f>IF(ISBLANK(S437),"",VLOOKUP(S437,'[1]plan gier'!$X$1:$AN$65536,13,FALSE))</f>
        <v>21</v>
      </c>
      <c r="AK437" s="75">
        <f>IF(ISBLANK(S437),"",VLOOKUP(S437,'[1]plan gier'!$X$1:$AN$65536,14,FALSE))</f>
        <v>14</v>
      </c>
      <c r="AL437" s="75">
        <f>IF(ISBLANK(S437),"",VLOOKUP(S437,'[1]plan gier'!$X$1:$AN$65536,15,FALSE))</f>
        <v>21</v>
      </c>
      <c r="AM437" s="75">
        <f>IF(ISBLANK(S437),"",VLOOKUP(S437,'[1]plan gier'!$X$1:$AN$65536,16,FALSE))</f>
        <v>0</v>
      </c>
      <c r="AN437" s="75">
        <f>IF(ISBLANK(S437),"",VLOOKUP(S437,'[1]plan gier'!$X$1:$AN$65536,17,FALSE))</f>
        <v>0</v>
      </c>
      <c r="AO437" s="76">
        <f t="shared" si="45"/>
        <v>15</v>
      </c>
      <c r="AP437" s="75">
        <f t="shared" si="45"/>
        <v>21</v>
      </c>
      <c r="AQ437" s="77">
        <f t="shared" si="45"/>
        <v>14</v>
      </c>
      <c r="AR437" s="75">
        <f t="shared" si="45"/>
        <v>21</v>
      </c>
      <c r="AS437" s="77">
        <f t="shared" si="45"/>
        <v>0</v>
      </c>
      <c r="AT437" s="75">
        <f t="shared" si="45"/>
        <v>0</v>
      </c>
      <c r="AU437" s="54">
        <f>SUM(AO437:AT437)</f>
        <v>71</v>
      </c>
      <c r="AV437" s="13">
        <v>3</v>
      </c>
      <c r="AW437" s="74">
        <f>IF(AI435&lt;AJ435,1,0)+IF(AK435&lt;AL435,1,0)+IF(AM435&lt;AN435,1,0)</f>
        <v>0</v>
      </c>
      <c r="AX437" s="75">
        <f>BA435</f>
        <v>2</v>
      </c>
      <c r="AY437" s="75">
        <f>IF(AI436&lt;AJ436,1,0)+IF(AK436&lt;AL436,1,0)+IF(AM436&lt;AN436,1,0)</f>
        <v>0</v>
      </c>
      <c r="AZ437" s="75">
        <f>BA436</f>
        <v>2</v>
      </c>
      <c r="BA437" s="78"/>
      <c r="BB437" s="79"/>
      <c r="BE437" s="74">
        <f>AP435+AR435+AT435+AP436+AR436+AT436</f>
        <v>29</v>
      </c>
      <c r="BF437" s="80">
        <f>AO435+AQ435+AS435+AO436+AQ436+AS436</f>
        <v>84</v>
      </c>
      <c r="BG437" s="74">
        <f>AW437+AY437</f>
        <v>0</v>
      </c>
      <c r="BH437" s="80">
        <f>AX437+AZ437</f>
        <v>4</v>
      </c>
      <c r="BI437" s="74">
        <f>IF(AW437&gt;AX437,1,0)+IF(AY437&gt;AZ437,1,0)</f>
        <v>0</v>
      </c>
      <c r="BJ437" s="81">
        <f>IF(AX437&gt;AW437,1,0)+IF(AZ437&gt;AY437,1,0)</f>
        <v>2</v>
      </c>
      <c r="BK437" s="82">
        <f>IF(BI437+BJ437=0,"",IF(BL437=MAX(BL435:BL437),1,IF(BL437=MIN(BL435:BL437),3,2)))</f>
        <v>3</v>
      </c>
      <c r="BL437" s="60">
        <f>IF(BI437+BJ437&lt;&gt;0,BI437+1+(BG437-BH437)/100+(BE437-BF437)/100000+(BE437/BF437)/1000000,0)</f>
        <v>0.95945034523809514</v>
      </c>
    </row>
    <row r="438" spans="1:64" ht="11.45" customHeight="1" x14ac:dyDescent="0.2">
      <c r="A438" s="2"/>
      <c r="J438" s="28"/>
      <c r="K438" s="28"/>
      <c r="L438" s="28"/>
      <c r="O438" s="28"/>
      <c r="P438" s="28"/>
      <c r="Q438" s="2"/>
      <c r="R438" s="2"/>
      <c r="S438" s="2"/>
      <c r="T438" s="241">
        <v>3</v>
      </c>
      <c r="U438" s="244" t="str">
        <f>IF(AND(N439&lt;&gt;"",N440&lt;&gt;""),CONCATENATE(VLOOKUP(N439,[1]zawodnicy!$A$1:$E$65536,1,FALSE)," ",VLOOKUP(N439,[1]zawodnicy!$A$1:$E$65536,2,FALSE)," ",VLOOKUP(N439,[1]zawodnicy!$A$1:$E$65536,3,FALSE)," - ",VLOOKUP(N439,[1]zawodnicy!$A$1:$E$65536,4,FALSE)),"")</f>
        <v/>
      </c>
      <c r="V438" s="245"/>
      <c r="W438" s="246"/>
      <c r="X438" s="46" t="str">
        <f>IF(SUM(AO435:AP435)=0,"",AP435&amp;":"&amp;AO435)</f>
        <v>9:21</v>
      </c>
      <c r="Y438" s="83" t="str">
        <f>IF(SUM(AO436:AP436)=0,"",AP436&amp;":"&amp;AO436)</f>
        <v>9:21</v>
      </c>
      <c r="Z438" s="84"/>
      <c r="AA438" s="247" t="str">
        <f>IF(SUM(AW437:AZ437)=0,"",BE437&amp;":"&amp;BF437)</f>
        <v>29:84</v>
      </c>
      <c r="AB438" s="250" t="str">
        <f>IF(SUM(AW437:AZ437)=0,"",BG437&amp;":"&amp;BH437)</f>
        <v>0:4</v>
      </c>
      <c r="AC438" s="250" t="str">
        <f>IF(SUM(AW437:AZ437)=0,"",BI437&amp;":"&amp;BJ437)</f>
        <v>0:2</v>
      </c>
      <c r="AD438" s="253">
        <f>IF(SUM(BI435:BI437)&gt;0,BK437,"")</f>
        <v>3</v>
      </c>
      <c r="AE438" s="2"/>
      <c r="AF438" s="12"/>
      <c r="AG438" s="12"/>
      <c r="BE438" s="19">
        <f>SUM(BE435:BE437)</f>
        <v>184</v>
      </c>
      <c r="BF438" s="19">
        <f>SUM(BF435:BF437)</f>
        <v>184</v>
      </c>
      <c r="BG438" s="19">
        <f>SUM(BG435:BG437)</f>
        <v>6</v>
      </c>
      <c r="BH438" s="19">
        <f>SUM(BH435:BH437)</f>
        <v>6</v>
      </c>
      <c r="BK438" s="19"/>
      <c r="BL438" s="20"/>
    </row>
    <row r="439" spans="1:64" ht="11.45" customHeight="1" x14ac:dyDescent="0.2">
      <c r="A439" s="19"/>
      <c r="J439" s="19"/>
      <c r="K439" s="19"/>
      <c r="L439" s="19"/>
      <c r="N439" s="188" t="s">
        <v>296</v>
      </c>
      <c r="O439" s="34">
        <f>IF(O431&gt;0,(O431&amp;3)*1,"")</f>
        <v>63</v>
      </c>
      <c r="Q439" s="85"/>
      <c r="R439" s="85"/>
      <c r="S439" s="85"/>
      <c r="T439" s="242"/>
      <c r="U439" s="244" t="str">
        <f>IF(AND(N439&lt;&gt;"",N440=""),CONCATENATE(VLOOKUP(N439,[1]zawodnicy!$A$1:$E$65536,1,FALSE)," ",VLOOKUP(N439,[1]zawodnicy!$A$1:$E$65536,2,FALSE)," ",VLOOKUP(N439,[1]zawodnicy!$A$1:$E$65536,3,FALSE)," - ",VLOOKUP(N439,[1]zawodnicy!$A$1:$E$65536,4,FALSE)),"")</f>
        <v>P5477 Paulina PRZYBYŁ - UKS Iskra Sarbice</v>
      </c>
      <c r="V439" s="245"/>
      <c r="W439" s="246"/>
      <c r="X439" s="61" t="str">
        <f>IF(SUM(AQ435:AR435)=0,"",AR435&amp;":"&amp;AQ435)</f>
        <v>10:21</v>
      </c>
      <c r="Y439" s="36" t="str">
        <f>IF(SUM(AQ436:AR436)=0,"",AR436&amp;":"&amp;AQ436)</f>
        <v>1:21</v>
      </c>
      <c r="Z439" s="86"/>
      <c r="AA439" s="248"/>
      <c r="AB439" s="251"/>
      <c r="AC439" s="251"/>
      <c r="AD439" s="254"/>
      <c r="AE439" s="2"/>
      <c r="AF439" s="12"/>
      <c r="AG439" s="1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row>
    <row r="440" spans="1:64" ht="11.45" customHeight="1" thickBot="1" x14ac:dyDescent="0.25">
      <c r="A440" s="2"/>
      <c r="J440" s="28"/>
      <c r="K440" s="28"/>
      <c r="L440" s="28"/>
      <c r="N440" s="38"/>
      <c r="O440" s="28"/>
      <c r="P440" s="28"/>
      <c r="Q440" s="2"/>
      <c r="R440" s="2"/>
      <c r="S440" s="2"/>
      <c r="T440" s="243"/>
      <c r="U440" s="256" t="str">
        <f>IF(N440&lt;&gt;"",CONCATENATE(VLOOKUP(N440,[1]zawodnicy!$A$1:$E$65536,1,FALSE)," ",VLOOKUP(N440,[1]zawodnicy!$A$1:$E$65536,2,FALSE)," ",VLOOKUP(N440,[1]zawodnicy!$A$1:$E$65536,3,FALSE)," - ",VLOOKUP(N440,[1]zawodnicy!$A$1:$E$65536,4,FALSE)),"")</f>
        <v/>
      </c>
      <c r="V440" s="257"/>
      <c r="W440" s="258"/>
      <c r="X440" s="87" t="str">
        <f>IF(SUM(AS435:AT435)=0,"",AT435&amp;":"&amp;AS435)</f>
        <v/>
      </c>
      <c r="Y440" s="88" t="str">
        <f>IF(SUM(AS436:AT436)=0,"",AT436&amp;":"&amp;AS436)</f>
        <v/>
      </c>
      <c r="Z440" s="89"/>
      <c r="AA440" s="249"/>
      <c r="AB440" s="252"/>
      <c r="AC440" s="252"/>
      <c r="AD440" s="255"/>
      <c r="AE440" s="10"/>
      <c r="AF440" s="12"/>
      <c r="AG440" s="1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row>
    <row r="441" spans="1:64" s="19" customFormat="1" ht="5.0999999999999996" customHeight="1" thickBot="1" x14ac:dyDescent="0.25">
      <c r="M441" s="90"/>
      <c r="O441" s="90"/>
      <c r="P441" s="90"/>
      <c r="Q441" s="91"/>
      <c r="R441" s="91"/>
      <c r="S441" s="91"/>
      <c r="T441" s="91"/>
      <c r="U441" s="5"/>
      <c r="V441" s="5"/>
      <c r="W441" s="5"/>
      <c r="AA441" s="92"/>
      <c r="AB441" s="91"/>
      <c r="AC441" s="91"/>
      <c r="AD441" s="91"/>
      <c r="AE441" s="91"/>
      <c r="AF441" s="91"/>
      <c r="AI441" s="93"/>
      <c r="AJ441" s="94"/>
      <c r="AK441" s="94"/>
    </row>
    <row r="442" spans="1:64" ht="11.45" customHeight="1" thickBot="1" x14ac:dyDescent="0.25">
      <c r="N442" s="11"/>
      <c r="O442" s="21">
        <v>7</v>
      </c>
      <c r="Q442" s="277" t="str">
        <f>"Grupa "&amp;O442&amp;"."</f>
        <v>Grupa 7.</v>
      </c>
      <c r="R442" s="277"/>
      <c r="S442" s="277"/>
      <c r="T442" s="22" t="s">
        <v>1</v>
      </c>
      <c r="U442" s="278" t="s">
        <v>2</v>
      </c>
      <c r="V442" s="279"/>
      <c r="W442" s="280"/>
      <c r="X442" s="22">
        <v>1</v>
      </c>
      <c r="Y442" s="23">
        <v>2</v>
      </c>
      <c r="Z442" s="24">
        <v>3</v>
      </c>
      <c r="AA442" s="25" t="s">
        <v>3</v>
      </c>
      <c r="AB442" s="26" t="s">
        <v>4</v>
      </c>
      <c r="AC442" s="26" t="s">
        <v>5</v>
      </c>
      <c r="AD442" s="27" t="s">
        <v>6</v>
      </c>
      <c r="AE442" s="2"/>
      <c r="AF442" s="12"/>
      <c r="AG442" s="12"/>
      <c r="BK442" s="19"/>
      <c r="BL442" s="20"/>
    </row>
    <row r="443" spans="1:64" ht="11.45" customHeight="1" x14ac:dyDescent="0.2">
      <c r="J443" s="28"/>
      <c r="K443" s="28"/>
      <c r="L443" s="28"/>
      <c r="N443" s="29" t="s">
        <v>278</v>
      </c>
      <c r="Q443" s="274" t="s">
        <v>7</v>
      </c>
      <c r="R443" s="274"/>
      <c r="S443" s="275" t="s">
        <v>8</v>
      </c>
      <c r="T443" s="276">
        <v>1</v>
      </c>
      <c r="U443" s="244" t="str">
        <f>IF(AND(N444&lt;&gt;"",N445&lt;&gt;""),CONCATENATE(VLOOKUP(N444,[1]zawodnicy!$A$1:$E$65536,1,FALSE)," ",VLOOKUP(N444,[1]zawodnicy!$A$1:$E$65536,2,FALSE)," ",VLOOKUP(N444,[1]zawodnicy!$A$1:$E$65536,3,FALSE)," - ",VLOOKUP(N444,[1]zawodnicy!$A$1:$E$65536,4,FALSE)),"")</f>
        <v/>
      </c>
      <c r="V443" s="245"/>
      <c r="W443" s="246"/>
      <c r="X443" s="30"/>
      <c r="Y443" s="31" t="str">
        <f>IF(SUM(AO448:AP448)=0,"",AO448&amp;":"&amp;AP448)</f>
        <v>8:21</v>
      </c>
      <c r="Z443" s="32" t="str">
        <f>IF(SUM(AO446:AP446)=0,"",AO446&amp;":"&amp;AP446)</f>
        <v>9:21</v>
      </c>
      <c r="AA443" s="270" t="str">
        <f>IF(SUM(AY446:BB446)=0,"",BE446&amp;":"&amp;BF446)</f>
        <v>46:84</v>
      </c>
      <c r="AB443" s="271" t="str">
        <f>IF(SUM(AY446:BB446)=0,"",BG446&amp;":"&amp;BH446)</f>
        <v>0:4</v>
      </c>
      <c r="AC443" s="271" t="str">
        <f>IF(SUM(AY446:BB446)=0,"",BI446&amp;":"&amp;BJ446)</f>
        <v>0:2</v>
      </c>
      <c r="AD443" s="272">
        <f>IF(SUM(BI446:BI448)&gt;0,BK446,"")</f>
        <v>3</v>
      </c>
      <c r="AE443" s="2"/>
      <c r="AF443" s="12"/>
      <c r="AG443" s="12"/>
      <c r="AH443" s="14"/>
      <c r="AI443" s="273" t="s">
        <v>9</v>
      </c>
      <c r="AJ443" s="273"/>
      <c r="AK443" s="273"/>
      <c r="AL443" s="273"/>
      <c r="AM443" s="273"/>
      <c r="AN443" s="273"/>
      <c r="AO443" s="273" t="s">
        <v>10</v>
      </c>
      <c r="AP443" s="273"/>
      <c r="AQ443" s="273"/>
      <c r="AR443" s="273"/>
      <c r="AS443" s="273"/>
      <c r="AT443" s="273"/>
      <c r="BK443" s="19"/>
      <c r="BL443" s="20"/>
    </row>
    <row r="444" spans="1:64" ht="11.45" customHeight="1" thickBot="1" x14ac:dyDescent="0.25">
      <c r="I444" s="2" t="str">
        <f>"1"&amp;O442&amp;N443</f>
        <v>17pojedyncza dziewcząt MM</v>
      </c>
      <c r="J444" s="10" t="str">
        <f>IF(AD443="","",IF(AD443=1,N444,IF(AD446=1,N447,IF(AD449=1,N450,""))))</f>
        <v>X17</v>
      </c>
      <c r="K444" s="10">
        <f>IF(AD443="","",IF(AD443=1,N445,IF(AD446=1,N448,IF(AD449=1,N451,""))))</f>
        <v>0</v>
      </c>
      <c r="L444" s="10"/>
      <c r="N444" s="189" t="s">
        <v>297</v>
      </c>
      <c r="O444" s="34">
        <f>IF(O442&gt;0,(O442&amp;1)*1,"")</f>
        <v>71</v>
      </c>
      <c r="Q444" s="274"/>
      <c r="R444" s="274"/>
      <c r="S444" s="275"/>
      <c r="T444" s="242"/>
      <c r="U444" s="244" t="str">
        <f>IF(AND(N444&lt;&gt;"",N445=""),CONCATENATE(VLOOKUP(N444,[1]zawodnicy!$A$1:$E$65536,1,FALSE)," ",VLOOKUP(N444,[1]zawodnicy!$A$1:$E$65536,2,FALSE)," ",VLOOKUP(N444,[1]zawodnicy!$A$1:$E$65536,3,FALSE)," - ",VLOOKUP(N444,[1]zawodnicy!$A$1:$E$65536,4,FALSE)),"")</f>
        <v>O5218 Natalia OWSIEJEW - SKB Suwałki</v>
      </c>
      <c r="V444" s="245"/>
      <c r="W444" s="246"/>
      <c r="X444" s="35"/>
      <c r="Y444" s="36" t="str">
        <f>IF(SUM(AQ448:AR448)=0,"",AQ448&amp;":"&amp;AR448)</f>
        <v>13:21</v>
      </c>
      <c r="Z444" s="37" t="str">
        <f>IF(SUM(AQ446:AR446)=0,"",AQ446&amp;":"&amp;AR446)</f>
        <v>16:21</v>
      </c>
      <c r="AA444" s="248"/>
      <c r="AB444" s="251"/>
      <c r="AC444" s="251"/>
      <c r="AD444" s="254"/>
      <c r="AE444" s="2"/>
      <c r="AF444" s="12"/>
      <c r="AG444" s="12"/>
      <c r="AH444" s="14"/>
      <c r="BE444" s="19">
        <f>SUM(BE446:BE448)</f>
        <v>197</v>
      </c>
      <c r="BF444" s="19">
        <f>SUM(BF446:BF448)</f>
        <v>197</v>
      </c>
      <c r="BG444" s="19">
        <f>SUM(BG446:BG448)</f>
        <v>6</v>
      </c>
      <c r="BH444" s="19">
        <f>SUM(BH446:BH448)</f>
        <v>6</v>
      </c>
      <c r="BK444" s="19"/>
      <c r="BL444" s="20"/>
    </row>
    <row r="445" spans="1:64" ht="11.45" customHeight="1" thickBot="1" x14ac:dyDescent="0.25">
      <c r="J445" s="10"/>
      <c r="K445" s="28"/>
      <c r="L445" s="28"/>
      <c r="N445" s="38"/>
      <c r="O445" s="28"/>
      <c r="P445" s="28"/>
      <c r="Q445" s="274"/>
      <c r="R445" s="274"/>
      <c r="S445" s="275"/>
      <c r="T445" s="261"/>
      <c r="U445" s="265" t="str">
        <f>IF(N445&lt;&gt;"",CONCATENATE(VLOOKUP(N445,[1]zawodnicy!$A$1:$E$65536,1,FALSE)," ",VLOOKUP(N445,[1]zawodnicy!$A$1:$E$65536,2,FALSE)," ",VLOOKUP(N445,[1]zawodnicy!$A$1:$E$65536,3,FALSE)," - ",VLOOKUP(N445,[1]zawodnicy!$A$1:$E$65536,4,FALSE)),"")</f>
        <v/>
      </c>
      <c r="V445" s="266"/>
      <c r="W445" s="267"/>
      <c r="X445" s="35"/>
      <c r="Y445" s="39" t="str">
        <f>IF(SUM(AS448:AT448)=0,"",AS448&amp;":"&amp;AT448)</f>
        <v/>
      </c>
      <c r="Z445" s="40" t="str">
        <f>IF(SUM(AS446:AT446)=0,"",AS446&amp;":"&amp;AT446)</f>
        <v/>
      </c>
      <c r="AA445" s="262"/>
      <c r="AB445" s="263"/>
      <c r="AC445" s="263"/>
      <c r="AD445" s="264"/>
      <c r="AE445" s="2"/>
      <c r="AF445" s="12"/>
      <c r="AG445" s="12"/>
      <c r="AH445" s="14"/>
      <c r="AI445" s="259" t="s">
        <v>12</v>
      </c>
      <c r="AJ445" s="269"/>
      <c r="AK445" s="268" t="s">
        <v>13</v>
      </c>
      <c r="AL445" s="269"/>
      <c r="AM445" s="268" t="s">
        <v>14</v>
      </c>
      <c r="AN445" s="260"/>
      <c r="AO445" s="259" t="s">
        <v>12</v>
      </c>
      <c r="AP445" s="269"/>
      <c r="AQ445" s="268" t="s">
        <v>13</v>
      </c>
      <c r="AR445" s="269"/>
      <c r="AS445" s="268" t="s">
        <v>14</v>
      </c>
      <c r="AT445" s="269"/>
      <c r="AU445" s="12"/>
      <c r="AV445" s="12"/>
      <c r="AW445" s="259">
        <v>1</v>
      </c>
      <c r="AX445" s="269"/>
      <c r="AY445" s="268">
        <v>2</v>
      </c>
      <c r="AZ445" s="269"/>
      <c r="BA445" s="268">
        <v>3</v>
      </c>
      <c r="BB445" s="260"/>
      <c r="BE445" s="259" t="s">
        <v>3</v>
      </c>
      <c r="BF445" s="260"/>
      <c r="BG445" s="259" t="s">
        <v>4</v>
      </c>
      <c r="BH445" s="260"/>
      <c r="BI445" s="259" t="s">
        <v>5</v>
      </c>
      <c r="BJ445" s="260"/>
      <c r="BK445" s="41" t="s">
        <v>6</v>
      </c>
      <c r="BL445" s="20"/>
    </row>
    <row r="446" spans="1:64" ht="11.45" customHeight="1" x14ac:dyDescent="0.2">
      <c r="A446" s="19">
        <f>S446</f>
        <v>106</v>
      </c>
      <c r="B446" s="2" t="str">
        <f>IF(N444="","",N444)</f>
        <v>O5218</v>
      </c>
      <c r="C446" s="2" t="str">
        <f>IF(N445="","",N445)</f>
        <v/>
      </c>
      <c r="D446" s="2" t="str">
        <f>IF(N450="","",N450)</f>
        <v>X17</v>
      </c>
      <c r="E446" s="2" t="str">
        <f>IF(N451="","",N451)</f>
        <v/>
      </c>
      <c r="I446" s="2" t="str">
        <f>"2"&amp;O442&amp;N443</f>
        <v>27pojedyncza dziewcząt MM</v>
      </c>
      <c r="J446" s="10" t="str">
        <f>IF(AD446="","",IF(AD443=2,N444,IF(AD446=2,N447,IF(AD449=2,N450,""))))</f>
        <v>H5946</v>
      </c>
      <c r="K446" s="10">
        <f>IF(AD446="","",IF(AD443=2,N445,IF(AD446=2,N448,IF(AD449=2,N451,""))))</f>
        <v>0</v>
      </c>
      <c r="M446" s="42" t="str">
        <f>N443</f>
        <v>pojedyncza dziewcząt MM</v>
      </c>
      <c r="O446" s="28"/>
      <c r="P446" s="28"/>
      <c r="Q446" s="43" t="str">
        <f>IF(AU446&gt;0,"",IF(A446=0,"",IF(VLOOKUP(A446,'[1]plan gier'!A$1:S$65536,19,FALSE)="","",VLOOKUP(A446,'[1]plan gier'!A$1:S$65536,19,FALSE))))</f>
        <v/>
      </c>
      <c r="R446" s="44" t="s">
        <v>15</v>
      </c>
      <c r="S446" s="45">
        <v>106</v>
      </c>
      <c r="T446" s="241">
        <v>2</v>
      </c>
      <c r="U446" s="244" t="str">
        <f>IF(AND(N447&lt;&gt;"",N448&lt;&gt;""),CONCATENATE(VLOOKUP(N447,[1]zawodnicy!$A$1:$E$65536,1,FALSE)," ",VLOOKUP(N447,[1]zawodnicy!$A$1:$E$65536,2,FALSE)," ",VLOOKUP(N447,[1]zawodnicy!$A$1:$E$65536,3,FALSE)," - ",VLOOKUP(N447,[1]zawodnicy!$A$1:$E$65536,4,FALSE)),"")</f>
        <v/>
      </c>
      <c r="V446" s="245"/>
      <c r="W446" s="246"/>
      <c r="X446" s="46" t="str">
        <f>IF(SUM(AO448:AP448)=0,"",AP448&amp;":"&amp;AO448)</f>
        <v>21:8</v>
      </c>
      <c r="Y446" s="47"/>
      <c r="Z446" s="48" t="str">
        <f>IF(SUM(AO447:AP447)=0,"",AO447&amp;":"&amp;AP447)</f>
        <v>11:21</v>
      </c>
      <c r="AA446" s="247" t="str">
        <f>IF(SUM(AW447:AX447,BA447:BB447)=0,"",BE447&amp;":"&amp;BF447)</f>
        <v>67:63</v>
      </c>
      <c r="AB446" s="250" t="str">
        <f>IF(SUM(AW447:AX447,BA447:BB447)=0,"",BG447&amp;":"&amp;BH447)</f>
        <v>2:2</v>
      </c>
      <c r="AC446" s="250" t="str">
        <f>IF(SUM(AW447:AX447,BA447:BB447)=0,"",BI447&amp;":"&amp;BJ447)</f>
        <v>1:1</v>
      </c>
      <c r="AD446" s="253">
        <f>IF(SUM(BI446:BI448)&gt;0,BK447,"")</f>
        <v>2</v>
      </c>
      <c r="AE446" s="2"/>
      <c r="AF446" s="12"/>
      <c r="AG446" s="12"/>
      <c r="AH446" s="44" t="s">
        <v>15</v>
      </c>
      <c r="AI446" s="49">
        <f>IF(ISBLANK(S446),"",VLOOKUP(S446,'[1]plan gier'!$X$1:$AN$65536,12,FALSE))</f>
        <v>9</v>
      </c>
      <c r="AJ446" s="50">
        <f>IF(ISBLANK(S446),"",VLOOKUP(S446,'[1]plan gier'!$X$1:$AN$65536,13,FALSE))</f>
        <v>21</v>
      </c>
      <c r="AK446" s="50">
        <f>IF(ISBLANK(S446),"",VLOOKUP(S446,'[1]plan gier'!$X$1:$AN$65536,14,FALSE))</f>
        <v>16</v>
      </c>
      <c r="AL446" s="50">
        <f>IF(ISBLANK(S446),"",VLOOKUP(S446,'[1]plan gier'!$X$1:$AN$65536,15,FALSE))</f>
        <v>21</v>
      </c>
      <c r="AM446" s="50">
        <f>IF(ISBLANK(S446),"",VLOOKUP(S446,'[1]plan gier'!$X$1:$AN$65536,16,FALSE))</f>
        <v>0</v>
      </c>
      <c r="AN446" s="50">
        <f>IF(ISBLANK(S446),"",VLOOKUP(S446,'[1]plan gier'!$X$1:$AN$65536,17,FALSE))</f>
        <v>0</v>
      </c>
      <c r="AO446" s="51">
        <f t="shared" ref="AO446:AT448" si="46">IF(AI446="",0,AI446)</f>
        <v>9</v>
      </c>
      <c r="AP446" s="52">
        <f t="shared" si="46"/>
        <v>21</v>
      </c>
      <c r="AQ446" s="53">
        <f t="shared" si="46"/>
        <v>16</v>
      </c>
      <c r="AR446" s="52">
        <f t="shared" si="46"/>
        <v>21</v>
      </c>
      <c r="AS446" s="53">
        <f t="shared" si="46"/>
        <v>0</v>
      </c>
      <c r="AT446" s="52">
        <f t="shared" si="46"/>
        <v>0</v>
      </c>
      <c r="AU446" s="54">
        <f>SUM(AO446:AT446)</f>
        <v>67</v>
      </c>
      <c r="AV446" s="13">
        <v>1</v>
      </c>
      <c r="AW446" s="55"/>
      <c r="AX446" s="56"/>
      <c r="AY446" s="50">
        <f>IF(AI448&gt;AJ448,1,0)+IF(AK448&gt;AL448,1,0)+IF(AM448&gt;AN448,1,0)</f>
        <v>0</v>
      </c>
      <c r="AZ446" s="50">
        <f>AW447</f>
        <v>2</v>
      </c>
      <c r="BA446" s="50">
        <f>IF(AI446&gt;AJ446,1,0)+IF(AK446&gt;AL446,1,0)+IF(AM446&gt;AN446,1,0)</f>
        <v>0</v>
      </c>
      <c r="BB446" s="57">
        <f>AW448</f>
        <v>2</v>
      </c>
      <c r="BE446" s="49">
        <f>AO446+AQ446+AS446+AO448+AQ448+AS448</f>
        <v>46</v>
      </c>
      <c r="BF446" s="57">
        <f>AP446+AR446+AT446+AP448+AR448+AT448</f>
        <v>84</v>
      </c>
      <c r="BG446" s="49">
        <f>AY446+BA446</f>
        <v>0</v>
      </c>
      <c r="BH446" s="57">
        <f>AZ446+BB446</f>
        <v>4</v>
      </c>
      <c r="BI446" s="49">
        <f>IF(AY446&gt;AZ446,1,0)+IF(BA446&gt;BB446,1,0)</f>
        <v>0</v>
      </c>
      <c r="BJ446" s="58">
        <f>IF(AZ446&gt;AY446,1,0)+IF(BB446&gt;BA446,1,0)</f>
        <v>2</v>
      </c>
      <c r="BK446" s="59">
        <f>IF(BI446+BJ446=0,"",IF(BL446=MAX(BL446:BL448),1,IF(BL446=MIN(BL446:BL448),3,2)))</f>
        <v>3</v>
      </c>
      <c r="BL446" s="60">
        <f>IF(BI446+BJ446&lt;&gt;0,BI446+1+(BG446-BH446)/100+(BE446-BF446)/100000+(BE446/BF446)/1000000,0)</f>
        <v>0.95962054761904758</v>
      </c>
    </row>
    <row r="447" spans="1:64" ht="11.45" customHeight="1" x14ac:dyDescent="0.2">
      <c r="A447" s="19">
        <f>S447</f>
        <v>172</v>
      </c>
      <c r="B447" s="2" t="str">
        <f>IF(N447="","",N447)</f>
        <v>H5946</v>
      </c>
      <c r="C447" s="2" t="str">
        <f>IF(N448="","",N448)</f>
        <v/>
      </c>
      <c r="D447" s="2" t="str">
        <f>IF(N450="","",N450)</f>
        <v>X17</v>
      </c>
      <c r="E447" s="2" t="str">
        <f>IF(N451="","",N451)</f>
        <v/>
      </c>
      <c r="J447" s="10"/>
      <c r="K447" s="19"/>
      <c r="M447" s="42" t="str">
        <f>N443</f>
        <v>pojedyncza dziewcząt MM</v>
      </c>
      <c r="N447" s="187" t="s">
        <v>298</v>
      </c>
      <c r="O447" s="34">
        <f>IF(O442&gt;0,(O442&amp;2)*1,"")</f>
        <v>72</v>
      </c>
      <c r="Q447" s="43" t="str">
        <f>IF(AU447&gt;0,"",IF(A447=0,"",IF(VLOOKUP(A447,'[1]plan gier'!A$1:S$65536,19,FALSE)="","",VLOOKUP(A447,'[1]plan gier'!A$1:S$65536,19,FALSE))))</f>
        <v/>
      </c>
      <c r="R447" s="44" t="s">
        <v>17</v>
      </c>
      <c r="S447" s="45">
        <v>172</v>
      </c>
      <c r="T447" s="242"/>
      <c r="U447" s="244" t="str">
        <f>IF(AND(N447&lt;&gt;"",N448=""),CONCATENATE(VLOOKUP(N447,[1]zawodnicy!$A$1:$E$65536,1,FALSE)," ",VLOOKUP(N447,[1]zawodnicy!$A$1:$E$65536,2,FALSE)," ",VLOOKUP(N447,[1]zawodnicy!$A$1:$E$65536,3,FALSE)," - ",VLOOKUP(N447,[1]zawodnicy!$A$1:$E$65536,4,FALSE)),"")</f>
        <v>H5946 Paulina HANKIEWICZ - UKSB Milenium Warszawa</v>
      </c>
      <c r="V447" s="245"/>
      <c r="W447" s="246"/>
      <c r="X447" s="61" t="str">
        <f>IF(SUM(AQ448:AR448)=0,"",AR448&amp;":"&amp;AQ448)</f>
        <v>21:13</v>
      </c>
      <c r="Y447" s="62"/>
      <c r="Z447" s="37" t="str">
        <f>IF(SUM(AQ447:AR447)=0,"",AQ447&amp;":"&amp;AR447)</f>
        <v>14:21</v>
      </c>
      <c r="AA447" s="248"/>
      <c r="AB447" s="251"/>
      <c r="AC447" s="251"/>
      <c r="AD447" s="254"/>
      <c r="AE447" s="2"/>
      <c r="AF447" s="12"/>
      <c r="AG447" s="12"/>
      <c r="AH447" s="44" t="s">
        <v>17</v>
      </c>
      <c r="AI447" s="63">
        <f>IF(ISBLANK(S447),"",VLOOKUP(S447,'[1]plan gier'!$X$1:$AN$65536,12,FALSE))</f>
        <v>11</v>
      </c>
      <c r="AJ447" s="64">
        <f>IF(ISBLANK(S447),"",VLOOKUP(S447,'[1]plan gier'!$X$1:$AN$65536,13,FALSE))</f>
        <v>21</v>
      </c>
      <c r="AK447" s="64">
        <f>IF(ISBLANK(S447),"",VLOOKUP(S447,'[1]plan gier'!$X$1:$AN$65536,14,FALSE))</f>
        <v>14</v>
      </c>
      <c r="AL447" s="64">
        <f>IF(ISBLANK(S447),"",VLOOKUP(S447,'[1]plan gier'!$X$1:$AN$65536,15,FALSE))</f>
        <v>21</v>
      </c>
      <c r="AM447" s="64">
        <f>IF(ISBLANK(S447),"",VLOOKUP(S447,'[1]plan gier'!$X$1:$AN$65536,16,FALSE))</f>
        <v>0</v>
      </c>
      <c r="AN447" s="64">
        <f>IF(ISBLANK(S447),"",VLOOKUP(S447,'[1]plan gier'!$X$1:$AN$65536,17,FALSE))</f>
        <v>0</v>
      </c>
      <c r="AO447" s="65">
        <f t="shared" si="46"/>
        <v>11</v>
      </c>
      <c r="AP447" s="64">
        <f t="shared" si="46"/>
        <v>21</v>
      </c>
      <c r="AQ447" s="66">
        <f t="shared" si="46"/>
        <v>14</v>
      </c>
      <c r="AR447" s="64">
        <f t="shared" si="46"/>
        <v>21</v>
      </c>
      <c r="AS447" s="66">
        <f t="shared" si="46"/>
        <v>0</v>
      </c>
      <c r="AT447" s="64">
        <f t="shared" si="46"/>
        <v>0</v>
      </c>
      <c r="AU447" s="54">
        <f>SUM(AO447:AT447)</f>
        <v>67</v>
      </c>
      <c r="AV447" s="13">
        <v>2</v>
      </c>
      <c r="AW447" s="63">
        <f>IF(AI448&lt;AJ448,1,0)+IF(AK448&lt;AL448,1,0)+IF(AM448&lt;AN448,1,0)</f>
        <v>2</v>
      </c>
      <c r="AX447" s="64">
        <f>AY446</f>
        <v>0</v>
      </c>
      <c r="AY447" s="67"/>
      <c r="AZ447" s="68"/>
      <c r="BA447" s="64">
        <f>IF(AI447&gt;AJ447,1,0)+IF(AK447&gt;AL447,1,0)+IF(AM447&gt;AN447,1,0)</f>
        <v>0</v>
      </c>
      <c r="BB447" s="69">
        <f>AY448</f>
        <v>2</v>
      </c>
      <c r="BE447" s="63">
        <f>AO447+AQ447+AS447+AP448+AR448+AT448</f>
        <v>67</v>
      </c>
      <c r="BF447" s="69">
        <f>AP447+AR447+AT447+AO448+AQ448+AS448</f>
        <v>63</v>
      </c>
      <c r="BG447" s="63">
        <f>AW447+BA447</f>
        <v>2</v>
      </c>
      <c r="BH447" s="69">
        <f>AX447+BB447</f>
        <v>2</v>
      </c>
      <c r="BI447" s="63">
        <f>IF(AW447&gt;AX447,1,0)+IF(BA447&gt;BB447,1,0)</f>
        <v>1</v>
      </c>
      <c r="BJ447" s="70">
        <f>IF(AX447&gt;AW447,1,0)+IF(BB447&gt;BA447,1,0)</f>
        <v>1</v>
      </c>
      <c r="BK447" s="71">
        <f>IF(BI447+BJ447=0,"",IF(BL447=MAX(BL446:BL448),1,IF(BL447=MIN(BL446:BL448),3,2)))</f>
        <v>2</v>
      </c>
      <c r="BL447" s="60">
        <f>IF(BI447+BJ447&lt;&gt;0,BI447+1+(BG447-BH447)/100+(BE447-BF447)/100000+(BE447/BF447)/1000000,0)</f>
        <v>2.0000410634920631</v>
      </c>
    </row>
    <row r="448" spans="1:64" ht="11.45" customHeight="1" thickBot="1" x14ac:dyDescent="0.25">
      <c r="A448" s="19">
        <f>S448</f>
        <v>225</v>
      </c>
      <c r="B448" s="2" t="str">
        <f>IF(N444="","",N444)</f>
        <v>O5218</v>
      </c>
      <c r="C448" s="2" t="str">
        <f>IF(N445="","",N445)</f>
        <v/>
      </c>
      <c r="D448" s="2" t="str">
        <f>IF(N447="","",N447)</f>
        <v>H5946</v>
      </c>
      <c r="E448" s="2" t="str">
        <f>IF(N448="","",N448)</f>
        <v/>
      </c>
      <c r="I448" s="2" t="str">
        <f>"3"&amp;O442&amp;N443</f>
        <v>37pojedyncza dziewcząt MM</v>
      </c>
      <c r="J448" s="10" t="str">
        <f>IF(AD449="","",IF(AD443=3,N444,IF(AD446=3,N447,IF(AD449=3,N450,""))))</f>
        <v>O5218</v>
      </c>
      <c r="K448" s="10">
        <f>IF(AD449="","",IF(AD443=3,N445,IF(AD446=3,N448,IF(AD449=3,N451,""))))</f>
        <v>0</v>
      </c>
      <c r="M448" s="42" t="str">
        <f>N443</f>
        <v>pojedyncza dziewcząt MM</v>
      </c>
      <c r="N448" s="38"/>
      <c r="O448" s="28"/>
      <c r="P448" s="28"/>
      <c r="Q448" s="43" t="str">
        <f>IF(AU448&gt;0,"",IF(A448=0,"",IF(VLOOKUP(A448,'[1]plan gier'!A$1:S$65536,19,FALSE)="","",VLOOKUP(A448,'[1]plan gier'!A$1:S$65536,19,FALSE))))</f>
        <v/>
      </c>
      <c r="R448" s="72" t="s">
        <v>18</v>
      </c>
      <c r="S448" s="45">
        <v>225</v>
      </c>
      <c r="T448" s="261"/>
      <c r="U448" s="265" t="str">
        <f>IF(N448&lt;&gt;"",CONCATENATE(VLOOKUP(N448,[1]zawodnicy!$A$1:$E$65536,1,FALSE)," ",VLOOKUP(N448,[1]zawodnicy!$A$1:$E$65536,2,FALSE)," ",VLOOKUP(N448,[1]zawodnicy!$A$1:$E$65536,3,FALSE)," - ",VLOOKUP(N448,[1]zawodnicy!$A$1:$E$65536,4,FALSE)),"")</f>
        <v/>
      </c>
      <c r="V448" s="266"/>
      <c r="W448" s="267"/>
      <c r="X448" s="73" t="str">
        <f>IF(SUM(AS448:AT448)=0,"",AT448&amp;":"&amp;AS448)</f>
        <v/>
      </c>
      <c r="Y448" s="62"/>
      <c r="Z448" s="40" t="str">
        <f>IF(SUM(AS447:AT447)=0,"",AS447&amp;":"&amp;AT447)</f>
        <v/>
      </c>
      <c r="AA448" s="262"/>
      <c r="AB448" s="263"/>
      <c r="AC448" s="263"/>
      <c r="AD448" s="264"/>
      <c r="AE448" s="2"/>
      <c r="AF448" s="12"/>
      <c r="AG448" s="12"/>
      <c r="AH448" s="72" t="s">
        <v>18</v>
      </c>
      <c r="AI448" s="74">
        <f>IF(ISBLANK(S448),"",VLOOKUP(S448,'[1]plan gier'!$X$1:$AN$65536,12,FALSE))</f>
        <v>8</v>
      </c>
      <c r="AJ448" s="75">
        <f>IF(ISBLANK(S448),"",VLOOKUP(S448,'[1]plan gier'!$X$1:$AN$65536,13,FALSE))</f>
        <v>21</v>
      </c>
      <c r="AK448" s="75">
        <f>IF(ISBLANK(S448),"",VLOOKUP(S448,'[1]plan gier'!$X$1:$AN$65536,14,FALSE))</f>
        <v>13</v>
      </c>
      <c r="AL448" s="75">
        <f>IF(ISBLANK(S448),"",VLOOKUP(S448,'[1]plan gier'!$X$1:$AN$65536,15,FALSE))</f>
        <v>21</v>
      </c>
      <c r="AM448" s="75">
        <f>IF(ISBLANK(S448),"",VLOOKUP(S448,'[1]plan gier'!$X$1:$AN$65536,16,FALSE))</f>
        <v>0</v>
      </c>
      <c r="AN448" s="75">
        <f>IF(ISBLANK(S448),"",VLOOKUP(S448,'[1]plan gier'!$X$1:$AN$65536,17,FALSE))</f>
        <v>0</v>
      </c>
      <c r="AO448" s="76">
        <f t="shared" si="46"/>
        <v>8</v>
      </c>
      <c r="AP448" s="75">
        <f t="shared" si="46"/>
        <v>21</v>
      </c>
      <c r="AQ448" s="77">
        <f t="shared" si="46"/>
        <v>13</v>
      </c>
      <c r="AR448" s="75">
        <f t="shared" si="46"/>
        <v>21</v>
      </c>
      <c r="AS448" s="77">
        <f t="shared" si="46"/>
        <v>0</v>
      </c>
      <c r="AT448" s="75">
        <f t="shared" si="46"/>
        <v>0</v>
      </c>
      <c r="AU448" s="54">
        <f>SUM(AO448:AT448)</f>
        <v>63</v>
      </c>
      <c r="AV448" s="13">
        <v>3</v>
      </c>
      <c r="AW448" s="74">
        <f>IF(AI446&lt;AJ446,1,0)+IF(AK446&lt;AL446,1,0)+IF(AM446&lt;AN446,1,0)</f>
        <v>2</v>
      </c>
      <c r="AX448" s="75">
        <f>BA446</f>
        <v>0</v>
      </c>
      <c r="AY448" s="75">
        <f>IF(AI447&lt;AJ447,1,0)+IF(AK447&lt;AL447,1,0)+IF(AM447&lt;AN447,1,0)</f>
        <v>2</v>
      </c>
      <c r="AZ448" s="75">
        <f>BA447</f>
        <v>0</v>
      </c>
      <c r="BA448" s="78"/>
      <c r="BB448" s="79"/>
      <c r="BE448" s="74">
        <f>AP446+AR446+AT446+AP447+AR447+AT447</f>
        <v>84</v>
      </c>
      <c r="BF448" s="80">
        <f>AO446+AQ446+AS446+AO447+AQ447+AS447</f>
        <v>50</v>
      </c>
      <c r="BG448" s="74">
        <f>AW448+AY448</f>
        <v>4</v>
      </c>
      <c r="BH448" s="80">
        <f>AX448+AZ448</f>
        <v>0</v>
      </c>
      <c r="BI448" s="74">
        <f>IF(AW448&gt;AX448,1,0)+IF(AY448&gt;AZ448,1,0)</f>
        <v>2</v>
      </c>
      <c r="BJ448" s="81">
        <f>IF(AX448&gt;AW448,1,0)+IF(AZ448&gt;AY448,1,0)</f>
        <v>0</v>
      </c>
      <c r="BK448" s="82">
        <f>IF(BI448+BJ448=0,"",IF(BL448=MAX(BL446:BL448),1,IF(BL448=MIN(BL446:BL448),3,2)))</f>
        <v>1</v>
      </c>
      <c r="BL448" s="60">
        <f>IF(BI448+BJ448&lt;&gt;0,BI448+1+(BG448-BH448)/100+(BE448-BF448)/100000+(BE448/BF448)/1000000,0)</f>
        <v>3.04034168</v>
      </c>
    </row>
    <row r="449" spans="1:64" ht="11.45" customHeight="1" x14ac:dyDescent="0.2">
      <c r="A449" s="2"/>
      <c r="J449" s="28"/>
      <c r="K449" s="28"/>
      <c r="L449" s="28"/>
      <c r="O449" s="28"/>
      <c r="P449" s="28"/>
      <c r="Q449" s="2"/>
      <c r="R449" s="2"/>
      <c r="S449" s="2"/>
      <c r="T449" s="241">
        <v>3</v>
      </c>
      <c r="U449" s="244" t="str">
        <f>IF(AND(N450&lt;&gt;"",N451&lt;&gt;""),CONCATENATE(VLOOKUP(N450,[1]zawodnicy!$A$1:$E$65536,1,FALSE)," ",VLOOKUP(N450,[1]zawodnicy!$A$1:$E$65536,2,FALSE)," ",VLOOKUP(N450,[1]zawodnicy!$A$1:$E$65536,3,FALSE)," - ",VLOOKUP(N450,[1]zawodnicy!$A$1:$E$65536,4,FALSE)),"")</f>
        <v/>
      </c>
      <c r="V449" s="245"/>
      <c r="W449" s="246"/>
      <c r="X449" s="46" t="str">
        <f>IF(SUM(AO446:AP446)=0,"",AP446&amp;":"&amp;AO446)</f>
        <v>21:9</v>
      </c>
      <c r="Y449" s="83" t="str">
        <f>IF(SUM(AO447:AP447)=0,"",AP447&amp;":"&amp;AO447)</f>
        <v>21:11</v>
      </c>
      <c r="Z449" s="84"/>
      <c r="AA449" s="247" t="str">
        <f>IF(SUM(AW448:AZ448)=0,"",BE448&amp;":"&amp;BF448)</f>
        <v>84:50</v>
      </c>
      <c r="AB449" s="250" t="str">
        <f>IF(SUM(AW448:AZ448)=0,"",BG448&amp;":"&amp;BH448)</f>
        <v>4:0</v>
      </c>
      <c r="AC449" s="250" t="str">
        <f>IF(SUM(AW448:AZ448)=0,"",BI448&amp;":"&amp;BJ448)</f>
        <v>2:0</v>
      </c>
      <c r="AD449" s="253">
        <f>IF(SUM(BI446:BI448)&gt;0,BK448,"")</f>
        <v>1</v>
      </c>
      <c r="AE449" s="2"/>
      <c r="AF449" s="12"/>
      <c r="AG449" s="12"/>
      <c r="BE449" s="19">
        <f>SUM(BE446:BE448)</f>
        <v>197</v>
      </c>
      <c r="BF449" s="19">
        <f>SUM(BF446:BF448)</f>
        <v>197</v>
      </c>
      <c r="BG449" s="19">
        <f>SUM(BG446:BG448)</f>
        <v>6</v>
      </c>
      <c r="BH449" s="19">
        <f>SUM(BH446:BH448)</f>
        <v>6</v>
      </c>
      <c r="BK449" s="19"/>
      <c r="BL449" s="20"/>
    </row>
    <row r="450" spans="1:64" ht="11.45" customHeight="1" x14ac:dyDescent="0.2">
      <c r="A450" s="19"/>
      <c r="J450" s="19"/>
      <c r="K450" s="19"/>
      <c r="L450" s="19"/>
      <c r="N450" s="187" t="s">
        <v>182</v>
      </c>
      <c r="O450" s="34">
        <f>IF(O442&gt;0,(O442&amp;3)*1,"")</f>
        <v>73</v>
      </c>
      <c r="Q450" s="85"/>
      <c r="R450" s="85"/>
      <c r="S450" s="85"/>
      <c r="T450" s="242"/>
      <c r="U450" s="244" t="str">
        <f>IF(AND(N450&lt;&gt;"",N451=""),CONCATENATE(VLOOKUP(N450,[1]zawodnicy!$A$1:$E$65536,1,FALSE)," ",VLOOKUP(N450,[1]zawodnicy!$A$1:$E$65536,2,FALSE)," ",VLOOKUP(N450,[1]zawodnicy!$A$1:$E$65536,3,FALSE)," - ",VLOOKUP(N450,[1]zawodnicy!$A$1:$E$65536,4,FALSE)),"")</f>
        <v>X17 Anna BANDARENKA - Mińsk Białoruś</v>
      </c>
      <c r="V450" s="245"/>
      <c r="W450" s="246"/>
      <c r="X450" s="61" t="str">
        <f>IF(SUM(AQ446:AR446)=0,"",AR446&amp;":"&amp;AQ446)</f>
        <v>21:16</v>
      </c>
      <c r="Y450" s="36" t="str">
        <f>IF(SUM(AQ447:AR447)=0,"",AR447&amp;":"&amp;AQ447)</f>
        <v>21:14</v>
      </c>
      <c r="Z450" s="86"/>
      <c r="AA450" s="248"/>
      <c r="AB450" s="251"/>
      <c r="AC450" s="251"/>
      <c r="AD450" s="254"/>
      <c r="AE450" s="2"/>
      <c r="AF450" s="12"/>
      <c r="AG450" s="1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row>
    <row r="451" spans="1:64" ht="11.45" customHeight="1" thickBot="1" x14ac:dyDescent="0.25">
      <c r="A451" s="2"/>
      <c r="J451" s="28"/>
      <c r="K451" s="28"/>
      <c r="L451" s="28"/>
      <c r="N451" s="38"/>
      <c r="O451" s="28"/>
      <c r="P451" s="28"/>
      <c r="Q451" s="2"/>
      <c r="R451" s="2"/>
      <c r="S451" s="2"/>
      <c r="T451" s="243"/>
      <c r="U451" s="256" t="str">
        <f>IF(N451&lt;&gt;"",CONCATENATE(VLOOKUP(N451,[1]zawodnicy!$A$1:$E$65536,1,FALSE)," ",VLOOKUP(N451,[1]zawodnicy!$A$1:$E$65536,2,FALSE)," ",VLOOKUP(N451,[1]zawodnicy!$A$1:$E$65536,3,FALSE)," - ",VLOOKUP(N451,[1]zawodnicy!$A$1:$E$65536,4,FALSE)),"")</f>
        <v/>
      </c>
      <c r="V451" s="257"/>
      <c r="W451" s="258"/>
      <c r="X451" s="87" t="str">
        <f>IF(SUM(AS446:AT446)=0,"",AT446&amp;":"&amp;AS446)</f>
        <v/>
      </c>
      <c r="Y451" s="88" t="str">
        <f>IF(SUM(AS447:AT447)=0,"",AT447&amp;":"&amp;AS447)</f>
        <v/>
      </c>
      <c r="Z451" s="89"/>
      <c r="AA451" s="249"/>
      <c r="AB451" s="252"/>
      <c r="AC451" s="252"/>
      <c r="AD451" s="255"/>
      <c r="AE451" s="10"/>
      <c r="AF451" s="12"/>
      <c r="AG451" s="1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row>
    <row r="452" spans="1:64" s="19" customFormat="1" ht="5.0999999999999996" customHeight="1" thickBot="1" x14ac:dyDescent="0.25">
      <c r="M452" s="90"/>
      <c r="O452" s="90"/>
      <c r="P452" s="90"/>
      <c r="Q452" s="91"/>
      <c r="R452" s="91"/>
      <c r="S452" s="91"/>
      <c r="T452" s="91"/>
      <c r="U452" s="5"/>
      <c r="V452" s="5"/>
      <c r="W452" s="5"/>
      <c r="AA452" s="92"/>
      <c r="AB452" s="91"/>
      <c r="AC452" s="91"/>
      <c r="AD452" s="91"/>
      <c r="AE452" s="91"/>
      <c r="AF452" s="91"/>
      <c r="AI452" s="93"/>
      <c r="AJ452" s="94"/>
      <c r="AK452" s="94"/>
    </row>
    <row r="453" spans="1:64" ht="11.45" customHeight="1" thickBot="1" x14ac:dyDescent="0.25">
      <c r="N453" s="11"/>
      <c r="O453" s="21">
        <v>8</v>
      </c>
      <c r="Q453" s="277" t="str">
        <f>"Grupa "&amp;O453&amp;"."</f>
        <v>Grupa 8.</v>
      </c>
      <c r="R453" s="277"/>
      <c r="S453" s="277"/>
      <c r="T453" s="22" t="s">
        <v>1</v>
      </c>
      <c r="U453" s="278" t="s">
        <v>2</v>
      </c>
      <c r="V453" s="279"/>
      <c r="W453" s="280"/>
      <c r="X453" s="22">
        <v>1</v>
      </c>
      <c r="Y453" s="23">
        <v>2</v>
      </c>
      <c r="Z453" s="24">
        <v>3</v>
      </c>
      <c r="AA453" s="25" t="s">
        <v>3</v>
      </c>
      <c r="AB453" s="26" t="s">
        <v>4</v>
      </c>
      <c r="AC453" s="26" t="s">
        <v>5</v>
      </c>
      <c r="AD453" s="27" t="s">
        <v>6</v>
      </c>
      <c r="AE453" s="2"/>
      <c r="AF453" s="12"/>
      <c r="AG453" s="12"/>
      <c r="BK453" s="19"/>
      <c r="BL453" s="20"/>
    </row>
    <row r="454" spans="1:64" ht="11.45" customHeight="1" x14ac:dyDescent="0.2">
      <c r="J454" s="28"/>
      <c r="K454" s="28"/>
      <c r="L454" s="28"/>
      <c r="N454" s="29" t="s">
        <v>278</v>
      </c>
      <c r="Q454" s="274" t="s">
        <v>7</v>
      </c>
      <c r="R454" s="274"/>
      <c r="S454" s="275" t="s">
        <v>8</v>
      </c>
      <c r="T454" s="276">
        <v>1</v>
      </c>
      <c r="U454" s="244" t="str">
        <f>IF(AND(N455&lt;&gt;"",N456&lt;&gt;""),CONCATENATE(VLOOKUP(N455,[1]zawodnicy!$A$1:$E$65536,1,FALSE)," ",VLOOKUP(N455,[1]zawodnicy!$A$1:$E$65536,2,FALSE)," ",VLOOKUP(N455,[1]zawodnicy!$A$1:$E$65536,3,FALSE)," - ",VLOOKUP(N455,[1]zawodnicy!$A$1:$E$65536,4,FALSE)),"")</f>
        <v/>
      </c>
      <c r="V454" s="245"/>
      <c r="W454" s="246"/>
      <c r="X454" s="30"/>
      <c r="Y454" s="31" t="str">
        <f>IF(SUM(AO459:AP459)=0,"",AO459&amp;":"&amp;AP459)</f>
        <v>8:21</v>
      </c>
      <c r="Z454" s="32" t="str">
        <f>IF(SUM(AO457:AP457)=0,"",AO457&amp;":"&amp;AP457)</f>
        <v>21:0</v>
      </c>
      <c r="AA454" s="270" t="str">
        <f>IF(SUM(AY457:BB457)=0,"",BE457&amp;":"&amp;BF457)</f>
        <v>60:42</v>
      </c>
      <c r="AB454" s="271" t="str">
        <f>IF(SUM(AY457:BB457)=0,"",BG457&amp;":"&amp;BH457)</f>
        <v>2:2</v>
      </c>
      <c r="AC454" s="271" t="str">
        <f>IF(SUM(AY457:BB457)=0,"",BI457&amp;":"&amp;BJ457)</f>
        <v>1:1</v>
      </c>
      <c r="AD454" s="272">
        <f>IF(SUM(BI457:BI459)&gt;0,BK457,"")</f>
        <v>2</v>
      </c>
      <c r="AE454" s="2"/>
      <c r="AF454" s="12"/>
      <c r="AG454" s="12"/>
      <c r="AH454" s="14"/>
      <c r="AI454" s="273" t="s">
        <v>9</v>
      </c>
      <c r="AJ454" s="273"/>
      <c r="AK454" s="273"/>
      <c r="AL454" s="273"/>
      <c r="AM454" s="273"/>
      <c r="AN454" s="273"/>
      <c r="AO454" s="273" t="s">
        <v>10</v>
      </c>
      <c r="AP454" s="273"/>
      <c r="AQ454" s="273"/>
      <c r="AR454" s="273"/>
      <c r="AS454" s="273"/>
      <c r="AT454" s="273"/>
      <c r="BK454" s="19"/>
      <c r="BL454" s="20"/>
    </row>
    <row r="455" spans="1:64" ht="11.45" customHeight="1" thickBot="1" x14ac:dyDescent="0.25">
      <c r="I455" s="2" t="str">
        <f>"1"&amp;O453&amp;N454</f>
        <v>18pojedyncza dziewcząt MM</v>
      </c>
      <c r="J455" s="10" t="str">
        <f>IF(AD454="","",IF(AD454=1,N455,IF(AD457=1,N458,IF(AD460=1,N461,""))))</f>
        <v>X63</v>
      </c>
      <c r="K455" s="10">
        <f>IF(AD454="","",IF(AD454=1,N456,IF(AD457=1,N459,IF(AD460=1,N462,""))))</f>
        <v>0</v>
      </c>
      <c r="L455" s="10"/>
      <c r="N455" s="187" t="s">
        <v>299</v>
      </c>
      <c r="O455" s="34">
        <f>IF(O453&gt;0,(O453&amp;1)*1,"")</f>
        <v>81</v>
      </c>
      <c r="Q455" s="274"/>
      <c r="R455" s="274"/>
      <c r="S455" s="275"/>
      <c r="T455" s="242"/>
      <c r="U455" s="244" t="str">
        <f>IF(AND(N455&lt;&gt;"",N456=""),CONCATENATE(VLOOKUP(N455,[1]zawodnicy!$A$1:$E$65536,1,FALSE)," ",VLOOKUP(N455,[1]zawodnicy!$A$1:$E$65536,2,FALSE)," ",VLOOKUP(N455,[1]zawodnicy!$A$1:$E$65536,3,FALSE)," - ",VLOOKUP(N455,[1]zawodnicy!$A$1:$E$65536,4,FALSE)),"")</f>
        <v>C5063 Karolina CIEŚLUK - UKS Hubal Białystok</v>
      </c>
      <c r="V455" s="245"/>
      <c r="W455" s="246"/>
      <c r="X455" s="35"/>
      <c r="Y455" s="36" t="str">
        <f>IF(SUM(AQ459:AR459)=0,"",AQ459&amp;":"&amp;AR459)</f>
        <v>10:21</v>
      </c>
      <c r="Z455" s="37" t="str">
        <f>IF(SUM(AQ457:AR457)=0,"",AQ457&amp;":"&amp;AR457)</f>
        <v>21:0</v>
      </c>
      <c r="AA455" s="248"/>
      <c r="AB455" s="251"/>
      <c r="AC455" s="251"/>
      <c r="AD455" s="254"/>
      <c r="AE455" s="2"/>
      <c r="AF455" s="12"/>
      <c r="AG455" s="12"/>
      <c r="AH455" s="14"/>
      <c r="BE455" s="19">
        <f>SUM(BE457:BE459)</f>
        <v>144</v>
      </c>
      <c r="BF455" s="19">
        <f>SUM(BF457:BF459)</f>
        <v>144</v>
      </c>
      <c r="BG455" s="19">
        <f>SUM(BG457:BG459)</f>
        <v>6</v>
      </c>
      <c r="BH455" s="19">
        <f>SUM(BH457:BH459)</f>
        <v>6</v>
      </c>
      <c r="BK455" s="19"/>
      <c r="BL455" s="20"/>
    </row>
    <row r="456" spans="1:64" ht="11.45" customHeight="1" thickBot="1" x14ac:dyDescent="0.25">
      <c r="J456" s="10"/>
      <c r="K456" s="28"/>
      <c r="L456" s="28"/>
      <c r="N456" s="38"/>
      <c r="O456" s="28"/>
      <c r="P456" s="28"/>
      <c r="Q456" s="274"/>
      <c r="R456" s="274"/>
      <c r="S456" s="275"/>
      <c r="T456" s="261"/>
      <c r="U456" s="265" t="str">
        <f>IF(N456&lt;&gt;"",CONCATENATE(VLOOKUP(N456,[1]zawodnicy!$A$1:$E$65536,1,FALSE)," ",VLOOKUP(N456,[1]zawodnicy!$A$1:$E$65536,2,FALSE)," ",VLOOKUP(N456,[1]zawodnicy!$A$1:$E$65536,3,FALSE)," - ",VLOOKUP(N456,[1]zawodnicy!$A$1:$E$65536,4,FALSE)),"")</f>
        <v/>
      </c>
      <c r="V456" s="266"/>
      <c r="W456" s="267"/>
      <c r="X456" s="35"/>
      <c r="Y456" s="39" t="str">
        <f>IF(SUM(AS459:AT459)=0,"",AS459&amp;":"&amp;AT459)</f>
        <v/>
      </c>
      <c r="Z456" s="40" t="str">
        <f>IF(SUM(AS457:AT457)=0,"",AS457&amp;":"&amp;AT457)</f>
        <v/>
      </c>
      <c r="AA456" s="262"/>
      <c r="AB456" s="263"/>
      <c r="AC456" s="263"/>
      <c r="AD456" s="264"/>
      <c r="AE456" s="2"/>
      <c r="AF456" s="12"/>
      <c r="AG456" s="12"/>
      <c r="AH456" s="14"/>
      <c r="AI456" s="259" t="s">
        <v>12</v>
      </c>
      <c r="AJ456" s="269"/>
      <c r="AK456" s="268" t="s">
        <v>13</v>
      </c>
      <c r="AL456" s="269"/>
      <c r="AM456" s="268" t="s">
        <v>14</v>
      </c>
      <c r="AN456" s="260"/>
      <c r="AO456" s="259" t="s">
        <v>12</v>
      </c>
      <c r="AP456" s="269"/>
      <c r="AQ456" s="268" t="s">
        <v>13</v>
      </c>
      <c r="AR456" s="269"/>
      <c r="AS456" s="268" t="s">
        <v>14</v>
      </c>
      <c r="AT456" s="269"/>
      <c r="AU456" s="12"/>
      <c r="AV456" s="12"/>
      <c r="AW456" s="259">
        <v>1</v>
      </c>
      <c r="AX456" s="269"/>
      <c r="AY456" s="268">
        <v>2</v>
      </c>
      <c r="AZ456" s="269"/>
      <c r="BA456" s="268">
        <v>3</v>
      </c>
      <c r="BB456" s="260"/>
      <c r="BE456" s="259" t="s">
        <v>3</v>
      </c>
      <c r="BF456" s="260"/>
      <c r="BG456" s="259" t="s">
        <v>4</v>
      </c>
      <c r="BH456" s="260"/>
      <c r="BI456" s="259" t="s">
        <v>5</v>
      </c>
      <c r="BJ456" s="260"/>
      <c r="BK456" s="41" t="s">
        <v>6</v>
      </c>
      <c r="BL456" s="20"/>
    </row>
    <row r="457" spans="1:64" ht="11.45" customHeight="1" x14ac:dyDescent="0.2">
      <c r="A457" s="19">
        <f>S457</f>
        <v>107</v>
      </c>
      <c r="B457" s="2" t="str">
        <f>IF(N455="","",N455)</f>
        <v>C5063</v>
      </c>
      <c r="C457" s="2" t="str">
        <f>IF(N456="","",N456)</f>
        <v/>
      </c>
      <c r="D457" s="2" t="str">
        <f>IF(N461="","",N461)</f>
        <v>F4799</v>
      </c>
      <c r="E457" s="2" t="str">
        <f>IF(N462="","",N462)</f>
        <v/>
      </c>
      <c r="I457" s="2" t="str">
        <f>"2"&amp;O453&amp;N454</f>
        <v>28pojedyncza dziewcząt MM</v>
      </c>
      <c r="J457" s="10" t="str">
        <f>IF(AD457="","",IF(AD454=2,N455,IF(AD457=2,N458,IF(AD460=2,N461,""))))</f>
        <v>C5063</v>
      </c>
      <c r="K457" s="10">
        <f>IF(AD457="","",IF(AD454=2,N456,IF(AD457=2,N459,IF(AD460=2,N462,""))))</f>
        <v>0</v>
      </c>
      <c r="M457" s="42" t="str">
        <f>N454</f>
        <v>pojedyncza dziewcząt MM</v>
      </c>
      <c r="O457" s="28"/>
      <c r="P457" s="28"/>
      <c r="Q457" s="43" t="str">
        <f>IF(AU457&gt;0,"",IF(A457=0,"",IF(VLOOKUP(A457,'[1]plan gier'!A$1:S$65536,19,FALSE)="","",VLOOKUP(A457,'[1]plan gier'!A$1:S$65536,19,FALSE))))</f>
        <v/>
      </c>
      <c r="R457" s="44" t="s">
        <v>15</v>
      </c>
      <c r="S457" s="45">
        <v>107</v>
      </c>
      <c r="T457" s="241">
        <v>2</v>
      </c>
      <c r="U457" s="244" t="str">
        <f>IF(AND(N458&lt;&gt;"",N459&lt;&gt;""),CONCATENATE(VLOOKUP(N458,[1]zawodnicy!$A$1:$E$65536,1,FALSE)," ",VLOOKUP(N458,[1]zawodnicy!$A$1:$E$65536,2,FALSE)," ",VLOOKUP(N458,[1]zawodnicy!$A$1:$E$65536,3,FALSE)," - ",VLOOKUP(N458,[1]zawodnicy!$A$1:$E$65536,4,FALSE)),"")</f>
        <v/>
      </c>
      <c r="V457" s="245"/>
      <c r="W457" s="246"/>
      <c r="X457" s="46" t="str">
        <f>IF(SUM(AO459:AP459)=0,"",AP459&amp;":"&amp;AO459)</f>
        <v>21:8</v>
      </c>
      <c r="Y457" s="47"/>
      <c r="Z457" s="48" t="str">
        <f>IF(SUM(AO458:AP458)=0,"",AO458&amp;":"&amp;AP458)</f>
        <v>21:0</v>
      </c>
      <c r="AA457" s="247" t="str">
        <f>IF(SUM(AW458:AX458,BA458:BB458)=0,"",BE458&amp;":"&amp;BF458)</f>
        <v>84:18</v>
      </c>
      <c r="AB457" s="250" t="str">
        <f>IF(SUM(AW458:AX458,BA458:BB458)=0,"",BG458&amp;":"&amp;BH458)</f>
        <v>4:0</v>
      </c>
      <c r="AC457" s="250" t="str">
        <f>IF(SUM(AW458:AX458,BA458:BB458)=0,"",BI458&amp;":"&amp;BJ458)</f>
        <v>2:0</v>
      </c>
      <c r="AD457" s="253">
        <f>IF(SUM(BI457:BI459)&gt;0,BK458,"")</f>
        <v>1</v>
      </c>
      <c r="AE457" s="2"/>
      <c r="AF457" s="12"/>
      <c r="AG457" s="12"/>
      <c r="AH457" s="44" t="s">
        <v>15</v>
      </c>
      <c r="AI457" s="49">
        <f>IF(ISBLANK(S457),"",VLOOKUP(S457,'[1]plan gier'!$X$1:$AN$65536,12,FALSE))</f>
        <v>21</v>
      </c>
      <c r="AJ457" s="50">
        <f>IF(ISBLANK(S457),"",VLOOKUP(S457,'[1]plan gier'!$X$1:$AN$65536,13,FALSE))</f>
        <v>0</v>
      </c>
      <c r="AK457" s="50">
        <f>IF(ISBLANK(S457),"",VLOOKUP(S457,'[1]plan gier'!$X$1:$AN$65536,14,FALSE))</f>
        <v>21</v>
      </c>
      <c r="AL457" s="50">
        <f>IF(ISBLANK(S457),"",VLOOKUP(S457,'[1]plan gier'!$X$1:$AN$65536,15,FALSE))</f>
        <v>0</v>
      </c>
      <c r="AM457" s="50">
        <f>IF(ISBLANK(S457),"",VLOOKUP(S457,'[1]plan gier'!$X$1:$AN$65536,16,FALSE))</f>
        <v>0</v>
      </c>
      <c r="AN457" s="50">
        <f>IF(ISBLANK(S457),"",VLOOKUP(S457,'[1]plan gier'!$X$1:$AN$65536,17,FALSE))</f>
        <v>0</v>
      </c>
      <c r="AO457" s="51">
        <f t="shared" ref="AO457:AT459" si="47">IF(AI457="",0,AI457)</f>
        <v>21</v>
      </c>
      <c r="AP457" s="52">
        <f t="shared" si="47"/>
        <v>0</v>
      </c>
      <c r="AQ457" s="53">
        <f t="shared" si="47"/>
        <v>21</v>
      </c>
      <c r="AR457" s="52">
        <f t="shared" si="47"/>
        <v>0</v>
      </c>
      <c r="AS457" s="53">
        <f t="shared" si="47"/>
        <v>0</v>
      </c>
      <c r="AT457" s="52">
        <f t="shared" si="47"/>
        <v>0</v>
      </c>
      <c r="AU457" s="54">
        <f>SUM(AO457:AT457)</f>
        <v>42</v>
      </c>
      <c r="AV457" s="13">
        <v>1</v>
      </c>
      <c r="AW457" s="55"/>
      <c r="AX457" s="56"/>
      <c r="AY457" s="50">
        <f>IF(AI459&gt;AJ459,1,0)+IF(AK459&gt;AL459,1,0)+IF(AM459&gt;AN459,1,0)</f>
        <v>0</v>
      </c>
      <c r="AZ457" s="50">
        <f>AW458</f>
        <v>2</v>
      </c>
      <c r="BA457" s="50">
        <f>IF(AI457&gt;AJ457,1,0)+IF(AK457&gt;AL457,1,0)+IF(AM457&gt;AN457,1,0)</f>
        <v>2</v>
      </c>
      <c r="BB457" s="57">
        <f>AW459</f>
        <v>0</v>
      </c>
      <c r="BE457" s="49">
        <f>AO457+AQ457+AS457+AO459+AQ459+AS459</f>
        <v>60</v>
      </c>
      <c r="BF457" s="57">
        <f>AP457+AR457+AT457+AP459+AR459+AT459</f>
        <v>42</v>
      </c>
      <c r="BG457" s="49">
        <f>AY457+BA457</f>
        <v>2</v>
      </c>
      <c r="BH457" s="57">
        <f>AZ457+BB457</f>
        <v>2</v>
      </c>
      <c r="BI457" s="49">
        <f>IF(AY457&gt;AZ457,1,0)+IF(BA457&gt;BB457,1,0)</f>
        <v>1</v>
      </c>
      <c r="BJ457" s="58">
        <f>IF(AZ457&gt;AY457,1,0)+IF(BB457&gt;BA457,1,0)</f>
        <v>1</v>
      </c>
      <c r="BK457" s="59">
        <f>IF(BI457+BJ457=0,"",IF(BL457=MAX(BL457:BL459),1,IF(BL457=MIN(BL457:BL459),3,2)))</f>
        <v>2</v>
      </c>
      <c r="BL457" s="60">
        <f>IF(BI457+BJ457&lt;&gt;0,BI457+1+(BG457-BH457)/100+(BE457-BF457)/100000+(BE457/BF457)/1000000,0)</f>
        <v>2.0001814285714286</v>
      </c>
    </row>
    <row r="458" spans="1:64" ht="11.45" customHeight="1" x14ac:dyDescent="0.2">
      <c r="A458" s="19">
        <f>S458</f>
        <v>173</v>
      </c>
      <c r="B458" s="2" t="str">
        <f>IF(N458="","",N458)</f>
        <v>X63</v>
      </c>
      <c r="C458" s="2" t="str">
        <f>IF(N459="","",N459)</f>
        <v/>
      </c>
      <c r="D458" s="2" t="str">
        <f>IF(N461="","",N461)</f>
        <v>F4799</v>
      </c>
      <c r="E458" s="2" t="str">
        <f>IF(N462="","",N462)</f>
        <v/>
      </c>
      <c r="J458" s="10"/>
      <c r="K458" s="19"/>
      <c r="M458" s="42" t="str">
        <f>N454</f>
        <v>pojedyncza dziewcząt MM</v>
      </c>
      <c r="N458" s="188" t="s">
        <v>167</v>
      </c>
      <c r="O458" s="34">
        <f>IF(O453&gt;0,(O453&amp;2)*1,"")</f>
        <v>82</v>
      </c>
      <c r="Q458" s="43" t="str">
        <f>IF(AU458&gt;0,"",IF(A458=0,"",IF(VLOOKUP(A458,'[1]plan gier'!A$1:S$65536,19,FALSE)="","",VLOOKUP(A458,'[1]plan gier'!A$1:S$65536,19,FALSE))))</f>
        <v/>
      </c>
      <c r="R458" s="44" t="s">
        <v>17</v>
      </c>
      <c r="S458" s="45">
        <v>173</v>
      </c>
      <c r="T458" s="242"/>
      <c r="U458" s="244" t="str">
        <f>IF(AND(N458&lt;&gt;"",N459=""),CONCATENATE(VLOOKUP(N458,[1]zawodnicy!$A$1:$E$65536,1,FALSE)," ",VLOOKUP(N458,[1]zawodnicy!$A$1:$E$65536,2,FALSE)," ",VLOOKUP(N458,[1]zawodnicy!$A$1:$E$65536,3,FALSE)," - ",VLOOKUP(N458,[1]zawodnicy!$A$1:$E$65536,4,FALSE)),"")</f>
        <v>X63 Anna  KRAMCHANINA - Brześć 2 Białoruś</v>
      </c>
      <c r="V458" s="245"/>
      <c r="W458" s="246"/>
      <c r="X458" s="61" t="str">
        <f>IF(SUM(AQ459:AR459)=0,"",AR459&amp;":"&amp;AQ459)</f>
        <v>21:10</v>
      </c>
      <c r="Y458" s="62"/>
      <c r="Z458" s="37" t="str">
        <f>IF(SUM(AQ458:AR458)=0,"",AQ458&amp;":"&amp;AR458)</f>
        <v>21:0</v>
      </c>
      <c r="AA458" s="248"/>
      <c r="AB458" s="251"/>
      <c r="AC458" s="251"/>
      <c r="AD458" s="254"/>
      <c r="AE458" s="2"/>
      <c r="AF458" s="12"/>
      <c r="AG458" s="12"/>
      <c r="AH458" s="44" t="s">
        <v>17</v>
      </c>
      <c r="AI458" s="63">
        <f>IF(ISBLANK(S458),"",VLOOKUP(S458,'[1]plan gier'!$X$1:$AN$65536,12,FALSE))</f>
        <v>21</v>
      </c>
      <c r="AJ458" s="64">
        <f>IF(ISBLANK(S458),"",VLOOKUP(S458,'[1]plan gier'!$X$1:$AN$65536,13,FALSE))</f>
        <v>0</v>
      </c>
      <c r="AK458" s="64">
        <f>IF(ISBLANK(S458),"",VLOOKUP(S458,'[1]plan gier'!$X$1:$AN$65536,14,FALSE))</f>
        <v>21</v>
      </c>
      <c r="AL458" s="64">
        <f>IF(ISBLANK(S458),"",VLOOKUP(S458,'[1]plan gier'!$X$1:$AN$65536,15,FALSE))</f>
        <v>0</v>
      </c>
      <c r="AM458" s="64">
        <f>IF(ISBLANK(S458),"",VLOOKUP(S458,'[1]plan gier'!$X$1:$AN$65536,16,FALSE))</f>
        <v>0</v>
      </c>
      <c r="AN458" s="64">
        <f>IF(ISBLANK(S458),"",VLOOKUP(S458,'[1]plan gier'!$X$1:$AN$65536,17,FALSE))</f>
        <v>0</v>
      </c>
      <c r="AO458" s="65">
        <f t="shared" si="47"/>
        <v>21</v>
      </c>
      <c r="AP458" s="64">
        <f t="shared" si="47"/>
        <v>0</v>
      </c>
      <c r="AQ458" s="66">
        <f t="shared" si="47"/>
        <v>21</v>
      </c>
      <c r="AR458" s="64">
        <f t="shared" si="47"/>
        <v>0</v>
      </c>
      <c r="AS458" s="66">
        <f t="shared" si="47"/>
        <v>0</v>
      </c>
      <c r="AT458" s="64">
        <f t="shared" si="47"/>
        <v>0</v>
      </c>
      <c r="AU458" s="54">
        <f>SUM(AO458:AT458)</f>
        <v>42</v>
      </c>
      <c r="AV458" s="13">
        <v>2</v>
      </c>
      <c r="AW458" s="63">
        <f>IF(AI459&lt;AJ459,1,0)+IF(AK459&lt;AL459,1,0)+IF(AM459&lt;AN459,1,0)</f>
        <v>2</v>
      </c>
      <c r="AX458" s="64">
        <f>AY457</f>
        <v>0</v>
      </c>
      <c r="AY458" s="67"/>
      <c r="AZ458" s="68"/>
      <c r="BA458" s="64">
        <f>IF(AI458&gt;AJ458,1,0)+IF(AK458&gt;AL458,1,0)+IF(AM458&gt;AN458,1,0)</f>
        <v>2</v>
      </c>
      <c r="BB458" s="69">
        <f>AY459</f>
        <v>0</v>
      </c>
      <c r="BE458" s="63">
        <f>AO458+AQ458+AS458+AP459+AR459+AT459</f>
        <v>84</v>
      </c>
      <c r="BF458" s="69">
        <f>AP458+AR458+AT458+AO459+AQ459+AS459</f>
        <v>18</v>
      </c>
      <c r="BG458" s="63">
        <f>AW458+BA458</f>
        <v>4</v>
      </c>
      <c r="BH458" s="69">
        <f>AX458+BB458</f>
        <v>0</v>
      </c>
      <c r="BI458" s="63">
        <f>IF(AW458&gt;AX458,1,0)+IF(BA458&gt;BB458,1,0)</f>
        <v>2</v>
      </c>
      <c r="BJ458" s="70">
        <f>IF(AX458&gt;AW458,1,0)+IF(BB458&gt;BA458,1,0)</f>
        <v>0</v>
      </c>
      <c r="BK458" s="71">
        <f>IF(BI458+BJ458=0,"",IF(BL458=MAX(BL457:BL459),1,IF(BL458=MIN(BL457:BL459),3,2)))</f>
        <v>1</v>
      </c>
      <c r="BL458" s="60">
        <f>IF(BI458+BJ458&lt;&gt;0,BI458+1+(BG458-BH458)/100+(BE458-BF458)/100000+(BE458/BF458)/1000000,0)</f>
        <v>3.0406646666666668</v>
      </c>
    </row>
    <row r="459" spans="1:64" ht="11.45" customHeight="1" thickBot="1" x14ac:dyDescent="0.25">
      <c r="A459" s="19">
        <f>S459</f>
        <v>226</v>
      </c>
      <c r="B459" s="2" t="str">
        <f>IF(N455="","",N455)</f>
        <v>C5063</v>
      </c>
      <c r="C459" s="2" t="str">
        <f>IF(N456="","",N456)</f>
        <v/>
      </c>
      <c r="D459" s="2" t="str">
        <f>IF(N458="","",N458)</f>
        <v>X63</v>
      </c>
      <c r="E459" s="2" t="str">
        <f>IF(N459="","",N459)</f>
        <v/>
      </c>
      <c r="I459" s="2" t="str">
        <f>"3"&amp;O453&amp;N454</f>
        <v>38pojedyncza dziewcząt MM</v>
      </c>
      <c r="J459" s="10" t="str">
        <f>IF(AD460="","",IF(AD454=3,N455,IF(AD457=3,N458,IF(AD460=3,N461,""))))</f>
        <v>F4799</v>
      </c>
      <c r="K459" s="10">
        <f>IF(AD460="","",IF(AD454=3,N456,IF(AD457=3,N459,IF(AD460=3,N462,""))))</f>
        <v>0</v>
      </c>
      <c r="M459" s="42" t="str">
        <f>N454</f>
        <v>pojedyncza dziewcząt MM</v>
      </c>
      <c r="N459" s="38"/>
      <c r="O459" s="28"/>
      <c r="P459" s="28"/>
      <c r="Q459" s="43" t="str">
        <f>IF(AU459&gt;0,"",IF(A459=0,"",IF(VLOOKUP(A459,'[1]plan gier'!A$1:S$65536,19,FALSE)="","",VLOOKUP(A459,'[1]plan gier'!A$1:S$65536,19,FALSE))))</f>
        <v/>
      </c>
      <c r="R459" s="72" t="s">
        <v>18</v>
      </c>
      <c r="S459" s="45">
        <v>226</v>
      </c>
      <c r="T459" s="261"/>
      <c r="U459" s="265" t="str">
        <f>IF(N459&lt;&gt;"",CONCATENATE(VLOOKUP(N459,[1]zawodnicy!$A$1:$E$65536,1,FALSE)," ",VLOOKUP(N459,[1]zawodnicy!$A$1:$E$65536,2,FALSE)," ",VLOOKUP(N459,[1]zawodnicy!$A$1:$E$65536,3,FALSE)," - ",VLOOKUP(N459,[1]zawodnicy!$A$1:$E$65536,4,FALSE)),"")</f>
        <v/>
      </c>
      <c r="V459" s="266"/>
      <c r="W459" s="267"/>
      <c r="X459" s="73" t="str">
        <f>IF(SUM(AS459:AT459)=0,"",AT459&amp;":"&amp;AS459)</f>
        <v/>
      </c>
      <c r="Y459" s="62"/>
      <c r="Z459" s="40" t="str">
        <f>IF(SUM(AS458:AT458)=0,"",AS458&amp;":"&amp;AT458)</f>
        <v/>
      </c>
      <c r="AA459" s="262"/>
      <c r="AB459" s="263"/>
      <c r="AC459" s="263"/>
      <c r="AD459" s="264"/>
      <c r="AE459" s="2"/>
      <c r="AF459" s="12"/>
      <c r="AG459" s="12"/>
      <c r="AH459" s="72" t="s">
        <v>18</v>
      </c>
      <c r="AI459" s="74">
        <f>IF(ISBLANK(S459),"",VLOOKUP(S459,'[1]plan gier'!$X$1:$AN$65536,12,FALSE))</f>
        <v>8</v>
      </c>
      <c r="AJ459" s="75">
        <f>IF(ISBLANK(S459),"",VLOOKUP(S459,'[1]plan gier'!$X$1:$AN$65536,13,FALSE))</f>
        <v>21</v>
      </c>
      <c r="AK459" s="75">
        <f>IF(ISBLANK(S459),"",VLOOKUP(S459,'[1]plan gier'!$X$1:$AN$65536,14,FALSE))</f>
        <v>10</v>
      </c>
      <c r="AL459" s="75">
        <f>IF(ISBLANK(S459),"",VLOOKUP(S459,'[1]plan gier'!$X$1:$AN$65536,15,FALSE))</f>
        <v>21</v>
      </c>
      <c r="AM459" s="75">
        <f>IF(ISBLANK(S459),"",VLOOKUP(S459,'[1]plan gier'!$X$1:$AN$65536,16,FALSE))</f>
        <v>0</v>
      </c>
      <c r="AN459" s="75">
        <f>IF(ISBLANK(S459),"",VLOOKUP(S459,'[1]plan gier'!$X$1:$AN$65536,17,FALSE))</f>
        <v>0</v>
      </c>
      <c r="AO459" s="76">
        <f t="shared" si="47"/>
        <v>8</v>
      </c>
      <c r="AP459" s="75">
        <f t="shared" si="47"/>
        <v>21</v>
      </c>
      <c r="AQ459" s="77">
        <f t="shared" si="47"/>
        <v>10</v>
      </c>
      <c r="AR459" s="75">
        <f t="shared" si="47"/>
        <v>21</v>
      </c>
      <c r="AS459" s="77">
        <f t="shared" si="47"/>
        <v>0</v>
      </c>
      <c r="AT459" s="75">
        <f t="shared" si="47"/>
        <v>0</v>
      </c>
      <c r="AU459" s="54">
        <f>SUM(AO459:AT459)</f>
        <v>60</v>
      </c>
      <c r="AV459" s="13">
        <v>3</v>
      </c>
      <c r="AW459" s="74">
        <f>IF(AI457&lt;AJ457,1,0)+IF(AK457&lt;AL457,1,0)+IF(AM457&lt;AN457,1,0)</f>
        <v>0</v>
      </c>
      <c r="AX459" s="75">
        <f>BA457</f>
        <v>2</v>
      </c>
      <c r="AY459" s="75">
        <f>IF(AI458&lt;AJ458,1,0)+IF(AK458&lt;AL458,1,0)+IF(AM458&lt;AN458,1,0)</f>
        <v>0</v>
      </c>
      <c r="AZ459" s="75">
        <f>BA458</f>
        <v>2</v>
      </c>
      <c r="BA459" s="78"/>
      <c r="BB459" s="79"/>
      <c r="BE459" s="74">
        <f>AP457+AR457+AT457+AP458+AR458+AT458</f>
        <v>0</v>
      </c>
      <c r="BF459" s="80">
        <f>AO457+AQ457+AS457+AO458+AQ458+AS458</f>
        <v>84</v>
      </c>
      <c r="BG459" s="74">
        <f>AW459+AY459</f>
        <v>0</v>
      </c>
      <c r="BH459" s="80">
        <f>AX459+AZ459</f>
        <v>4</v>
      </c>
      <c r="BI459" s="74">
        <f>IF(AW459&gt;AX459,1,0)+IF(AY459&gt;AZ459,1,0)</f>
        <v>0</v>
      </c>
      <c r="BJ459" s="81">
        <f>IF(AX459&gt;AW459,1,0)+IF(AZ459&gt;AY459,1,0)</f>
        <v>2</v>
      </c>
      <c r="BK459" s="82">
        <f>IF(BI459+BJ459=0,"",IF(BL459=MAX(BL457:BL459),1,IF(BL459=MIN(BL457:BL459),3,2)))</f>
        <v>3</v>
      </c>
      <c r="BL459" s="60">
        <f>IF(BI459+BJ459&lt;&gt;0,BI459+1+(BG459-BH459)/100+(BE459-BF459)/100000+(BE459/BF459)/1000000,0)</f>
        <v>0.95916000000000001</v>
      </c>
    </row>
    <row r="460" spans="1:64" ht="11.45" customHeight="1" x14ac:dyDescent="0.2">
      <c r="A460" s="2"/>
      <c r="J460" s="28"/>
      <c r="K460" s="28"/>
      <c r="L460" s="28"/>
      <c r="O460" s="28"/>
      <c r="P460" s="28"/>
      <c r="Q460" s="2"/>
      <c r="R460" s="2"/>
      <c r="S460" s="2"/>
      <c r="T460" s="241">
        <v>3</v>
      </c>
      <c r="U460" s="244" t="str">
        <f>IF(AND(N461&lt;&gt;"",N462&lt;&gt;""),CONCATENATE(VLOOKUP(N461,[1]zawodnicy!$A$1:$E$65536,1,FALSE)," ",VLOOKUP(N461,[1]zawodnicy!$A$1:$E$65536,2,FALSE)," ",VLOOKUP(N461,[1]zawodnicy!$A$1:$E$65536,3,FALSE)," - ",VLOOKUP(N461,[1]zawodnicy!$A$1:$E$65536,4,FALSE)),"")</f>
        <v/>
      </c>
      <c r="V460" s="245"/>
      <c r="W460" s="246"/>
      <c r="X460" s="46" t="str">
        <f>IF(SUM(AO457:AP457)=0,"",AP457&amp;":"&amp;AO457)</f>
        <v>0:21</v>
      </c>
      <c r="Y460" s="83" t="str">
        <f>IF(SUM(AO458:AP458)=0,"",AP458&amp;":"&amp;AO458)</f>
        <v>0:21</v>
      </c>
      <c r="Z460" s="84"/>
      <c r="AA460" s="247" t="str">
        <f>IF(SUM(AW459:AZ459)=0,"",BE459&amp;":"&amp;BF459)</f>
        <v>0:84</v>
      </c>
      <c r="AB460" s="250" t="str">
        <f>IF(SUM(AW459:AZ459)=0,"",BG459&amp;":"&amp;BH459)</f>
        <v>0:4</v>
      </c>
      <c r="AC460" s="250" t="str">
        <f>IF(SUM(AW459:AZ459)=0,"",BI459&amp;":"&amp;BJ459)</f>
        <v>0:2</v>
      </c>
      <c r="AD460" s="253">
        <f>IF(SUM(BI457:BI459)&gt;0,BK459,"")</f>
        <v>3</v>
      </c>
      <c r="AE460" s="2"/>
      <c r="AF460" s="12"/>
      <c r="AG460" s="12"/>
      <c r="BE460" s="19">
        <f>SUM(BE457:BE459)</f>
        <v>144</v>
      </c>
      <c r="BF460" s="19">
        <f>SUM(BF457:BF459)</f>
        <v>144</v>
      </c>
      <c r="BG460" s="19">
        <f>SUM(BG457:BG459)</f>
        <v>6</v>
      </c>
      <c r="BH460" s="19">
        <f>SUM(BH457:BH459)</f>
        <v>6</v>
      </c>
      <c r="BK460" s="19"/>
      <c r="BL460" s="20"/>
    </row>
    <row r="461" spans="1:64" ht="11.45" customHeight="1" x14ac:dyDescent="0.2">
      <c r="A461" s="19"/>
      <c r="J461" s="19"/>
      <c r="K461" s="19"/>
      <c r="L461" s="19"/>
      <c r="N461" s="188" t="s">
        <v>300</v>
      </c>
      <c r="O461" s="34">
        <f>IF(O453&gt;0,(O453&amp;3)*1,"")</f>
        <v>83</v>
      </c>
      <c r="Q461" s="85"/>
      <c r="R461" s="85"/>
      <c r="S461" s="85"/>
      <c r="T461" s="242"/>
      <c r="U461" s="244" t="str">
        <f>IF(AND(N461&lt;&gt;"",N462=""),CONCATENATE(VLOOKUP(N461,[1]zawodnicy!$A$1:$E$65536,1,FALSE)," ",VLOOKUP(N461,[1]zawodnicy!$A$1:$E$65536,2,FALSE)," ",VLOOKUP(N461,[1]zawodnicy!$A$1:$E$65536,3,FALSE)," - ",VLOOKUP(N461,[1]zawodnicy!$A$1:$E$65536,4,FALSE)),"")</f>
        <v>F4799 Adrianna FILIPIAK - MLKS Solec Kuj.</v>
      </c>
      <c r="V461" s="245"/>
      <c r="W461" s="246"/>
      <c r="X461" s="61" t="str">
        <f>IF(SUM(AQ457:AR457)=0,"",AR457&amp;":"&amp;AQ457)</f>
        <v>0:21</v>
      </c>
      <c r="Y461" s="36" t="str">
        <f>IF(SUM(AQ458:AR458)=0,"",AR458&amp;":"&amp;AQ458)</f>
        <v>0:21</v>
      </c>
      <c r="Z461" s="86"/>
      <c r="AA461" s="248"/>
      <c r="AB461" s="251"/>
      <c r="AC461" s="251"/>
      <c r="AD461" s="254"/>
      <c r="AE461" s="2"/>
      <c r="AF461" s="12"/>
      <c r="AG461" s="1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row>
    <row r="462" spans="1:64" ht="11.45" customHeight="1" thickBot="1" x14ac:dyDescent="0.25">
      <c r="A462" s="2"/>
      <c r="J462" s="28"/>
      <c r="K462" s="28"/>
      <c r="L462" s="28"/>
      <c r="N462" s="38"/>
      <c r="O462" s="28"/>
      <c r="P462" s="28"/>
      <c r="Q462" s="2"/>
      <c r="R462" s="2"/>
      <c r="S462" s="2"/>
      <c r="T462" s="243"/>
      <c r="U462" s="256" t="str">
        <f>IF(N462&lt;&gt;"",CONCATENATE(VLOOKUP(N462,[1]zawodnicy!$A$1:$E$65536,1,FALSE)," ",VLOOKUP(N462,[1]zawodnicy!$A$1:$E$65536,2,FALSE)," ",VLOOKUP(N462,[1]zawodnicy!$A$1:$E$65536,3,FALSE)," - ",VLOOKUP(N462,[1]zawodnicy!$A$1:$E$65536,4,FALSE)),"")</f>
        <v/>
      </c>
      <c r="V462" s="257"/>
      <c r="W462" s="258"/>
      <c r="X462" s="87" t="str">
        <f>IF(SUM(AS457:AT457)=0,"",AT457&amp;":"&amp;AS457)</f>
        <v/>
      </c>
      <c r="Y462" s="88" t="str">
        <f>IF(SUM(AS458:AT458)=0,"",AT458&amp;":"&amp;AS458)</f>
        <v/>
      </c>
      <c r="Z462" s="89"/>
      <c r="AA462" s="249"/>
      <c r="AB462" s="252"/>
      <c r="AC462" s="252"/>
      <c r="AD462" s="255"/>
      <c r="AE462" s="10"/>
      <c r="AF462" s="12"/>
      <c r="AG462" s="1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row>
    <row r="463" spans="1:64" s="19" customFormat="1" ht="5.0999999999999996" customHeight="1" thickBot="1" x14ac:dyDescent="0.25">
      <c r="M463" s="90"/>
      <c r="O463" s="90"/>
      <c r="P463" s="90"/>
      <c r="Q463" s="91"/>
      <c r="R463" s="91"/>
      <c r="S463" s="91"/>
      <c r="T463" s="91"/>
      <c r="U463" s="5"/>
      <c r="V463" s="5"/>
      <c r="W463" s="5"/>
      <c r="AA463" s="92"/>
      <c r="AB463" s="91"/>
      <c r="AC463" s="91"/>
      <c r="AD463" s="91"/>
      <c r="AE463" s="91"/>
      <c r="AF463" s="91"/>
      <c r="AI463" s="93"/>
      <c r="AJ463" s="94"/>
      <c r="AK463" s="94"/>
    </row>
    <row r="464" spans="1:64" ht="11.45" customHeight="1" thickBot="1" x14ac:dyDescent="0.25">
      <c r="N464" s="11"/>
      <c r="O464" s="21">
        <v>9</v>
      </c>
      <c r="Q464" s="277" t="str">
        <f>"Grupa "&amp;O464&amp;"."</f>
        <v>Grupa 9.</v>
      </c>
      <c r="R464" s="277"/>
      <c r="S464" s="277"/>
      <c r="T464" s="22" t="s">
        <v>1</v>
      </c>
      <c r="U464" s="278" t="s">
        <v>2</v>
      </c>
      <c r="V464" s="279"/>
      <c r="W464" s="280"/>
      <c r="X464" s="22">
        <v>1</v>
      </c>
      <c r="Y464" s="23">
        <v>2</v>
      </c>
      <c r="Z464" s="24">
        <v>3</v>
      </c>
      <c r="AA464" s="25" t="s">
        <v>3</v>
      </c>
      <c r="AB464" s="26" t="s">
        <v>4</v>
      </c>
      <c r="AC464" s="26" t="s">
        <v>5</v>
      </c>
      <c r="AD464" s="27" t="s">
        <v>6</v>
      </c>
      <c r="AE464" s="2"/>
      <c r="AF464" s="12"/>
      <c r="AG464" s="12"/>
      <c r="BK464" s="19"/>
      <c r="BL464" s="20"/>
    </row>
    <row r="465" spans="1:64" ht="11.45" customHeight="1" x14ac:dyDescent="0.2">
      <c r="J465" s="28"/>
      <c r="K465" s="28"/>
      <c r="L465" s="28"/>
      <c r="N465" s="29" t="s">
        <v>278</v>
      </c>
      <c r="Q465" s="274" t="s">
        <v>7</v>
      </c>
      <c r="R465" s="274"/>
      <c r="S465" s="275" t="s">
        <v>8</v>
      </c>
      <c r="T465" s="276">
        <v>1</v>
      </c>
      <c r="U465" s="244" t="str">
        <f>IF(AND(N466&lt;&gt;"",N467&lt;&gt;""),CONCATENATE(VLOOKUP(N466,[1]zawodnicy!$A$1:$E$65536,1,FALSE)," ",VLOOKUP(N466,[1]zawodnicy!$A$1:$E$65536,2,FALSE)," ",VLOOKUP(N466,[1]zawodnicy!$A$1:$E$65536,3,FALSE)," - ",VLOOKUP(N466,[1]zawodnicy!$A$1:$E$65536,4,FALSE)),"")</f>
        <v/>
      </c>
      <c r="V465" s="245"/>
      <c r="W465" s="246"/>
      <c r="X465" s="30"/>
      <c r="Y465" s="31" t="str">
        <f>IF(SUM(AO470:AP470)=0,"",AO470&amp;":"&amp;AP470)</f>
        <v>21:9</v>
      </c>
      <c r="Z465" s="32" t="str">
        <f>IF(SUM(AO468:AP468)=0,"",AO468&amp;":"&amp;AP468)</f>
        <v>21:7</v>
      </c>
      <c r="AA465" s="270" t="str">
        <f>IF(SUM(AY468:BB468)=0,"",BE468&amp;":"&amp;BF468)</f>
        <v>84:39</v>
      </c>
      <c r="AB465" s="271" t="str">
        <f>IF(SUM(AY468:BB468)=0,"",BG468&amp;":"&amp;BH468)</f>
        <v>4:0</v>
      </c>
      <c r="AC465" s="271" t="str">
        <f>IF(SUM(AY468:BB468)=0,"",BI468&amp;":"&amp;BJ468)</f>
        <v>2:0</v>
      </c>
      <c r="AD465" s="272">
        <f>IF(SUM(BI468:BI470)&gt;0,BK468,"")</f>
        <v>1</v>
      </c>
      <c r="AE465" s="2"/>
      <c r="AF465" s="12"/>
      <c r="AG465" s="12"/>
      <c r="AH465" s="14"/>
      <c r="AI465" s="273" t="s">
        <v>9</v>
      </c>
      <c r="AJ465" s="273"/>
      <c r="AK465" s="273"/>
      <c r="AL465" s="273"/>
      <c r="AM465" s="273"/>
      <c r="AN465" s="273"/>
      <c r="AO465" s="273" t="s">
        <v>10</v>
      </c>
      <c r="AP465" s="273"/>
      <c r="AQ465" s="273"/>
      <c r="AR465" s="273"/>
      <c r="AS465" s="273"/>
      <c r="AT465" s="273"/>
      <c r="BK465" s="19"/>
      <c r="BL465" s="20"/>
    </row>
    <row r="466" spans="1:64" ht="11.45" customHeight="1" thickBot="1" x14ac:dyDescent="0.25">
      <c r="I466" s="2" t="str">
        <f>"1"&amp;O464&amp;N465</f>
        <v>19pojedyncza dziewcząt MM</v>
      </c>
      <c r="J466" s="10" t="str">
        <f>IF(AD465="","",IF(AD465=1,N466,IF(AD468=1,N469,IF(AD471=1,N472,""))))</f>
        <v>S4730</v>
      </c>
      <c r="K466" s="10">
        <f>IF(AD465="","",IF(AD465=1,N467,IF(AD468=1,N470,IF(AD471=1,N473,""))))</f>
        <v>0</v>
      </c>
      <c r="L466" s="10"/>
      <c r="N466" s="188" t="s">
        <v>301</v>
      </c>
      <c r="O466" s="34">
        <f>IF(O464&gt;0,(O464&amp;1)*1,"")</f>
        <v>91</v>
      </c>
      <c r="Q466" s="274"/>
      <c r="R466" s="274"/>
      <c r="S466" s="275"/>
      <c r="T466" s="242"/>
      <c r="U466" s="244" t="str">
        <f>IF(AND(N466&lt;&gt;"",N467=""),CONCATENATE(VLOOKUP(N466,[1]zawodnicy!$A$1:$E$65536,1,FALSE)," ",VLOOKUP(N466,[1]zawodnicy!$A$1:$E$65536,2,FALSE)," ",VLOOKUP(N466,[1]zawodnicy!$A$1:$E$65536,3,FALSE)," - ",VLOOKUP(N466,[1]zawodnicy!$A$1:$E$65536,4,FALSE)),"")</f>
        <v>S4730 Karolina SZUBERT - KS Match Point Ślęza</v>
      </c>
      <c r="V466" s="245"/>
      <c r="W466" s="246"/>
      <c r="X466" s="35"/>
      <c r="Y466" s="36" t="str">
        <f>IF(SUM(AQ470:AR470)=0,"",AQ470&amp;":"&amp;AR470)</f>
        <v>21:17</v>
      </c>
      <c r="Z466" s="37" t="str">
        <f>IF(SUM(AQ468:AR468)=0,"",AQ468&amp;":"&amp;AR468)</f>
        <v>21:6</v>
      </c>
      <c r="AA466" s="248"/>
      <c r="AB466" s="251"/>
      <c r="AC466" s="251"/>
      <c r="AD466" s="254"/>
      <c r="AE466" s="2"/>
      <c r="AF466" s="12"/>
      <c r="AG466" s="12"/>
      <c r="AH466" s="14"/>
      <c r="BE466" s="19">
        <f>SUM(BE468:BE470)</f>
        <v>185</v>
      </c>
      <c r="BF466" s="19">
        <f>SUM(BF468:BF470)</f>
        <v>185</v>
      </c>
      <c r="BG466" s="19">
        <f>SUM(BG468:BG470)</f>
        <v>6</v>
      </c>
      <c r="BH466" s="19">
        <f>SUM(BH468:BH470)</f>
        <v>6</v>
      </c>
      <c r="BK466" s="19"/>
      <c r="BL466" s="20"/>
    </row>
    <row r="467" spans="1:64" ht="11.45" customHeight="1" thickBot="1" x14ac:dyDescent="0.25">
      <c r="J467" s="10"/>
      <c r="K467" s="28"/>
      <c r="L467" s="28"/>
      <c r="N467" s="38"/>
      <c r="O467" s="28"/>
      <c r="P467" s="28"/>
      <c r="Q467" s="274"/>
      <c r="R467" s="274"/>
      <c r="S467" s="275"/>
      <c r="T467" s="261"/>
      <c r="U467" s="265" t="str">
        <f>IF(N467&lt;&gt;"",CONCATENATE(VLOOKUP(N467,[1]zawodnicy!$A$1:$E$65536,1,FALSE)," ",VLOOKUP(N467,[1]zawodnicy!$A$1:$E$65536,2,FALSE)," ",VLOOKUP(N467,[1]zawodnicy!$A$1:$E$65536,3,FALSE)," - ",VLOOKUP(N467,[1]zawodnicy!$A$1:$E$65536,4,FALSE)),"")</f>
        <v/>
      </c>
      <c r="V467" s="266"/>
      <c r="W467" s="267"/>
      <c r="X467" s="35"/>
      <c r="Y467" s="39" t="str">
        <f>IF(SUM(AS470:AT470)=0,"",AS470&amp;":"&amp;AT470)</f>
        <v/>
      </c>
      <c r="Z467" s="40" t="str">
        <f>IF(SUM(AS468:AT468)=0,"",AS468&amp;":"&amp;AT468)</f>
        <v/>
      </c>
      <c r="AA467" s="262"/>
      <c r="AB467" s="263"/>
      <c r="AC467" s="263"/>
      <c r="AD467" s="264"/>
      <c r="AE467" s="2"/>
      <c r="AF467" s="12"/>
      <c r="AG467" s="12"/>
      <c r="AH467" s="14"/>
      <c r="AI467" s="259" t="s">
        <v>12</v>
      </c>
      <c r="AJ467" s="269"/>
      <c r="AK467" s="268" t="s">
        <v>13</v>
      </c>
      <c r="AL467" s="269"/>
      <c r="AM467" s="268" t="s">
        <v>14</v>
      </c>
      <c r="AN467" s="260"/>
      <c r="AO467" s="259" t="s">
        <v>12</v>
      </c>
      <c r="AP467" s="269"/>
      <c r="AQ467" s="268" t="s">
        <v>13</v>
      </c>
      <c r="AR467" s="269"/>
      <c r="AS467" s="268" t="s">
        <v>14</v>
      </c>
      <c r="AT467" s="269"/>
      <c r="AU467" s="12"/>
      <c r="AV467" s="12"/>
      <c r="AW467" s="259">
        <v>1</v>
      </c>
      <c r="AX467" s="269"/>
      <c r="AY467" s="268">
        <v>2</v>
      </c>
      <c r="AZ467" s="269"/>
      <c r="BA467" s="268">
        <v>3</v>
      </c>
      <c r="BB467" s="260"/>
      <c r="BE467" s="259" t="s">
        <v>3</v>
      </c>
      <c r="BF467" s="260"/>
      <c r="BG467" s="259" t="s">
        <v>4</v>
      </c>
      <c r="BH467" s="260"/>
      <c r="BI467" s="259" t="s">
        <v>5</v>
      </c>
      <c r="BJ467" s="260"/>
      <c r="BK467" s="41" t="s">
        <v>6</v>
      </c>
      <c r="BL467" s="20"/>
    </row>
    <row r="468" spans="1:64" ht="11.45" customHeight="1" x14ac:dyDescent="0.2">
      <c r="A468" s="19">
        <f>S468</f>
        <v>108</v>
      </c>
      <c r="B468" s="2" t="str">
        <f>IF(N466="","",N466)</f>
        <v>S4730</v>
      </c>
      <c r="C468" s="2" t="str">
        <f>IF(N467="","",N467)</f>
        <v/>
      </c>
      <c r="D468" s="2" t="str">
        <f>IF(N472="","",N472)</f>
        <v>K5950</v>
      </c>
      <c r="E468" s="2" t="str">
        <f>IF(N473="","",N473)</f>
        <v/>
      </c>
      <c r="I468" s="2" t="str">
        <f>"2"&amp;O464&amp;N465</f>
        <v>29pojedyncza dziewcząt MM</v>
      </c>
      <c r="J468" s="10" t="str">
        <f>IF(AD468="","",IF(AD465=2,N466,IF(AD468=2,N469,IF(AD471=2,N472,""))))</f>
        <v>X31</v>
      </c>
      <c r="K468" s="10">
        <f>IF(AD468="","",IF(AD465=2,N467,IF(AD468=2,N470,IF(AD471=2,N473,""))))</f>
        <v>0</v>
      </c>
      <c r="M468" s="42" t="str">
        <f>N465</f>
        <v>pojedyncza dziewcząt MM</v>
      </c>
      <c r="O468" s="28"/>
      <c r="P468" s="28"/>
      <c r="Q468" s="43" t="str">
        <f>IF(AU468&gt;0,"",IF(A468=0,"",IF(VLOOKUP(A468,'[1]plan gier'!A$1:S$65536,19,FALSE)="","",VLOOKUP(A468,'[1]plan gier'!A$1:S$65536,19,FALSE))))</f>
        <v/>
      </c>
      <c r="R468" s="44" t="s">
        <v>15</v>
      </c>
      <c r="S468" s="45">
        <v>108</v>
      </c>
      <c r="T468" s="241">
        <v>2</v>
      </c>
      <c r="U468" s="244" t="str">
        <f>IF(AND(N469&lt;&gt;"",N470&lt;&gt;""),CONCATENATE(VLOOKUP(N469,[1]zawodnicy!$A$1:$E$65536,1,FALSE)," ",VLOOKUP(N469,[1]zawodnicy!$A$1:$E$65536,2,FALSE)," ",VLOOKUP(N469,[1]zawodnicy!$A$1:$E$65536,3,FALSE)," - ",VLOOKUP(N469,[1]zawodnicy!$A$1:$E$65536,4,FALSE)),"")</f>
        <v/>
      </c>
      <c r="V468" s="245"/>
      <c r="W468" s="246"/>
      <c r="X468" s="46" t="str">
        <f>IF(SUM(AO470:AP470)=0,"",AP470&amp;":"&amp;AO470)</f>
        <v>9:21</v>
      </c>
      <c r="Y468" s="47"/>
      <c r="Z468" s="48" t="str">
        <f>IF(SUM(AO469:AP469)=0,"",AO469&amp;":"&amp;AP469)</f>
        <v>21:10</v>
      </c>
      <c r="AA468" s="247" t="str">
        <f>IF(SUM(AW469:AX469,BA469:BB469)=0,"",BE469&amp;":"&amp;BF469)</f>
        <v>68:62</v>
      </c>
      <c r="AB468" s="250" t="str">
        <f>IF(SUM(AW469:AX469,BA469:BB469)=0,"",BG469&amp;":"&amp;BH469)</f>
        <v>2:2</v>
      </c>
      <c r="AC468" s="250" t="str">
        <f>IF(SUM(AW469:AX469,BA469:BB469)=0,"",BI469&amp;":"&amp;BJ469)</f>
        <v>1:1</v>
      </c>
      <c r="AD468" s="253">
        <f>IF(SUM(BI468:BI470)&gt;0,BK469,"")</f>
        <v>2</v>
      </c>
      <c r="AE468" s="2"/>
      <c r="AF468" s="12"/>
      <c r="AG468" s="12"/>
      <c r="AH468" s="44" t="s">
        <v>15</v>
      </c>
      <c r="AI468" s="49">
        <f>IF(ISBLANK(S468),"",VLOOKUP(S468,'[1]plan gier'!$X$1:$AN$65536,12,FALSE))</f>
        <v>21</v>
      </c>
      <c r="AJ468" s="50">
        <f>IF(ISBLANK(S468),"",VLOOKUP(S468,'[1]plan gier'!$X$1:$AN$65536,13,FALSE))</f>
        <v>7</v>
      </c>
      <c r="AK468" s="50">
        <f>IF(ISBLANK(S468),"",VLOOKUP(S468,'[1]plan gier'!$X$1:$AN$65536,14,FALSE))</f>
        <v>21</v>
      </c>
      <c r="AL468" s="50">
        <f>IF(ISBLANK(S468),"",VLOOKUP(S468,'[1]plan gier'!$X$1:$AN$65536,15,FALSE))</f>
        <v>6</v>
      </c>
      <c r="AM468" s="50">
        <f>IF(ISBLANK(S468),"",VLOOKUP(S468,'[1]plan gier'!$X$1:$AN$65536,16,FALSE))</f>
        <v>0</v>
      </c>
      <c r="AN468" s="50">
        <f>IF(ISBLANK(S468),"",VLOOKUP(S468,'[1]plan gier'!$X$1:$AN$65536,17,FALSE))</f>
        <v>0</v>
      </c>
      <c r="AO468" s="51">
        <f t="shared" ref="AO468:AT470" si="48">IF(AI468="",0,AI468)</f>
        <v>21</v>
      </c>
      <c r="AP468" s="52">
        <f t="shared" si="48"/>
        <v>7</v>
      </c>
      <c r="AQ468" s="53">
        <f t="shared" si="48"/>
        <v>21</v>
      </c>
      <c r="AR468" s="52">
        <f t="shared" si="48"/>
        <v>6</v>
      </c>
      <c r="AS468" s="53">
        <f t="shared" si="48"/>
        <v>0</v>
      </c>
      <c r="AT468" s="52">
        <f t="shared" si="48"/>
        <v>0</v>
      </c>
      <c r="AU468" s="54">
        <f>SUM(AO468:AT468)</f>
        <v>55</v>
      </c>
      <c r="AV468" s="13">
        <v>1</v>
      </c>
      <c r="AW468" s="55"/>
      <c r="AX468" s="56"/>
      <c r="AY468" s="50">
        <f>IF(AI470&gt;AJ470,1,0)+IF(AK470&gt;AL470,1,0)+IF(AM470&gt;AN470,1,0)</f>
        <v>2</v>
      </c>
      <c r="AZ468" s="50">
        <f>AW469</f>
        <v>0</v>
      </c>
      <c r="BA468" s="50">
        <f>IF(AI468&gt;AJ468,1,0)+IF(AK468&gt;AL468,1,0)+IF(AM468&gt;AN468,1,0)</f>
        <v>2</v>
      </c>
      <c r="BB468" s="57">
        <f>AW470</f>
        <v>0</v>
      </c>
      <c r="BE468" s="49">
        <f>AO468+AQ468+AS468+AO470+AQ470+AS470</f>
        <v>84</v>
      </c>
      <c r="BF468" s="57">
        <f>AP468+AR468+AT468+AP470+AR470+AT470</f>
        <v>39</v>
      </c>
      <c r="BG468" s="49">
        <f>AY468+BA468</f>
        <v>4</v>
      </c>
      <c r="BH468" s="57">
        <f>AZ468+BB468</f>
        <v>0</v>
      </c>
      <c r="BI468" s="49">
        <f>IF(AY468&gt;AZ468,1,0)+IF(BA468&gt;BB468,1,0)</f>
        <v>2</v>
      </c>
      <c r="BJ468" s="58">
        <f>IF(AZ468&gt;AY468,1,0)+IF(BB468&gt;BA468,1,0)</f>
        <v>0</v>
      </c>
      <c r="BK468" s="59">
        <f>IF(BI468+BJ468=0,"",IF(BL468=MAX(BL468:BL470),1,IF(BL468=MIN(BL468:BL470),3,2)))</f>
        <v>1</v>
      </c>
      <c r="BL468" s="60">
        <f>IF(BI468+BJ468&lt;&gt;0,BI468+1+(BG468-BH468)/100+(BE468-BF468)/100000+(BE468/BF468)/1000000,0)</f>
        <v>3.0404521538461537</v>
      </c>
    </row>
    <row r="469" spans="1:64" ht="11.45" customHeight="1" x14ac:dyDescent="0.2">
      <c r="A469" s="19">
        <f>S469</f>
        <v>174</v>
      </c>
      <c r="B469" s="2" t="str">
        <f>IF(N469="","",N469)</f>
        <v>X31</v>
      </c>
      <c r="C469" s="2" t="str">
        <f>IF(N470="","",N470)</f>
        <v/>
      </c>
      <c r="D469" s="2" t="str">
        <f>IF(N472="","",N472)</f>
        <v>K5950</v>
      </c>
      <c r="E469" s="2" t="str">
        <f>IF(N473="","",N473)</f>
        <v/>
      </c>
      <c r="J469" s="10"/>
      <c r="K469" s="19"/>
      <c r="M469" s="42" t="str">
        <f>N465</f>
        <v>pojedyncza dziewcząt MM</v>
      </c>
      <c r="N469" s="188" t="s">
        <v>302</v>
      </c>
      <c r="O469" s="34">
        <f>IF(O464&gt;0,(O464&amp;2)*1,"")</f>
        <v>92</v>
      </c>
      <c r="Q469" s="43" t="str">
        <f>IF(AU469&gt;0,"",IF(A469=0,"",IF(VLOOKUP(A469,'[1]plan gier'!A$1:S$65536,19,FALSE)="","",VLOOKUP(A469,'[1]plan gier'!A$1:S$65536,19,FALSE))))</f>
        <v/>
      </c>
      <c r="R469" s="44" t="s">
        <v>17</v>
      </c>
      <c r="S469" s="45">
        <v>174</v>
      </c>
      <c r="T469" s="242"/>
      <c r="U469" s="244" t="str">
        <f>IF(AND(N469&lt;&gt;"",N470=""),CONCATENATE(VLOOKUP(N469,[1]zawodnicy!$A$1:$E$65536,1,FALSE)," ",VLOOKUP(N469,[1]zawodnicy!$A$1:$E$65536,2,FALSE)," ",VLOOKUP(N469,[1]zawodnicy!$A$1:$E$65536,3,FALSE)," - ",VLOOKUP(N469,[1]zawodnicy!$A$1:$E$65536,4,FALSE)),"")</f>
        <v>X31 Kseniya MATYSIK - Białoruś</v>
      </c>
      <c r="V469" s="245"/>
      <c r="W469" s="246"/>
      <c r="X469" s="61" t="str">
        <f>IF(SUM(AQ470:AR470)=0,"",AR470&amp;":"&amp;AQ470)</f>
        <v>17:21</v>
      </c>
      <c r="Y469" s="62"/>
      <c r="Z469" s="37" t="str">
        <f>IF(SUM(AQ469:AR469)=0,"",AQ469&amp;":"&amp;AR469)</f>
        <v>21:10</v>
      </c>
      <c r="AA469" s="248"/>
      <c r="AB469" s="251"/>
      <c r="AC469" s="251"/>
      <c r="AD469" s="254"/>
      <c r="AE469" s="2"/>
      <c r="AF469" s="12"/>
      <c r="AG469" s="12"/>
      <c r="AH469" s="44" t="s">
        <v>17</v>
      </c>
      <c r="AI469" s="63">
        <f>IF(ISBLANK(S469),"",VLOOKUP(S469,'[1]plan gier'!$X$1:$AN$65536,12,FALSE))</f>
        <v>21</v>
      </c>
      <c r="AJ469" s="64">
        <f>IF(ISBLANK(S469),"",VLOOKUP(S469,'[1]plan gier'!$X$1:$AN$65536,13,FALSE))</f>
        <v>10</v>
      </c>
      <c r="AK469" s="64">
        <f>IF(ISBLANK(S469),"",VLOOKUP(S469,'[1]plan gier'!$X$1:$AN$65536,14,FALSE))</f>
        <v>21</v>
      </c>
      <c r="AL469" s="64">
        <f>IF(ISBLANK(S469),"",VLOOKUP(S469,'[1]plan gier'!$X$1:$AN$65536,15,FALSE))</f>
        <v>10</v>
      </c>
      <c r="AM469" s="64">
        <f>IF(ISBLANK(S469),"",VLOOKUP(S469,'[1]plan gier'!$X$1:$AN$65536,16,FALSE))</f>
        <v>0</v>
      </c>
      <c r="AN469" s="64">
        <f>IF(ISBLANK(S469),"",VLOOKUP(S469,'[1]plan gier'!$X$1:$AN$65536,17,FALSE))</f>
        <v>0</v>
      </c>
      <c r="AO469" s="65">
        <f t="shared" si="48"/>
        <v>21</v>
      </c>
      <c r="AP469" s="64">
        <f t="shared" si="48"/>
        <v>10</v>
      </c>
      <c r="AQ469" s="66">
        <f t="shared" si="48"/>
        <v>21</v>
      </c>
      <c r="AR469" s="64">
        <f t="shared" si="48"/>
        <v>10</v>
      </c>
      <c r="AS469" s="66">
        <f t="shared" si="48"/>
        <v>0</v>
      </c>
      <c r="AT469" s="64">
        <f t="shared" si="48"/>
        <v>0</v>
      </c>
      <c r="AU469" s="54">
        <f>SUM(AO469:AT469)</f>
        <v>62</v>
      </c>
      <c r="AV469" s="13">
        <v>2</v>
      </c>
      <c r="AW469" s="63">
        <f>IF(AI470&lt;AJ470,1,0)+IF(AK470&lt;AL470,1,0)+IF(AM470&lt;AN470,1,0)</f>
        <v>0</v>
      </c>
      <c r="AX469" s="64">
        <f>AY468</f>
        <v>2</v>
      </c>
      <c r="AY469" s="67"/>
      <c r="AZ469" s="68"/>
      <c r="BA469" s="64">
        <f>IF(AI469&gt;AJ469,1,0)+IF(AK469&gt;AL469,1,0)+IF(AM469&gt;AN469,1,0)</f>
        <v>2</v>
      </c>
      <c r="BB469" s="69">
        <f>AY470</f>
        <v>0</v>
      </c>
      <c r="BE469" s="63">
        <f>AO469+AQ469+AS469+AP470+AR470+AT470</f>
        <v>68</v>
      </c>
      <c r="BF469" s="69">
        <f>AP469+AR469+AT469+AO470+AQ470+AS470</f>
        <v>62</v>
      </c>
      <c r="BG469" s="63">
        <f>AW469+BA469</f>
        <v>2</v>
      </c>
      <c r="BH469" s="69">
        <f>AX469+BB469</f>
        <v>2</v>
      </c>
      <c r="BI469" s="63">
        <f>IF(AW469&gt;AX469,1,0)+IF(BA469&gt;BB469,1,0)</f>
        <v>1</v>
      </c>
      <c r="BJ469" s="70">
        <f>IF(AX469&gt;AW469,1,0)+IF(BB469&gt;BA469,1,0)</f>
        <v>1</v>
      </c>
      <c r="BK469" s="71">
        <f>IF(BI469+BJ469=0,"",IF(BL469=MAX(BL468:BL470),1,IF(BL469=MIN(BL468:BL470),3,2)))</f>
        <v>2</v>
      </c>
      <c r="BL469" s="60">
        <f>IF(BI469+BJ469&lt;&gt;0,BI469+1+(BG469-BH469)/100+(BE469-BF469)/100000+(BE469/BF469)/1000000,0)</f>
        <v>2.0000610967741936</v>
      </c>
    </row>
    <row r="470" spans="1:64" ht="11.45" customHeight="1" thickBot="1" x14ac:dyDescent="0.25">
      <c r="A470" s="19">
        <f>S470</f>
        <v>227</v>
      </c>
      <c r="B470" s="2" t="str">
        <f>IF(N466="","",N466)</f>
        <v>S4730</v>
      </c>
      <c r="C470" s="2" t="str">
        <f>IF(N467="","",N467)</f>
        <v/>
      </c>
      <c r="D470" s="2" t="str">
        <f>IF(N469="","",N469)</f>
        <v>X31</v>
      </c>
      <c r="E470" s="2" t="str">
        <f>IF(N470="","",N470)</f>
        <v/>
      </c>
      <c r="I470" s="2" t="str">
        <f>"3"&amp;O464&amp;N465</f>
        <v>39pojedyncza dziewcząt MM</v>
      </c>
      <c r="J470" s="10" t="str">
        <f>IF(AD471="","",IF(AD465=3,N466,IF(AD468=3,N469,IF(AD471=3,N472,""))))</f>
        <v>K5950</v>
      </c>
      <c r="K470" s="10">
        <f>IF(AD471="","",IF(AD465=3,N467,IF(AD468=3,N470,IF(AD471=3,N473,""))))</f>
        <v>0</v>
      </c>
      <c r="M470" s="42" t="str">
        <f>N465</f>
        <v>pojedyncza dziewcząt MM</v>
      </c>
      <c r="N470" s="38"/>
      <c r="O470" s="28"/>
      <c r="P470" s="28"/>
      <c r="Q470" s="43" t="str">
        <f>IF(AU470&gt;0,"",IF(A470=0,"",IF(VLOOKUP(A470,'[1]plan gier'!A$1:S$65536,19,FALSE)="","",VLOOKUP(A470,'[1]plan gier'!A$1:S$65536,19,FALSE))))</f>
        <v/>
      </c>
      <c r="R470" s="72" t="s">
        <v>18</v>
      </c>
      <c r="S470" s="45">
        <v>227</v>
      </c>
      <c r="T470" s="261"/>
      <c r="U470" s="265" t="str">
        <f>IF(N470&lt;&gt;"",CONCATENATE(VLOOKUP(N470,[1]zawodnicy!$A$1:$E$65536,1,FALSE)," ",VLOOKUP(N470,[1]zawodnicy!$A$1:$E$65536,2,FALSE)," ",VLOOKUP(N470,[1]zawodnicy!$A$1:$E$65536,3,FALSE)," - ",VLOOKUP(N470,[1]zawodnicy!$A$1:$E$65536,4,FALSE)),"")</f>
        <v/>
      </c>
      <c r="V470" s="266"/>
      <c r="W470" s="267"/>
      <c r="X470" s="73" t="str">
        <f>IF(SUM(AS470:AT470)=0,"",AT470&amp;":"&amp;AS470)</f>
        <v/>
      </c>
      <c r="Y470" s="62"/>
      <c r="Z470" s="40" t="str">
        <f>IF(SUM(AS469:AT469)=0,"",AS469&amp;":"&amp;AT469)</f>
        <v/>
      </c>
      <c r="AA470" s="262"/>
      <c r="AB470" s="263"/>
      <c r="AC470" s="263"/>
      <c r="AD470" s="264"/>
      <c r="AE470" s="2"/>
      <c r="AF470" s="12"/>
      <c r="AG470" s="12"/>
      <c r="AH470" s="72" t="s">
        <v>18</v>
      </c>
      <c r="AI470" s="74">
        <f>IF(ISBLANK(S470),"",VLOOKUP(S470,'[1]plan gier'!$X$1:$AN$65536,12,FALSE))</f>
        <v>21</v>
      </c>
      <c r="AJ470" s="75">
        <f>IF(ISBLANK(S470),"",VLOOKUP(S470,'[1]plan gier'!$X$1:$AN$65536,13,FALSE))</f>
        <v>9</v>
      </c>
      <c r="AK470" s="75">
        <f>IF(ISBLANK(S470),"",VLOOKUP(S470,'[1]plan gier'!$X$1:$AN$65536,14,FALSE))</f>
        <v>21</v>
      </c>
      <c r="AL470" s="75">
        <f>IF(ISBLANK(S470),"",VLOOKUP(S470,'[1]plan gier'!$X$1:$AN$65536,15,FALSE))</f>
        <v>17</v>
      </c>
      <c r="AM470" s="75">
        <f>IF(ISBLANK(S470),"",VLOOKUP(S470,'[1]plan gier'!$X$1:$AN$65536,16,FALSE))</f>
        <v>0</v>
      </c>
      <c r="AN470" s="75">
        <f>IF(ISBLANK(S470),"",VLOOKUP(S470,'[1]plan gier'!$X$1:$AN$65536,17,FALSE))</f>
        <v>0</v>
      </c>
      <c r="AO470" s="76">
        <f t="shared" si="48"/>
        <v>21</v>
      </c>
      <c r="AP470" s="75">
        <f t="shared" si="48"/>
        <v>9</v>
      </c>
      <c r="AQ470" s="77">
        <f t="shared" si="48"/>
        <v>21</v>
      </c>
      <c r="AR470" s="75">
        <f t="shared" si="48"/>
        <v>17</v>
      </c>
      <c r="AS470" s="77">
        <f t="shared" si="48"/>
        <v>0</v>
      </c>
      <c r="AT470" s="75">
        <f t="shared" si="48"/>
        <v>0</v>
      </c>
      <c r="AU470" s="54">
        <f>SUM(AO470:AT470)</f>
        <v>68</v>
      </c>
      <c r="AV470" s="13">
        <v>3</v>
      </c>
      <c r="AW470" s="74">
        <f>IF(AI468&lt;AJ468,1,0)+IF(AK468&lt;AL468,1,0)+IF(AM468&lt;AN468,1,0)</f>
        <v>0</v>
      </c>
      <c r="AX470" s="75">
        <f>BA468</f>
        <v>2</v>
      </c>
      <c r="AY470" s="75">
        <f>IF(AI469&lt;AJ469,1,0)+IF(AK469&lt;AL469,1,0)+IF(AM469&lt;AN469,1,0)</f>
        <v>0</v>
      </c>
      <c r="AZ470" s="75">
        <f>BA469</f>
        <v>2</v>
      </c>
      <c r="BA470" s="78"/>
      <c r="BB470" s="79"/>
      <c r="BE470" s="74">
        <f>AP468+AR468+AT468+AP469+AR469+AT469</f>
        <v>33</v>
      </c>
      <c r="BF470" s="80">
        <f>AO468+AQ468+AS468+AO469+AQ469+AS469</f>
        <v>84</v>
      </c>
      <c r="BG470" s="74">
        <f>AW470+AY470</f>
        <v>0</v>
      </c>
      <c r="BH470" s="80">
        <f>AX470+AZ470</f>
        <v>4</v>
      </c>
      <c r="BI470" s="74">
        <f>IF(AW470&gt;AX470,1,0)+IF(AY470&gt;AZ470,1,0)</f>
        <v>0</v>
      </c>
      <c r="BJ470" s="81">
        <f>IF(AX470&gt;AW470,1,0)+IF(AZ470&gt;AY470,1,0)</f>
        <v>2</v>
      </c>
      <c r="BK470" s="82">
        <f>IF(BI470+BJ470=0,"",IF(BL470=MAX(BL468:BL470),1,IF(BL470=MIN(BL468:BL470),3,2)))</f>
        <v>3</v>
      </c>
      <c r="BL470" s="60">
        <f>IF(BI470+BJ470&lt;&gt;0,BI470+1+(BG470-BH470)/100+(BE470-BF470)/100000+(BE470/BF470)/1000000,0)</f>
        <v>0.95949039285714277</v>
      </c>
    </row>
    <row r="471" spans="1:64" ht="11.45" customHeight="1" x14ac:dyDescent="0.2">
      <c r="A471" s="2"/>
      <c r="J471" s="28"/>
      <c r="K471" s="28"/>
      <c r="L471" s="28"/>
      <c r="O471" s="28"/>
      <c r="P471" s="28"/>
      <c r="Q471" s="2"/>
      <c r="R471" s="2"/>
      <c r="S471" s="2"/>
      <c r="T471" s="241">
        <v>3</v>
      </c>
      <c r="U471" s="244" t="str">
        <f>IF(AND(N472&lt;&gt;"",N473&lt;&gt;""),CONCATENATE(VLOOKUP(N472,[1]zawodnicy!$A$1:$E$65536,1,FALSE)," ",VLOOKUP(N472,[1]zawodnicy!$A$1:$E$65536,2,FALSE)," ",VLOOKUP(N472,[1]zawodnicy!$A$1:$E$65536,3,FALSE)," - ",VLOOKUP(N472,[1]zawodnicy!$A$1:$E$65536,4,FALSE)),"")</f>
        <v/>
      </c>
      <c r="V471" s="245"/>
      <c r="W471" s="246"/>
      <c r="X471" s="46" t="str">
        <f>IF(SUM(AO468:AP468)=0,"",AP468&amp;":"&amp;AO468)</f>
        <v>7:21</v>
      </c>
      <c r="Y471" s="83" t="str">
        <f>IF(SUM(AO469:AP469)=0,"",AP469&amp;":"&amp;AO469)</f>
        <v>10:21</v>
      </c>
      <c r="Z471" s="84"/>
      <c r="AA471" s="247" t="str">
        <f>IF(SUM(AW470:AZ470)=0,"",BE470&amp;":"&amp;BF470)</f>
        <v>33:84</v>
      </c>
      <c r="AB471" s="250" t="str">
        <f>IF(SUM(AW470:AZ470)=0,"",BG470&amp;":"&amp;BH470)</f>
        <v>0:4</v>
      </c>
      <c r="AC471" s="250" t="str">
        <f>IF(SUM(AW470:AZ470)=0,"",BI470&amp;":"&amp;BJ470)</f>
        <v>0:2</v>
      </c>
      <c r="AD471" s="253">
        <f>IF(SUM(BI468:BI470)&gt;0,BK470,"")</f>
        <v>3</v>
      </c>
      <c r="AE471" s="2"/>
      <c r="AF471" s="12"/>
      <c r="AG471" s="12"/>
      <c r="BE471" s="19">
        <f>SUM(BE468:BE470)</f>
        <v>185</v>
      </c>
      <c r="BF471" s="19">
        <f>SUM(BF468:BF470)</f>
        <v>185</v>
      </c>
      <c r="BG471" s="19">
        <f>SUM(BG468:BG470)</f>
        <v>6</v>
      </c>
      <c r="BH471" s="19">
        <f>SUM(BH468:BH470)</f>
        <v>6</v>
      </c>
      <c r="BK471" s="19"/>
      <c r="BL471" s="20"/>
    </row>
    <row r="472" spans="1:64" ht="11.45" customHeight="1" x14ac:dyDescent="0.2">
      <c r="A472" s="19"/>
      <c r="J472" s="19"/>
      <c r="K472" s="19"/>
      <c r="L472" s="19"/>
      <c r="N472" s="187" t="s">
        <v>303</v>
      </c>
      <c r="O472" s="34">
        <f>IF(O464&gt;0,(O464&amp;3)*1,"")</f>
        <v>93</v>
      </c>
      <c r="Q472" s="85"/>
      <c r="R472" s="85"/>
      <c r="S472" s="85"/>
      <c r="T472" s="242"/>
      <c r="U472" s="244" t="str">
        <f>IF(AND(N472&lt;&gt;"",N473=""),CONCATENATE(VLOOKUP(N472,[1]zawodnicy!$A$1:$E$65536,1,FALSE)," ",VLOOKUP(N472,[1]zawodnicy!$A$1:$E$65536,2,FALSE)," ",VLOOKUP(N472,[1]zawodnicy!$A$1:$E$65536,3,FALSE)," - ",VLOOKUP(N472,[1]zawodnicy!$A$1:$E$65536,4,FALSE)),"")</f>
        <v>K5950 Olga KRZEMIŃSKA - KS Masovia Płock</v>
      </c>
      <c r="V472" s="245"/>
      <c r="W472" s="246"/>
      <c r="X472" s="61" t="str">
        <f>IF(SUM(AQ468:AR468)=0,"",AR468&amp;":"&amp;AQ468)</f>
        <v>6:21</v>
      </c>
      <c r="Y472" s="36" t="str">
        <f>IF(SUM(AQ469:AR469)=0,"",AR469&amp;":"&amp;AQ469)</f>
        <v>10:21</v>
      </c>
      <c r="Z472" s="86"/>
      <c r="AA472" s="248"/>
      <c r="AB472" s="251"/>
      <c r="AC472" s="251"/>
      <c r="AD472" s="254"/>
      <c r="AE472" s="2"/>
      <c r="AF472" s="12"/>
      <c r="AG472" s="1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row>
    <row r="473" spans="1:64" ht="11.45" customHeight="1" thickBot="1" x14ac:dyDescent="0.25">
      <c r="A473" s="2"/>
      <c r="J473" s="28"/>
      <c r="K473" s="28"/>
      <c r="L473" s="28"/>
      <c r="N473" s="38"/>
      <c r="O473" s="28"/>
      <c r="P473" s="28"/>
      <c r="Q473" s="2"/>
      <c r="R473" s="2"/>
      <c r="S473" s="2"/>
      <c r="T473" s="243"/>
      <c r="U473" s="256" t="str">
        <f>IF(N473&lt;&gt;"",CONCATENATE(VLOOKUP(N473,[1]zawodnicy!$A$1:$E$65536,1,FALSE)," ",VLOOKUP(N473,[1]zawodnicy!$A$1:$E$65536,2,FALSE)," ",VLOOKUP(N473,[1]zawodnicy!$A$1:$E$65536,3,FALSE)," - ",VLOOKUP(N473,[1]zawodnicy!$A$1:$E$65536,4,FALSE)),"")</f>
        <v/>
      </c>
      <c r="V473" s="257"/>
      <c r="W473" s="258"/>
      <c r="X473" s="87" t="str">
        <f>IF(SUM(AS468:AT468)=0,"",AT468&amp;":"&amp;AS468)</f>
        <v/>
      </c>
      <c r="Y473" s="88" t="str">
        <f>IF(SUM(AS469:AT469)=0,"",AT469&amp;":"&amp;AS469)</f>
        <v/>
      </c>
      <c r="Z473" s="89"/>
      <c r="AA473" s="249"/>
      <c r="AB473" s="252"/>
      <c r="AC473" s="252"/>
      <c r="AD473" s="255"/>
      <c r="AE473" s="10"/>
      <c r="AF473" s="12"/>
      <c r="AG473" s="1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row>
    <row r="474" spans="1:64" s="19" customFormat="1" ht="5.0999999999999996" customHeight="1" thickBot="1" x14ac:dyDescent="0.25">
      <c r="M474" s="90"/>
      <c r="O474" s="90"/>
      <c r="P474" s="90"/>
      <c r="Q474" s="91"/>
      <c r="R474" s="91"/>
      <c r="S474" s="91"/>
      <c r="T474" s="91"/>
      <c r="U474" s="5"/>
      <c r="V474" s="5"/>
      <c r="W474" s="5"/>
      <c r="AA474" s="92"/>
      <c r="AB474" s="91"/>
      <c r="AC474" s="91"/>
      <c r="AD474" s="91"/>
      <c r="AE474" s="91"/>
      <c r="AF474" s="91"/>
      <c r="AI474" s="93"/>
      <c r="AJ474" s="94"/>
      <c r="AK474" s="94"/>
    </row>
    <row r="475" spans="1:64" ht="11.45" customHeight="1" thickBot="1" x14ac:dyDescent="0.25">
      <c r="N475" s="11"/>
      <c r="O475" s="21">
        <v>10</v>
      </c>
      <c r="Q475" s="277" t="str">
        <f>"Grupa "&amp;O475&amp;"."</f>
        <v>Grupa 10.</v>
      </c>
      <c r="R475" s="277"/>
      <c r="S475" s="277"/>
      <c r="T475" s="22" t="s">
        <v>1</v>
      </c>
      <c r="U475" s="278" t="s">
        <v>2</v>
      </c>
      <c r="V475" s="279"/>
      <c r="W475" s="280"/>
      <c r="X475" s="22">
        <v>1</v>
      </c>
      <c r="Y475" s="23">
        <v>2</v>
      </c>
      <c r="Z475" s="24">
        <v>3</v>
      </c>
      <c r="AA475" s="25" t="s">
        <v>3</v>
      </c>
      <c r="AB475" s="26" t="s">
        <v>4</v>
      </c>
      <c r="AC475" s="26" t="s">
        <v>5</v>
      </c>
      <c r="AD475" s="27" t="s">
        <v>6</v>
      </c>
      <c r="AE475" s="2"/>
      <c r="AF475" s="12"/>
      <c r="AG475" s="12"/>
      <c r="BK475" s="19"/>
      <c r="BL475" s="20"/>
    </row>
    <row r="476" spans="1:64" ht="11.45" customHeight="1" x14ac:dyDescent="0.2">
      <c r="J476" s="28"/>
      <c r="K476" s="28"/>
      <c r="L476" s="28"/>
      <c r="N476" s="29" t="s">
        <v>278</v>
      </c>
      <c r="Q476" s="274" t="s">
        <v>7</v>
      </c>
      <c r="R476" s="274"/>
      <c r="S476" s="275" t="s">
        <v>8</v>
      </c>
      <c r="T476" s="276">
        <v>1</v>
      </c>
      <c r="U476" s="244" t="str">
        <f>IF(AND(N477&lt;&gt;"",N478&lt;&gt;""),CONCATENATE(VLOOKUP(N477,[1]zawodnicy!$A$1:$E$65536,1,FALSE)," ",VLOOKUP(N477,[1]zawodnicy!$A$1:$E$65536,2,FALSE)," ",VLOOKUP(N477,[1]zawodnicy!$A$1:$E$65536,3,FALSE)," - ",VLOOKUP(N477,[1]zawodnicy!$A$1:$E$65536,4,FALSE)),"")</f>
        <v/>
      </c>
      <c r="V476" s="245"/>
      <c r="W476" s="246"/>
      <c r="X476" s="30"/>
      <c r="Y476" s="31" t="str">
        <f>IF(SUM(AO481:AP481)=0,"",AO481&amp;":"&amp;AP481)</f>
        <v>21:8</v>
      </c>
      <c r="Z476" s="32" t="str">
        <f>IF(SUM(AO479:AP479)=0,"",AO479&amp;":"&amp;AP479)</f>
        <v>21:3</v>
      </c>
      <c r="AA476" s="270" t="str">
        <f>IF(SUM(AY479:BB479)=0,"",BE479&amp;":"&amp;BF479)</f>
        <v>84:26</v>
      </c>
      <c r="AB476" s="271" t="str">
        <f>IF(SUM(AY479:BB479)=0,"",BG479&amp;":"&amp;BH479)</f>
        <v>4:0</v>
      </c>
      <c r="AC476" s="271" t="str">
        <f>IF(SUM(AY479:BB479)=0,"",BI479&amp;":"&amp;BJ479)</f>
        <v>2:0</v>
      </c>
      <c r="AD476" s="272">
        <f>IF(SUM(BI479:BI481)&gt;0,BK479,"")</f>
        <v>1</v>
      </c>
      <c r="AE476" s="2"/>
      <c r="AF476" s="12"/>
      <c r="AG476" s="12"/>
      <c r="AH476" s="14"/>
      <c r="AI476" s="273" t="s">
        <v>9</v>
      </c>
      <c r="AJ476" s="273"/>
      <c r="AK476" s="273"/>
      <c r="AL476" s="273"/>
      <c r="AM476" s="273"/>
      <c r="AN476" s="273"/>
      <c r="AO476" s="273" t="s">
        <v>10</v>
      </c>
      <c r="AP476" s="273"/>
      <c r="AQ476" s="273"/>
      <c r="AR476" s="273"/>
      <c r="AS476" s="273"/>
      <c r="AT476" s="273"/>
      <c r="BK476" s="19"/>
      <c r="BL476" s="20"/>
    </row>
    <row r="477" spans="1:64" ht="11.45" customHeight="1" thickBot="1" x14ac:dyDescent="0.25">
      <c r="I477" s="2" t="str">
        <f>"1"&amp;O475&amp;N476</f>
        <v>110pojedyncza dziewcząt MM</v>
      </c>
      <c r="J477" s="10" t="str">
        <f>IF(AD476="","",IF(AD476=1,N477,IF(AD479=1,N480,IF(AD482=1,N483,""))))</f>
        <v>B4319</v>
      </c>
      <c r="K477" s="10">
        <f>IF(AD476="","",IF(AD476=1,N478,IF(AD479=1,N481,IF(AD482=1,N484,""))))</f>
        <v>0</v>
      </c>
      <c r="L477" s="10"/>
      <c r="N477" s="187" t="s">
        <v>304</v>
      </c>
      <c r="O477" s="34">
        <f>IF(O475&gt;0,(O475&amp;1)*1,"")</f>
        <v>101</v>
      </c>
      <c r="Q477" s="274"/>
      <c r="R477" s="274"/>
      <c r="S477" s="275"/>
      <c r="T477" s="242"/>
      <c r="U477" s="244" t="str">
        <f>IF(AND(N477&lt;&gt;"",N478=""),CONCATENATE(VLOOKUP(N477,[1]zawodnicy!$A$1:$E$65536,1,FALSE)," ",VLOOKUP(N477,[1]zawodnicy!$A$1:$E$65536,2,FALSE)," ",VLOOKUP(N477,[1]zawodnicy!$A$1:$E$65536,3,FALSE)," - ",VLOOKUP(N477,[1]zawodnicy!$A$1:$E$65536,4,FALSE)),"")</f>
        <v>B4319 Laura BUJAK - ULKS U-2 Lotka Bytów</v>
      </c>
      <c r="V477" s="245"/>
      <c r="W477" s="246"/>
      <c r="X477" s="35"/>
      <c r="Y477" s="36" t="str">
        <f>IF(SUM(AQ481:AR481)=0,"",AQ481&amp;":"&amp;AR481)</f>
        <v>21:11</v>
      </c>
      <c r="Z477" s="37" t="str">
        <f>IF(SUM(AQ479:AR479)=0,"",AQ479&amp;":"&amp;AR479)</f>
        <v>21:4</v>
      </c>
      <c r="AA477" s="248"/>
      <c r="AB477" s="251"/>
      <c r="AC477" s="251"/>
      <c r="AD477" s="254"/>
      <c r="AE477" s="2"/>
      <c r="AF477" s="12"/>
      <c r="AG477" s="12"/>
      <c r="AH477" s="14"/>
      <c r="BE477" s="19">
        <f>SUM(BE479:BE481)</f>
        <v>175</v>
      </c>
      <c r="BF477" s="19">
        <f>SUM(BF479:BF481)</f>
        <v>175</v>
      </c>
      <c r="BG477" s="19">
        <f>SUM(BG479:BG481)</f>
        <v>6</v>
      </c>
      <c r="BH477" s="19">
        <f>SUM(BH479:BH481)</f>
        <v>6</v>
      </c>
      <c r="BK477" s="19"/>
      <c r="BL477" s="20"/>
    </row>
    <row r="478" spans="1:64" ht="11.45" customHeight="1" thickBot="1" x14ac:dyDescent="0.25">
      <c r="J478" s="10"/>
      <c r="K478" s="28"/>
      <c r="L478" s="28"/>
      <c r="N478" s="38"/>
      <c r="O478" s="28"/>
      <c r="P478" s="28"/>
      <c r="Q478" s="274"/>
      <c r="R478" s="274"/>
      <c r="S478" s="275"/>
      <c r="T478" s="261"/>
      <c r="U478" s="265" t="str">
        <f>IF(N478&lt;&gt;"",CONCATENATE(VLOOKUP(N478,[1]zawodnicy!$A$1:$E$65536,1,FALSE)," ",VLOOKUP(N478,[1]zawodnicy!$A$1:$E$65536,2,FALSE)," ",VLOOKUP(N478,[1]zawodnicy!$A$1:$E$65536,3,FALSE)," - ",VLOOKUP(N478,[1]zawodnicy!$A$1:$E$65536,4,FALSE)),"")</f>
        <v/>
      </c>
      <c r="V478" s="266"/>
      <c r="W478" s="267"/>
      <c r="X478" s="35"/>
      <c r="Y478" s="39" t="str">
        <f>IF(SUM(AS481:AT481)=0,"",AS481&amp;":"&amp;AT481)</f>
        <v/>
      </c>
      <c r="Z478" s="40" t="str">
        <f>IF(SUM(AS479:AT479)=0,"",AS479&amp;":"&amp;AT479)</f>
        <v/>
      </c>
      <c r="AA478" s="262"/>
      <c r="AB478" s="263"/>
      <c r="AC478" s="263"/>
      <c r="AD478" s="264"/>
      <c r="AE478" s="2"/>
      <c r="AF478" s="12"/>
      <c r="AG478" s="12"/>
      <c r="AH478" s="14"/>
      <c r="AI478" s="259" t="s">
        <v>12</v>
      </c>
      <c r="AJ478" s="269"/>
      <c r="AK478" s="268" t="s">
        <v>13</v>
      </c>
      <c r="AL478" s="269"/>
      <c r="AM478" s="268" t="s">
        <v>14</v>
      </c>
      <c r="AN478" s="260"/>
      <c r="AO478" s="259" t="s">
        <v>12</v>
      </c>
      <c r="AP478" s="269"/>
      <c r="AQ478" s="268" t="s">
        <v>13</v>
      </c>
      <c r="AR478" s="269"/>
      <c r="AS478" s="268" t="s">
        <v>14</v>
      </c>
      <c r="AT478" s="269"/>
      <c r="AU478" s="12"/>
      <c r="AV478" s="12"/>
      <c r="AW478" s="259">
        <v>1</v>
      </c>
      <c r="AX478" s="269"/>
      <c r="AY478" s="268">
        <v>2</v>
      </c>
      <c r="AZ478" s="269"/>
      <c r="BA478" s="268">
        <v>3</v>
      </c>
      <c r="BB478" s="260"/>
      <c r="BE478" s="259" t="s">
        <v>3</v>
      </c>
      <c r="BF478" s="260"/>
      <c r="BG478" s="259" t="s">
        <v>4</v>
      </c>
      <c r="BH478" s="260"/>
      <c r="BI478" s="259" t="s">
        <v>5</v>
      </c>
      <c r="BJ478" s="260"/>
      <c r="BK478" s="41" t="s">
        <v>6</v>
      </c>
      <c r="BL478" s="20"/>
    </row>
    <row r="479" spans="1:64" ht="11.45" customHeight="1" x14ac:dyDescent="0.2">
      <c r="A479" s="19">
        <f>S479</f>
        <v>109</v>
      </c>
      <c r="B479" s="2" t="str">
        <f>IF(N477="","",N477)</f>
        <v>B4319</v>
      </c>
      <c r="C479" s="2" t="str">
        <f>IF(N478="","",N478)</f>
        <v/>
      </c>
      <c r="D479" s="2" t="str">
        <f>IF(N483="","",N483)</f>
        <v>K5949</v>
      </c>
      <c r="E479" s="2" t="str">
        <f>IF(N484="","",N484)</f>
        <v/>
      </c>
      <c r="I479" s="2" t="str">
        <f>"2"&amp;O475&amp;N476</f>
        <v>210pojedyncza dziewcząt MM</v>
      </c>
      <c r="J479" s="10" t="str">
        <f>IF(AD479="","",IF(AD476=2,N477,IF(AD479=2,N480,IF(AD482=2,N483,""))))</f>
        <v>G5614</v>
      </c>
      <c r="K479" s="10">
        <f>IF(AD479="","",IF(AD476=2,N478,IF(AD479=2,N481,IF(AD482=2,N484,""))))</f>
        <v>0</v>
      </c>
      <c r="M479" s="42" t="str">
        <f>N476</f>
        <v>pojedyncza dziewcząt MM</v>
      </c>
      <c r="O479" s="28"/>
      <c r="P479" s="28"/>
      <c r="Q479" s="43" t="str">
        <f>IF(AU479&gt;0,"",IF(A479=0,"",IF(VLOOKUP(A479,'[1]plan gier'!A$1:S$65536,19,FALSE)="","",VLOOKUP(A479,'[1]plan gier'!A$1:S$65536,19,FALSE))))</f>
        <v/>
      </c>
      <c r="R479" s="44" t="s">
        <v>15</v>
      </c>
      <c r="S479" s="45">
        <v>109</v>
      </c>
      <c r="T479" s="241">
        <v>2</v>
      </c>
      <c r="U479" s="244" t="str">
        <f>IF(AND(N480&lt;&gt;"",N481&lt;&gt;""),CONCATENATE(VLOOKUP(N480,[1]zawodnicy!$A$1:$E$65536,1,FALSE)," ",VLOOKUP(N480,[1]zawodnicy!$A$1:$E$65536,2,FALSE)," ",VLOOKUP(N480,[1]zawodnicy!$A$1:$E$65536,3,FALSE)," - ",VLOOKUP(N480,[1]zawodnicy!$A$1:$E$65536,4,FALSE)),"")</f>
        <v/>
      </c>
      <c r="V479" s="245"/>
      <c r="W479" s="246"/>
      <c r="X479" s="46" t="str">
        <f>IF(SUM(AO481:AP481)=0,"",AP481&amp;":"&amp;AO481)</f>
        <v>8:21</v>
      </c>
      <c r="Y479" s="47"/>
      <c r="Z479" s="48" t="str">
        <f>IF(SUM(AO480:AP480)=0,"",AO480&amp;":"&amp;AP480)</f>
        <v>21:13</v>
      </c>
      <c r="AA479" s="247" t="str">
        <f>IF(SUM(AW480:AX480,BA480:BB480)=0,"",BE480&amp;":"&amp;BF480)</f>
        <v>61:65</v>
      </c>
      <c r="AB479" s="250" t="str">
        <f>IF(SUM(AW480:AX480,BA480:BB480)=0,"",BG480&amp;":"&amp;BH480)</f>
        <v>2:2</v>
      </c>
      <c r="AC479" s="250" t="str">
        <f>IF(SUM(AW480:AX480,BA480:BB480)=0,"",BI480&amp;":"&amp;BJ480)</f>
        <v>1:1</v>
      </c>
      <c r="AD479" s="253">
        <f>IF(SUM(BI479:BI481)&gt;0,BK480,"")</f>
        <v>2</v>
      </c>
      <c r="AE479" s="2"/>
      <c r="AF479" s="12"/>
      <c r="AG479" s="12"/>
      <c r="AH479" s="44" t="s">
        <v>15</v>
      </c>
      <c r="AI479" s="49">
        <f>IF(ISBLANK(S479),"",VLOOKUP(S479,'[1]plan gier'!$X$1:$AN$65536,12,FALSE))</f>
        <v>21</v>
      </c>
      <c r="AJ479" s="50">
        <f>IF(ISBLANK(S479),"",VLOOKUP(S479,'[1]plan gier'!$X$1:$AN$65536,13,FALSE))</f>
        <v>3</v>
      </c>
      <c r="AK479" s="50">
        <f>IF(ISBLANK(S479),"",VLOOKUP(S479,'[1]plan gier'!$X$1:$AN$65536,14,FALSE))</f>
        <v>21</v>
      </c>
      <c r="AL479" s="50">
        <f>IF(ISBLANK(S479),"",VLOOKUP(S479,'[1]plan gier'!$X$1:$AN$65536,15,FALSE))</f>
        <v>4</v>
      </c>
      <c r="AM479" s="50">
        <f>IF(ISBLANK(S479),"",VLOOKUP(S479,'[1]plan gier'!$X$1:$AN$65536,16,FALSE))</f>
        <v>0</v>
      </c>
      <c r="AN479" s="50">
        <f>IF(ISBLANK(S479),"",VLOOKUP(S479,'[1]plan gier'!$X$1:$AN$65536,17,FALSE))</f>
        <v>0</v>
      </c>
      <c r="AO479" s="51">
        <f t="shared" ref="AO479:AT481" si="49">IF(AI479="",0,AI479)</f>
        <v>21</v>
      </c>
      <c r="AP479" s="52">
        <f t="shared" si="49"/>
        <v>3</v>
      </c>
      <c r="AQ479" s="53">
        <f t="shared" si="49"/>
        <v>21</v>
      </c>
      <c r="AR479" s="52">
        <f t="shared" si="49"/>
        <v>4</v>
      </c>
      <c r="AS479" s="53">
        <f t="shared" si="49"/>
        <v>0</v>
      </c>
      <c r="AT479" s="52">
        <f t="shared" si="49"/>
        <v>0</v>
      </c>
      <c r="AU479" s="54">
        <f>SUM(AO479:AT479)</f>
        <v>49</v>
      </c>
      <c r="AV479" s="13">
        <v>1</v>
      </c>
      <c r="AW479" s="55"/>
      <c r="AX479" s="56"/>
      <c r="AY479" s="50">
        <f>IF(AI481&gt;AJ481,1,0)+IF(AK481&gt;AL481,1,0)+IF(AM481&gt;AN481,1,0)</f>
        <v>2</v>
      </c>
      <c r="AZ479" s="50">
        <f>AW480</f>
        <v>0</v>
      </c>
      <c r="BA479" s="50">
        <f>IF(AI479&gt;AJ479,1,0)+IF(AK479&gt;AL479,1,0)+IF(AM479&gt;AN479,1,0)</f>
        <v>2</v>
      </c>
      <c r="BB479" s="57">
        <f>AW481</f>
        <v>0</v>
      </c>
      <c r="BE479" s="49">
        <f>AO479+AQ479+AS479+AO481+AQ481+AS481</f>
        <v>84</v>
      </c>
      <c r="BF479" s="57">
        <f>AP479+AR479+AT479+AP481+AR481+AT481</f>
        <v>26</v>
      </c>
      <c r="BG479" s="49">
        <f>AY479+BA479</f>
        <v>4</v>
      </c>
      <c r="BH479" s="57">
        <f>AZ479+BB479</f>
        <v>0</v>
      </c>
      <c r="BI479" s="49">
        <f>IF(AY479&gt;AZ479,1,0)+IF(BA479&gt;BB479,1,0)</f>
        <v>2</v>
      </c>
      <c r="BJ479" s="58">
        <f>IF(AZ479&gt;AY479,1,0)+IF(BB479&gt;BA479,1,0)</f>
        <v>0</v>
      </c>
      <c r="BK479" s="59">
        <f>IF(BI479+BJ479=0,"",IF(BL479=MAX(BL479:BL481),1,IF(BL479=MIN(BL479:BL481),3,2)))</f>
        <v>1</v>
      </c>
      <c r="BL479" s="60">
        <f>IF(BI479+BJ479&lt;&gt;0,BI479+1+(BG479-BH479)/100+(BE479-BF479)/100000+(BE479/BF479)/1000000,0)</f>
        <v>3.0405832307692306</v>
      </c>
    </row>
    <row r="480" spans="1:64" ht="11.45" customHeight="1" x14ac:dyDescent="0.2">
      <c r="A480" s="19">
        <f>S480</f>
        <v>175</v>
      </c>
      <c r="B480" s="2" t="str">
        <f>IF(N480="","",N480)</f>
        <v>G5614</v>
      </c>
      <c r="C480" s="2" t="str">
        <f>IF(N481="","",N481)</f>
        <v/>
      </c>
      <c r="D480" s="2" t="str">
        <f>IF(N483="","",N483)</f>
        <v>K5949</v>
      </c>
      <c r="E480" s="2" t="str">
        <f>IF(N484="","",N484)</f>
        <v/>
      </c>
      <c r="J480" s="10"/>
      <c r="K480" s="19"/>
      <c r="M480" s="42" t="str">
        <f>N476</f>
        <v>pojedyncza dziewcząt MM</v>
      </c>
      <c r="N480" s="187" t="s">
        <v>305</v>
      </c>
      <c r="O480" s="34">
        <f>IF(O475&gt;0,(O475&amp;2)*1,"")</f>
        <v>102</v>
      </c>
      <c r="Q480" s="43" t="str">
        <f>IF(AU480&gt;0,"",IF(A480=0,"",IF(VLOOKUP(A480,'[1]plan gier'!A$1:S$65536,19,FALSE)="","",VLOOKUP(A480,'[1]plan gier'!A$1:S$65536,19,FALSE))))</f>
        <v/>
      </c>
      <c r="R480" s="44" t="s">
        <v>17</v>
      </c>
      <c r="S480" s="45">
        <v>175</v>
      </c>
      <c r="T480" s="242"/>
      <c r="U480" s="244" t="str">
        <f>IF(AND(N480&lt;&gt;"",N481=""),CONCATENATE(VLOOKUP(N480,[1]zawodnicy!$A$1:$E$65536,1,FALSE)," ",VLOOKUP(N480,[1]zawodnicy!$A$1:$E$65536,2,FALSE)," ",VLOOKUP(N480,[1]zawodnicy!$A$1:$E$65536,3,FALSE)," - ",VLOOKUP(N480,[1]zawodnicy!$A$1:$E$65536,4,FALSE)),"")</f>
        <v>G5614 Weronika GÓRNIAK - UKSB Milenium Warszawa</v>
      </c>
      <c r="V480" s="245"/>
      <c r="W480" s="246"/>
      <c r="X480" s="61" t="str">
        <f>IF(SUM(AQ481:AR481)=0,"",AR481&amp;":"&amp;AQ481)</f>
        <v>11:21</v>
      </c>
      <c r="Y480" s="62"/>
      <c r="Z480" s="37" t="str">
        <f>IF(SUM(AQ480:AR480)=0,"",AQ480&amp;":"&amp;AR480)</f>
        <v>21:10</v>
      </c>
      <c r="AA480" s="248"/>
      <c r="AB480" s="251"/>
      <c r="AC480" s="251"/>
      <c r="AD480" s="254"/>
      <c r="AE480" s="2"/>
      <c r="AF480" s="12"/>
      <c r="AG480" s="12"/>
      <c r="AH480" s="44" t="s">
        <v>17</v>
      </c>
      <c r="AI480" s="63">
        <f>IF(ISBLANK(S480),"",VLOOKUP(S480,'[1]plan gier'!$X$1:$AN$65536,12,FALSE))</f>
        <v>21</v>
      </c>
      <c r="AJ480" s="64">
        <f>IF(ISBLANK(S480),"",VLOOKUP(S480,'[1]plan gier'!$X$1:$AN$65536,13,FALSE))</f>
        <v>13</v>
      </c>
      <c r="AK480" s="64">
        <f>IF(ISBLANK(S480),"",VLOOKUP(S480,'[1]plan gier'!$X$1:$AN$65536,14,FALSE))</f>
        <v>21</v>
      </c>
      <c r="AL480" s="64">
        <f>IF(ISBLANK(S480),"",VLOOKUP(S480,'[1]plan gier'!$X$1:$AN$65536,15,FALSE))</f>
        <v>10</v>
      </c>
      <c r="AM480" s="64">
        <f>IF(ISBLANK(S480),"",VLOOKUP(S480,'[1]plan gier'!$X$1:$AN$65536,16,FALSE))</f>
        <v>0</v>
      </c>
      <c r="AN480" s="64">
        <f>IF(ISBLANK(S480),"",VLOOKUP(S480,'[1]plan gier'!$X$1:$AN$65536,17,FALSE))</f>
        <v>0</v>
      </c>
      <c r="AO480" s="65">
        <f t="shared" si="49"/>
        <v>21</v>
      </c>
      <c r="AP480" s="64">
        <f t="shared" si="49"/>
        <v>13</v>
      </c>
      <c r="AQ480" s="66">
        <f t="shared" si="49"/>
        <v>21</v>
      </c>
      <c r="AR480" s="64">
        <f t="shared" si="49"/>
        <v>10</v>
      </c>
      <c r="AS480" s="66">
        <f t="shared" si="49"/>
        <v>0</v>
      </c>
      <c r="AT480" s="64">
        <f t="shared" si="49"/>
        <v>0</v>
      </c>
      <c r="AU480" s="54">
        <f>SUM(AO480:AT480)</f>
        <v>65</v>
      </c>
      <c r="AV480" s="13">
        <v>2</v>
      </c>
      <c r="AW480" s="63">
        <f>IF(AI481&lt;AJ481,1,0)+IF(AK481&lt;AL481,1,0)+IF(AM481&lt;AN481,1,0)</f>
        <v>0</v>
      </c>
      <c r="AX480" s="64">
        <f>AY479</f>
        <v>2</v>
      </c>
      <c r="AY480" s="67"/>
      <c r="AZ480" s="68"/>
      <c r="BA480" s="64">
        <f>IF(AI480&gt;AJ480,1,0)+IF(AK480&gt;AL480,1,0)+IF(AM480&gt;AN480,1,0)</f>
        <v>2</v>
      </c>
      <c r="BB480" s="69">
        <f>AY481</f>
        <v>0</v>
      </c>
      <c r="BE480" s="63">
        <f>AO480+AQ480+AS480+AP481+AR481+AT481</f>
        <v>61</v>
      </c>
      <c r="BF480" s="69">
        <f>AP480+AR480+AT480+AO481+AQ481+AS481</f>
        <v>65</v>
      </c>
      <c r="BG480" s="63">
        <f>AW480+BA480</f>
        <v>2</v>
      </c>
      <c r="BH480" s="69">
        <f>AX480+BB480</f>
        <v>2</v>
      </c>
      <c r="BI480" s="63">
        <f>IF(AW480&gt;AX480,1,0)+IF(BA480&gt;BB480,1,0)</f>
        <v>1</v>
      </c>
      <c r="BJ480" s="70">
        <f>IF(AX480&gt;AW480,1,0)+IF(BB480&gt;BA480,1,0)</f>
        <v>1</v>
      </c>
      <c r="BK480" s="71">
        <f>IF(BI480+BJ480=0,"",IF(BL480=MAX(BL479:BL481),1,IF(BL480=MIN(BL479:BL481),3,2)))</f>
        <v>2</v>
      </c>
      <c r="BL480" s="60">
        <f>IF(BI480+BJ480&lt;&gt;0,BI480+1+(BG480-BH480)/100+(BE480-BF480)/100000+(BE480/BF480)/1000000,0)</f>
        <v>1.9999609384615384</v>
      </c>
    </row>
    <row r="481" spans="1:64" ht="11.45" customHeight="1" thickBot="1" x14ac:dyDescent="0.25">
      <c r="A481" s="19">
        <f>S481</f>
        <v>228</v>
      </c>
      <c r="B481" s="2" t="str">
        <f>IF(N477="","",N477)</f>
        <v>B4319</v>
      </c>
      <c r="C481" s="2" t="str">
        <f>IF(N478="","",N478)</f>
        <v/>
      </c>
      <c r="D481" s="2" t="str">
        <f>IF(N480="","",N480)</f>
        <v>G5614</v>
      </c>
      <c r="E481" s="2" t="str">
        <f>IF(N481="","",N481)</f>
        <v/>
      </c>
      <c r="I481" s="2" t="str">
        <f>"3"&amp;O475&amp;N476</f>
        <v>310pojedyncza dziewcząt MM</v>
      </c>
      <c r="J481" s="10" t="str">
        <f>IF(AD482="","",IF(AD476=3,N477,IF(AD479=3,N480,IF(AD482=3,N483,""))))</f>
        <v>K5949</v>
      </c>
      <c r="K481" s="10">
        <f>IF(AD482="","",IF(AD476=3,N478,IF(AD479=3,N481,IF(AD482=3,N484,""))))</f>
        <v>0</v>
      </c>
      <c r="M481" s="42" t="str">
        <f>N476</f>
        <v>pojedyncza dziewcząt MM</v>
      </c>
      <c r="N481" s="38"/>
      <c r="O481" s="28"/>
      <c r="P481" s="28"/>
      <c r="Q481" s="43" t="str">
        <f>IF(AU481&gt;0,"",IF(A481=0,"",IF(VLOOKUP(A481,'[1]plan gier'!A$1:S$65536,19,FALSE)="","",VLOOKUP(A481,'[1]plan gier'!A$1:S$65536,19,FALSE))))</f>
        <v/>
      </c>
      <c r="R481" s="72" t="s">
        <v>18</v>
      </c>
      <c r="S481" s="45">
        <v>228</v>
      </c>
      <c r="T481" s="261"/>
      <c r="U481" s="265" t="str">
        <f>IF(N481&lt;&gt;"",CONCATENATE(VLOOKUP(N481,[1]zawodnicy!$A$1:$E$65536,1,FALSE)," ",VLOOKUP(N481,[1]zawodnicy!$A$1:$E$65536,2,FALSE)," ",VLOOKUP(N481,[1]zawodnicy!$A$1:$E$65536,3,FALSE)," - ",VLOOKUP(N481,[1]zawodnicy!$A$1:$E$65536,4,FALSE)),"")</f>
        <v/>
      </c>
      <c r="V481" s="266"/>
      <c r="W481" s="267"/>
      <c r="X481" s="73" t="str">
        <f>IF(SUM(AS481:AT481)=0,"",AT481&amp;":"&amp;AS481)</f>
        <v/>
      </c>
      <c r="Y481" s="62"/>
      <c r="Z481" s="40" t="str">
        <f>IF(SUM(AS480:AT480)=0,"",AS480&amp;":"&amp;AT480)</f>
        <v/>
      </c>
      <c r="AA481" s="262"/>
      <c r="AB481" s="263"/>
      <c r="AC481" s="263"/>
      <c r="AD481" s="264"/>
      <c r="AE481" s="2"/>
      <c r="AF481" s="12"/>
      <c r="AG481" s="12"/>
      <c r="AH481" s="72" t="s">
        <v>18</v>
      </c>
      <c r="AI481" s="74">
        <f>IF(ISBLANK(S481),"",VLOOKUP(S481,'[1]plan gier'!$X$1:$AN$65536,12,FALSE))</f>
        <v>21</v>
      </c>
      <c r="AJ481" s="75">
        <f>IF(ISBLANK(S481),"",VLOOKUP(S481,'[1]plan gier'!$X$1:$AN$65536,13,FALSE))</f>
        <v>8</v>
      </c>
      <c r="AK481" s="75">
        <f>IF(ISBLANK(S481),"",VLOOKUP(S481,'[1]plan gier'!$X$1:$AN$65536,14,FALSE))</f>
        <v>21</v>
      </c>
      <c r="AL481" s="75">
        <f>IF(ISBLANK(S481),"",VLOOKUP(S481,'[1]plan gier'!$X$1:$AN$65536,15,FALSE))</f>
        <v>11</v>
      </c>
      <c r="AM481" s="75">
        <f>IF(ISBLANK(S481),"",VLOOKUP(S481,'[1]plan gier'!$X$1:$AN$65536,16,FALSE))</f>
        <v>0</v>
      </c>
      <c r="AN481" s="75">
        <f>IF(ISBLANK(S481),"",VLOOKUP(S481,'[1]plan gier'!$X$1:$AN$65536,17,FALSE))</f>
        <v>0</v>
      </c>
      <c r="AO481" s="76">
        <f t="shared" si="49"/>
        <v>21</v>
      </c>
      <c r="AP481" s="75">
        <f t="shared" si="49"/>
        <v>8</v>
      </c>
      <c r="AQ481" s="77">
        <f t="shared" si="49"/>
        <v>21</v>
      </c>
      <c r="AR481" s="75">
        <f t="shared" si="49"/>
        <v>11</v>
      </c>
      <c r="AS481" s="77">
        <f t="shared" si="49"/>
        <v>0</v>
      </c>
      <c r="AT481" s="75">
        <f t="shared" si="49"/>
        <v>0</v>
      </c>
      <c r="AU481" s="54">
        <f>SUM(AO481:AT481)</f>
        <v>61</v>
      </c>
      <c r="AV481" s="13">
        <v>3</v>
      </c>
      <c r="AW481" s="74">
        <f>IF(AI479&lt;AJ479,1,0)+IF(AK479&lt;AL479,1,0)+IF(AM479&lt;AN479,1,0)</f>
        <v>0</v>
      </c>
      <c r="AX481" s="75">
        <f>BA479</f>
        <v>2</v>
      </c>
      <c r="AY481" s="75">
        <f>IF(AI480&lt;AJ480,1,0)+IF(AK480&lt;AL480,1,0)+IF(AM480&lt;AN480,1,0)</f>
        <v>0</v>
      </c>
      <c r="AZ481" s="75">
        <f>BA480</f>
        <v>2</v>
      </c>
      <c r="BA481" s="78"/>
      <c r="BB481" s="79"/>
      <c r="BE481" s="74">
        <f>AP479+AR479+AT479+AP480+AR480+AT480</f>
        <v>30</v>
      </c>
      <c r="BF481" s="80">
        <f>AO479+AQ479+AS479+AO480+AQ480+AS480</f>
        <v>84</v>
      </c>
      <c r="BG481" s="74">
        <f>AW481+AY481</f>
        <v>0</v>
      </c>
      <c r="BH481" s="80">
        <f>AX481+AZ481</f>
        <v>4</v>
      </c>
      <c r="BI481" s="74">
        <f>IF(AW481&gt;AX481,1,0)+IF(AY481&gt;AZ481,1,0)</f>
        <v>0</v>
      </c>
      <c r="BJ481" s="81">
        <f>IF(AX481&gt;AW481,1,0)+IF(AZ481&gt;AY481,1,0)</f>
        <v>2</v>
      </c>
      <c r="BK481" s="82">
        <f>IF(BI481+BJ481=0,"",IF(BL481=MAX(BL479:BL481),1,IF(BL481=MIN(BL479:BL481),3,2)))</f>
        <v>3</v>
      </c>
      <c r="BL481" s="60">
        <f>IF(BI481+BJ481&lt;&gt;0,BI481+1+(BG481-BH481)/100+(BE481-BF481)/100000+(BE481/BF481)/1000000,0)</f>
        <v>0.95946035714285716</v>
      </c>
    </row>
    <row r="482" spans="1:64" ht="11.45" customHeight="1" x14ac:dyDescent="0.2">
      <c r="A482" s="2"/>
      <c r="J482" s="28"/>
      <c r="K482" s="28"/>
      <c r="L482" s="28"/>
      <c r="O482" s="28"/>
      <c r="P482" s="28"/>
      <c r="Q482" s="2"/>
      <c r="R482" s="2"/>
      <c r="S482" s="2"/>
      <c r="T482" s="241">
        <v>3</v>
      </c>
      <c r="U482" s="244" t="str">
        <f>IF(AND(N483&lt;&gt;"",N484&lt;&gt;""),CONCATENATE(VLOOKUP(N483,[1]zawodnicy!$A$1:$E$65536,1,FALSE)," ",VLOOKUP(N483,[1]zawodnicy!$A$1:$E$65536,2,FALSE)," ",VLOOKUP(N483,[1]zawodnicy!$A$1:$E$65536,3,FALSE)," - ",VLOOKUP(N483,[1]zawodnicy!$A$1:$E$65536,4,FALSE)),"")</f>
        <v/>
      </c>
      <c r="V482" s="245"/>
      <c r="W482" s="246"/>
      <c r="X482" s="46" t="str">
        <f>IF(SUM(AO479:AP479)=0,"",AP479&amp;":"&amp;AO479)</f>
        <v>3:21</v>
      </c>
      <c r="Y482" s="83" t="str">
        <f>IF(SUM(AO480:AP480)=0,"",AP480&amp;":"&amp;AO480)</f>
        <v>13:21</v>
      </c>
      <c r="Z482" s="84"/>
      <c r="AA482" s="247" t="str">
        <f>IF(SUM(AW481:AZ481)=0,"",BE481&amp;":"&amp;BF481)</f>
        <v>30:84</v>
      </c>
      <c r="AB482" s="250" t="str">
        <f>IF(SUM(AW481:AZ481)=0,"",BG481&amp;":"&amp;BH481)</f>
        <v>0:4</v>
      </c>
      <c r="AC482" s="250" t="str">
        <f>IF(SUM(AW481:AZ481)=0,"",BI481&amp;":"&amp;BJ481)</f>
        <v>0:2</v>
      </c>
      <c r="AD482" s="253">
        <f>IF(SUM(BI479:BI481)&gt;0,BK481,"")</f>
        <v>3</v>
      </c>
      <c r="AE482" s="2"/>
      <c r="AF482" s="12"/>
      <c r="AG482" s="12"/>
      <c r="BE482" s="19">
        <f>SUM(BE479:BE481)</f>
        <v>175</v>
      </c>
      <c r="BF482" s="19">
        <f>SUM(BF479:BF481)</f>
        <v>175</v>
      </c>
      <c r="BG482" s="19">
        <f>SUM(BG479:BG481)</f>
        <v>6</v>
      </c>
      <c r="BH482" s="19">
        <f>SUM(BH479:BH481)</f>
        <v>6</v>
      </c>
      <c r="BK482" s="19"/>
      <c r="BL482" s="20"/>
    </row>
    <row r="483" spans="1:64" ht="11.45" customHeight="1" x14ac:dyDescent="0.2">
      <c r="A483" s="19"/>
      <c r="J483" s="19"/>
      <c r="K483" s="19"/>
      <c r="L483" s="19"/>
      <c r="N483" s="188" t="s">
        <v>306</v>
      </c>
      <c r="O483" s="34">
        <f>IF(O475&gt;0,(O475&amp;3)*1,"")</f>
        <v>103</v>
      </c>
      <c r="Q483" s="85"/>
      <c r="R483" s="85"/>
      <c r="S483" s="85"/>
      <c r="T483" s="242"/>
      <c r="U483" s="244" t="str">
        <f>IF(AND(N483&lt;&gt;"",N484=""),CONCATENATE(VLOOKUP(N483,[1]zawodnicy!$A$1:$E$65536,1,FALSE)," ",VLOOKUP(N483,[1]zawodnicy!$A$1:$E$65536,2,FALSE)," ",VLOOKUP(N483,[1]zawodnicy!$A$1:$E$65536,3,FALSE)," - ",VLOOKUP(N483,[1]zawodnicy!$A$1:$E$65536,4,FALSE)),"")</f>
        <v>K5949 Joanna KLIMCZAK - UKS Korona Pabianice</v>
      </c>
      <c r="V483" s="245"/>
      <c r="W483" s="246"/>
      <c r="X483" s="61" t="str">
        <f>IF(SUM(AQ479:AR479)=0,"",AR479&amp;":"&amp;AQ479)</f>
        <v>4:21</v>
      </c>
      <c r="Y483" s="36" t="str">
        <f>IF(SUM(AQ480:AR480)=0,"",AR480&amp;":"&amp;AQ480)</f>
        <v>10:21</v>
      </c>
      <c r="Z483" s="86"/>
      <c r="AA483" s="248"/>
      <c r="AB483" s="251"/>
      <c r="AC483" s="251"/>
      <c r="AD483" s="254"/>
      <c r="AE483" s="2"/>
      <c r="AF483" s="12"/>
      <c r="AG483" s="1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row>
    <row r="484" spans="1:64" ht="11.45" customHeight="1" thickBot="1" x14ac:dyDescent="0.25">
      <c r="A484" s="2"/>
      <c r="J484" s="28"/>
      <c r="K484" s="28"/>
      <c r="L484" s="28"/>
      <c r="N484" s="38"/>
      <c r="O484" s="28"/>
      <c r="P484" s="28"/>
      <c r="Q484" s="2"/>
      <c r="R484" s="2"/>
      <c r="S484" s="2"/>
      <c r="T484" s="243"/>
      <c r="U484" s="256" t="str">
        <f>IF(N484&lt;&gt;"",CONCATENATE(VLOOKUP(N484,[1]zawodnicy!$A$1:$E$65536,1,FALSE)," ",VLOOKUP(N484,[1]zawodnicy!$A$1:$E$65536,2,FALSE)," ",VLOOKUP(N484,[1]zawodnicy!$A$1:$E$65536,3,FALSE)," - ",VLOOKUP(N484,[1]zawodnicy!$A$1:$E$65536,4,FALSE)),"")</f>
        <v/>
      </c>
      <c r="V484" s="257"/>
      <c r="W484" s="258"/>
      <c r="X484" s="87" t="str">
        <f>IF(SUM(AS479:AT479)=0,"",AT479&amp;":"&amp;AS479)</f>
        <v/>
      </c>
      <c r="Y484" s="88" t="str">
        <f>IF(SUM(AS480:AT480)=0,"",AT480&amp;":"&amp;AS480)</f>
        <v/>
      </c>
      <c r="Z484" s="89"/>
      <c r="AA484" s="249"/>
      <c r="AB484" s="252"/>
      <c r="AC484" s="252"/>
      <c r="AD484" s="255"/>
      <c r="AE484" s="10"/>
      <c r="AF484" s="12"/>
      <c r="AG484" s="1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row>
    <row r="485" spans="1:64" s="19" customFormat="1" ht="5.0999999999999996" customHeight="1" thickBot="1" x14ac:dyDescent="0.25">
      <c r="M485" s="90"/>
      <c r="O485" s="90"/>
      <c r="P485" s="90"/>
      <c r="Q485" s="91"/>
      <c r="R485" s="91"/>
      <c r="S485" s="91"/>
      <c r="T485" s="91"/>
      <c r="U485" s="5"/>
      <c r="V485" s="5"/>
      <c r="W485" s="5"/>
      <c r="AA485" s="92"/>
      <c r="AB485" s="91"/>
      <c r="AC485" s="91"/>
      <c r="AD485" s="91"/>
      <c r="AE485" s="91"/>
      <c r="AF485" s="91"/>
      <c r="AI485" s="93"/>
      <c r="AJ485" s="94"/>
      <c r="AK485" s="94"/>
    </row>
    <row r="486" spans="1:64" ht="11.45" customHeight="1" thickBot="1" x14ac:dyDescent="0.25">
      <c r="N486" s="11"/>
      <c r="O486" s="21">
        <v>11</v>
      </c>
      <c r="Q486" s="277" t="str">
        <f>"Grupa "&amp;O486&amp;"."</f>
        <v>Grupa 11.</v>
      </c>
      <c r="R486" s="277"/>
      <c r="S486" s="277"/>
      <c r="T486" s="22" t="s">
        <v>1</v>
      </c>
      <c r="U486" s="278" t="s">
        <v>2</v>
      </c>
      <c r="V486" s="279"/>
      <c r="W486" s="280"/>
      <c r="X486" s="22">
        <v>1</v>
      </c>
      <c r="Y486" s="23">
        <v>2</v>
      </c>
      <c r="Z486" s="24">
        <v>3</v>
      </c>
      <c r="AA486" s="25" t="s">
        <v>3</v>
      </c>
      <c r="AB486" s="26" t="s">
        <v>4</v>
      </c>
      <c r="AC486" s="26" t="s">
        <v>5</v>
      </c>
      <c r="AD486" s="27" t="s">
        <v>6</v>
      </c>
      <c r="AE486" s="2"/>
      <c r="AF486" s="12"/>
      <c r="AG486" s="12"/>
      <c r="BK486" s="19"/>
      <c r="BL486" s="20"/>
    </row>
    <row r="487" spans="1:64" ht="11.45" customHeight="1" x14ac:dyDescent="0.2">
      <c r="J487" s="28"/>
      <c r="K487" s="28"/>
      <c r="L487" s="28"/>
      <c r="N487" s="29" t="s">
        <v>278</v>
      </c>
      <c r="Q487" s="274" t="s">
        <v>7</v>
      </c>
      <c r="R487" s="274"/>
      <c r="S487" s="275" t="s">
        <v>8</v>
      </c>
      <c r="T487" s="276">
        <v>1</v>
      </c>
      <c r="U487" s="244" t="str">
        <f>IF(AND(N488&lt;&gt;"",N489&lt;&gt;""),CONCATENATE(VLOOKUP(N488,[1]zawodnicy!$A$1:$E$65536,1,FALSE)," ",VLOOKUP(N488,[1]zawodnicy!$A$1:$E$65536,2,FALSE)," ",VLOOKUP(N488,[1]zawodnicy!$A$1:$E$65536,3,FALSE)," - ",VLOOKUP(N488,[1]zawodnicy!$A$1:$E$65536,4,FALSE)),"")</f>
        <v/>
      </c>
      <c r="V487" s="245"/>
      <c r="W487" s="246"/>
      <c r="X487" s="30"/>
      <c r="Y487" s="31" t="str">
        <f>IF(SUM(AO492:AP492)=0,"",AO492&amp;":"&amp;AP492)</f>
        <v>21:4</v>
      </c>
      <c r="Z487" s="32" t="str">
        <f>IF(SUM(AO490:AP490)=0,"",AO490&amp;":"&amp;AP490)</f>
        <v>21:7</v>
      </c>
      <c r="AA487" s="270" t="str">
        <f>IF(SUM(AY490:BB490)=0,"",BE490&amp;":"&amp;BF490)</f>
        <v>84:22</v>
      </c>
      <c r="AB487" s="271" t="str">
        <f>IF(SUM(AY490:BB490)=0,"",BG490&amp;":"&amp;BH490)</f>
        <v>4:0</v>
      </c>
      <c r="AC487" s="271" t="str">
        <f>IF(SUM(AY490:BB490)=0,"",BI490&amp;":"&amp;BJ490)</f>
        <v>2:0</v>
      </c>
      <c r="AD487" s="272">
        <f>IF(SUM(BI490:BI492)&gt;0,BK490,"")</f>
        <v>1</v>
      </c>
      <c r="AE487" s="2"/>
      <c r="AF487" s="12"/>
      <c r="AG487" s="12"/>
      <c r="AH487" s="14"/>
      <c r="AI487" s="273" t="s">
        <v>9</v>
      </c>
      <c r="AJ487" s="273"/>
      <c r="AK487" s="273"/>
      <c r="AL487" s="273"/>
      <c r="AM487" s="273"/>
      <c r="AN487" s="273"/>
      <c r="AO487" s="273" t="s">
        <v>10</v>
      </c>
      <c r="AP487" s="273"/>
      <c r="AQ487" s="273"/>
      <c r="AR487" s="273"/>
      <c r="AS487" s="273"/>
      <c r="AT487" s="273"/>
      <c r="BK487" s="19"/>
      <c r="BL487" s="20"/>
    </row>
    <row r="488" spans="1:64" ht="11.45" customHeight="1" thickBot="1" x14ac:dyDescent="0.25">
      <c r="I488" s="2" t="str">
        <f>"1"&amp;O486&amp;N487</f>
        <v>111pojedyncza dziewcząt MM</v>
      </c>
      <c r="J488" s="10" t="str">
        <f>IF(AD487="","",IF(AD487=1,N488,IF(AD490=1,N491,IF(AD493=1,N494,""))))</f>
        <v>J5024</v>
      </c>
      <c r="K488" s="10">
        <f>IF(AD487="","",IF(AD487=1,N489,IF(AD490=1,N492,IF(AD493=1,N495,""))))</f>
        <v>0</v>
      </c>
      <c r="L488" s="10"/>
      <c r="N488" s="187" t="s">
        <v>307</v>
      </c>
      <c r="O488" s="34">
        <f>IF(O486&gt;0,(O486&amp;1)*1,"")</f>
        <v>111</v>
      </c>
      <c r="Q488" s="274"/>
      <c r="R488" s="274"/>
      <c r="S488" s="275"/>
      <c r="T488" s="242"/>
      <c r="U488" s="244" t="str">
        <f>IF(AND(N488&lt;&gt;"",N489=""),CONCATENATE(VLOOKUP(N488,[1]zawodnicy!$A$1:$E$65536,1,FALSE)," ",VLOOKUP(N488,[1]zawodnicy!$A$1:$E$65536,2,FALSE)," ",VLOOKUP(N488,[1]zawodnicy!$A$1:$E$65536,3,FALSE)," - ",VLOOKUP(N488,[1]zawodnicy!$A$1:$E$65536,4,FALSE)),"")</f>
        <v>J5024 Zuzanna JANKOWSKA - MKS Strzelce Opolskie</v>
      </c>
      <c r="V488" s="245"/>
      <c r="W488" s="246"/>
      <c r="X488" s="35"/>
      <c r="Y488" s="36" t="str">
        <f>IF(SUM(AQ492:AR492)=0,"",AQ492&amp;":"&amp;AR492)</f>
        <v>21:5</v>
      </c>
      <c r="Z488" s="37" t="str">
        <f>IF(SUM(AQ490:AR490)=0,"",AQ490&amp;":"&amp;AR490)</f>
        <v>21:6</v>
      </c>
      <c r="AA488" s="248"/>
      <c r="AB488" s="251"/>
      <c r="AC488" s="251"/>
      <c r="AD488" s="254"/>
      <c r="AE488" s="2"/>
      <c r="AF488" s="12"/>
      <c r="AG488" s="12"/>
      <c r="AH488" s="14"/>
      <c r="BE488" s="19">
        <f>SUM(BE490:BE492)</f>
        <v>184</v>
      </c>
      <c r="BF488" s="19">
        <f>SUM(BF490:BF492)</f>
        <v>184</v>
      </c>
      <c r="BG488" s="19">
        <f>SUM(BG490:BG492)</f>
        <v>6</v>
      </c>
      <c r="BH488" s="19">
        <f>SUM(BH490:BH492)</f>
        <v>6</v>
      </c>
      <c r="BK488" s="19"/>
      <c r="BL488" s="20"/>
    </row>
    <row r="489" spans="1:64" ht="11.45" customHeight="1" thickBot="1" x14ac:dyDescent="0.25">
      <c r="J489" s="10"/>
      <c r="K489" s="28"/>
      <c r="L489" s="28"/>
      <c r="N489" s="38"/>
      <c r="O489" s="28"/>
      <c r="P489" s="28"/>
      <c r="Q489" s="274"/>
      <c r="R489" s="274"/>
      <c r="S489" s="275"/>
      <c r="T489" s="261"/>
      <c r="U489" s="265" t="str">
        <f>IF(N489&lt;&gt;"",CONCATENATE(VLOOKUP(N489,[1]zawodnicy!$A$1:$E$65536,1,FALSE)," ",VLOOKUP(N489,[1]zawodnicy!$A$1:$E$65536,2,FALSE)," ",VLOOKUP(N489,[1]zawodnicy!$A$1:$E$65536,3,FALSE)," - ",VLOOKUP(N489,[1]zawodnicy!$A$1:$E$65536,4,FALSE)),"")</f>
        <v/>
      </c>
      <c r="V489" s="266"/>
      <c r="W489" s="267"/>
      <c r="X489" s="35"/>
      <c r="Y489" s="39" t="str">
        <f>IF(SUM(AS492:AT492)=0,"",AS492&amp;":"&amp;AT492)</f>
        <v/>
      </c>
      <c r="Z489" s="40" t="str">
        <f>IF(SUM(AS490:AT490)=0,"",AS490&amp;":"&amp;AT490)</f>
        <v/>
      </c>
      <c r="AA489" s="262"/>
      <c r="AB489" s="263"/>
      <c r="AC489" s="263"/>
      <c r="AD489" s="264"/>
      <c r="AE489" s="2"/>
      <c r="AF489" s="12"/>
      <c r="AG489" s="12"/>
      <c r="AH489" s="14"/>
      <c r="AI489" s="259" t="s">
        <v>12</v>
      </c>
      <c r="AJ489" s="269"/>
      <c r="AK489" s="268" t="s">
        <v>13</v>
      </c>
      <c r="AL489" s="269"/>
      <c r="AM489" s="268" t="s">
        <v>14</v>
      </c>
      <c r="AN489" s="260"/>
      <c r="AO489" s="259" t="s">
        <v>12</v>
      </c>
      <c r="AP489" s="269"/>
      <c r="AQ489" s="268" t="s">
        <v>13</v>
      </c>
      <c r="AR489" s="269"/>
      <c r="AS489" s="268" t="s">
        <v>14</v>
      </c>
      <c r="AT489" s="269"/>
      <c r="AU489" s="12"/>
      <c r="AV489" s="12"/>
      <c r="AW489" s="259">
        <v>1</v>
      </c>
      <c r="AX489" s="269"/>
      <c r="AY489" s="268">
        <v>2</v>
      </c>
      <c r="AZ489" s="269"/>
      <c r="BA489" s="268">
        <v>3</v>
      </c>
      <c r="BB489" s="260"/>
      <c r="BE489" s="259" t="s">
        <v>3</v>
      </c>
      <c r="BF489" s="260"/>
      <c r="BG489" s="259" t="s">
        <v>4</v>
      </c>
      <c r="BH489" s="260"/>
      <c r="BI489" s="259" t="s">
        <v>5</v>
      </c>
      <c r="BJ489" s="260"/>
      <c r="BK489" s="41" t="s">
        <v>6</v>
      </c>
      <c r="BL489" s="20"/>
    </row>
    <row r="490" spans="1:64" ht="11.45" customHeight="1" x14ac:dyDescent="0.2">
      <c r="A490" s="19">
        <f>S490</f>
        <v>110</v>
      </c>
      <c r="B490" s="2" t="str">
        <f>IF(N488="","",N488)</f>
        <v>J5024</v>
      </c>
      <c r="C490" s="2" t="str">
        <f>IF(N489="","",N489)</f>
        <v/>
      </c>
      <c r="D490" s="2" t="str">
        <f>IF(N494="","",N494)</f>
        <v>W5473</v>
      </c>
      <c r="E490" s="2" t="str">
        <f>IF(N495="","",N495)</f>
        <v/>
      </c>
      <c r="I490" s="2" t="str">
        <f>"2"&amp;O486&amp;N487</f>
        <v>211pojedyncza dziewcząt MM</v>
      </c>
      <c r="J490" s="10" t="str">
        <f>IF(AD490="","",IF(AD487=2,N488,IF(AD490=2,N491,IF(AD493=2,N494,""))))</f>
        <v>W5473</v>
      </c>
      <c r="K490" s="10">
        <f>IF(AD490="","",IF(AD487=2,N489,IF(AD490=2,N492,IF(AD493=2,N495,""))))</f>
        <v>0</v>
      </c>
      <c r="M490" s="42" t="str">
        <f>N487</f>
        <v>pojedyncza dziewcząt MM</v>
      </c>
      <c r="O490" s="28"/>
      <c r="P490" s="28"/>
      <c r="Q490" s="43" t="str">
        <f>IF(AU490&gt;0,"",IF(A490=0,"",IF(VLOOKUP(A490,'[1]plan gier'!A$1:S$65536,19,FALSE)="","",VLOOKUP(A490,'[1]plan gier'!A$1:S$65536,19,FALSE))))</f>
        <v/>
      </c>
      <c r="R490" s="44" t="s">
        <v>15</v>
      </c>
      <c r="S490" s="45">
        <v>110</v>
      </c>
      <c r="T490" s="241">
        <v>2</v>
      </c>
      <c r="U490" s="244" t="str">
        <f>IF(AND(N491&lt;&gt;"",N492&lt;&gt;""),CONCATENATE(VLOOKUP(N491,[1]zawodnicy!$A$1:$E$65536,1,FALSE)," ",VLOOKUP(N491,[1]zawodnicy!$A$1:$E$65536,2,FALSE)," ",VLOOKUP(N491,[1]zawodnicy!$A$1:$E$65536,3,FALSE)," - ",VLOOKUP(N491,[1]zawodnicy!$A$1:$E$65536,4,FALSE)),"")</f>
        <v/>
      </c>
      <c r="V490" s="245"/>
      <c r="W490" s="246"/>
      <c r="X490" s="46" t="str">
        <f>IF(SUM(AO492:AP492)=0,"",AP492&amp;":"&amp;AO492)</f>
        <v>4:21</v>
      </c>
      <c r="Y490" s="47"/>
      <c r="Z490" s="48" t="str">
        <f>IF(SUM(AO491:AP491)=0,"",AO491&amp;":"&amp;AP491)</f>
        <v>15:21</v>
      </c>
      <c r="AA490" s="247" t="str">
        <f>IF(SUM(AW491:AX491,BA491:BB491)=0,"",BE491&amp;":"&amp;BF491)</f>
        <v>44:85</v>
      </c>
      <c r="AB490" s="250" t="str">
        <f>IF(SUM(AW491:AX491,BA491:BB491)=0,"",BG491&amp;":"&amp;BH491)</f>
        <v>0:4</v>
      </c>
      <c r="AC490" s="250" t="str">
        <f>IF(SUM(AW491:AX491,BA491:BB491)=0,"",BI491&amp;":"&amp;BJ491)</f>
        <v>0:2</v>
      </c>
      <c r="AD490" s="253">
        <f>IF(SUM(BI490:BI492)&gt;0,BK491,"")</f>
        <v>3</v>
      </c>
      <c r="AE490" s="2"/>
      <c r="AF490" s="12"/>
      <c r="AG490" s="12"/>
      <c r="AH490" s="44" t="s">
        <v>15</v>
      </c>
      <c r="AI490" s="49">
        <f>IF(ISBLANK(S490),"",VLOOKUP(S490,'[1]plan gier'!$X$1:$AN$65536,12,FALSE))</f>
        <v>21</v>
      </c>
      <c r="AJ490" s="50">
        <f>IF(ISBLANK(S490),"",VLOOKUP(S490,'[1]plan gier'!$X$1:$AN$65536,13,FALSE))</f>
        <v>7</v>
      </c>
      <c r="AK490" s="50">
        <f>IF(ISBLANK(S490),"",VLOOKUP(S490,'[1]plan gier'!$X$1:$AN$65536,14,FALSE))</f>
        <v>21</v>
      </c>
      <c r="AL490" s="50">
        <f>IF(ISBLANK(S490),"",VLOOKUP(S490,'[1]plan gier'!$X$1:$AN$65536,15,FALSE))</f>
        <v>6</v>
      </c>
      <c r="AM490" s="50">
        <f>IF(ISBLANK(S490),"",VLOOKUP(S490,'[1]plan gier'!$X$1:$AN$65536,16,FALSE))</f>
        <v>0</v>
      </c>
      <c r="AN490" s="50">
        <f>IF(ISBLANK(S490),"",VLOOKUP(S490,'[1]plan gier'!$X$1:$AN$65536,17,FALSE))</f>
        <v>0</v>
      </c>
      <c r="AO490" s="51">
        <f t="shared" ref="AO490:AT492" si="50">IF(AI490="",0,AI490)</f>
        <v>21</v>
      </c>
      <c r="AP490" s="52">
        <f t="shared" si="50"/>
        <v>7</v>
      </c>
      <c r="AQ490" s="53">
        <f t="shared" si="50"/>
        <v>21</v>
      </c>
      <c r="AR490" s="52">
        <f t="shared" si="50"/>
        <v>6</v>
      </c>
      <c r="AS490" s="53">
        <f t="shared" si="50"/>
        <v>0</v>
      </c>
      <c r="AT490" s="52">
        <f t="shared" si="50"/>
        <v>0</v>
      </c>
      <c r="AU490" s="54">
        <f>SUM(AO490:AT490)</f>
        <v>55</v>
      </c>
      <c r="AV490" s="13">
        <v>1</v>
      </c>
      <c r="AW490" s="55"/>
      <c r="AX490" s="56"/>
      <c r="AY490" s="50">
        <f>IF(AI492&gt;AJ492,1,0)+IF(AK492&gt;AL492,1,0)+IF(AM492&gt;AN492,1,0)</f>
        <v>2</v>
      </c>
      <c r="AZ490" s="50">
        <f>AW491</f>
        <v>0</v>
      </c>
      <c r="BA490" s="50">
        <f>IF(AI490&gt;AJ490,1,0)+IF(AK490&gt;AL490,1,0)+IF(AM490&gt;AN490,1,0)</f>
        <v>2</v>
      </c>
      <c r="BB490" s="57">
        <f>AW492</f>
        <v>0</v>
      </c>
      <c r="BE490" s="49">
        <f>AO490+AQ490+AS490+AO492+AQ492+AS492</f>
        <v>84</v>
      </c>
      <c r="BF490" s="57">
        <f>AP490+AR490+AT490+AP492+AR492+AT492</f>
        <v>22</v>
      </c>
      <c r="BG490" s="49">
        <f>AY490+BA490</f>
        <v>4</v>
      </c>
      <c r="BH490" s="57">
        <f>AZ490+BB490</f>
        <v>0</v>
      </c>
      <c r="BI490" s="49">
        <f>IF(AY490&gt;AZ490,1,0)+IF(BA490&gt;BB490,1,0)</f>
        <v>2</v>
      </c>
      <c r="BJ490" s="58">
        <f>IF(AZ490&gt;AY490,1,0)+IF(BB490&gt;BA490,1,0)</f>
        <v>0</v>
      </c>
      <c r="BK490" s="59">
        <f>IF(BI490+BJ490=0,"",IF(BL490=MAX(BL490:BL492),1,IF(BL490=MIN(BL490:BL492),3,2)))</f>
        <v>1</v>
      </c>
      <c r="BL490" s="60">
        <f>IF(BI490+BJ490&lt;&gt;0,BI490+1+(BG490-BH490)/100+(BE490-BF490)/100000+(BE490/BF490)/1000000,0)</f>
        <v>3.0406238181818184</v>
      </c>
    </row>
    <row r="491" spans="1:64" ht="11.45" customHeight="1" x14ac:dyDescent="0.2">
      <c r="A491" s="19">
        <f>S491</f>
        <v>176</v>
      </c>
      <c r="B491" s="2" t="str">
        <f>IF(N491="","",N491)</f>
        <v>X43</v>
      </c>
      <c r="C491" s="2" t="str">
        <f>IF(N492="","",N492)</f>
        <v/>
      </c>
      <c r="D491" s="2" t="str">
        <f>IF(N494="","",N494)</f>
        <v>W5473</v>
      </c>
      <c r="E491" s="2" t="str">
        <f>IF(N495="","",N495)</f>
        <v/>
      </c>
      <c r="J491" s="10"/>
      <c r="K491" s="19"/>
      <c r="M491" s="42" t="str">
        <f>N487</f>
        <v>pojedyncza dziewcząt MM</v>
      </c>
      <c r="N491" s="188" t="s">
        <v>308</v>
      </c>
      <c r="O491" s="34">
        <f>IF(O486&gt;0,(O486&amp;2)*1,"")</f>
        <v>112</v>
      </c>
      <c r="Q491" s="43" t="str">
        <f>IF(AU491&gt;0,"",IF(A491=0,"",IF(VLOOKUP(A491,'[1]plan gier'!A$1:S$65536,19,FALSE)="","",VLOOKUP(A491,'[1]plan gier'!A$1:S$65536,19,FALSE))))</f>
        <v/>
      </c>
      <c r="R491" s="44" t="s">
        <v>17</v>
      </c>
      <c r="S491" s="45">
        <v>176</v>
      </c>
      <c r="T491" s="242"/>
      <c r="U491" s="244" t="str">
        <f>IF(AND(N491&lt;&gt;"",N492=""),CONCATENATE(VLOOKUP(N491,[1]zawodnicy!$A$1:$E$65536,1,FALSE)," ",VLOOKUP(N491,[1]zawodnicy!$A$1:$E$65536,2,FALSE)," ",VLOOKUP(N491,[1]zawodnicy!$A$1:$E$65536,3,FALSE)," - ",VLOOKUP(N491,[1]zawodnicy!$A$1:$E$65536,4,FALSE)),"")</f>
        <v>X43 Marta PROSTAK - Lwów Ukraina</v>
      </c>
      <c r="V491" s="245"/>
      <c r="W491" s="246"/>
      <c r="X491" s="61" t="str">
        <f>IF(SUM(AQ492:AR492)=0,"",AR492&amp;":"&amp;AQ492)</f>
        <v>5:21</v>
      </c>
      <c r="Y491" s="62"/>
      <c r="Z491" s="37" t="str">
        <f>IF(SUM(AQ491:AR491)=0,"",AQ491&amp;":"&amp;AR491)</f>
        <v>20:22</v>
      </c>
      <c r="AA491" s="248"/>
      <c r="AB491" s="251"/>
      <c r="AC491" s="251"/>
      <c r="AD491" s="254"/>
      <c r="AE491" s="2"/>
      <c r="AF491" s="12"/>
      <c r="AG491" s="12"/>
      <c r="AH491" s="44" t="s">
        <v>17</v>
      </c>
      <c r="AI491" s="63">
        <f>IF(ISBLANK(S491),"",VLOOKUP(S491,'[1]plan gier'!$X$1:$AN$65536,12,FALSE))</f>
        <v>15</v>
      </c>
      <c r="AJ491" s="64">
        <f>IF(ISBLANK(S491),"",VLOOKUP(S491,'[1]plan gier'!$X$1:$AN$65536,13,FALSE))</f>
        <v>21</v>
      </c>
      <c r="AK491" s="64">
        <f>IF(ISBLANK(S491),"",VLOOKUP(S491,'[1]plan gier'!$X$1:$AN$65536,14,FALSE))</f>
        <v>20</v>
      </c>
      <c r="AL491" s="64">
        <f>IF(ISBLANK(S491),"",VLOOKUP(S491,'[1]plan gier'!$X$1:$AN$65536,15,FALSE))</f>
        <v>22</v>
      </c>
      <c r="AM491" s="64">
        <f>IF(ISBLANK(S491),"",VLOOKUP(S491,'[1]plan gier'!$X$1:$AN$65536,16,FALSE))</f>
        <v>0</v>
      </c>
      <c r="AN491" s="64">
        <f>IF(ISBLANK(S491),"",VLOOKUP(S491,'[1]plan gier'!$X$1:$AN$65536,17,FALSE))</f>
        <v>0</v>
      </c>
      <c r="AO491" s="65">
        <f t="shared" si="50"/>
        <v>15</v>
      </c>
      <c r="AP491" s="64">
        <f t="shared" si="50"/>
        <v>21</v>
      </c>
      <c r="AQ491" s="66">
        <f t="shared" si="50"/>
        <v>20</v>
      </c>
      <c r="AR491" s="64">
        <f t="shared" si="50"/>
        <v>22</v>
      </c>
      <c r="AS491" s="66">
        <f t="shared" si="50"/>
        <v>0</v>
      </c>
      <c r="AT491" s="64">
        <f t="shared" si="50"/>
        <v>0</v>
      </c>
      <c r="AU491" s="54">
        <f>SUM(AO491:AT491)</f>
        <v>78</v>
      </c>
      <c r="AV491" s="13">
        <v>2</v>
      </c>
      <c r="AW491" s="63">
        <f>IF(AI492&lt;AJ492,1,0)+IF(AK492&lt;AL492,1,0)+IF(AM492&lt;AN492,1,0)</f>
        <v>0</v>
      </c>
      <c r="AX491" s="64">
        <f>AY490</f>
        <v>2</v>
      </c>
      <c r="AY491" s="67"/>
      <c r="AZ491" s="68"/>
      <c r="BA491" s="64">
        <f>IF(AI491&gt;AJ491,1,0)+IF(AK491&gt;AL491,1,0)+IF(AM491&gt;AN491,1,0)</f>
        <v>0</v>
      </c>
      <c r="BB491" s="69">
        <f>AY492</f>
        <v>2</v>
      </c>
      <c r="BE491" s="63">
        <f>AO491+AQ491+AS491+AP492+AR492+AT492</f>
        <v>44</v>
      </c>
      <c r="BF491" s="69">
        <f>AP491+AR491+AT491+AO492+AQ492+AS492</f>
        <v>85</v>
      </c>
      <c r="BG491" s="63">
        <f>AW491+BA491</f>
        <v>0</v>
      </c>
      <c r="BH491" s="69">
        <f>AX491+BB491</f>
        <v>4</v>
      </c>
      <c r="BI491" s="63">
        <f>IF(AW491&gt;AX491,1,0)+IF(BA491&gt;BB491,1,0)</f>
        <v>0</v>
      </c>
      <c r="BJ491" s="70">
        <f>IF(AX491&gt;AW491,1,0)+IF(BB491&gt;BA491,1,0)</f>
        <v>2</v>
      </c>
      <c r="BK491" s="71">
        <f>IF(BI491+BJ491=0,"",IF(BL491=MAX(BL490:BL492),1,IF(BL491=MIN(BL490:BL492),3,2)))</f>
        <v>3</v>
      </c>
      <c r="BL491" s="60">
        <f>IF(BI491+BJ491&lt;&gt;0,BI491+1+(BG491-BH491)/100+(BE491-BF491)/100000+(BE491/BF491)/1000000,0)</f>
        <v>0.95959051764705872</v>
      </c>
    </row>
    <row r="492" spans="1:64" ht="11.45" customHeight="1" thickBot="1" x14ac:dyDescent="0.25">
      <c r="A492" s="19">
        <f>S492</f>
        <v>229</v>
      </c>
      <c r="B492" s="2" t="str">
        <f>IF(N488="","",N488)</f>
        <v>J5024</v>
      </c>
      <c r="C492" s="2" t="str">
        <f>IF(N489="","",N489)</f>
        <v/>
      </c>
      <c r="D492" s="2" t="str">
        <f>IF(N491="","",N491)</f>
        <v>X43</v>
      </c>
      <c r="E492" s="2" t="str">
        <f>IF(N492="","",N492)</f>
        <v/>
      </c>
      <c r="I492" s="2" t="str">
        <f>"3"&amp;O486&amp;N487</f>
        <v>311pojedyncza dziewcząt MM</v>
      </c>
      <c r="J492" s="10" t="str">
        <f>IF(AD493="","",IF(AD487=3,N488,IF(AD490=3,N491,IF(AD493=3,N494,""))))</f>
        <v>X43</v>
      </c>
      <c r="K492" s="10">
        <f>IF(AD493="","",IF(AD487=3,N489,IF(AD490=3,N492,IF(AD493=3,N495,""))))</f>
        <v>0</v>
      </c>
      <c r="M492" s="42" t="str">
        <f>N487</f>
        <v>pojedyncza dziewcząt MM</v>
      </c>
      <c r="N492" s="38"/>
      <c r="O492" s="28"/>
      <c r="P492" s="28"/>
      <c r="Q492" s="43" t="str">
        <f>IF(AU492&gt;0,"",IF(A492=0,"",IF(VLOOKUP(A492,'[1]plan gier'!A$1:S$65536,19,FALSE)="","",VLOOKUP(A492,'[1]plan gier'!A$1:S$65536,19,FALSE))))</f>
        <v/>
      </c>
      <c r="R492" s="72" t="s">
        <v>18</v>
      </c>
      <c r="S492" s="45">
        <v>229</v>
      </c>
      <c r="T492" s="261"/>
      <c r="U492" s="265" t="str">
        <f>IF(N492&lt;&gt;"",CONCATENATE(VLOOKUP(N492,[1]zawodnicy!$A$1:$E$65536,1,FALSE)," ",VLOOKUP(N492,[1]zawodnicy!$A$1:$E$65536,2,FALSE)," ",VLOOKUP(N492,[1]zawodnicy!$A$1:$E$65536,3,FALSE)," - ",VLOOKUP(N492,[1]zawodnicy!$A$1:$E$65536,4,FALSE)),"")</f>
        <v/>
      </c>
      <c r="V492" s="266"/>
      <c r="W492" s="267"/>
      <c r="X492" s="73" t="str">
        <f>IF(SUM(AS492:AT492)=0,"",AT492&amp;":"&amp;AS492)</f>
        <v/>
      </c>
      <c r="Y492" s="62"/>
      <c r="Z492" s="40" t="str">
        <f>IF(SUM(AS491:AT491)=0,"",AS491&amp;":"&amp;AT491)</f>
        <v/>
      </c>
      <c r="AA492" s="262"/>
      <c r="AB492" s="263"/>
      <c r="AC492" s="263"/>
      <c r="AD492" s="264"/>
      <c r="AE492" s="2"/>
      <c r="AF492" s="12"/>
      <c r="AG492" s="12"/>
      <c r="AH492" s="72" t="s">
        <v>18</v>
      </c>
      <c r="AI492" s="74">
        <f>IF(ISBLANK(S492),"",VLOOKUP(S492,'[1]plan gier'!$X$1:$AN$65536,12,FALSE))</f>
        <v>21</v>
      </c>
      <c r="AJ492" s="75">
        <f>IF(ISBLANK(S492),"",VLOOKUP(S492,'[1]plan gier'!$X$1:$AN$65536,13,FALSE))</f>
        <v>4</v>
      </c>
      <c r="AK492" s="75">
        <f>IF(ISBLANK(S492),"",VLOOKUP(S492,'[1]plan gier'!$X$1:$AN$65536,14,FALSE))</f>
        <v>21</v>
      </c>
      <c r="AL492" s="75">
        <f>IF(ISBLANK(S492),"",VLOOKUP(S492,'[1]plan gier'!$X$1:$AN$65536,15,FALSE))</f>
        <v>5</v>
      </c>
      <c r="AM492" s="75">
        <f>IF(ISBLANK(S492),"",VLOOKUP(S492,'[1]plan gier'!$X$1:$AN$65536,16,FALSE))</f>
        <v>0</v>
      </c>
      <c r="AN492" s="75">
        <f>IF(ISBLANK(S492),"",VLOOKUP(S492,'[1]plan gier'!$X$1:$AN$65536,17,FALSE))</f>
        <v>0</v>
      </c>
      <c r="AO492" s="76">
        <f t="shared" si="50"/>
        <v>21</v>
      </c>
      <c r="AP492" s="75">
        <f t="shared" si="50"/>
        <v>4</v>
      </c>
      <c r="AQ492" s="77">
        <f t="shared" si="50"/>
        <v>21</v>
      </c>
      <c r="AR492" s="75">
        <f t="shared" si="50"/>
        <v>5</v>
      </c>
      <c r="AS492" s="77">
        <f t="shared" si="50"/>
        <v>0</v>
      </c>
      <c r="AT492" s="75">
        <f t="shared" si="50"/>
        <v>0</v>
      </c>
      <c r="AU492" s="54">
        <f>SUM(AO492:AT492)</f>
        <v>51</v>
      </c>
      <c r="AV492" s="13">
        <v>3</v>
      </c>
      <c r="AW492" s="74">
        <f>IF(AI490&lt;AJ490,1,0)+IF(AK490&lt;AL490,1,0)+IF(AM490&lt;AN490,1,0)</f>
        <v>0</v>
      </c>
      <c r="AX492" s="75">
        <f>BA490</f>
        <v>2</v>
      </c>
      <c r="AY492" s="75">
        <f>IF(AI491&lt;AJ491,1,0)+IF(AK491&lt;AL491,1,0)+IF(AM491&lt;AN491,1,0)</f>
        <v>2</v>
      </c>
      <c r="AZ492" s="75">
        <f>BA491</f>
        <v>0</v>
      </c>
      <c r="BA492" s="78"/>
      <c r="BB492" s="79"/>
      <c r="BE492" s="74">
        <f>AP490+AR490+AT490+AP491+AR491+AT491</f>
        <v>56</v>
      </c>
      <c r="BF492" s="80">
        <f>AO490+AQ490+AS490+AO491+AQ491+AS491</f>
        <v>77</v>
      </c>
      <c r="BG492" s="74">
        <f>AW492+AY492</f>
        <v>2</v>
      </c>
      <c r="BH492" s="80">
        <f>AX492+AZ492</f>
        <v>2</v>
      </c>
      <c r="BI492" s="74">
        <f>IF(AW492&gt;AX492,1,0)+IF(AY492&gt;AZ492,1,0)</f>
        <v>1</v>
      </c>
      <c r="BJ492" s="81">
        <f>IF(AX492&gt;AW492,1,0)+IF(AZ492&gt;AY492,1,0)</f>
        <v>1</v>
      </c>
      <c r="BK492" s="82">
        <f>IF(BI492+BJ492=0,"",IF(BL492=MAX(BL490:BL492),1,IF(BL492=MIN(BL490:BL492),3,2)))</f>
        <v>2</v>
      </c>
      <c r="BL492" s="60">
        <f>IF(BI492+BJ492&lt;&gt;0,BI492+1+(BG492-BH492)/100+(BE492-BF492)/100000+(BE492/BF492)/1000000,0)</f>
        <v>1.9997907272727273</v>
      </c>
    </row>
    <row r="493" spans="1:64" ht="11.45" customHeight="1" x14ac:dyDescent="0.2">
      <c r="A493" s="2"/>
      <c r="J493" s="28"/>
      <c r="K493" s="28"/>
      <c r="L493" s="28"/>
      <c r="O493" s="28"/>
      <c r="P493" s="28"/>
      <c r="Q493" s="2"/>
      <c r="R493" s="2"/>
      <c r="S493" s="2"/>
      <c r="T493" s="241">
        <v>3</v>
      </c>
      <c r="U493" s="244" t="str">
        <f>IF(AND(N494&lt;&gt;"",N495&lt;&gt;""),CONCATENATE(VLOOKUP(N494,[1]zawodnicy!$A$1:$E$65536,1,FALSE)," ",VLOOKUP(N494,[1]zawodnicy!$A$1:$E$65536,2,FALSE)," ",VLOOKUP(N494,[1]zawodnicy!$A$1:$E$65536,3,FALSE)," - ",VLOOKUP(N494,[1]zawodnicy!$A$1:$E$65536,4,FALSE)),"")</f>
        <v/>
      </c>
      <c r="V493" s="245"/>
      <c r="W493" s="246"/>
      <c r="X493" s="46" t="str">
        <f>IF(SUM(AO490:AP490)=0,"",AP490&amp;":"&amp;AO490)</f>
        <v>7:21</v>
      </c>
      <c r="Y493" s="83" t="str">
        <f>IF(SUM(AO491:AP491)=0,"",AP491&amp;":"&amp;AO491)</f>
        <v>21:15</v>
      </c>
      <c r="Z493" s="84"/>
      <c r="AA493" s="247" t="str">
        <f>IF(SUM(AW492:AZ492)=0,"",BE492&amp;":"&amp;BF492)</f>
        <v>56:77</v>
      </c>
      <c r="AB493" s="250" t="str">
        <f>IF(SUM(AW492:AZ492)=0,"",BG492&amp;":"&amp;BH492)</f>
        <v>2:2</v>
      </c>
      <c r="AC493" s="250" t="str">
        <f>IF(SUM(AW492:AZ492)=0,"",BI492&amp;":"&amp;BJ492)</f>
        <v>1:1</v>
      </c>
      <c r="AD493" s="253">
        <f>IF(SUM(BI490:BI492)&gt;0,BK492,"")</f>
        <v>2</v>
      </c>
      <c r="AE493" s="2"/>
      <c r="AF493" s="12"/>
      <c r="AG493" s="12"/>
      <c r="BE493" s="19">
        <f>SUM(BE490:BE492)</f>
        <v>184</v>
      </c>
      <c r="BF493" s="19">
        <f>SUM(BF490:BF492)</f>
        <v>184</v>
      </c>
      <c r="BG493" s="19">
        <f>SUM(BG490:BG492)</f>
        <v>6</v>
      </c>
      <c r="BH493" s="19">
        <f>SUM(BH490:BH492)</f>
        <v>6</v>
      </c>
      <c r="BK493" s="19"/>
      <c r="BL493" s="20"/>
    </row>
    <row r="494" spans="1:64" ht="11.45" customHeight="1" x14ac:dyDescent="0.2">
      <c r="A494" s="19"/>
      <c r="J494" s="19"/>
      <c r="K494" s="19"/>
      <c r="L494" s="19"/>
      <c r="N494" s="188" t="s">
        <v>309</v>
      </c>
      <c r="O494" s="34">
        <f>IF(O486&gt;0,(O486&amp;3)*1,"")</f>
        <v>113</v>
      </c>
      <c r="Q494" s="85"/>
      <c r="R494" s="85"/>
      <c r="S494" s="85"/>
      <c r="T494" s="242"/>
      <c r="U494" s="244" t="str">
        <f>IF(AND(N494&lt;&gt;"",N495=""),CONCATENATE(VLOOKUP(N494,[1]zawodnicy!$A$1:$E$65536,1,FALSE)," ",VLOOKUP(N494,[1]zawodnicy!$A$1:$E$65536,2,FALSE)," ",VLOOKUP(N494,[1]zawodnicy!$A$1:$E$65536,3,FALSE)," - ",VLOOKUP(N494,[1]zawodnicy!$A$1:$E$65536,4,FALSE)),"")</f>
        <v>W5473 Paulina WUDARSKA - UKS Iskra Sarbice</v>
      </c>
      <c r="V494" s="245"/>
      <c r="W494" s="246"/>
      <c r="X494" s="61" t="str">
        <f>IF(SUM(AQ490:AR490)=0,"",AR490&amp;":"&amp;AQ490)</f>
        <v>6:21</v>
      </c>
      <c r="Y494" s="36" t="str">
        <f>IF(SUM(AQ491:AR491)=0,"",AR491&amp;":"&amp;AQ491)</f>
        <v>22:20</v>
      </c>
      <c r="Z494" s="86"/>
      <c r="AA494" s="248"/>
      <c r="AB494" s="251"/>
      <c r="AC494" s="251"/>
      <c r="AD494" s="254"/>
      <c r="AE494" s="2"/>
      <c r="AF494" s="12"/>
      <c r="AG494" s="1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row>
    <row r="495" spans="1:64" ht="11.45" customHeight="1" thickBot="1" x14ac:dyDescent="0.25">
      <c r="A495" s="2"/>
      <c r="J495" s="28"/>
      <c r="K495" s="28"/>
      <c r="L495" s="28"/>
      <c r="N495" s="38"/>
      <c r="O495" s="28"/>
      <c r="P495" s="28"/>
      <c r="Q495" s="2"/>
      <c r="R495" s="2"/>
      <c r="S495" s="2"/>
      <c r="T495" s="243"/>
      <c r="U495" s="256" t="str">
        <f>IF(N495&lt;&gt;"",CONCATENATE(VLOOKUP(N495,[1]zawodnicy!$A$1:$E$65536,1,FALSE)," ",VLOOKUP(N495,[1]zawodnicy!$A$1:$E$65536,2,FALSE)," ",VLOOKUP(N495,[1]zawodnicy!$A$1:$E$65536,3,FALSE)," - ",VLOOKUP(N495,[1]zawodnicy!$A$1:$E$65536,4,FALSE)),"")</f>
        <v/>
      </c>
      <c r="V495" s="257"/>
      <c r="W495" s="258"/>
      <c r="X495" s="87" t="str">
        <f>IF(SUM(AS490:AT490)=0,"",AT490&amp;":"&amp;AS490)</f>
        <v/>
      </c>
      <c r="Y495" s="88" t="str">
        <f>IF(SUM(AS491:AT491)=0,"",AT491&amp;":"&amp;AS491)</f>
        <v/>
      </c>
      <c r="Z495" s="89"/>
      <c r="AA495" s="249"/>
      <c r="AB495" s="252"/>
      <c r="AC495" s="252"/>
      <c r="AD495" s="255"/>
      <c r="AE495" s="10"/>
      <c r="AF495" s="12"/>
      <c r="AG495" s="1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row>
    <row r="496" spans="1:64" s="19" customFormat="1" ht="5.0999999999999996" customHeight="1" thickBot="1" x14ac:dyDescent="0.25">
      <c r="M496" s="90"/>
      <c r="O496" s="90"/>
      <c r="P496" s="90"/>
      <c r="Q496" s="91"/>
      <c r="R496" s="91"/>
      <c r="S496" s="91"/>
      <c r="T496" s="91"/>
      <c r="U496" s="5"/>
      <c r="V496" s="5"/>
      <c r="W496" s="5"/>
      <c r="AA496" s="92"/>
      <c r="AB496" s="91"/>
      <c r="AC496" s="91"/>
      <c r="AD496" s="91"/>
      <c r="AE496" s="91"/>
      <c r="AF496" s="91"/>
      <c r="AI496" s="93"/>
      <c r="AJ496" s="94"/>
      <c r="AK496" s="94"/>
    </row>
    <row r="497" spans="1:64" ht="11.45" customHeight="1" thickBot="1" x14ac:dyDescent="0.25">
      <c r="N497" s="11"/>
      <c r="O497" s="21">
        <v>12</v>
      </c>
      <c r="Q497" s="277" t="str">
        <f>"Grupa "&amp;O497&amp;"."</f>
        <v>Grupa 12.</v>
      </c>
      <c r="R497" s="277"/>
      <c r="S497" s="277"/>
      <c r="T497" s="22" t="s">
        <v>1</v>
      </c>
      <c r="U497" s="278" t="s">
        <v>2</v>
      </c>
      <c r="V497" s="279"/>
      <c r="W497" s="280"/>
      <c r="X497" s="22">
        <v>1</v>
      </c>
      <c r="Y497" s="23">
        <v>2</v>
      </c>
      <c r="Z497" s="24">
        <v>3</v>
      </c>
      <c r="AA497" s="25" t="s">
        <v>3</v>
      </c>
      <c r="AB497" s="26" t="s">
        <v>4</v>
      </c>
      <c r="AC497" s="26" t="s">
        <v>5</v>
      </c>
      <c r="AD497" s="27" t="s">
        <v>6</v>
      </c>
      <c r="AE497" s="2"/>
      <c r="AF497" s="12"/>
      <c r="AG497" s="12"/>
      <c r="BK497" s="19"/>
      <c r="BL497" s="20"/>
    </row>
    <row r="498" spans="1:64" ht="11.45" customHeight="1" x14ac:dyDescent="0.2">
      <c r="J498" s="28"/>
      <c r="K498" s="28"/>
      <c r="L498" s="28"/>
      <c r="N498" s="29" t="s">
        <v>278</v>
      </c>
      <c r="Q498" s="274" t="s">
        <v>7</v>
      </c>
      <c r="R498" s="274"/>
      <c r="S498" s="275" t="s">
        <v>8</v>
      </c>
      <c r="T498" s="276">
        <v>1</v>
      </c>
      <c r="U498" s="244" t="str">
        <f>IF(AND(N499&lt;&gt;"",N500&lt;&gt;""),CONCATENATE(VLOOKUP(N499,[1]zawodnicy!$A$1:$E$65536,1,FALSE)," ",VLOOKUP(N499,[1]zawodnicy!$A$1:$E$65536,2,FALSE)," ",VLOOKUP(N499,[1]zawodnicy!$A$1:$E$65536,3,FALSE)," - ",VLOOKUP(N499,[1]zawodnicy!$A$1:$E$65536,4,FALSE)),"")</f>
        <v/>
      </c>
      <c r="V498" s="245"/>
      <c r="W498" s="246"/>
      <c r="X498" s="30"/>
      <c r="Y498" s="31" t="str">
        <f>IF(SUM(AO503:AP503)=0,"",AO503&amp;":"&amp;AP503)</f>
        <v>21:12</v>
      </c>
      <c r="Z498" s="32" t="str">
        <f>IF(SUM(AO501:AP501)=0,"",AO501&amp;":"&amp;AP501)</f>
        <v>21:8</v>
      </c>
      <c r="AA498" s="270" t="str">
        <f>IF(SUM(AY501:BB501)=0,"",BE501&amp;":"&amp;BF501)</f>
        <v>84:44</v>
      </c>
      <c r="AB498" s="271" t="str">
        <f>IF(SUM(AY501:BB501)=0,"",BG501&amp;":"&amp;BH501)</f>
        <v>4:0</v>
      </c>
      <c r="AC498" s="271" t="str">
        <f>IF(SUM(AY501:BB501)=0,"",BI501&amp;":"&amp;BJ501)</f>
        <v>2:0</v>
      </c>
      <c r="AD498" s="272">
        <f>IF(SUM(BI501:BI503)&gt;0,BK501,"")</f>
        <v>1</v>
      </c>
      <c r="AE498" s="2"/>
      <c r="AF498" s="12"/>
      <c r="AG498" s="12"/>
      <c r="AH498" s="14"/>
      <c r="AI498" s="273" t="s">
        <v>9</v>
      </c>
      <c r="AJ498" s="273"/>
      <c r="AK498" s="273"/>
      <c r="AL498" s="273"/>
      <c r="AM498" s="273"/>
      <c r="AN498" s="273"/>
      <c r="AO498" s="273" t="s">
        <v>10</v>
      </c>
      <c r="AP498" s="273"/>
      <c r="AQ498" s="273"/>
      <c r="AR498" s="273"/>
      <c r="AS498" s="273"/>
      <c r="AT498" s="273"/>
      <c r="BK498" s="19"/>
      <c r="BL498" s="20"/>
    </row>
    <row r="499" spans="1:64" ht="11.45" customHeight="1" thickBot="1" x14ac:dyDescent="0.25">
      <c r="I499" s="2" t="str">
        <f>"1"&amp;O497&amp;N498</f>
        <v>112pojedyncza dziewcząt MM</v>
      </c>
      <c r="J499" s="10" t="str">
        <f>IF(AD498="","",IF(AD498=1,N499,IF(AD501=1,N502,IF(AD504=1,N505,""))))</f>
        <v>R5603</v>
      </c>
      <c r="K499" s="10">
        <f>IF(AD498="","",IF(AD498=1,N500,IF(AD501=1,N503,IF(AD504=1,N506,""))))</f>
        <v>0</v>
      </c>
      <c r="L499" s="10"/>
      <c r="N499" s="187" t="s">
        <v>310</v>
      </c>
      <c r="O499" s="34">
        <f>IF(O497&gt;0,(O497&amp;1)*1,"")</f>
        <v>121</v>
      </c>
      <c r="Q499" s="274"/>
      <c r="R499" s="274"/>
      <c r="S499" s="275"/>
      <c r="T499" s="242"/>
      <c r="U499" s="244" t="str">
        <f>IF(AND(N499&lt;&gt;"",N500=""),CONCATENATE(VLOOKUP(N499,[1]zawodnicy!$A$1:$E$65536,1,FALSE)," ",VLOOKUP(N499,[1]zawodnicy!$A$1:$E$65536,2,FALSE)," ",VLOOKUP(N499,[1]zawodnicy!$A$1:$E$65536,3,FALSE)," - ",VLOOKUP(N499,[1]zawodnicy!$A$1:$E$65536,4,FALSE)),"")</f>
        <v>R5603 Aleksandra RADZISZEWSKA - UKS Hubal Białystok</v>
      </c>
      <c r="V499" s="245"/>
      <c r="W499" s="246"/>
      <c r="X499" s="35"/>
      <c r="Y499" s="36" t="str">
        <f>IF(SUM(AQ503:AR503)=0,"",AQ503&amp;":"&amp;AR503)</f>
        <v>21:8</v>
      </c>
      <c r="Z499" s="37" t="str">
        <f>IF(SUM(AQ501:AR501)=0,"",AQ501&amp;":"&amp;AR501)</f>
        <v>21:16</v>
      </c>
      <c r="AA499" s="248"/>
      <c r="AB499" s="251"/>
      <c r="AC499" s="251"/>
      <c r="AD499" s="254"/>
      <c r="AE499" s="2"/>
      <c r="AF499" s="12"/>
      <c r="AG499" s="12"/>
      <c r="AH499" s="14"/>
      <c r="BE499" s="19">
        <f>SUM(BE501:BE503)</f>
        <v>190</v>
      </c>
      <c r="BF499" s="19">
        <f>SUM(BF501:BF503)</f>
        <v>190</v>
      </c>
      <c r="BG499" s="19">
        <f>SUM(BG501:BG503)</f>
        <v>6</v>
      </c>
      <c r="BH499" s="19">
        <f>SUM(BH501:BH503)</f>
        <v>6</v>
      </c>
      <c r="BK499" s="19"/>
      <c r="BL499" s="20"/>
    </row>
    <row r="500" spans="1:64" ht="11.45" customHeight="1" thickBot="1" x14ac:dyDescent="0.25">
      <c r="J500" s="10"/>
      <c r="K500" s="28"/>
      <c r="L500" s="28"/>
      <c r="N500" s="38"/>
      <c r="O500" s="28"/>
      <c r="P500" s="28"/>
      <c r="Q500" s="274"/>
      <c r="R500" s="274"/>
      <c r="S500" s="275"/>
      <c r="T500" s="261"/>
      <c r="U500" s="265" t="str">
        <f>IF(N500&lt;&gt;"",CONCATENATE(VLOOKUP(N500,[1]zawodnicy!$A$1:$E$65536,1,FALSE)," ",VLOOKUP(N500,[1]zawodnicy!$A$1:$E$65536,2,FALSE)," ",VLOOKUP(N500,[1]zawodnicy!$A$1:$E$65536,3,FALSE)," - ",VLOOKUP(N500,[1]zawodnicy!$A$1:$E$65536,4,FALSE)),"")</f>
        <v/>
      </c>
      <c r="V500" s="266"/>
      <c r="W500" s="267"/>
      <c r="X500" s="35"/>
      <c r="Y500" s="39" t="str">
        <f>IF(SUM(AS503:AT503)=0,"",AS503&amp;":"&amp;AT503)</f>
        <v/>
      </c>
      <c r="Z500" s="40" t="str">
        <f>IF(SUM(AS501:AT501)=0,"",AS501&amp;":"&amp;AT501)</f>
        <v/>
      </c>
      <c r="AA500" s="262"/>
      <c r="AB500" s="263"/>
      <c r="AC500" s="263"/>
      <c r="AD500" s="264"/>
      <c r="AE500" s="2"/>
      <c r="AF500" s="12"/>
      <c r="AG500" s="12"/>
      <c r="AH500" s="14"/>
      <c r="AI500" s="259" t="s">
        <v>12</v>
      </c>
      <c r="AJ500" s="269"/>
      <c r="AK500" s="268" t="s">
        <v>13</v>
      </c>
      <c r="AL500" s="269"/>
      <c r="AM500" s="268" t="s">
        <v>14</v>
      </c>
      <c r="AN500" s="260"/>
      <c r="AO500" s="259" t="s">
        <v>12</v>
      </c>
      <c r="AP500" s="269"/>
      <c r="AQ500" s="268" t="s">
        <v>13</v>
      </c>
      <c r="AR500" s="269"/>
      <c r="AS500" s="268" t="s">
        <v>14</v>
      </c>
      <c r="AT500" s="269"/>
      <c r="AU500" s="12"/>
      <c r="AV500" s="12"/>
      <c r="AW500" s="259">
        <v>1</v>
      </c>
      <c r="AX500" s="269"/>
      <c r="AY500" s="268">
        <v>2</v>
      </c>
      <c r="AZ500" s="269"/>
      <c r="BA500" s="268">
        <v>3</v>
      </c>
      <c r="BB500" s="260"/>
      <c r="BE500" s="259" t="s">
        <v>3</v>
      </c>
      <c r="BF500" s="260"/>
      <c r="BG500" s="259" t="s">
        <v>4</v>
      </c>
      <c r="BH500" s="260"/>
      <c r="BI500" s="259" t="s">
        <v>5</v>
      </c>
      <c r="BJ500" s="260"/>
      <c r="BK500" s="41" t="s">
        <v>6</v>
      </c>
      <c r="BL500" s="20"/>
    </row>
    <row r="501" spans="1:64" ht="11.45" customHeight="1" x14ac:dyDescent="0.2">
      <c r="A501" s="19">
        <f>S501</f>
        <v>111</v>
      </c>
      <c r="B501" s="2" t="str">
        <f>IF(N499="","",N499)</f>
        <v>R5603</v>
      </c>
      <c r="C501" s="2" t="str">
        <f>IF(N500="","",N500)</f>
        <v/>
      </c>
      <c r="D501" s="2" t="str">
        <f>IF(N505="","",N505)</f>
        <v>X32</v>
      </c>
      <c r="E501" s="2" t="str">
        <f>IF(N506="","",N506)</f>
        <v/>
      </c>
      <c r="I501" s="2" t="str">
        <f>"2"&amp;O497&amp;N498</f>
        <v>212pojedyncza dziewcząt MM</v>
      </c>
      <c r="J501" s="10" t="str">
        <f>IF(AD501="","",IF(AD498=2,N499,IF(AD501=2,N502,IF(AD504=2,N505,""))))</f>
        <v>X32</v>
      </c>
      <c r="K501" s="10">
        <f>IF(AD501="","",IF(AD498=2,N500,IF(AD501=2,N503,IF(AD504=2,N506,""))))</f>
        <v>0</v>
      </c>
      <c r="M501" s="42" t="str">
        <f>N498</f>
        <v>pojedyncza dziewcząt MM</v>
      </c>
      <c r="O501" s="28"/>
      <c r="P501" s="28"/>
      <c r="Q501" s="43" t="str">
        <f>IF(AU501&gt;0,"",IF(A501=0,"",IF(VLOOKUP(A501,'[1]plan gier'!A$1:S$65536,19,FALSE)="","",VLOOKUP(A501,'[1]plan gier'!A$1:S$65536,19,FALSE))))</f>
        <v/>
      </c>
      <c r="R501" s="44" t="s">
        <v>15</v>
      </c>
      <c r="S501" s="45">
        <v>111</v>
      </c>
      <c r="T501" s="241">
        <v>2</v>
      </c>
      <c r="U501" s="244" t="str">
        <f>IF(AND(N502&lt;&gt;"",N503&lt;&gt;""),CONCATENATE(VLOOKUP(N502,[1]zawodnicy!$A$1:$E$65536,1,FALSE)," ",VLOOKUP(N502,[1]zawodnicy!$A$1:$E$65536,2,FALSE)," ",VLOOKUP(N502,[1]zawodnicy!$A$1:$E$65536,3,FALSE)," - ",VLOOKUP(N502,[1]zawodnicy!$A$1:$E$65536,4,FALSE)),"")</f>
        <v/>
      </c>
      <c r="V501" s="245"/>
      <c r="W501" s="246"/>
      <c r="X501" s="46" t="str">
        <f>IF(SUM(AO503:AP503)=0,"",AP503&amp;":"&amp;AO503)</f>
        <v>12:21</v>
      </c>
      <c r="Y501" s="47"/>
      <c r="Z501" s="48" t="str">
        <f>IF(SUM(AO502:AP502)=0,"",AO502&amp;":"&amp;AP502)</f>
        <v>11:21</v>
      </c>
      <c r="AA501" s="247" t="str">
        <f>IF(SUM(AW502:AX502,BA502:BB502)=0,"",BE502&amp;":"&amp;BF502)</f>
        <v>40:84</v>
      </c>
      <c r="AB501" s="250" t="str">
        <f>IF(SUM(AW502:AX502,BA502:BB502)=0,"",BG502&amp;":"&amp;BH502)</f>
        <v>0:4</v>
      </c>
      <c r="AC501" s="250" t="str">
        <f>IF(SUM(AW502:AX502,BA502:BB502)=0,"",BI502&amp;":"&amp;BJ502)</f>
        <v>0:2</v>
      </c>
      <c r="AD501" s="253">
        <f>IF(SUM(BI501:BI503)&gt;0,BK502,"")</f>
        <v>3</v>
      </c>
      <c r="AE501" s="2"/>
      <c r="AF501" s="12"/>
      <c r="AG501" s="12"/>
      <c r="AH501" s="44" t="s">
        <v>15</v>
      </c>
      <c r="AI501" s="49">
        <f>IF(ISBLANK(S501),"",VLOOKUP(S501,'[1]plan gier'!$X$1:$AN$65536,12,FALSE))</f>
        <v>21</v>
      </c>
      <c r="AJ501" s="50">
        <f>IF(ISBLANK(S501),"",VLOOKUP(S501,'[1]plan gier'!$X$1:$AN$65536,13,FALSE))</f>
        <v>8</v>
      </c>
      <c r="AK501" s="50">
        <f>IF(ISBLANK(S501),"",VLOOKUP(S501,'[1]plan gier'!$X$1:$AN$65536,14,FALSE))</f>
        <v>21</v>
      </c>
      <c r="AL501" s="50">
        <f>IF(ISBLANK(S501),"",VLOOKUP(S501,'[1]plan gier'!$X$1:$AN$65536,15,FALSE))</f>
        <v>16</v>
      </c>
      <c r="AM501" s="50">
        <f>IF(ISBLANK(S501),"",VLOOKUP(S501,'[1]plan gier'!$X$1:$AN$65536,16,FALSE))</f>
        <v>0</v>
      </c>
      <c r="AN501" s="50">
        <f>IF(ISBLANK(S501),"",VLOOKUP(S501,'[1]plan gier'!$X$1:$AN$65536,17,FALSE))</f>
        <v>0</v>
      </c>
      <c r="AO501" s="51">
        <f t="shared" ref="AO501:AT503" si="51">IF(AI501="",0,AI501)</f>
        <v>21</v>
      </c>
      <c r="AP501" s="52">
        <f t="shared" si="51"/>
        <v>8</v>
      </c>
      <c r="AQ501" s="53">
        <f t="shared" si="51"/>
        <v>21</v>
      </c>
      <c r="AR501" s="52">
        <f t="shared" si="51"/>
        <v>16</v>
      </c>
      <c r="AS501" s="53">
        <f t="shared" si="51"/>
        <v>0</v>
      </c>
      <c r="AT501" s="52">
        <f t="shared" si="51"/>
        <v>0</v>
      </c>
      <c r="AU501" s="54">
        <f>SUM(AO501:AT501)</f>
        <v>66</v>
      </c>
      <c r="AV501" s="13">
        <v>1</v>
      </c>
      <c r="AW501" s="55"/>
      <c r="AX501" s="56"/>
      <c r="AY501" s="50">
        <f>IF(AI503&gt;AJ503,1,0)+IF(AK503&gt;AL503,1,0)+IF(AM503&gt;AN503,1,0)</f>
        <v>2</v>
      </c>
      <c r="AZ501" s="50">
        <f>AW502</f>
        <v>0</v>
      </c>
      <c r="BA501" s="50">
        <f>IF(AI501&gt;AJ501,1,0)+IF(AK501&gt;AL501,1,0)+IF(AM501&gt;AN501,1,0)</f>
        <v>2</v>
      </c>
      <c r="BB501" s="57">
        <f>AW503</f>
        <v>0</v>
      </c>
      <c r="BE501" s="49">
        <f>AO501+AQ501+AS501+AO503+AQ503+AS503</f>
        <v>84</v>
      </c>
      <c r="BF501" s="57">
        <f>AP501+AR501+AT501+AP503+AR503+AT503</f>
        <v>44</v>
      </c>
      <c r="BG501" s="49">
        <f>AY501+BA501</f>
        <v>4</v>
      </c>
      <c r="BH501" s="57">
        <f>AZ501+BB501</f>
        <v>0</v>
      </c>
      <c r="BI501" s="49">
        <f>IF(AY501&gt;AZ501,1,0)+IF(BA501&gt;BB501,1,0)</f>
        <v>2</v>
      </c>
      <c r="BJ501" s="58">
        <f>IF(AZ501&gt;AY501,1,0)+IF(BB501&gt;BA501,1,0)</f>
        <v>0</v>
      </c>
      <c r="BK501" s="59">
        <f>IF(BI501+BJ501=0,"",IF(BL501=MAX(BL501:BL503),1,IF(BL501=MIN(BL501:BL503),3,2)))</f>
        <v>1</v>
      </c>
      <c r="BL501" s="60">
        <f>IF(BI501+BJ501&lt;&gt;0,BI501+1+(BG501-BH501)/100+(BE501-BF501)/100000+(BE501/BF501)/1000000,0)</f>
        <v>3.0404019090909089</v>
      </c>
    </row>
    <row r="502" spans="1:64" ht="11.45" customHeight="1" x14ac:dyDescent="0.2">
      <c r="A502" s="19">
        <f>S502</f>
        <v>177</v>
      </c>
      <c r="B502" s="2" t="str">
        <f>IF(N502="","",N502)</f>
        <v>S5479</v>
      </c>
      <c r="C502" s="2" t="str">
        <f>IF(N503="","",N503)</f>
        <v/>
      </c>
      <c r="D502" s="2" t="str">
        <f>IF(N505="","",N505)</f>
        <v>X32</v>
      </c>
      <c r="E502" s="2" t="str">
        <f>IF(N506="","",N506)</f>
        <v/>
      </c>
      <c r="J502" s="10"/>
      <c r="K502" s="19"/>
      <c r="M502" s="42" t="str">
        <f>N498</f>
        <v>pojedyncza dziewcząt MM</v>
      </c>
      <c r="N502" s="190" t="s">
        <v>311</v>
      </c>
      <c r="O502" s="34">
        <f>IF(O497&gt;0,(O497&amp;2)*1,"")</f>
        <v>122</v>
      </c>
      <c r="Q502" s="43" t="str">
        <f>IF(AU502&gt;0,"",IF(A502=0,"",IF(VLOOKUP(A502,'[1]plan gier'!A$1:S$65536,19,FALSE)="","",VLOOKUP(A502,'[1]plan gier'!A$1:S$65536,19,FALSE))))</f>
        <v/>
      </c>
      <c r="R502" s="44" t="s">
        <v>17</v>
      </c>
      <c r="S502" s="45">
        <v>177</v>
      </c>
      <c r="T502" s="242"/>
      <c r="U502" s="244" t="str">
        <f>IF(AND(N502&lt;&gt;"",N503=""),CONCATENATE(VLOOKUP(N502,[1]zawodnicy!$A$1:$E$65536,1,FALSE)," ",VLOOKUP(N502,[1]zawodnicy!$A$1:$E$65536,2,FALSE)," ",VLOOKUP(N502,[1]zawodnicy!$A$1:$E$65536,3,FALSE)," - ",VLOOKUP(N502,[1]zawodnicy!$A$1:$E$65536,4,FALSE)),"")</f>
        <v>S5479 Aleksandra SZYMAŃSKA - UKSB Milenium Warszawa</v>
      </c>
      <c r="V502" s="245"/>
      <c r="W502" s="246"/>
      <c r="X502" s="61" t="str">
        <f>IF(SUM(AQ503:AR503)=0,"",AR503&amp;":"&amp;AQ503)</f>
        <v>8:21</v>
      </c>
      <c r="Y502" s="62"/>
      <c r="Z502" s="37" t="str">
        <f>IF(SUM(AQ502:AR502)=0,"",AQ502&amp;":"&amp;AR502)</f>
        <v>9:21</v>
      </c>
      <c r="AA502" s="248"/>
      <c r="AB502" s="251"/>
      <c r="AC502" s="251"/>
      <c r="AD502" s="254"/>
      <c r="AE502" s="2"/>
      <c r="AF502" s="12"/>
      <c r="AG502" s="12"/>
      <c r="AH502" s="44" t="s">
        <v>17</v>
      </c>
      <c r="AI502" s="63">
        <f>IF(ISBLANK(S502),"",VLOOKUP(S502,'[1]plan gier'!$X$1:$AN$65536,12,FALSE))</f>
        <v>11</v>
      </c>
      <c r="AJ502" s="64">
        <f>IF(ISBLANK(S502),"",VLOOKUP(S502,'[1]plan gier'!$X$1:$AN$65536,13,FALSE))</f>
        <v>21</v>
      </c>
      <c r="AK502" s="64">
        <f>IF(ISBLANK(S502),"",VLOOKUP(S502,'[1]plan gier'!$X$1:$AN$65536,14,FALSE))</f>
        <v>9</v>
      </c>
      <c r="AL502" s="64">
        <f>IF(ISBLANK(S502),"",VLOOKUP(S502,'[1]plan gier'!$X$1:$AN$65536,15,FALSE))</f>
        <v>21</v>
      </c>
      <c r="AM502" s="64">
        <f>IF(ISBLANK(S502),"",VLOOKUP(S502,'[1]plan gier'!$X$1:$AN$65536,16,FALSE))</f>
        <v>0</v>
      </c>
      <c r="AN502" s="64">
        <f>IF(ISBLANK(S502),"",VLOOKUP(S502,'[1]plan gier'!$X$1:$AN$65536,17,FALSE))</f>
        <v>0</v>
      </c>
      <c r="AO502" s="65">
        <f t="shared" si="51"/>
        <v>11</v>
      </c>
      <c r="AP502" s="64">
        <f t="shared" si="51"/>
        <v>21</v>
      </c>
      <c r="AQ502" s="66">
        <f t="shared" si="51"/>
        <v>9</v>
      </c>
      <c r="AR502" s="64">
        <f t="shared" si="51"/>
        <v>21</v>
      </c>
      <c r="AS502" s="66">
        <f t="shared" si="51"/>
        <v>0</v>
      </c>
      <c r="AT502" s="64">
        <f t="shared" si="51"/>
        <v>0</v>
      </c>
      <c r="AU502" s="54">
        <f>SUM(AO502:AT502)</f>
        <v>62</v>
      </c>
      <c r="AV502" s="13">
        <v>2</v>
      </c>
      <c r="AW502" s="63">
        <f>IF(AI503&lt;AJ503,1,0)+IF(AK503&lt;AL503,1,0)+IF(AM503&lt;AN503,1,0)</f>
        <v>0</v>
      </c>
      <c r="AX502" s="64">
        <f>AY501</f>
        <v>2</v>
      </c>
      <c r="AY502" s="67"/>
      <c r="AZ502" s="68"/>
      <c r="BA502" s="64">
        <f>IF(AI502&gt;AJ502,1,0)+IF(AK502&gt;AL502,1,0)+IF(AM502&gt;AN502,1,0)</f>
        <v>0</v>
      </c>
      <c r="BB502" s="69">
        <f>AY503</f>
        <v>2</v>
      </c>
      <c r="BE502" s="63">
        <f>AO502+AQ502+AS502+AP503+AR503+AT503</f>
        <v>40</v>
      </c>
      <c r="BF502" s="69">
        <f>AP502+AR502+AT502+AO503+AQ503+AS503</f>
        <v>84</v>
      </c>
      <c r="BG502" s="63">
        <f>AW502+BA502</f>
        <v>0</v>
      </c>
      <c r="BH502" s="69">
        <f>AX502+BB502</f>
        <v>4</v>
      </c>
      <c r="BI502" s="63">
        <f>IF(AW502&gt;AX502,1,0)+IF(BA502&gt;BB502,1,0)</f>
        <v>0</v>
      </c>
      <c r="BJ502" s="70">
        <f>IF(AX502&gt;AW502,1,0)+IF(BB502&gt;BA502,1,0)</f>
        <v>2</v>
      </c>
      <c r="BK502" s="71">
        <f>IF(BI502+BJ502=0,"",IF(BL502=MAX(BL501:BL503),1,IF(BL502=MIN(BL501:BL503),3,2)))</f>
        <v>3</v>
      </c>
      <c r="BL502" s="60">
        <f>IF(BI502+BJ502&lt;&gt;0,BI502+1+(BG502-BH502)/100+(BE502-BF502)/100000+(BE502/BF502)/1000000,0)</f>
        <v>0.95956047619047613</v>
      </c>
    </row>
    <row r="503" spans="1:64" ht="11.45" customHeight="1" thickBot="1" x14ac:dyDescent="0.25">
      <c r="A503" s="19">
        <f>S503</f>
        <v>230</v>
      </c>
      <c r="B503" s="2" t="str">
        <f>IF(N499="","",N499)</f>
        <v>R5603</v>
      </c>
      <c r="C503" s="2" t="str">
        <f>IF(N500="","",N500)</f>
        <v/>
      </c>
      <c r="D503" s="2" t="str">
        <f>IF(N502="","",N502)</f>
        <v>S5479</v>
      </c>
      <c r="E503" s="2" t="str">
        <f>IF(N503="","",N503)</f>
        <v/>
      </c>
      <c r="I503" s="2" t="str">
        <f>"3"&amp;O497&amp;N498</f>
        <v>312pojedyncza dziewcząt MM</v>
      </c>
      <c r="J503" s="10" t="str">
        <f>IF(AD504="","",IF(AD498=3,N499,IF(AD501=3,N502,IF(AD504=3,N505,""))))</f>
        <v>S5479</v>
      </c>
      <c r="K503" s="10">
        <f>IF(AD504="","",IF(AD498=3,N500,IF(AD501=3,N503,IF(AD504=3,N506,""))))</f>
        <v>0</v>
      </c>
      <c r="M503" s="42" t="str">
        <f>N498</f>
        <v>pojedyncza dziewcząt MM</v>
      </c>
      <c r="N503" s="38"/>
      <c r="O503" s="28"/>
      <c r="P503" s="28"/>
      <c r="Q503" s="43" t="str">
        <f>IF(AU503&gt;0,"",IF(A503=0,"",IF(VLOOKUP(A503,'[1]plan gier'!A$1:S$65536,19,FALSE)="","",VLOOKUP(A503,'[1]plan gier'!A$1:S$65536,19,FALSE))))</f>
        <v/>
      </c>
      <c r="R503" s="72" t="s">
        <v>18</v>
      </c>
      <c r="S503" s="45">
        <v>230</v>
      </c>
      <c r="T503" s="261"/>
      <c r="U503" s="265" t="str">
        <f>IF(N503&lt;&gt;"",CONCATENATE(VLOOKUP(N503,[1]zawodnicy!$A$1:$E$65536,1,FALSE)," ",VLOOKUP(N503,[1]zawodnicy!$A$1:$E$65536,2,FALSE)," ",VLOOKUP(N503,[1]zawodnicy!$A$1:$E$65536,3,FALSE)," - ",VLOOKUP(N503,[1]zawodnicy!$A$1:$E$65536,4,FALSE)),"")</f>
        <v/>
      </c>
      <c r="V503" s="266"/>
      <c r="W503" s="267"/>
      <c r="X503" s="73" t="str">
        <f>IF(SUM(AS503:AT503)=0,"",AT503&amp;":"&amp;AS503)</f>
        <v/>
      </c>
      <c r="Y503" s="62"/>
      <c r="Z503" s="40" t="str">
        <f>IF(SUM(AS502:AT502)=0,"",AS502&amp;":"&amp;AT502)</f>
        <v/>
      </c>
      <c r="AA503" s="262"/>
      <c r="AB503" s="263"/>
      <c r="AC503" s="263"/>
      <c r="AD503" s="264"/>
      <c r="AE503" s="2"/>
      <c r="AF503" s="12"/>
      <c r="AG503" s="12"/>
      <c r="AH503" s="72" t="s">
        <v>18</v>
      </c>
      <c r="AI503" s="74">
        <f>IF(ISBLANK(S503),"",VLOOKUP(S503,'[1]plan gier'!$X$1:$AN$65536,12,FALSE))</f>
        <v>21</v>
      </c>
      <c r="AJ503" s="75">
        <f>IF(ISBLANK(S503),"",VLOOKUP(S503,'[1]plan gier'!$X$1:$AN$65536,13,FALSE))</f>
        <v>12</v>
      </c>
      <c r="AK503" s="75">
        <f>IF(ISBLANK(S503),"",VLOOKUP(S503,'[1]plan gier'!$X$1:$AN$65536,14,FALSE))</f>
        <v>21</v>
      </c>
      <c r="AL503" s="75">
        <f>IF(ISBLANK(S503),"",VLOOKUP(S503,'[1]plan gier'!$X$1:$AN$65536,15,FALSE))</f>
        <v>8</v>
      </c>
      <c r="AM503" s="75">
        <f>IF(ISBLANK(S503),"",VLOOKUP(S503,'[1]plan gier'!$X$1:$AN$65536,16,FALSE))</f>
        <v>0</v>
      </c>
      <c r="AN503" s="75">
        <f>IF(ISBLANK(S503),"",VLOOKUP(S503,'[1]plan gier'!$X$1:$AN$65536,17,FALSE))</f>
        <v>0</v>
      </c>
      <c r="AO503" s="76">
        <f t="shared" si="51"/>
        <v>21</v>
      </c>
      <c r="AP503" s="75">
        <f t="shared" si="51"/>
        <v>12</v>
      </c>
      <c r="AQ503" s="77">
        <f t="shared" si="51"/>
        <v>21</v>
      </c>
      <c r="AR503" s="75">
        <f t="shared" si="51"/>
        <v>8</v>
      </c>
      <c r="AS503" s="77">
        <f t="shared" si="51"/>
        <v>0</v>
      </c>
      <c r="AT503" s="75">
        <f t="shared" si="51"/>
        <v>0</v>
      </c>
      <c r="AU503" s="54">
        <f>SUM(AO503:AT503)</f>
        <v>62</v>
      </c>
      <c r="AV503" s="13">
        <v>3</v>
      </c>
      <c r="AW503" s="74">
        <f>IF(AI501&lt;AJ501,1,0)+IF(AK501&lt;AL501,1,0)+IF(AM501&lt;AN501,1,0)</f>
        <v>0</v>
      </c>
      <c r="AX503" s="75">
        <f>BA501</f>
        <v>2</v>
      </c>
      <c r="AY503" s="75">
        <f>IF(AI502&lt;AJ502,1,0)+IF(AK502&lt;AL502,1,0)+IF(AM502&lt;AN502,1,0)</f>
        <v>2</v>
      </c>
      <c r="AZ503" s="75">
        <f>BA502</f>
        <v>0</v>
      </c>
      <c r="BA503" s="78"/>
      <c r="BB503" s="79"/>
      <c r="BE503" s="74">
        <f>AP501+AR501+AT501+AP502+AR502+AT502</f>
        <v>66</v>
      </c>
      <c r="BF503" s="80">
        <f>AO501+AQ501+AS501+AO502+AQ502+AS502</f>
        <v>62</v>
      </c>
      <c r="BG503" s="74">
        <f>AW503+AY503</f>
        <v>2</v>
      </c>
      <c r="BH503" s="80">
        <f>AX503+AZ503</f>
        <v>2</v>
      </c>
      <c r="BI503" s="74">
        <f>IF(AW503&gt;AX503,1,0)+IF(AY503&gt;AZ503,1,0)</f>
        <v>1</v>
      </c>
      <c r="BJ503" s="81">
        <f>IF(AX503&gt;AW503,1,0)+IF(AZ503&gt;AY503,1,0)</f>
        <v>1</v>
      </c>
      <c r="BK503" s="82">
        <f>IF(BI503+BJ503=0,"",IF(BL503=MAX(BL501:BL503),1,IF(BL503=MIN(BL501:BL503),3,2)))</f>
        <v>2</v>
      </c>
      <c r="BL503" s="60">
        <f>IF(BI503+BJ503&lt;&gt;0,BI503+1+(BG503-BH503)/100+(BE503-BF503)/100000+(BE503/BF503)/1000000,0)</f>
        <v>2.0000410645161288</v>
      </c>
    </row>
    <row r="504" spans="1:64" ht="11.45" customHeight="1" x14ac:dyDescent="0.2">
      <c r="A504" s="2"/>
      <c r="J504" s="28"/>
      <c r="K504" s="28"/>
      <c r="L504" s="28"/>
      <c r="O504" s="28"/>
      <c r="P504" s="28"/>
      <c r="Q504" s="2"/>
      <c r="R504" s="2"/>
      <c r="S504" s="2"/>
      <c r="T504" s="241">
        <v>3</v>
      </c>
      <c r="U504" s="244" t="str">
        <f>IF(AND(N505&lt;&gt;"",N506&lt;&gt;""),CONCATENATE(VLOOKUP(N505,[1]zawodnicy!$A$1:$E$65536,1,FALSE)," ",VLOOKUP(N505,[1]zawodnicy!$A$1:$E$65536,2,FALSE)," ",VLOOKUP(N505,[1]zawodnicy!$A$1:$E$65536,3,FALSE)," - ",VLOOKUP(N505,[1]zawodnicy!$A$1:$E$65536,4,FALSE)),"")</f>
        <v/>
      </c>
      <c r="V504" s="245"/>
      <c r="W504" s="246"/>
      <c r="X504" s="46" t="str">
        <f>IF(SUM(AO501:AP501)=0,"",AP501&amp;":"&amp;AO501)</f>
        <v>8:21</v>
      </c>
      <c r="Y504" s="83" t="str">
        <f>IF(SUM(AO502:AP502)=0,"",AP502&amp;":"&amp;AO502)</f>
        <v>21:11</v>
      </c>
      <c r="Z504" s="84"/>
      <c r="AA504" s="247" t="str">
        <f>IF(SUM(AW503:AZ503)=0,"",BE503&amp;":"&amp;BF503)</f>
        <v>66:62</v>
      </c>
      <c r="AB504" s="250" t="str">
        <f>IF(SUM(AW503:AZ503)=0,"",BG503&amp;":"&amp;BH503)</f>
        <v>2:2</v>
      </c>
      <c r="AC504" s="250" t="str">
        <f>IF(SUM(AW503:AZ503)=0,"",BI503&amp;":"&amp;BJ503)</f>
        <v>1:1</v>
      </c>
      <c r="AD504" s="253">
        <f>IF(SUM(BI501:BI503)&gt;0,BK503,"")</f>
        <v>2</v>
      </c>
      <c r="AE504" s="2"/>
      <c r="AF504" s="12"/>
      <c r="AG504" s="12"/>
      <c r="BE504" s="19">
        <f>SUM(BE501:BE503)</f>
        <v>190</v>
      </c>
      <c r="BF504" s="19">
        <f>SUM(BF501:BF503)</f>
        <v>190</v>
      </c>
      <c r="BG504" s="19">
        <f>SUM(BG501:BG503)</f>
        <v>6</v>
      </c>
      <c r="BH504" s="19">
        <f>SUM(BH501:BH503)</f>
        <v>6</v>
      </c>
      <c r="BK504" s="19"/>
      <c r="BL504" s="20"/>
    </row>
    <row r="505" spans="1:64" ht="11.45" customHeight="1" x14ac:dyDescent="0.2">
      <c r="A505" s="19"/>
      <c r="J505" s="19"/>
      <c r="K505" s="19"/>
      <c r="L505" s="19"/>
      <c r="N505" s="188" t="s">
        <v>312</v>
      </c>
      <c r="O505" s="34">
        <f>IF(O497&gt;0,(O497&amp;3)*1,"")</f>
        <v>123</v>
      </c>
      <c r="Q505" s="85"/>
      <c r="R505" s="85"/>
      <c r="S505" s="85"/>
      <c r="T505" s="242"/>
      <c r="U505" s="244" t="str">
        <f>IF(AND(N505&lt;&gt;"",N506=""),CONCATENATE(VLOOKUP(N505,[1]zawodnicy!$A$1:$E$65536,1,FALSE)," ",VLOOKUP(N505,[1]zawodnicy!$A$1:$E$65536,2,FALSE)," ",VLOOKUP(N505,[1]zawodnicy!$A$1:$E$65536,3,FALSE)," - ",VLOOKUP(N505,[1]zawodnicy!$A$1:$E$65536,4,FALSE)),"")</f>
        <v>X32 Anastsiya TAMASHEUSKAYA - Białoruś</v>
      </c>
      <c r="V505" s="245"/>
      <c r="W505" s="246"/>
      <c r="X505" s="61" t="str">
        <f>IF(SUM(AQ501:AR501)=0,"",AR501&amp;":"&amp;AQ501)</f>
        <v>16:21</v>
      </c>
      <c r="Y505" s="36" t="str">
        <f>IF(SUM(AQ502:AR502)=0,"",AR502&amp;":"&amp;AQ502)</f>
        <v>21:9</v>
      </c>
      <c r="Z505" s="86"/>
      <c r="AA505" s="248"/>
      <c r="AB505" s="251"/>
      <c r="AC505" s="251"/>
      <c r="AD505" s="254"/>
      <c r="AE505" s="2"/>
      <c r="AF505" s="12"/>
      <c r="AG505" s="1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row>
    <row r="506" spans="1:64" ht="11.45" customHeight="1" thickBot="1" x14ac:dyDescent="0.25">
      <c r="A506" s="2"/>
      <c r="J506" s="28"/>
      <c r="K506" s="28"/>
      <c r="L506" s="28"/>
      <c r="N506" s="38"/>
      <c r="O506" s="28"/>
      <c r="P506" s="28"/>
      <c r="Q506" s="2"/>
      <c r="R506" s="2"/>
      <c r="S506" s="2"/>
      <c r="T506" s="243"/>
      <c r="U506" s="256" t="str">
        <f>IF(N506&lt;&gt;"",CONCATENATE(VLOOKUP(N506,[1]zawodnicy!$A$1:$E$65536,1,FALSE)," ",VLOOKUP(N506,[1]zawodnicy!$A$1:$E$65536,2,FALSE)," ",VLOOKUP(N506,[1]zawodnicy!$A$1:$E$65536,3,FALSE)," - ",VLOOKUP(N506,[1]zawodnicy!$A$1:$E$65536,4,FALSE)),"")</f>
        <v/>
      </c>
      <c r="V506" s="257"/>
      <c r="W506" s="258"/>
      <c r="X506" s="87" t="str">
        <f>IF(SUM(AS501:AT501)=0,"",AT501&amp;":"&amp;AS501)</f>
        <v/>
      </c>
      <c r="Y506" s="88" t="str">
        <f>IF(SUM(AS502:AT502)=0,"",AT502&amp;":"&amp;AS502)</f>
        <v/>
      </c>
      <c r="Z506" s="89"/>
      <c r="AA506" s="249"/>
      <c r="AB506" s="252"/>
      <c r="AC506" s="252"/>
      <c r="AD506" s="255"/>
      <c r="AE506" s="10"/>
      <c r="AF506" s="12"/>
      <c r="AG506" s="1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row>
    <row r="507" spans="1:64" s="19" customFormat="1" ht="5.0999999999999996" customHeight="1" thickBot="1" x14ac:dyDescent="0.25">
      <c r="M507" s="90"/>
      <c r="O507" s="90"/>
      <c r="P507" s="90"/>
      <c r="Q507" s="91"/>
      <c r="R507" s="91"/>
      <c r="S507" s="91"/>
      <c r="T507" s="91"/>
      <c r="U507" s="5"/>
      <c r="V507" s="5"/>
      <c r="W507" s="5"/>
      <c r="AA507" s="92"/>
      <c r="AB507" s="91"/>
      <c r="AC507" s="91"/>
      <c r="AD507" s="91"/>
      <c r="AE507" s="91"/>
      <c r="AF507" s="91"/>
      <c r="AI507" s="93"/>
      <c r="AJ507" s="94"/>
      <c r="AK507" s="94"/>
    </row>
    <row r="508" spans="1:64" ht="11.45" customHeight="1" thickBot="1" x14ac:dyDescent="0.25">
      <c r="N508" s="11"/>
      <c r="O508" s="21">
        <v>13</v>
      </c>
      <c r="Q508" s="277" t="str">
        <f>"Grupa "&amp;O508&amp;"."</f>
        <v>Grupa 13.</v>
      </c>
      <c r="R508" s="277"/>
      <c r="S508" s="277"/>
      <c r="T508" s="22" t="s">
        <v>1</v>
      </c>
      <c r="U508" s="278" t="s">
        <v>2</v>
      </c>
      <c r="V508" s="279"/>
      <c r="W508" s="280"/>
      <c r="X508" s="22">
        <v>1</v>
      </c>
      <c r="Y508" s="23">
        <v>2</v>
      </c>
      <c r="Z508" s="24">
        <v>3</v>
      </c>
      <c r="AA508" s="25" t="s">
        <v>3</v>
      </c>
      <c r="AB508" s="26" t="s">
        <v>4</v>
      </c>
      <c r="AC508" s="26" t="s">
        <v>5</v>
      </c>
      <c r="AD508" s="27" t="s">
        <v>6</v>
      </c>
      <c r="AE508" s="2"/>
      <c r="AF508" s="12"/>
      <c r="AG508" s="12"/>
      <c r="BK508" s="19"/>
      <c r="BL508" s="20"/>
    </row>
    <row r="509" spans="1:64" ht="11.45" customHeight="1" x14ac:dyDescent="0.2">
      <c r="J509" s="28"/>
      <c r="K509" s="28"/>
      <c r="L509" s="28"/>
      <c r="N509" s="29" t="s">
        <v>278</v>
      </c>
      <c r="Q509" s="274" t="s">
        <v>7</v>
      </c>
      <c r="R509" s="274"/>
      <c r="S509" s="275" t="s">
        <v>8</v>
      </c>
      <c r="T509" s="276">
        <v>1</v>
      </c>
      <c r="U509" s="244" t="str">
        <f>IF(AND(N510&lt;&gt;"",N511&lt;&gt;""),CONCATENATE(VLOOKUP(N510,[1]zawodnicy!$A$1:$E$65536,1,FALSE)," ",VLOOKUP(N510,[1]zawodnicy!$A$1:$E$65536,2,FALSE)," ",VLOOKUP(N510,[1]zawodnicy!$A$1:$E$65536,3,FALSE)," - ",VLOOKUP(N510,[1]zawodnicy!$A$1:$E$65536,4,FALSE)),"")</f>
        <v/>
      </c>
      <c r="V509" s="245"/>
      <c r="W509" s="246"/>
      <c r="X509" s="30"/>
      <c r="Y509" s="31" t="str">
        <f>IF(SUM(AO514:AP514)=0,"",AO514&amp;":"&amp;AP514)</f>
        <v>21:11</v>
      </c>
      <c r="Z509" s="32" t="str">
        <f>IF(SUM(AO512:AP512)=0,"",AO512&amp;":"&amp;AP512)</f>
        <v>10:21</v>
      </c>
      <c r="AA509" s="270" t="str">
        <f>IF(SUM(AY512:BB512)=0,"",BE512&amp;":"&amp;BF512)</f>
        <v>60:62</v>
      </c>
      <c r="AB509" s="271" t="str">
        <f>IF(SUM(AY512:BB512)=0,"",BG512&amp;":"&amp;BH512)</f>
        <v>2:2</v>
      </c>
      <c r="AC509" s="271" t="str">
        <f>IF(SUM(AY512:BB512)=0,"",BI512&amp;":"&amp;BJ512)</f>
        <v>1:1</v>
      </c>
      <c r="AD509" s="272">
        <f>IF(SUM(BI512:BI514)&gt;0,BK512,"")</f>
        <v>2</v>
      </c>
      <c r="AE509" s="2"/>
      <c r="AF509" s="12"/>
      <c r="AG509" s="12"/>
      <c r="AH509" s="14"/>
      <c r="AI509" s="273" t="s">
        <v>9</v>
      </c>
      <c r="AJ509" s="273"/>
      <c r="AK509" s="273"/>
      <c r="AL509" s="273"/>
      <c r="AM509" s="273"/>
      <c r="AN509" s="273"/>
      <c r="AO509" s="273" t="s">
        <v>10</v>
      </c>
      <c r="AP509" s="273"/>
      <c r="AQ509" s="273"/>
      <c r="AR509" s="273"/>
      <c r="AS509" s="273"/>
      <c r="AT509" s="273"/>
      <c r="BK509" s="19"/>
      <c r="BL509" s="20"/>
    </row>
    <row r="510" spans="1:64" ht="11.45" customHeight="1" thickBot="1" x14ac:dyDescent="0.25">
      <c r="I510" s="2" t="str">
        <f>"1"&amp;O508&amp;N509</f>
        <v>113pojedyncza dziewcząt MM</v>
      </c>
      <c r="J510" s="10" t="str">
        <f>IF(AD509="","",IF(AD509=1,N510,IF(AD512=1,N513,IF(AD515=1,N516,""))))</f>
        <v>X16</v>
      </c>
      <c r="K510" s="10">
        <f>IF(AD509="","",IF(AD509=1,N511,IF(AD512=1,N514,IF(AD515=1,N517,""))))</f>
        <v>0</v>
      </c>
      <c r="L510" s="10"/>
      <c r="N510" s="189" t="s">
        <v>313</v>
      </c>
      <c r="O510" s="34">
        <f>IF(O508&gt;0,(O508&amp;1)*1,"")</f>
        <v>131</v>
      </c>
      <c r="Q510" s="274"/>
      <c r="R510" s="274"/>
      <c r="S510" s="275"/>
      <c r="T510" s="242"/>
      <c r="U510" s="244" t="str">
        <f>IF(AND(N510&lt;&gt;"",N511=""),CONCATENATE(VLOOKUP(N510,[1]zawodnicy!$A$1:$E$65536,1,FALSE)," ",VLOOKUP(N510,[1]zawodnicy!$A$1:$E$65536,2,FALSE)," ",VLOOKUP(N510,[1]zawodnicy!$A$1:$E$65536,3,FALSE)," - ",VLOOKUP(N510,[1]zawodnicy!$A$1:$E$65536,4,FALSE)),"")</f>
        <v>M4792 Urszula MISZKIEL - SKB Suwałki</v>
      </c>
      <c r="V510" s="245"/>
      <c r="W510" s="246"/>
      <c r="X510" s="35"/>
      <c r="Y510" s="36" t="str">
        <f>IF(SUM(AQ514:AR514)=0,"",AQ514&amp;":"&amp;AR514)</f>
        <v>21:9</v>
      </c>
      <c r="Z510" s="37" t="str">
        <f>IF(SUM(AQ512:AR512)=0,"",AQ512&amp;":"&amp;AR512)</f>
        <v>8:21</v>
      </c>
      <c r="AA510" s="248"/>
      <c r="AB510" s="251"/>
      <c r="AC510" s="251"/>
      <c r="AD510" s="254"/>
      <c r="AE510" s="2"/>
      <c r="AF510" s="12"/>
      <c r="AG510" s="12"/>
      <c r="AH510" s="14"/>
      <c r="BE510" s="19">
        <f>SUM(BE512:BE514)</f>
        <v>170</v>
      </c>
      <c r="BF510" s="19">
        <f>SUM(BF512:BF514)</f>
        <v>170</v>
      </c>
      <c r="BG510" s="19">
        <f>SUM(BG512:BG514)</f>
        <v>6</v>
      </c>
      <c r="BH510" s="19">
        <f>SUM(BH512:BH514)</f>
        <v>6</v>
      </c>
      <c r="BK510" s="19"/>
      <c r="BL510" s="20"/>
    </row>
    <row r="511" spans="1:64" ht="11.45" customHeight="1" thickBot="1" x14ac:dyDescent="0.25">
      <c r="J511" s="10"/>
      <c r="K511" s="28"/>
      <c r="L511" s="28"/>
      <c r="N511" s="38"/>
      <c r="O511" s="28"/>
      <c r="P511" s="28"/>
      <c r="Q511" s="274"/>
      <c r="R511" s="274"/>
      <c r="S511" s="275"/>
      <c r="T511" s="261"/>
      <c r="U511" s="265" t="str">
        <f>IF(N511&lt;&gt;"",CONCATENATE(VLOOKUP(N511,[1]zawodnicy!$A$1:$E$65536,1,FALSE)," ",VLOOKUP(N511,[1]zawodnicy!$A$1:$E$65536,2,FALSE)," ",VLOOKUP(N511,[1]zawodnicy!$A$1:$E$65536,3,FALSE)," - ",VLOOKUP(N511,[1]zawodnicy!$A$1:$E$65536,4,FALSE)),"")</f>
        <v/>
      </c>
      <c r="V511" s="266"/>
      <c r="W511" s="267"/>
      <c r="X511" s="35"/>
      <c r="Y511" s="39" t="str">
        <f>IF(SUM(AS514:AT514)=0,"",AS514&amp;":"&amp;AT514)</f>
        <v/>
      </c>
      <c r="Z511" s="40" t="str">
        <f>IF(SUM(AS512:AT512)=0,"",AS512&amp;":"&amp;AT512)</f>
        <v/>
      </c>
      <c r="AA511" s="262"/>
      <c r="AB511" s="263"/>
      <c r="AC511" s="263"/>
      <c r="AD511" s="264"/>
      <c r="AE511" s="2"/>
      <c r="AF511" s="12"/>
      <c r="AG511" s="12"/>
      <c r="AH511" s="14"/>
      <c r="AI511" s="259" t="s">
        <v>12</v>
      </c>
      <c r="AJ511" s="269"/>
      <c r="AK511" s="268" t="s">
        <v>13</v>
      </c>
      <c r="AL511" s="269"/>
      <c r="AM511" s="268" t="s">
        <v>14</v>
      </c>
      <c r="AN511" s="260"/>
      <c r="AO511" s="259" t="s">
        <v>12</v>
      </c>
      <c r="AP511" s="269"/>
      <c r="AQ511" s="268" t="s">
        <v>13</v>
      </c>
      <c r="AR511" s="269"/>
      <c r="AS511" s="268" t="s">
        <v>14</v>
      </c>
      <c r="AT511" s="269"/>
      <c r="AU511" s="12"/>
      <c r="AV511" s="12"/>
      <c r="AW511" s="259">
        <v>1</v>
      </c>
      <c r="AX511" s="269"/>
      <c r="AY511" s="268">
        <v>2</v>
      </c>
      <c r="AZ511" s="269"/>
      <c r="BA511" s="268">
        <v>3</v>
      </c>
      <c r="BB511" s="260"/>
      <c r="BE511" s="259" t="s">
        <v>3</v>
      </c>
      <c r="BF511" s="260"/>
      <c r="BG511" s="259" t="s">
        <v>4</v>
      </c>
      <c r="BH511" s="260"/>
      <c r="BI511" s="259" t="s">
        <v>5</v>
      </c>
      <c r="BJ511" s="260"/>
      <c r="BK511" s="41" t="s">
        <v>6</v>
      </c>
      <c r="BL511" s="20"/>
    </row>
    <row r="512" spans="1:64" ht="11.45" customHeight="1" x14ac:dyDescent="0.2">
      <c r="A512" s="19">
        <f>S512</f>
        <v>112</v>
      </c>
      <c r="B512" s="2" t="str">
        <f>IF(N510="","",N510)</f>
        <v>M4792</v>
      </c>
      <c r="C512" s="2" t="str">
        <f>IF(N511="","",N511)</f>
        <v/>
      </c>
      <c r="D512" s="2" t="str">
        <f>IF(N516="","",N516)</f>
        <v>X16</v>
      </c>
      <c r="E512" s="2" t="str">
        <f>IF(N517="","",N517)</f>
        <v/>
      </c>
      <c r="I512" s="2" t="str">
        <f>"2"&amp;O508&amp;N509</f>
        <v>213pojedyncza dziewcząt MM</v>
      </c>
      <c r="J512" s="10" t="str">
        <f>IF(AD512="","",IF(AD509=2,N510,IF(AD512=2,N513,IF(AD515=2,N516,""))))</f>
        <v>M4792</v>
      </c>
      <c r="K512" s="10">
        <f>IF(AD512="","",IF(AD509=2,N511,IF(AD512=2,N514,IF(AD515=2,N517,""))))</f>
        <v>0</v>
      </c>
      <c r="M512" s="42" t="str">
        <f>N509</f>
        <v>pojedyncza dziewcząt MM</v>
      </c>
      <c r="O512" s="28"/>
      <c r="P512" s="28"/>
      <c r="Q512" s="43" t="str">
        <f>IF(AU512&gt;0,"",IF(A512=0,"",IF(VLOOKUP(A512,'[1]plan gier'!A$1:S$65536,19,FALSE)="","",VLOOKUP(A512,'[1]plan gier'!A$1:S$65536,19,FALSE))))</f>
        <v/>
      </c>
      <c r="R512" s="44" t="s">
        <v>15</v>
      </c>
      <c r="S512" s="45">
        <v>112</v>
      </c>
      <c r="T512" s="241">
        <v>2</v>
      </c>
      <c r="U512" s="244" t="str">
        <f>IF(AND(N513&lt;&gt;"",N514&lt;&gt;""),CONCATENATE(VLOOKUP(N513,[1]zawodnicy!$A$1:$E$65536,1,FALSE)," ",VLOOKUP(N513,[1]zawodnicy!$A$1:$E$65536,2,FALSE)," ",VLOOKUP(N513,[1]zawodnicy!$A$1:$E$65536,3,FALSE)," - ",VLOOKUP(N513,[1]zawodnicy!$A$1:$E$65536,4,FALSE)),"")</f>
        <v/>
      </c>
      <c r="V512" s="245"/>
      <c r="W512" s="246"/>
      <c r="X512" s="46" t="str">
        <f>IF(SUM(AO514:AP514)=0,"",AP514&amp;":"&amp;AO514)</f>
        <v>11:21</v>
      </c>
      <c r="Y512" s="47"/>
      <c r="Z512" s="48" t="str">
        <f>IF(SUM(AO513:AP513)=0,"",AO513&amp;":"&amp;AP513)</f>
        <v>4:21</v>
      </c>
      <c r="AA512" s="247" t="str">
        <f>IF(SUM(AW513:AX513,BA513:BB513)=0,"",BE513&amp;":"&amp;BF513)</f>
        <v>26:84</v>
      </c>
      <c r="AB512" s="250" t="str">
        <f>IF(SUM(AW513:AX513,BA513:BB513)=0,"",BG513&amp;":"&amp;BH513)</f>
        <v>0:4</v>
      </c>
      <c r="AC512" s="250" t="str">
        <f>IF(SUM(AW513:AX513,BA513:BB513)=0,"",BI513&amp;":"&amp;BJ513)</f>
        <v>0:2</v>
      </c>
      <c r="AD512" s="253">
        <f>IF(SUM(BI512:BI514)&gt;0,BK513,"")</f>
        <v>3</v>
      </c>
      <c r="AE512" s="2"/>
      <c r="AF512" s="12"/>
      <c r="AG512" s="12"/>
      <c r="AH512" s="44" t="s">
        <v>15</v>
      </c>
      <c r="AI512" s="49">
        <f>IF(ISBLANK(S512),"",VLOOKUP(S512,'[1]plan gier'!$X$1:$AN$65536,12,FALSE))</f>
        <v>10</v>
      </c>
      <c r="AJ512" s="50">
        <f>IF(ISBLANK(S512),"",VLOOKUP(S512,'[1]plan gier'!$X$1:$AN$65536,13,FALSE))</f>
        <v>21</v>
      </c>
      <c r="AK512" s="50">
        <f>IF(ISBLANK(S512),"",VLOOKUP(S512,'[1]plan gier'!$X$1:$AN$65536,14,FALSE))</f>
        <v>8</v>
      </c>
      <c r="AL512" s="50">
        <f>IF(ISBLANK(S512),"",VLOOKUP(S512,'[1]plan gier'!$X$1:$AN$65536,15,FALSE))</f>
        <v>21</v>
      </c>
      <c r="AM512" s="50">
        <f>IF(ISBLANK(S512),"",VLOOKUP(S512,'[1]plan gier'!$X$1:$AN$65536,16,FALSE))</f>
        <v>0</v>
      </c>
      <c r="AN512" s="50">
        <f>IF(ISBLANK(S512),"",VLOOKUP(S512,'[1]plan gier'!$X$1:$AN$65536,17,FALSE))</f>
        <v>0</v>
      </c>
      <c r="AO512" s="51">
        <f t="shared" ref="AO512:AT514" si="52">IF(AI512="",0,AI512)</f>
        <v>10</v>
      </c>
      <c r="AP512" s="52">
        <f t="shared" si="52"/>
        <v>21</v>
      </c>
      <c r="AQ512" s="53">
        <f t="shared" si="52"/>
        <v>8</v>
      </c>
      <c r="AR512" s="52">
        <f t="shared" si="52"/>
        <v>21</v>
      </c>
      <c r="AS512" s="53">
        <f t="shared" si="52"/>
        <v>0</v>
      </c>
      <c r="AT512" s="52">
        <f t="shared" si="52"/>
        <v>0</v>
      </c>
      <c r="AU512" s="54">
        <f>SUM(AO512:AT512)</f>
        <v>60</v>
      </c>
      <c r="AV512" s="13">
        <v>1</v>
      </c>
      <c r="AW512" s="55"/>
      <c r="AX512" s="56"/>
      <c r="AY512" s="50">
        <f>IF(AI514&gt;AJ514,1,0)+IF(AK514&gt;AL514,1,0)+IF(AM514&gt;AN514,1,0)</f>
        <v>2</v>
      </c>
      <c r="AZ512" s="50">
        <f>AW513</f>
        <v>0</v>
      </c>
      <c r="BA512" s="50">
        <f>IF(AI512&gt;AJ512,1,0)+IF(AK512&gt;AL512,1,0)+IF(AM512&gt;AN512,1,0)</f>
        <v>0</v>
      </c>
      <c r="BB512" s="57">
        <f>AW514</f>
        <v>2</v>
      </c>
      <c r="BE512" s="49">
        <f>AO512+AQ512+AS512+AO514+AQ514+AS514</f>
        <v>60</v>
      </c>
      <c r="BF512" s="57">
        <f>AP512+AR512+AT512+AP514+AR514+AT514</f>
        <v>62</v>
      </c>
      <c r="BG512" s="49">
        <f>AY512+BA512</f>
        <v>2</v>
      </c>
      <c r="BH512" s="57">
        <f>AZ512+BB512</f>
        <v>2</v>
      </c>
      <c r="BI512" s="49">
        <f>IF(AY512&gt;AZ512,1,0)+IF(BA512&gt;BB512,1,0)</f>
        <v>1</v>
      </c>
      <c r="BJ512" s="58">
        <f>IF(AZ512&gt;AY512,1,0)+IF(BB512&gt;BA512,1,0)</f>
        <v>1</v>
      </c>
      <c r="BK512" s="59">
        <f>IF(BI512+BJ512=0,"",IF(BL512=MAX(BL512:BL514),1,IF(BL512=MIN(BL512:BL514),3,2)))</f>
        <v>2</v>
      </c>
      <c r="BL512" s="60">
        <f>IF(BI512+BJ512&lt;&gt;0,BI512+1+(BG512-BH512)/100+(BE512-BF512)/100000+(BE512/BF512)/1000000,0)</f>
        <v>1.9999809677419356</v>
      </c>
    </row>
    <row r="513" spans="1:64" ht="11.45" customHeight="1" x14ac:dyDescent="0.2">
      <c r="A513" s="19">
        <f>S513</f>
        <v>178</v>
      </c>
      <c r="B513" s="2" t="str">
        <f>IF(N513="","",N513)</f>
        <v>M4631</v>
      </c>
      <c r="C513" s="2" t="str">
        <f>IF(N514="","",N514)</f>
        <v/>
      </c>
      <c r="D513" s="2" t="str">
        <f>IF(N516="","",N516)</f>
        <v>X16</v>
      </c>
      <c r="E513" s="2" t="str">
        <f>IF(N517="","",N517)</f>
        <v/>
      </c>
      <c r="J513" s="10"/>
      <c r="K513" s="19"/>
      <c r="M513" s="42" t="str">
        <f>N509</f>
        <v>pojedyncza dziewcząt MM</v>
      </c>
      <c r="N513" s="190" t="s">
        <v>314</v>
      </c>
      <c r="O513" s="34">
        <f>IF(O508&gt;0,(O508&amp;2)*1,"")</f>
        <v>132</v>
      </c>
      <c r="Q513" s="43" t="str">
        <f>IF(AU513&gt;0,"",IF(A513=0,"",IF(VLOOKUP(A513,'[1]plan gier'!A$1:S$65536,19,FALSE)="","",VLOOKUP(A513,'[1]plan gier'!A$1:S$65536,19,FALSE))))</f>
        <v/>
      </c>
      <c r="R513" s="44" t="s">
        <v>17</v>
      </c>
      <c r="S513" s="45">
        <v>178</v>
      </c>
      <c r="T513" s="242"/>
      <c r="U513" s="244" t="str">
        <f>IF(AND(N513&lt;&gt;"",N514=""),CONCATENATE(VLOOKUP(N513,[1]zawodnicy!$A$1:$E$65536,1,FALSE)," ",VLOOKUP(N513,[1]zawodnicy!$A$1:$E$65536,2,FALSE)," ",VLOOKUP(N513,[1]zawodnicy!$A$1:$E$65536,3,FALSE)," - ",VLOOKUP(N513,[1]zawodnicy!$A$1:$E$65536,4,FALSE)),"")</f>
        <v>M4631 Agata MIELEWCZYK - ULKS U-2 Lotka Bytów</v>
      </c>
      <c r="V513" s="245"/>
      <c r="W513" s="246"/>
      <c r="X513" s="61" t="str">
        <f>IF(SUM(AQ514:AR514)=0,"",AR514&amp;":"&amp;AQ514)</f>
        <v>9:21</v>
      </c>
      <c r="Y513" s="62"/>
      <c r="Z513" s="37" t="str">
        <f>IF(SUM(AQ513:AR513)=0,"",AQ513&amp;":"&amp;AR513)</f>
        <v>2:21</v>
      </c>
      <c r="AA513" s="248"/>
      <c r="AB513" s="251"/>
      <c r="AC513" s="251"/>
      <c r="AD513" s="254"/>
      <c r="AE513" s="2"/>
      <c r="AF513" s="12"/>
      <c r="AG513" s="12"/>
      <c r="AH513" s="44" t="s">
        <v>17</v>
      </c>
      <c r="AI513" s="63">
        <f>IF(ISBLANK(S513),"",VLOOKUP(S513,'[1]plan gier'!$X$1:$AN$65536,12,FALSE))</f>
        <v>4</v>
      </c>
      <c r="AJ513" s="64">
        <f>IF(ISBLANK(S513),"",VLOOKUP(S513,'[1]plan gier'!$X$1:$AN$65536,13,FALSE))</f>
        <v>21</v>
      </c>
      <c r="AK513" s="64">
        <f>IF(ISBLANK(S513),"",VLOOKUP(S513,'[1]plan gier'!$X$1:$AN$65536,14,FALSE))</f>
        <v>2</v>
      </c>
      <c r="AL513" s="64">
        <f>IF(ISBLANK(S513),"",VLOOKUP(S513,'[1]plan gier'!$X$1:$AN$65536,15,FALSE))</f>
        <v>21</v>
      </c>
      <c r="AM513" s="64">
        <f>IF(ISBLANK(S513),"",VLOOKUP(S513,'[1]plan gier'!$X$1:$AN$65536,16,FALSE))</f>
        <v>0</v>
      </c>
      <c r="AN513" s="64">
        <f>IF(ISBLANK(S513),"",VLOOKUP(S513,'[1]plan gier'!$X$1:$AN$65536,17,FALSE))</f>
        <v>0</v>
      </c>
      <c r="AO513" s="65">
        <f t="shared" si="52"/>
        <v>4</v>
      </c>
      <c r="AP513" s="64">
        <f t="shared" si="52"/>
        <v>21</v>
      </c>
      <c r="AQ513" s="66">
        <f t="shared" si="52"/>
        <v>2</v>
      </c>
      <c r="AR513" s="64">
        <f t="shared" si="52"/>
        <v>21</v>
      </c>
      <c r="AS513" s="66">
        <f t="shared" si="52"/>
        <v>0</v>
      </c>
      <c r="AT513" s="64">
        <f t="shared" si="52"/>
        <v>0</v>
      </c>
      <c r="AU513" s="54">
        <f>SUM(AO513:AT513)</f>
        <v>48</v>
      </c>
      <c r="AV513" s="13">
        <v>2</v>
      </c>
      <c r="AW513" s="63">
        <f>IF(AI514&lt;AJ514,1,0)+IF(AK514&lt;AL514,1,0)+IF(AM514&lt;AN514,1,0)</f>
        <v>0</v>
      </c>
      <c r="AX513" s="64">
        <f>AY512</f>
        <v>2</v>
      </c>
      <c r="AY513" s="67"/>
      <c r="AZ513" s="68"/>
      <c r="BA513" s="64">
        <f>IF(AI513&gt;AJ513,1,0)+IF(AK513&gt;AL513,1,0)+IF(AM513&gt;AN513,1,0)</f>
        <v>0</v>
      </c>
      <c r="BB513" s="69">
        <f>AY514</f>
        <v>2</v>
      </c>
      <c r="BE513" s="63">
        <f>AO513+AQ513+AS513+AP514+AR514+AT514</f>
        <v>26</v>
      </c>
      <c r="BF513" s="69">
        <f>AP513+AR513+AT513+AO514+AQ514+AS514</f>
        <v>84</v>
      </c>
      <c r="BG513" s="63">
        <f>AW513+BA513</f>
        <v>0</v>
      </c>
      <c r="BH513" s="69">
        <f>AX513+BB513</f>
        <v>4</v>
      </c>
      <c r="BI513" s="63">
        <f>IF(AW513&gt;AX513,1,0)+IF(BA513&gt;BB513,1,0)</f>
        <v>0</v>
      </c>
      <c r="BJ513" s="70">
        <f>IF(AX513&gt;AW513,1,0)+IF(BB513&gt;BA513,1,0)</f>
        <v>2</v>
      </c>
      <c r="BK513" s="71">
        <f>IF(BI513+BJ513=0,"",IF(BL513=MAX(BL512:BL514),1,IF(BL513=MIN(BL512:BL514),3,2)))</f>
        <v>3</v>
      </c>
      <c r="BL513" s="60">
        <f>IF(BI513+BJ513&lt;&gt;0,BI513+1+(BG513-BH513)/100+(BE513-BF513)/100000+(BE513/BF513)/1000000,0)</f>
        <v>0.95942030952380941</v>
      </c>
    </row>
    <row r="514" spans="1:64" ht="11.45" customHeight="1" thickBot="1" x14ac:dyDescent="0.25">
      <c r="A514" s="19">
        <f>S514</f>
        <v>231</v>
      </c>
      <c r="B514" s="2" t="str">
        <f>IF(N510="","",N510)</f>
        <v>M4792</v>
      </c>
      <c r="C514" s="2" t="str">
        <f>IF(N511="","",N511)</f>
        <v/>
      </c>
      <c r="D514" s="2" t="str">
        <f>IF(N513="","",N513)</f>
        <v>M4631</v>
      </c>
      <c r="E514" s="2" t="str">
        <f>IF(N514="","",N514)</f>
        <v/>
      </c>
      <c r="I514" s="2" t="str">
        <f>"3"&amp;O508&amp;N509</f>
        <v>313pojedyncza dziewcząt MM</v>
      </c>
      <c r="J514" s="10" t="str">
        <f>IF(AD515="","",IF(AD509=3,N510,IF(AD512=3,N513,IF(AD515=3,N516,""))))</f>
        <v>M4631</v>
      </c>
      <c r="K514" s="10">
        <f>IF(AD515="","",IF(AD509=3,N511,IF(AD512=3,N514,IF(AD515=3,N517,""))))</f>
        <v>0</v>
      </c>
      <c r="M514" s="42" t="str">
        <f>N509</f>
        <v>pojedyncza dziewcząt MM</v>
      </c>
      <c r="N514" s="38"/>
      <c r="O514" s="28"/>
      <c r="P514" s="28"/>
      <c r="Q514" s="43" t="str">
        <f>IF(AU514&gt;0,"",IF(A514=0,"",IF(VLOOKUP(A514,'[1]plan gier'!A$1:S$65536,19,FALSE)="","",VLOOKUP(A514,'[1]plan gier'!A$1:S$65536,19,FALSE))))</f>
        <v/>
      </c>
      <c r="R514" s="72" t="s">
        <v>18</v>
      </c>
      <c r="S514" s="45">
        <v>231</v>
      </c>
      <c r="T514" s="261"/>
      <c r="U514" s="265" t="str">
        <f>IF(N514&lt;&gt;"",CONCATENATE(VLOOKUP(N514,[1]zawodnicy!$A$1:$E$65536,1,FALSE)," ",VLOOKUP(N514,[1]zawodnicy!$A$1:$E$65536,2,FALSE)," ",VLOOKUP(N514,[1]zawodnicy!$A$1:$E$65536,3,FALSE)," - ",VLOOKUP(N514,[1]zawodnicy!$A$1:$E$65536,4,FALSE)),"")</f>
        <v/>
      </c>
      <c r="V514" s="266"/>
      <c r="W514" s="267"/>
      <c r="X514" s="73" t="str">
        <f>IF(SUM(AS514:AT514)=0,"",AT514&amp;":"&amp;AS514)</f>
        <v/>
      </c>
      <c r="Y514" s="62"/>
      <c r="Z514" s="40" t="str">
        <f>IF(SUM(AS513:AT513)=0,"",AS513&amp;":"&amp;AT513)</f>
        <v/>
      </c>
      <c r="AA514" s="262"/>
      <c r="AB514" s="263"/>
      <c r="AC514" s="263"/>
      <c r="AD514" s="264"/>
      <c r="AE514" s="2"/>
      <c r="AF514" s="12"/>
      <c r="AG514" s="12"/>
      <c r="AH514" s="72" t="s">
        <v>18</v>
      </c>
      <c r="AI514" s="74">
        <f>IF(ISBLANK(S514),"",VLOOKUP(S514,'[1]plan gier'!$X$1:$AN$65536,12,FALSE))</f>
        <v>21</v>
      </c>
      <c r="AJ514" s="75">
        <f>IF(ISBLANK(S514),"",VLOOKUP(S514,'[1]plan gier'!$X$1:$AN$65536,13,FALSE))</f>
        <v>11</v>
      </c>
      <c r="AK514" s="75">
        <f>IF(ISBLANK(S514),"",VLOOKUP(S514,'[1]plan gier'!$X$1:$AN$65536,14,FALSE))</f>
        <v>21</v>
      </c>
      <c r="AL514" s="75">
        <f>IF(ISBLANK(S514),"",VLOOKUP(S514,'[1]plan gier'!$X$1:$AN$65536,15,FALSE))</f>
        <v>9</v>
      </c>
      <c r="AM514" s="75">
        <f>IF(ISBLANK(S514),"",VLOOKUP(S514,'[1]plan gier'!$X$1:$AN$65536,16,FALSE))</f>
        <v>0</v>
      </c>
      <c r="AN514" s="75">
        <f>IF(ISBLANK(S514),"",VLOOKUP(S514,'[1]plan gier'!$X$1:$AN$65536,17,FALSE))</f>
        <v>0</v>
      </c>
      <c r="AO514" s="76">
        <f t="shared" si="52"/>
        <v>21</v>
      </c>
      <c r="AP514" s="75">
        <f t="shared" si="52"/>
        <v>11</v>
      </c>
      <c r="AQ514" s="77">
        <f t="shared" si="52"/>
        <v>21</v>
      </c>
      <c r="AR514" s="75">
        <f t="shared" si="52"/>
        <v>9</v>
      </c>
      <c r="AS514" s="77">
        <f t="shared" si="52"/>
        <v>0</v>
      </c>
      <c r="AT514" s="75">
        <f t="shared" si="52"/>
        <v>0</v>
      </c>
      <c r="AU514" s="54">
        <f>SUM(AO514:AT514)</f>
        <v>62</v>
      </c>
      <c r="AV514" s="13">
        <v>3</v>
      </c>
      <c r="AW514" s="74">
        <f>IF(AI512&lt;AJ512,1,0)+IF(AK512&lt;AL512,1,0)+IF(AM512&lt;AN512,1,0)</f>
        <v>2</v>
      </c>
      <c r="AX514" s="75">
        <f>BA512</f>
        <v>0</v>
      </c>
      <c r="AY514" s="75">
        <f>IF(AI513&lt;AJ513,1,0)+IF(AK513&lt;AL513,1,0)+IF(AM513&lt;AN513,1,0)</f>
        <v>2</v>
      </c>
      <c r="AZ514" s="75">
        <f>BA513</f>
        <v>0</v>
      </c>
      <c r="BA514" s="78"/>
      <c r="BB514" s="79"/>
      <c r="BE514" s="74">
        <f>AP512+AR512+AT512+AP513+AR513+AT513</f>
        <v>84</v>
      </c>
      <c r="BF514" s="80">
        <f>AO512+AQ512+AS512+AO513+AQ513+AS513</f>
        <v>24</v>
      </c>
      <c r="BG514" s="74">
        <f>AW514+AY514</f>
        <v>4</v>
      </c>
      <c r="BH514" s="80">
        <f>AX514+AZ514</f>
        <v>0</v>
      </c>
      <c r="BI514" s="74">
        <f>IF(AW514&gt;AX514,1,0)+IF(AY514&gt;AZ514,1,0)</f>
        <v>2</v>
      </c>
      <c r="BJ514" s="81">
        <f>IF(AX514&gt;AW514,1,0)+IF(AZ514&gt;AY514,1,0)</f>
        <v>0</v>
      </c>
      <c r="BK514" s="82">
        <f>IF(BI514+BJ514=0,"",IF(BL514=MAX(BL512:BL514),1,IF(BL514=MIN(BL512:BL514),3,2)))</f>
        <v>1</v>
      </c>
      <c r="BL514" s="60">
        <f>IF(BI514+BJ514&lt;&gt;0,BI514+1+(BG514-BH514)/100+(BE514-BF514)/100000+(BE514/BF514)/1000000,0)</f>
        <v>3.0406035</v>
      </c>
    </row>
    <row r="515" spans="1:64" ht="11.45" customHeight="1" x14ac:dyDescent="0.2">
      <c r="A515" s="2"/>
      <c r="J515" s="28"/>
      <c r="K515" s="28"/>
      <c r="L515" s="28"/>
      <c r="O515" s="28"/>
      <c r="P515" s="28"/>
      <c r="Q515" s="2"/>
      <c r="R515" s="2"/>
      <c r="S515" s="2"/>
      <c r="T515" s="241">
        <v>3</v>
      </c>
      <c r="U515" s="244" t="str">
        <f>IF(AND(N516&lt;&gt;"",N517&lt;&gt;""),CONCATENATE(VLOOKUP(N516,[1]zawodnicy!$A$1:$E$65536,1,FALSE)," ",VLOOKUP(N516,[1]zawodnicy!$A$1:$E$65536,2,FALSE)," ",VLOOKUP(N516,[1]zawodnicy!$A$1:$E$65536,3,FALSE)," - ",VLOOKUP(N516,[1]zawodnicy!$A$1:$E$65536,4,FALSE)),"")</f>
        <v/>
      </c>
      <c r="V515" s="245"/>
      <c r="W515" s="246"/>
      <c r="X515" s="46" t="str">
        <f>IF(SUM(AO512:AP512)=0,"",AP512&amp;":"&amp;AO512)</f>
        <v>21:10</v>
      </c>
      <c r="Y515" s="83" t="str">
        <f>IF(SUM(AO513:AP513)=0,"",AP513&amp;":"&amp;AO513)</f>
        <v>21:4</v>
      </c>
      <c r="Z515" s="84"/>
      <c r="AA515" s="247" t="str">
        <f>IF(SUM(AW514:AZ514)=0,"",BE514&amp;":"&amp;BF514)</f>
        <v>84:24</v>
      </c>
      <c r="AB515" s="250" t="str">
        <f>IF(SUM(AW514:AZ514)=0,"",BG514&amp;":"&amp;BH514)</f>
        <v>4:0</v>
      </c>
      <c r="AC515" s="250" t="str">
        <f>IF(SUM(AW514:AZ514)=0,"",BI514&amp;":"&amp;BJ514)</f>
        <v>2:0</v>
      </c>
      <c r="AD515" s="253">
        <f>IF(SUM(BI512:BI514)&gt;0,BK514,"")</f>
        <v>1</v>
      </c>
      <c r="AE515" s="2"/>
      <c r="AF515" s="12"/>
      <c r="AG515" s="12"/>
      <c r="BE515" s="19">
        <f>SUM(BE512:BE514)</f>
        <v>170</v>
      </c>
      <c r="BF515" s="19">
        <f>SUM(BF512:BF514)</f>
        <v>170</v>
      </c>
      <c r="BG515" s="19">
        <f>SUM(BG512:BG514)</f>
        <v>6</v>
      </c>
      <c r="BH515" s="19">
        <f>SUM(BH512:BH514)</f>
        <v>6</v>
      </c>
      <c r="BK515" s="19"/>
      <c r="BL515" s="20"/>
    </row>
    <row r="516" spans="1:64" ht="11.45" customHeight="1" x14ac:dyDescent="0.2">
      <c r="A516" s="19"/>
      <c r="J516" s="19"/>
      <c r="K516" s="19"/>
      <c r="L516" s="19"/>
      <c r="N516" s="187" t="s">
        <v>315</v>
      </c>
      <c r="O516" s="34">
        <f>IF(O508&gt;0,(O508&amp;3)*1,"")</f>
        <v>133</v>
      </c>
      <c r="Q516" s="85"/>
      <c r="R516" s="85"/>
      <c r="S516" s="85"/>
      <c r="T516" s="242"/>
      <c r="U516" s="244" t="str">
        <f>IF(AND(N516&lt;&gt;"",N517=""),CONCATENATE(VLOOKUP(N516,[1]zawodnicy!$A$1:$E$65536,1,FALSE)," ",VLOOKUP(N516,[1]zawodnicy!$A$1:$E$65536,2,FALSE)," ",VLOOKUP(N516,[1]zawodnicy!$A$1:$E$65536,3,FALSE)," - ",VLOOKUP(N516,[1]zawodnicy!$A$1:$E$65536,4,FALSE)),"")</f>
        <v>X16 Yelizaveta KAMINSKAYA - Mińsk Białoruś</v>
      </c>
      <c r="V516" s="245"/>
      <c r="W516" s="246"/>
      <c r="X516" s="61" t="str">
        <f>IF(SUM(AQ512:AR512)=0,"",AR512&amp;":"&amp;AQ512)</f>
        <v>21:8</v>
      </c>
      <c r="Y516" s="36" t="str">
        <f>IF(SUM(AQ513:AR513)=0,"",AR513&amp;":"&amp;AQ513)</f>
        <v>21:2</v>
      </c>
      <c r="Z516" s="86"/>
      <c r="AA516" s="248"/>
      <c r="AB516" s="251"/>
      <c r="AC516" s="251"/>
      <c r="AD516" s="254"/>
      <c r="AE516" s="2"/>
      <c r="AF516" s="12"/>
      <c r="AG516" s="1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row>
    <row r="517" spans="1:64" ht="11.45" customHeight="1" thickBot="1" x14ac:dyDescent="0.25">
      <c r="A517" s="2"/>
      <c r="J517" s="28"/>
      <c r="K517" s="28"/>
      <c r="L517" s="28"/>
      <c r="N517" s="38"/>
      <c r="O517" s="28"/>
      <c r="P517" s="28"/>
      <c r="Q517" s="2"/>
      <c r="R517" s="2"/>
      <c r="S517" s="2"/>
      <c r="T517" s="243"/>
      <c r="U517" s="256" t="str">
        <f>IF(N517&lt;&gt;"",CONCATENATE(VLOOKUP(N517,[1]zawodnicy!$A$1:$E$65536,1,FALSE)," ",VLOOKUP(N517,[1]zawodnicy!$A$1:$E$65536,2,FALSE)," ",VLOOKUP(N517,[1]zawodnicy!$A$1:$E$65536,3,FALSE)," - ",VLOOKUP(N517,[1]zawodnicy!$A$1:$E$65536,4,FALSE)),"")</f>
        <v/>
      </c>
      <c r="V517" s="257"/>
      <c r="W517" s="258"/>
      <c r="X517" s="87" t="str">
        <f>IF(SUM(AS512:AT512)=0,"",AT512&amp;":"&amp;AS512)</f>
        <v/>
      </c>
      <c r="Y517" s="88" t="str">
        <f>IF(SUM(AS513:AT513)=0,"",AT513&amp;":"&amp;AS513)</f>
        <v/>
      </c>
      <c r="Z517" s="89"/>
      <c r="AA517" s="249"/>
      <c r="AB517" s="252"/>
      <c r="AC517" s="252"/>
      <c r="AD517" s="255"/>
      <c r="AE517" s="10"/>
      <c r="AF517" s="12"/>
      <c r="AG517" s="1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row>
    <row r="518" spans="1:64" s="19" customFormat="1" ht="5.0999999999999996" customHeight="1" thickBot="1" x14ac:dyDescent="0.25">
      <c r="M518" s="90"/>
      <c r="O518" s="90"/>
      <c r="P518" s="90"/>
      <c r="Q518" s="91"/>
      <c r="R518" s="91"/>
      <c r="S518" s="91"/>
      <c r="T518" s="91"/>
      <c r="U518" s="5"/>
      <c r="V518" s="5"/>
      <c r="W518" s="5"/>
      <c r="AA518" s="92"/>
      <c r="AB518" s="91"/>
      <c r="AC518" s="91"/>
      <c r="AD518" s="91"/>
      <c r="AE518" s="91"/>
      <c r="AF518" s="91"/>
      <c r="AI518" s="93"/>
      <c r="AJ518" s="94"/>
      <c r="AK518" s="94"/>
    </row>
    <row r="519" spans="1:64" ht="11.45" customHeight="1" thickBot="1" x14ac:dyDescent="0.25">
      <c r="N519" s="11"/>
      <c r="O519" s="21">
        <v>14</v>
      </c>
      <c r="Q519" s="277" t="str">
        <f>"Grupa "&amp;O519&amp;"."</f>
        <v>Grupa 14.</v>
      </c>
      <c r="R519" s="277"/>
      <c r="S519" s="277"/>
      <c r="T519" s="22" t="s">
        <v>1</v>
      </c>
      <c r="U519" s="278" t="s">
        <v>2</v>
      </c>
      <c r="V519" s="279"/>
      <c r="W519" s="280"/>
      <c r="X519" s="22">
        <v>1</v>
      </c>
      <c r="Y519" s="23">
        <v>2</v>
      </c>
      <c r="Z519" s="24">
        <v>3</v>
      </c>
      <c r="AA519" s="25" t="s">
        <v>3</v>
      </c>
      <c r="AB519" s="26" t="s">
        <v>4</v>
      </c>
      <c r="AC519" s="26" t="s">
        <v>5</v>
      </c>
      <c r="AD519" s="27" t="s">
        <v>6</v>
      </c>
      <c r="AE519" s="2"/>
      <c r="AF519" s="12"/>
      <c r="AG519" s="12"/>
      <c r="BK519" s="19"/>
      <c r="BL519" s="20"/>
    </row>
    <row r="520" spans="1:64" ht="11.45" customHeight="1" x14ac:dyDescent="0.2">
      <c r="J520" s="28"/>
      <c r="K520" s="28"/>
      <c r="L520" s="28"/>
      <c r="N520" s="29" t="s">
        <v>278</v>
      </c>
      <c r="Q520" s="274" t="s">
        <v>7</v>
      </c>
      <c r="R520" s="274"/>
      <c r="S520" s="275" t="s">
        <v>8</v>
      </c>
      <c r="T520" s="276">
        <v>1</v>
      </c>
      <c r="U520" s="244" t="str">
        <f>IF(AND(N521&lt;&gt;"",N522&lt;&gt;""),CONCATENATE(VLOOKUP(N521,[1]zawodnicy!$A$1:$E$65536,1,FALSE)," ",VLOOKUP(N521,[1]zawodnicy!$A$1:$E$65536,2,FALSE)," ",VLOOKUP(N521,[1]zawodnicy!$A$1:$E$65536,3,FALSE)," - ",VLOOKUP(N521,[1]zawodnicy!$A$1:$E$65536,4,FALSE)),"")</f>
        <v/>
      </c>
      <c r="V520" s="245"/>
      <c r="W520" s="246"/>
      <c r="X520" s="30"/>
      <c r="Y520" s="31" t="str">
        <f>IF(SUM(AO525:AP525)=0,"",AO525&amp;":"&amp;AP525)</f>
        <v>24:22</v>
      </c>
      <c r="Z520" s="32" t="str">
        <f>IF(SUM(AO523:AP523)=0,"",AO523&amp;":"&amp;AP523)</f>
        <v>21:7</v>
      </c>
      <c r="AA520" s="270" t="str">
        <f>IF(SUM(AY523:BB523)=0,"",BE523&amp;":"&amp;BF523)</f>
        <v>87:51</v>
      </c>
      <c r="AB520" s="271" t="str">
        <f>IF(SUM(AY523:BB523)=0,"",BG523&amp;":"&amp;BH523)</f>
        <v>4:0</v>
      </c>
      <c r="AC520" s="271" t="str">
        <f>IF(SUM(AY523:BB523)=0,"",BI523&amp;":"&amp;BJ523)</f>
        <v>2:0</v>
      </c>
      <c r="AD520" s="272">
        <f>IF(SUM(BI523:BI525)&gt;0,BK523,"")</f>
        <v>1</v>
      </c>
      <c r="AE520" s="2"/>
      <c r="AF520" s="12"/>
      <c r="AG520" s="12"/>
      <c r="AH520" s="14"/>
      <c r="AI520" s="273" t="s">
        <v>9</v>
      </c>
      <c r="AJ520" s="273"/>
      <c r="AK520" s="273"/>
      <c r="AL520" s="273"/>
      <c r="AM520" s="273"/>
      <c r="AN520" s="273"/>
      <c r="AO520" s="273" t="s">
        <v>10</v>
      </c>
      <c r="AP520" s="273"/>
      <c r="AQ520" s="273"/>
      <c r="AR520" s="273"/>
      <c r="AS520" s="273"/>
      <c r="AT520" s="273"/>
      <c r="BK520" s="19"/>
      <c r="BL520" s="20"/>
    </row>
    <row r="521" spans="1:64" ht="11.45" customHeight="1" thickBot="1" x14ac:dyDescent="0.25">
      <c r="I521" s="2" t="str">
        <f>"1"&amp;O519&amp;N520</f>
        <v>114pojedyncza dziewcząt MM</v>
      </c>
      <c r="J521" s="10" t="str">
        <f>IF(AD520="","",IF(AD520=1,N521,IF(AD523=1,N524,IF(AD526=1,N527,""))))</f>
        <v>K5262</v>
      </c>
      <c r="K521" s="10">
        <f>IF(AD520="","",IF(AD520=1,N522,IF(AD523=1,N525,IF(AD526=1,N528,""))))</f>
        <v>0</v>
      </c>
      <c r="L521" s="10"/>
      <c r="N521" s="191" t="s">
        <v>316</v>
      </c>
      <c r="O521" s="34">
        <f>IF(O519&gt;0,(O519&amp;1)*1,"")</f>
        <v>141</v>
      </c>
      <c r="Q521" s="274"/>
      <c r="R521" s="274"/>
      <c r="S521" s="275"/>
      <c r="T521" s="242"/>
      <c r="U521" s="244" t="str">
        <f>IF(AND(N521&lt;&gt;"",N522=""),CONCATENATE(VLOOKUP(N521,[1]zawodnicy!$A$1:$E$65536,1,FALSE)," ",VLOOKUP(N521,[1]zawodnicy!$A$1:$E$65536,2,FALSE)," ",VLOOKUP(N521,[1]zawodnicy!$A$1:$E$65536,3,FALSE)," - ",VLOOKUP(N521,[1]zawodnicy!$A$1:$E$65536,4,FALSE)),"")</f>
        <v>K5262 Wiktoria KASPRZAK - UKS Kiko Zamość</v>
      </c>
      <c r="V521" s="245"/>
      <c r="W521" s="246"/>
      <c r="X521" s="35"/>
      <c r="Y521" s="36" t="str">
        <f>IF(SUM(AQ525:AR525)=0,"",AQ525&amp;":"&amp;AR525)</f>
        <v>21:13</v>
      </c>
      <c r="Z521" s="37" t="str">
        <f>IF(SUM(AQ523:AR523)=0,"",AQ523&amp;":"&amp;AR523)</f>
        <v>21:9</v>
      </c>
      <c r="AA521" s="248"/>
      <c r="AB521" s="251"/>
      <c r="AC521" s="251"/>
      <c r="AD521" s="254"/>
      <c r="AE521" s="2"/>
      <c r="AF521" s="12"/>
      <c r="AG521" s="12"/>
      <c r="AH521" s="14"/>
      <c r="BE521" s="19">
        <f>SUM(BE523:BE525)</f>
        <v>194</v>
      </c>
      <c r="BF521" s="19">
        <f>SUM(BF523:BF525)</f>
        <v>194</v>
      </c>
      <c r="BG521" s="19">
        <f>SUM(BG523:BG525)</f>
        <v>6</v>
      </c>
      <c r="BH521" s="19">
        <f>SUM(BH523:BH525)</f>
        <v>6</v>
      </c>
      <c r="BK521" s="19"/>
      <c r="BL521" s="20"/>
    </row>
    <row r="522" spans="1:64" ht="11.45" customHeight="1" thickBot="1" x14ac:dyDescent="0.25">
      <c r="J522" s="10"/>
      <c r="K522" s="28"/>
      <c r="L522" s="28"/>
      <c r="N522" s="38"/>
      <c r="O522" s="28"/>
      <c r="P522" s="28"/>
      <c r="Q522" s="274"/>
      <c r="R522" s="274"/>
      <c r="S522" s="275"/>
      <c r="T522" s="261"/>
      <c r="U522" s="265" t="str">
        <f>IF(N522&lt;&gt;"",CONCATENATE(VLOOKUP(N522,[1]zawodnicy!$A$1:$E$65536,1,FALSE)," ",VLOOKUP(N522,[1]zawodnicy!$A$1:$E$65536,2,FALSE)," ",VLOOKUP(N522,[1]zawodnicy!$A$1:$E$65536,3,FALSE)," - ",VLOOKUP(N522,[1]zawodnicy!$A$1:$E$65536,4,FALSE)),"")</f>
        <v/>
      </c>
      <c r="V522" s="266"/>
      <c r="W522" s="267"/>
      <c r="X522" s="35"/>
      <c r="Y522" s="39" t="str">
        <f>IF(SUM(AS525:AT525)=0,"",AS525&amp;":"&amp;AT525)</f>
        <v/>
      </c>
      <c r="Z522" s="40" t="str">
        <f>IF(SUM(AS523:AT523)=0,"",AS523&amp;":"&amp;AT523)</f>
        <v/>
      </c>
      <c r="AA522" s="262"/>
      <c r="AB522" s="263"/>
      <c r="AC522" s="263"/>
      <c r="AD522" s="264"/>
      <c r="AE522" s="2"/>
      <c r="AF522" s="12"/>
      <c r="AG522" s="12"/>
      <c r="AH522" s="14"/>
      <c r="AI522" s="259" t="s">
        <v>12</v>
      </c>
      <c r="AJ522" s="269"/>
      <c r="AK522" s="268" t="s">
        <v>13</v>
      </c>
      <c r="AL522" s="269"/>
      <c r="AM522" s="268" t="s">
        <v>14</v>
      </c>
      <c r="AN522" s="260"/>
      <c r="AO522" s="259" t="s">
        <v>12</v>
      </c>
      <c r="AP522" s="269"/>
      <c r="AQ522" s="268" t="s">
        <v>13</v>
      </c>
      <c r="AR522" s="269"/>
      <c r="AS522" s="268" t="s">
        <v>14</v>
      </c>
      <c r="AT522" s="269"/>
      <c r="AU522" s="12"/>
      <c r="AV522" s="12"/>
      <c r="AW522" s="259">
        <v>1</v>
      </c>
      <c r="AX522" s="269"/>
      <c r="AY522" s="268">
        <v>2</v>
      </c>
      <c r="AZ522" s="269"/>
      <c r="BA522" s="268">
        <v>3</v>
      </c>
      <c r="BB522" s="260"/>
      <c r="BE522" s="259" t="s">
        <v>3</v>
      </c>
      <c r="BF522" s="260"/>
      <c r="BG522" s="259" t="s">
        <v>4</v>
      </c>
      <c r="BH522" s="260"/>
      <c r="BI522" s="259" t="s">
        <v>5</v>
      </c>
      <c r="BJ522" s="260"/>
      <c r="BK522" s="41" t="s">
        <v>6</v>
      </c>
      <c r="BL522" s="20"/>
    </row>
    <row r="523" spans="1:64" ht="11.45" customHeight="1" x14ac:dyDescent="0.2">
      <c r="A523" s="19">
        <f>S523</f>
        <v>113</v>
      </c>
      <c r="B523" s="2" t="str">
        <f>IF(N521="","",N521)</f>
        <v>K5262</v>
      </c>
      <c r="C523" s="2" t="str">
        <f>IF(N522="","",N522)</f>
        <v/>
      </c>
      <c r="D523" s="2" t="str">
        <f>IF(N527="","",N527)</f>
        <v>X33</v>
      </c>
      <c r="E523" s="2" t="str">
        <f>IF(N528="","",N528)</f>
        <v/>
      </c>
      <c r="I523" s="2" t="str">
        <f>"2"&amp;O519&amp;N520</f>
        <v>214pojedyncza dziewcząt MM</v>
      </c>
      <c r="J523" s="10" t="str">
        <f>IF(AD523="","",IF(AD520=2,N521,IF(AD523=2,N524,IF(AD526=2,N527,""))))</f>
        <v>X25</v>
      </c>
      <c r="K523" s="10">
        <f>IF(AD523="","",IF(AD520=2,N522,IF(AD523=2,N525,IF(AD526=2,N528,""))))</f>
        <v>0</v>
      </c>
      <c r="M523" s="42" t="str">
        <f>N520</f>
        <v>pojedyncza dziewcząt MM</v>
      </c>
      <c r="O523" s="28"/>
      <c r="P523" s="28"/>
      <c r="Q523" s="43" t="str">
        <f>IF(AU523&gt;0,"",IF(A523=0,"",IF(VLOOKUP(A523,'[1]plan gier'!A$1:S$65536,19,FALSE)="","",VLOOKUP(A523,'[1]plan gier'!A$1:S$65536,19,FALSE))))</f>
        <v/>
      </c>
      <c r="R523" s="44" t="s">
        <v>15</v>
      </c>
      <c r="S523" s="45">
        <v>113</v>
      </c>
      <c r="T523" s="241">
        <v>2</v>
      </c>
      <c r="U523" s="244" t="str">
        <f>IF(AND(N524&lt;&gt;"",N525&lt;&gt;""),CONCATENATE(VLOOKUP(N524,[1]zawodnicy!$A$1:$E$65536,1,FALSE)," ",VLOOKUP(N524,[1]zawodnicy!$A$1:$E$65536,2,FALSE)," ",VLOOKUP(N524,[1]zawodnicy!$A$1:$E$65536,3,FALSE)," - ",VLOOKUP(N524,[1]zawodnicy!$A$1:$E$65536,4,FALSE)),"")</f>
        <v/>
      </c>
      <c r="V523" s="245"/>
      <c r="W523" s="246"/>
      <c r="X523" s="46" t="str">
        <f>IF(SUM(AO525:AP525)=0,"",AP525&amp;":"&amp;AO525)</f>
        <v>22:24</v>
      </c>
      <c r="Y523" s="47"/>
      <c r="Z523" s="48" t="str">
        <f>IF(SUM(AO524:AP524)=0,"",AO524&amp;":"&amp;AP524)</f>
        <v>21:8</v>
      </c>
      <c r="AA523" s="247" t="str">
        <f>IF(SUM(AW524:AX524,BA524:BB524)=0,"",BE524&amp;":"&amp;BF524)</f>
        <v>77:59</v>
      </c>
      <c r="AB523" s="250" t="str">
        <f>IF(SUM(AW524:AX524,BA524:BB524)=0,"",BG524&amp;":"&amp;BH524)</f>
        <v>2:2</v>
      </c>
      <c r="AC523" s="250" t="str">
        <f>IF(SUM(AW524:AX524,BA524:BB524)=0,"",BI524&amp;":"&amp;BJ524)</f>
        <v>1:1</v>
      </c>
      <c r="AD523" s="253">
        <f>IF(SUM(BI523:BI525)&gt;0,BK524,"")</f>
        <v>2</v>
      </c>
      <c r="AE523" s="2"/>
      <c r="AF523" s="12"/>
      <c r="AG523" s="12"/>
      <c r="AH523" s="44" t="s">
        <v>15</v>
      </c>
      <c r="AI523" s="49">
        <f>IF(ISBLANK(S523),"",VLOOKUP(S523,'[1]plan gier'!$X$1:$AN$65536,12,FALSE))</f>
        <v>21</v>
      </c>
      <c r="AJ523" s="50">
        <f>IF(ISBLANK(S523),"",VLOOKUP(S523,'[1]plan gier'!$X$1:$AN$65536,13,FALSE))</f>
        <v>7</v>
      </c>
      <c r="AK523" s="50">
        <f>IF(ISBLANK(S523),"",VLOOKUP(S523,'[1]plan gier'!$X$1:$AN$65536,14,FALSE))</f>
        <v>21</v>
      </c>
      <c r="AL523" s="50">
        <f>IF(ISBLANK(S523),"",VLOOKUP(S523,'[1]plan gier'!$X$1:$AN$65536,15,FALSE))</f>
        <v>9</v>
      </c>
      <c r="AM523" s="50">
        <f>IF(ISBLANK(S523),"",VLOOKUP(S523,'[1]plan gier'!$X$1:$AN$65536,16,FALSE))</f>
        <v>0</v>
      </c>
      <c r="AN523" s="50">
        <f>IF(ISBLANK(S523),"",VLOOKUP(S523,'[1]plan gier'!$X$1:$AN$65536,17,FALSE))</f>
        <v>0</v>
      </c>
      <c r="AO523" s="51">
        <f t="shared" ref="AO523:AT525" si="53">IF(AI523="",0,AI523)</f>
        <v>21</v>
      </c>
      <c r="AP523" s="52">
        <f t="shared" si="53"/>
        <v>7</v>
      </c>
      <c r="AQ523" s="53">
        <f t="shared" si="53"/>
        <v>21</v>
      </c>
      <c r="AR523" s="52">
        <f t="shared" si="53"/>
        <v>9</v>
      </c>
      <c r="AS523" s="53">
        <f t="shared" si="53"/>
        <v>0</v>
      </c>
      <c r="AT523" s="52">
        <f t="shared" si="53"/>
        <v>0</v>
      </c>
      <c r="AU523" s="54">
        <f>SUM(AO523:AT523)</f>
        <v>58</v>
      </c>
      <c r="AV523" s="13">
        <v>1</v>
      </c>
      <c r="AW523" s="55"/>
      <c r="AX523" s="56"/>
      <c r="AY523" s="50">
        <f>IF(AI525&gt;AJ525,1,0)+IF(AK525&gt;AL525,1,0)+IF(AM525&gt;AN525,1,0)</f>
        <v>2</v>
      </c>
      <c r="AZ523" s="50">
        <f>AW524</f>
        <v>0</v>
      </c>
      <c r="BA523" s="50">
        <f>IF(AI523&gt;AJ523,1,0)+IF(AK523&gt;AL523,1,0)+IF(AM523&gt;AN523,1,0)</f>
        <v>2</v>
      </c>
      <c r="BB523" s="57">
        <f>AW525</f>
        <v>0</v>
      </c>
      <c r="BE523" s="49">
        <f>AO523+AQ523+AS523+AO525+AQ525+AS525</f>
        <v>87</v>
      </c>
      <c r="BF523" s="57">
        <f>AP523+AR523+AT523+AP525+AR525+AT525</f>
        <v>51</v>
      </c>
      <c r="BG523" s="49">
        <f>AY523+BA523</f>
        <v>4</v>
      </c>
      <c r="BH523" s="57">
        <f>AZ523+BB523</f>
        <v>0</v>
      </c>
      <c r="BI523" s="49">
        <f>IF(AY523&gt;AZ523,1,0)+IF(BA523&gt;BB523,1,0)</f>
        <v>2</v>
      </c>
      <c r="BJ523" s="58">
        <f>IF(AZ523&gt;AY523,1,0)+IF(BB523&gt;BA523,1,0)</f>
        <v>0</v>
      </c>
      <c r="BK523" s="59">
        <f>IF(BI523+BJ523=0,"",IF(BL523=MAX(BL523:BL525),1,IF(BL523=MIN(BL523:BL525),3,2)))</f>
        <v>1</v>
      </c>
      <c r="BL523" s="60">
        <f>IF(BI523+BJ523&lt;&gt;0,BI523+1+(BG523-BH523)/100+(BE523-BF523)/100000+(BE523/BF523)/1000000,0)</f>
        <v>3.0403617058823533</v>
      </c>
    </row>
    <row r="524" spans="1:64" ht="11.45" customHeight="1" x14ac:dyDescent="0.2">
      <c r="A524" s="19">
        <f>S524</f>
        <v>179</v>
      </c>
      <c r="B524" s="2" t="str">
        <f>IF(N524="","",N524)</f>
        <v>X25</v>
      </c>
      <c r="C524" s="2" t="str">
        <f>IF(N525="","",N525)</f>
        <v/>
      </c>
      <c r="D524" s="2" t="str">
        <f>IF(N527="","",N527)</f>
        <v>X33</v>
      </c>
      <c r="E524" s="2" t="str">
        <f>IF(N528="","",N528)</f>
        <v/>
      </c>
      <c r="J524" s="10"/>
      <c r="K524" s="19"/>
      <c r="M524" s="42" t="str">
        <f>N520</f>
        <v>pojedyncza dziewcząt MM</v>
      </c>
      <c r="N524" s="187" t="s">
        <v>317</v>
      </c>
      <c r="O524" s="34">
        <f>IF(O519&gt;0,(O519&amp;2)*1,"")</f>
        <v>142</v>
      </c>
      <c r="Q524" s="43" t="str">
        <f>IF(AU524&gt;0,"",IF(A524=0,"",IF(VLOOKUP(A524,'[1]plan gier'!A$1:S$65536,19,FALSE)="","",VLOOKUP(A524,'[1]plan gier'!A$1:S$65536,19,FALSE))))</f>
        <v/>
      </c>
      <c r="R524" s="44" t="s">
        <v>17</v>
      </c>
      <c r="S524" s="45">
        <v>179</v>
      </c>
      <c r="T524" s="242"/>
      <c r="U524" s="244" t="str">
        <f>IF(AND(N524&lt;&gt;"",N525=""),CONCATENATE(VLOOKUP(N524,[1]zawodnicy!$A$1:$E$65536,1,FALSE)," ",VLOOKUP(N524,[1]zawodnicy!$A$1:$E$65536,2,FALSE)," ",VLOOKUP(N524,[1]zawodnicy!$A$1:$E$65536,3,FALSE)," - ",VLOOKUP(N524,[1]zawodnicy!$A$1:$E$65536,4,FALSE)),"")</f>
        <v>X25 Yana  HALYTSKA - Vinnica Ukraina</v>
      </c>
      <c r="V524" s="245"/>
      <c r="W524" s="246"/>
      <c r="X524" s="61" t="str">
        <f>IF(SUM(AQ525:AR525)=0,"",AR525&amp;":"&amp;AQ525)</f>
        <v>13:21</v>
      </c>
      <c r="Y524" s="62"/>
      <c r="Z524" s="37" t="str">
        <f>IF(SUM(AQ524:AR524)=0,"",AQ524&amp;":"&amp;AR524)</f>
        <v>21:6</v>
      </c>
      <c r="AA524" s="248"/>
      <c r="AB524" s="251"/>
      <c r="AC524" s="251"/>
      <c r="AD524" s="254"/>
      <c r="AE524" s="2"/>
      <c r="AF524" s="12"/>
      <c r="AG524" s="12"/>
      <c r="AH524" s="44" t="s">
        <v>17</v>
      </c>
      <c r="AI524" s="63">
        <f>IF(ISBLANK(S524),"",VLOOKUP(S524,'[1]plan gier'!$X$1:$AN$65536,12,FALSE))</f>
        <v>21</v>
      </c>
      <c r="AJ524" s="64">
        <f>IF(ISBLANK(S524),"",VLOOKUP(S524,'[1]plan gier'!$X$1:$AN$65536,13,FALSE))</f>
        <v>8</v>
      </c>
      <c r="AK524" s="64">
        <f>IF(ISBLANK(S524),"",VLOOKUP(S524,'[1]plan gier'!$X$1:$AN$65536,14,FALSE))</f>
        <v>21</v>
      </c>
      <c r="AL524" s="64">
        <f>IF(ISBLANK(S524),"",VLOOKUP(S524,'[1]plan gier'!$X$1:$AN$65536,15,FALSE))</f>
        <v>6</v>
      </c>
      <c r="AM524" s="64">
        <f>IF(ISBLANK(S524),"",VLOOKUP(S524,'[1]plan gier'!$X$1:$AN$65536,16,FALSE))</f>
        <v>0</v>
      </c>
      <c r="AN524" s="64">
        <f>IF(ISBLANK(S524),"",VLOOKUP(S524,'[1]plan gier'!$X$1:$AN$65536,17,FALSE))</f>
        <v>0</v>
      </c>
      <c r="AO524" s="65">
        <f t="shared" si="53"/>
        <v>21</v>
      </c>
      <c r="AP524" s="64">
        <f t="shared" si="53"/>
        <v>8</v>
      </c>
      <c r="AQ524" s="66">
        <f t="shared" si="53"/>
        <v>21</v>
      </c>
      <c r="AR524" s="64">
        <f t="shared" si="53"/>
        <v>6</v>
      </c>
      <c r="AS524" s="66">
        <f t="shared" si="53"/>
        <v>0</v>
      </c>
      <c r="AT524" s="64">
        <f t="shared" si="53"/>
        <v>0</v>
      </c>
      <c r="AU524" s="54">
        <f>SUM(AO524:AT524)</f>
        <v>56</v>
      </c>
      <c r="AV524" s="13">
        <v>2</v>
      </c>
      <c r="AW524" s="63">
        <f>IF(AI525&lt;AJ525,1,0)+IF(AK525&lt;AL525,1,0)+IF(AM525&lt;AN525,1,0)</f>
        <v>0</v>
      </c>
      <c r="AX524" s="64">
        <f>AY523</f>
        <v>2</v>
      </c>
      <c r="AY524" s="67"/>
      <c r="AZ524" s="68"/>
      <c r="BA524" s="64">
        <f>IF(AI524&gt;AJ524,1,0)+IF(AK524&gt;AL524,1,0)+IF(AM524&gt;AN524,1,0)</f>
        <v>2</v>
      </c>
      <c r="BB524" s="69">
        <f>AY525</f>
        <v>0</v>
      </c>
      <c r="BE524" s="63">
        <f>AO524+AQ524+AS524+AP525+AR525+AT525</f>
        <v>77</v>
      </c>
      <c r="BF524" s="69">
        <f>AP524+AR524+AT524+AO525+AQ525+AS525</f>
        <v>59</v>
      </c>
      <c r="BG524" s="63">
        <f>AW524+BA524</f>
        <v>2</v>
      </c>
      <c r="BH524" s="69">
        <f>AX524+BB524</f>
        <v>2</v>
      </c>
      <c r="BI524" s="63">
        <f>IF(AW524&gt;AX524,1,0)+IF(BA524&gt;BB524,1,0)</f>
        <v>1</v>
      </c>
      <c r="BJ524" s="70">
        <f>IF(AX524&gt;AW524,1,0)+IF(BB524&gt;BA524,1,0)</f>
        <v>1</v>
      </c>
      <c r="BK524" s="71">
        <f>IF(BI524+BJ524=0,"",IF(BL524=MAX(BL523:BL525),1,IF(BL524=MIN(BL523:BL525),3,2)))</f>
        <v>2</v>
      </c>
      <c r="BL524" s="60">
        <f>IF(BI524+BJ524&lt;&gt;0,BI524+1+(BG524-BH524)/100+(BE524-BF524)/100000+(BE524/BF524)/1000000,0)</f>
        <v>2.0001813050847455</v>
      </c>
    </row>
    <row r="525" spans="1:64" ht="11.45" customHeight="1" thickBot="1" x14ac:dyDescent="0.25">
      <c r="A525" s="19">
        <f>S525</f>
        <v>232</v>
      </c>
      <c r="B525" s="2" t="str">
        <f>IF(N521="","",N521)</f>
        <v>K5262</v>
      </c>
      <c r="C525" s="2" t="str">
        <f>IF(N522="","",N522)</f>
        <v/>
      </c>
      <c r="D525" s="2" t="str">
        <f>IF(N524="","",N524)</f>
        <v>X25</v>
      </c>
      <c r="E525" s="2" t="str">
        <f>IF(N525="","",N525)</f>
        <v/>
      </c>
      <c r="I525" s="2" t="str">
        <f>"3"&amp;O519&amp;N520</f>
        <v>314pojedyncza dziewcząt MM</v>
      </c>
      <c r="J525" s="10" t="str">
        <f>IF(AD526="","",IF(AD520=3,N521,IF(AD523=3,N524,IF(AD526=3,N527,""))))</f>
        <v>X33</v>
      </c>
      <c r="K525" s="10">
        <f>IF(AD526="","",IF(AD520=3,N522,IF(AD523=3,N525,IF(AD526=3,N528,""))))</f>
        <v>0</v>
      </c>
      <c r="M525" s="42" t="str">
        <f>N520</f>
        <v>pojedyncza dziewcząt MM</v>
      </c>
      <c r="N525" s="38"/>
      <c r="O525" s="28"/>
      <c r="P525" s="28"/>
      <c r="Q525" s="43" t="str">
        <f>IF(AU525&gt;0,"",IF(A525=0,"",IF(VLOOKUP(A525,'[1]plan gier'!A$1:S$65536,19,FALSE)="","",VLOOKUP(A525,'[1]plan gier'!A$1:S$65536,19,FALSE))))</f>
        <v/>
      </c>
      <c r="R525" s="72" t="s">
        <v>18</v>
      </c>
      <c r="S525" s="45">
        <v>232</v>
      </c>
      <c r="T525" s="261"/>
      <c r="U525" s="265" t="str">
        <f>IF(N525&lt;&gt;"",CONCATENATE(VLOOKUP(N525,[1]zawodnicy!$A$1:$E$65536,1,FALSE)," ",VLOOKUP(N525,[1]zawodnicy!$A$1:$E$65536,2,FALSE)," ",VLOOKUP(N525,[1]zawodnicy!$A$1:$E$65536,3,FALSE)," - ",VLOOKUP(N525,[1]zawodnicy!$A$1:$E$65536,4,FALSE)),"")</f>
        <v/>
      </c>
      <c r="V525" s="266"/>
      <c r="W525" s="267"/>
      <c r="X525" s="73" t="str">
        <f>IF(SUM(AS525:AT525)=0,"",AT525&amp;":"&amp;AS525)</f>
        <v/>
      </c>
      <c r="Y525" s="62"/>
      <c r="Z525" s="40" t="str">
        <f>IF(SUM(AS524:AT524)=0,"",AS524&amp;":"&amp;AT524)</f>
        <v/>
      </c>
      <c r="AA525" s="262"/>
      <c r="AB525" s="263"/>
      <c r="AC525" s="263"/>
      <c r="AD525" s="264"/>
      <c r="AE525" s="2"/>
      <c r="AF525" s="12"/>
      <c r="AG525" s="12"/>
      <c r="AH525" s="72" t="s">
        <v>18</v>
      </c>
      <c r="AI525" s="74">
        <f>IF(ISBLANK(S525),"",VLOOKUP(S525,'[1]plan gier'!$X$1:$AN$65536,12,FALSE))</f>
        <v>24</v>
      </c>
      <c r="AJ525" s="75">
        <f>IF(ISBLANK(S525),"",VLOOKUP(S525,'[1]plan gier'!$X$1:$AN$65536,13,FALSE))</f>
        <v>22</v>
      </c>
      <c r="AK525" s="75">
        <f>IF(ISBLANK(S525),"",VLOOKUP(S525,'[1]plan gier'!$X$1:$AN$65536,14,FALSE))</f>
        <v>21</v>
      </c>
      <c r="AL525" s="75">
        <f>IF(ISBLANK(S525),"",VLOOKUP(S525,'[1]plan gier'!$X$1:$AN$65536,15,FALSE))</f>
        <v>13</v>
      </c>
      <c r="AM525" s="75">
        <f>IF(ISBLANK(S525),"",VLOOKUP(S525,'[1]plan gier'!$X$1:$AN$65536,16,FALSE))</f>
        <v>0</v>
      </c>
      <c r="AN525" s="75">
        <f>IF(ISBLANK(S525),"",VLOOKUP(S525,'[1]plan gier'!$X$1:$AN$65536,17,FALSE))</f>
        <v>0</v>
      </c>
      <c r="AO525" s="76">
        <f t="shared" si="53"/>
        <v>24</v>
      </c>
      <c r="AP525" s="75">
        <f t="shared" si="53"/>
        <v>22</v>
      </c>
      <c r="AQ525" s="77">
        <f t="shared" si="53"/>
        <v>21</v>
      </c>
      <c r="AR525" s="75">
        <f t="shared" si="53"/>
        <v>13</v>
      </c>
      <c r="AS525" s="77">
        <f t="shared" si="53"/>
        <v>0</v>
      </c>
      <c r="AT525" s="75">
        <f t="shared" si="53"/>
        <v>0</v>
      </c>
      <c r="AU525" s="54">
        <f>SUM(AO525:AT525)</f>
        <v>80</v>
      </c>
      <c r="AV525" s="13">
        <v>3</v>
      </c>
      <c r="AW525" s="74">
        <f>IF(AI523&lt;AJ523,1,0)+IF(AK523&lt;AL523,1,0)+IF(AM523&lt;AN523,1,0)</f>
        <v>0</v>
      </c>
      <c r="AX525" s="75">
        <f>BA523</f>
        <v>2</v>
      </c>
      <c r="AY525" s="75">
        <f>IF(AI524&lt;AJ524,1,0)+IF(AK524&lt;AL524,1,0)+IF(AM524&lt;AN524,1,0)</f>
        <v>0</v>
      </c>
      <c r="AZ525" s="75">
        <f>BA524</f>
        <v>2</v>
      </c>
      <c r="BA525" s="78"/>
      <c r="BB525" s="79"/>
      <c r="BE525" s="74">
        <f>AP523+AR523+AT523+AP524+AR524+AT524</f>
        <v>30</v>
      </c>
      <c r="BF525" s="80">
        <f>AO523+AQ523+AS523+AO524+AQ524+AS524</f>
        <v>84</v>
      </c>
      <c r="BG525" s="74">
        <f>AW525+AY525</f>
        <v>0</v>
      </c>
      <c r="BH525" s="80">
        <f>AX525+AZ525</f>
        <v>4</v>
      </c>
      <c r="BI525" s="74">
        <f>IF(AW525&gt;AX525,1,0)+IF(AY525&gt;AZ525,1,0)</f>
        <v>0</v>
      </c>
      <c r="BJ525" s="81">
        <f>IF(AX525&gt;AW525,1,0)+IF(AZ525&gt;AY525,1,0)</f>
        <v>2</v>
      </c>
      <c r="BK525" s="82">
        <f>IF(BI525+BJ525=0,"",IF(BL525=MAX(BL523:BL525),1,IF(BL525=MIN(BL523:BL525),3,2)))</f>
        <v>3</v>
      </c>
      <c r="BL525" s="60">
        <f>IF(BI525+BJ525&lt;&gt;0,BI525+1+(BG525-BH525)/100+(BE525-BF525)/100000+(BE525/BF525)/1000000,0)</f>
        <v>0.95946035714285716</v>
      </c>
    </row>
    <row r="526" spans="1:64" ht="11.45" customHeight="1" x14ac:dyDescent="0.2">
      <c r="A526" s="2"/>
      <c r="J526" s="28"/>
      <c r="K526" s="28"/>
      <c r="L526" s="28"/>
      <c r="O526" s="28"/>
      <c r="P526" s="28"/>
      <c r="Q526" s="2"/>
      <c r="R526" s="2"/>
      <c r="S526" s="2"/>
      <c r="T526" s="241">
        <v>3</v>
      </c>
      <c r="U526" s="244" t="str">
        <f>IF(AND(N527&lt;&gt;"",N528&lt;&gt;""),CONCATENATE(VLOOKUP(N527,[1]zawodnicy!$A$1:$E$65536,1,FALSE)," ",VLOOKUP(N527,[1]zawodnicy!$A$1:$E$65536,2,FALSE)," ",VLOOKUP(N527,[1]zawodnicy!$A$1:$E$65536,3,FALSE)," - ",VLOOKUP(N527,[1]zawodnicy!$A$1:$E$65536,4,FALSE)),"")</f>
        <v/>
      </c>
      <c r="V526" s="245"/>
      <c r="W526" s="246"/>
      <c r="X526" s="46" t="str">
        <f>IF(SUM(AO523:AP523)=0,"",AP523&amp;":"&amp;AO523)</f>
        <v>7:21</v>
      </c>
      <c r="Y526" s="83" t="str">
        <f>IF(SUM(AO524:AP524)=0,"",AP524&amp;":"&amp;AO524)</f>
        <v>8:21</v>
      </c>
      <c r="Z526" s="84"/>
      <c r="AA526" s="247" t="str">
        <f>IF(SUM(AW525:AZ525)=0,"",BE525&amp;":"&amp;BF525)</f>
        <v>30:84</v>
      </c>
      <c r="AB526" s="250" t="str">
        <f>IF(SUM(AW525:AZ525)=0,"",BG525&amp;":"&amp;BH525)</f>
        <v>0:4</v>
      </c>
      <c r="AC526" s="250" t="str">
        <f>IF(SUM(AW525:AZ525)=0,"",BI525&amp;":"&amp;BJ525)</f>
        <v>0:2</v>
      </c>
      <c r="AD526" s="253">
        <f>IF(SUM(BI523:BI525)&gt;0,BK525,"")</f>
        <v>3</v>
      </c>
      <c r="AE526" s="2"/>
      <c r="AF526" s="12"/>
      <c r="AG526" s="12"/>
      <c r="BE526" s="19">
        <f>SUM(BE523:BE525)</f>
        <v>194</v>
      </c>
      <c r="BF526" s="19">
        <f>SUM(BF523:BF525)</f>
        <v>194</v>
      </c>
      <c r="BG526" s="19">
        <f>SUM(BG523:BG525)</f>
        <v>6</v>
      </c>
      <c r="BH526" s="19">
        <f>SUM(BH523:BH525)</f>
        <v>6</v>
      </c>
      <c r="BK526" s="19"/>
      <c r="BL526" s="20"/>
    </row>
    <row r="527" spans="1:64" ht="11.45" customHeight="1" x14ac:dyDescent="0.2">
      <c r="A527" s="19"/>
      <c r="J527" s="19"/>
      <c r="K527" s="19"/>
      <c r="L527" s="19"/>
      <c r="N527" s="188" t="s">
        <v>318</v>
      </c>
      <c r="O527" s="34">
        <f>IF(O519&gt;0,(O519&amp;3)*1,"")</f>
        <v>143</v>
      </c>
      <c r="Q527" s="85"/>
      <c r="R527" s="85"/>
      <c r="S527" s="85"/>
      <c r="T527" s="242"/>
      <c r="U527" s="244" t="str">
        <f>IF(AND(N527&lt;&gt;"",N528=""),CONCATENATE(VLOOKUP(N527,[1]zawodnicy!$A$1:$E$65536,1,FALSE)," ",VLOOKUP(N527,[1]zawodnicy!$A$1:$E$65536,2,FALSE)," ",VLOOKUP(N527,[1]zawodnicy!$A$1:$E$65536,3,FALSE)," - ",VLOOKUP(N527,[1]zawodnicy!$A$1:$E$65536,4,FALSE)),"")</f>
        <v>X33 Kseniya YAROSHUK - Białoruś</v>
      </c>
      <c r="V527" s="245"/>
      <c r="W527" s="246"/>
      <c r="X527" s="61" t="str">
        <f>IF(SUM(AQ523:AR523)=0,"",AR523&amp;":"&amp;AQ523)</f>
        <v>9:21</v>
      </c>
      <c r="Y527" s="36" t="str">
        <f>IF(SUM(AQ524:AR524)=0,"",AR524&amp;":"&amp;AQ524)</f>
        <v>6:21</v>
      </c>
      <c r="Z527" s="86"/>
      <c r="AA527" s="248"/>
      <c r="AB527" s="251"/>
      <c r="AC527" s="251"/>
      <c r="AD527" s="254"/>
      <c r="AE527" s="2"/>
      <c r="AF527" s="12"/>
      <c r="AG527" s="1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row>
    <row r="528" spans="1:64" ht="11.45" customHeight="1" thickBot="1" x14ac:dyDescent="0.25">
      <c r="A528" s="2"/>
      <c r="J528" s="28"/>
      <c r="K528" s="28"/>
      <c r="L528" s="28"/>
      <c r="N528" s="38"/>
      <c r="O528" s="28"/>
      <c r="P528" s="28"/>
      <c r="Q528" s="2"/>
      <c r="R528" s="2"/>
      <c r="S528" s="2"/>
      <c r="T528" s="243"/>
      <c r="U528" s="256" t="str">
        <f>IF(N528&lt;&gt;"",CONCATENATE(VLOOKUP(N528,[1]zawodnicy!$A$1:$E$65536,1,FALSE)," ",VLOOKUP(N528,[1]zawodnicy!$A$1:$E$65536,2,FALSE)," ",VLOOKUP(N528,[1]zawodnicy!$A$1:$E$65536,3,FALSE)," - ",VLOOKUP(N528,[1]zawodnicy!$A$1:$E$65536,4,FALSE)),"")</f>
        <v/>
      </c>
      <c r="V528" s="257"/>
      <c r="W528" s="258"/>
      <c r="X528" s="87" t="str">
        <f>IF(SUM(AS523:AT523)=0,"",AT523&amp;":"&amp;AS523)</f>
        <v/>
      </c>
      <c r="Y528" s="88" t="str">
        <f>IF(SUM(AS524:AT524)=0,"",AT524&amp;":"&amp;AS524)</f>
        <v/>
      </c>
      <c r="Z528" s="89"/>
      <c r="AA528" s="249"/>
      <c r="AB528" s="252"/>
      <c r="AC528" s="252"/>
      <c r="AD528" s="255"/>
      <c r="AE528" s="10"/>
      <c r="AF528" s="12"/>
      <c r="AG528" s="1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row>
    <row r="529" spans="1:64" s="19" customFormat="1" ht="5.0999999999999996" customHeight="1" x14ac:dyDescent="0.2">
      <c r="M529" s="90"/>
      <c r="O529" s="90"/>
      <c r="P529" s="90"/>
      <c r="Q529" s="91"/>
      <c r="R529" s="91"/>
      <c r="S529" s="91"/>
      <c r="T529" s="91"/>
      <c r="U529" s="5"/>
      <c r="V529" s="5"/>
      <c r="W529" s="5"/>
      <c r="AA529" s="92"/>
      <c r="AB529" s="91"/>
      <c r="AC529" s="91"/>
      <c r="AD529" s="91"/>
      <c r="AE529" s="91"/>
      <c r="AF529" s="91"/>
      <c r="AI529" s="93"/>
      <c r="AJ529" s="94"/>
      <c r="AK529" s="94"/>
    </row>
    <row r="531" spans="1:64" ht="11.45" customHeight="1" x14ac:dyDescent="0.2">
      <c r="J531" s="2"/>
      <c r="K531" s="2"/>
      <c r="L531" s="2"/>
      <c r="M531" s="95"/>
      <c r="N531" s="96">
        <v>1</v>
      </c>
      <c r="O531" s="97">
        <v>14</v>
      </c>
      <c r="P531" s="98"/>
      <c r="Q531" s="1"/>
      <c r="R531" s="1"/>
      <c r="S531" s="1"/>
      <c r="T531" s="229"/>
      <c r="U531" s="229"/>
      <c r="V531" s="229"/>
      <c r="W531" s="229"/>
      <c r="X531" s="229"/>
      <c r="Y531" s="229"/>
      <c r="Z531" s="229"/>
      <c r="AA531" s="229"/>
      <c r="AB531" s="229"/>
      <c r="AC531" s="229"/>
      <c r="AD531" s="229"/>
      <c r="AE531" s="229"/>
      <c r="AF531" s="229"/>
      <c r="AG531" s="2"/>
      <c r="BK531" s="19"/>
      <c r="BL531" s="20"/>
    </row>
    <row r="532" spans="1:64" ht="11.45" customHeight="1" x14ac:dyDescent="0.2">
      <c r="J532" s="2"/>
      <c r="N532" s="99" t="s">
        <v>278</v>
      </c>
      <c r="P532" s="98"/>
      <c r="Q532" s="1"/>
      <c r="R532" s="1"/>
      <c r="S532" s="1"/>
      <c r="T532" s="1"/>
      <c r="U532" s="100"/>
      <c r="V532" s="101"/>
      <c r="W532" s="101"/>
      <c r="X532" s="101"/>
      <c r="Y532" s="2"/>
      <c r="Z532" s="2"/>
      <c r="AA532" s="2"/>
      <c r="AB532" s="2"/>
      <c r="AC532" s="2"/>
      <c r="AD532" s="2"/>
      <c r="AE532" s="2"/>
      <c r="AF532" s="2"/>
      <c r="AG532" s="2"/>
      <c r="BK532" s="19"/>
      <c r="BL532" s="20"/>
    </row>
    <row r="533" spans="1:64" ht="11.45" customHeight="1" x14ac:dyDescent="0.2">
      <c r="A533" s="102">
        <f>W533</f>
        <v>0</v>
      </c>
      <c r="B533" s="2" t="str">
        <f>IF(TYPE(T533)=16,"",T533)</f>
        <v>D4628</v>
      </c>
      <c r="D533" s="2" t="str">
        <f>IF(TYPE(T534)=16,"",T534)</f>
        <v/>
      </c>
      <c r="F533" s="2" t="str">
        <f>IF(A533=0,IF(AND(LEN(B533)&gt;0,LEN(D533)=0),VLOOKUP(B533,[1]zawodnicy!$A$1:$E$65536,1,FALSE),IF(AND(LEN(D533)&gt;0,LEN(B533)=0),VLOOKUP(D533,[1]zawodnicy!$A$1:$E$65536,1,FALSE),"")),IF((VLOOKUP(A533,'[1]plan gier'!$X$1:$AF$65536,7,FALSE))="","",VLOOKUP(VLOOKUP(A533,'[1]plan gier'!$X$1:$AF$65536,7,FALSE),[1]zawodnicy!$A$1:$E$65536,1,FALSE)))</f>
        <v>D4628</v>
      </c>
      <c r="H533" s="2" t="str">
        <f>IF(A533=0,"",IF((VLOOKUP(A533,'[1]plan gier'!$X$1:$AF$65536,7,FALSE))="","",VLOOKUP(A533,'[1]plan gier'!$X$1:$AF$65536,9,FALSE)))</f>
        <v/>
      </c>
      <c r="J533" s="103"/>
      <c r="L533" s="43" t="str">
        <f>IF(A533=0,"",IF(VLOOKUP(A533,'[1]plan gier'!A$1:S$65536,19,FALSE)="","",VLOOKUP(A533,'[1]plan gier'!A$1:S$65536,19,FALSE)))</f>
        <v/>
      </c>
      <c r="M533" s="2" t="str">
        <f>N532</f>
        <v>pojedyncza dziewcząt MM</v>
      </c>
      <c r="N533" s="104"/>
      <c r="O533" s="105">
        <f>IF(P533="","",1)</f>
        <v>1</v>
      </c>
      <c r="P533" s="106">
        <f>IF(O531&gt;8,1,"")</f>
        <v>1</v>
      </c>
      <c r="Q533" s="5">
        <f>O533</f>
        <v>1</v>
      </c>
      <c r="T533" s="286" t="str">
        <f>UPPER(IF(O533="","",IF(ISTEXT(N533),N533,IF(AND(N531&gt;0,O533&gt;0),VLOOKUP(N531&amp;O533&amp;N532,I:J,2,FALSE),""))))</f>
        <v>D4628</v>
      </c>
      <c r="U533" s="287"/>
      <c r="V533" s="107" t="str">
        <f>IF(T533&lt;&gt;"",CONCATENATE(VLOOKUP(T533,[1]zawodnicy!$A$1:$E$65536,2,FALSE)," ",VLOOKUP(T533,[1]zawodnicy!$A$1:$E$65536,3,FALSE)," - ",VLOOKUP(T533,[1]zawodnicy!$A$1:$E$65536,4,FALSE)),"")</f>
        <v>Anna DUDA - ULKS U-2 Lotka Bytów</v>
      </c>
      <c r="W533" s="108"/>
      <c r="X533" s="231" t="str">
        <f>IF(ISBLANK(W533),IF(AND(LEN(T533)&gt;0,LEN(T534)=0),VLOOKUP(T533,[1]zawodnicy!$A$1:$E$65536,3,FALSE),IF(AND(LEN(T534)&gt;0,LEN(T533)=0),VLOOKUP(T534,[1]zawodnicy!$A$1:$E$65536,3,FALSE),"")),IF((VLOOKUP(W533,'[1]plan gier'!$X$1:$AF$65536,7,FALSE))="","",VLOOKUP(VLOOKUP(W533,'[1]plan gier'!$X$1:$AF$65536,7,FALSE),[1]zawodnicy!$A$1:$E$65536,3,FALSE)))</f>
        <v>DUDA</v>
      </c>
      <c r="Y533" s="232"/>
      <c r="Z533" s="232"/>
      <c r="AA533" s="2"/>
      <c r="AB533" s="2"/>
      <c r="AC533" s="2"/>
      <c r="AD533" s="2"/>
      <c r="AE533" s="2"/>
      <c r="AF533" s="2"/>
      <c r="AG533" s="2"/>
      <c r="BK533" s="19"/>
      <c r="BL533" s="20"/>
    </row>
    <row r="534" spans="1:64" ht="11.45" customHeight="1" x14ac:dyDescent="0.2">
      <c r="J534" s="103"/>
      <c r="N534" s="104"/>
      <c r="O534" s="109" t="str">
        <f>IF(P534="","",2)</f>
        <v/>
      </c>
      <c r="P534" s="106" t="str">
        <f>IF(O531&gt;15,3,"")</f>
        <v/>
      </c>
      <c r="Q534" s="5" t="str">
        <f>O534</f>
        <v/>
      </c>
      <c r="T534" s="286" t="str">
        <f>UPPER(IF(O534="","",IF(ISTEXT(N534),N534,IF(AND(N531&gt;0,O534&gt;0),VLOOKUP(N531&amp;O534&amp;N532,I:J,2,FALSE),""))))</f>
        <v/>
      </c>
      <c r="U534" s="287"/>
      <c r="V534" s="107" t="str">
        <f>IF(T534&lt;&gt;"",CONCATENATE(VLOOKUP(T534,[1]zawodnicy!$A$1:$E$65536,2,FALSE)," ",VLOOKUP(T534,[1]zawodnicy!$A$1:$E$65536,3,FALSE)," - ",VLOOKUP(T534,[1]zawodnicy!$A$1:$E$65536,4,FALSE)),"")</f>
        <v/>
      </c>
      <c r="W534" s="110"/>
      <c r="X534" s="236" t="str">
        <f>IF(ISBLANK(W533),"",IF((VLOOKUP(W533,'[1]plan gier'!$X$1:$AF$65536,7,FALSE))="",L533,VLOOKUP(W533,'[1]plan gier'!$X$1:$AF$65536,9,FALSE)))</f>
        <v/>
      </c>
      <c r="Y534" s="237"/>
      <c r="Z534" s="240"/>
      <c r="AA534" s="2"/>
      <c r="AB534" s="2"/>
      <c r="AC534" s="2"/>
      <c r="AD534" s="2"/>
      <c r="AE534" s="2"/>
      <c r="AF534" s="2"/>
      <c r="AG534" s="2"/>
      <c r="BK534" s="19"/>
      <c r="BL534" s="20"/>
    </row>
    <row r="535" spans="1:64" ht="11.45" customHeight="1" x14ac:dyDescent="0.2">
      <c r="A535" s="111">
        <f>Z535</f>
        <v>361</v>
      </c>
      <c r="B535" s="2" t="str">
        <f>F533</f>
        <v>D4628</v>
      </c>
      <c r="D535" s="2" t="str">
        <f>F537</f>
        <v>P4759</v>
      </c>
      <c r="F535" s="2" t="str">
        <f>IF(A535=0,IF(AND(LEN(B535)&gt;0,LEN(D535)=0),B535,IF(AND(LEN(D535)&gt;0,LEN(B535)=0),D535,"")),IF((VLOOKUP(A535,'[1]plan gier'!$X$1:$AF$65536,7,FALSE))="","",VLOOKUP(VLOOKUP(A535,'[1]plan gier'!$X$1:$AF$65536,7,FALSE),[1]zawodnicy!$A$1:$E$65536,1,FALSE)))</f>
        <v>D4628</v>
      </c>
      <c r="H535" s="2" t="str">
        <f>IF(A535=0,"",IF((VLOOKUP(A535,'[1]plan gier'!$X$1:$AF$65536,7,FALSE))="","",VLOOKUP(A535,'[1]plan gier'!$X$1:$AF$65536,9,FALSE)))</f>
        <v>21:18,21:16</v>
      </c>
      <c r="J535" s="103"/>
      <c r="L535" s="43" t="str">
        <f>IF(A535=0,"",IF(VLOOKUP(A535,'[1]plan gier'!A$1:S$65536,19,FALSE)="","",VLOOKUP(A535,'[1]plan gier'!A$1:S$65536,19,FALSE)))</f>
        <v>sob 17:15</v>
      </c>
      <c r="M535" s="2" t="str">
        <f>N532</f>
        <v>pojedyncza dziewcząt MM</v>
      </c>
      <c r="N535" s="95"/>
      <c r="O535" s="112"/>
      <c r="P535" s="106"/>
      <c r="T535" s="9"/>
      <c r="U535" s="113"/>
      <c r="V535" s="2"/>
      <c r="W535" s="2"/>
      <c r="X535" s="114"/>
      <c r="Y535" s="10"/>
      <c r="Z535" s="115">
        <v>361</v>
      </c>
      <c r="AA535" s="232" t="str">
        <f>IF(ISBLANK(Z535),IF(AND(LEN(X533)&gt;0,LEN(X537)=0),X533,IF(AND(LEN(X537)&gt;0,LEN(X533)=0),X537,"")),IF((VLOOKUP(Z535,'[1]plan gier'!$X$1:$AF$65536,7,FALSE))="","",VLOOKUP(VLOOKUP(Z535,'[1]plan gier'!$X$1:$AF$65536,7,FALSE),[1]zawodnicy!$A$1:$E$65536,3,FALSE)))</f>
        <v>DUDA</v>
      </c>
      <c r="AB535" s="232"/>
      <c r="AC535" s="232"/>
      <c r="AD535" s="2"/>
      <c r="AE535" s="2"/>
      <c r="AF535" s="2"/>
      <c r="AG535" s="2"/>
      <c r="BK535" s="19"/>
      <c r="BL535" s="20"/>
    </row>
    <row r="536" spans="1:64" ht="11.45" customHeight="1" x14ac:dyDescent="0.2">
      <c r="J536" s="103"/>
      <c r="N536" s="95"/>
      <c r="O536" s="112"/>
      <c r="P536" s="106"/>
      <c r="T536" s="9"/>
      <c r="U536" s="113"/>
      <c r="V536" s="2"/>
      <c r="W536" s="2"/>
      <c r="X536" s="114"/>
      <c r="Y536" s="10"/>
      <c r="Z536" s="116"/>
      <c r="AA536" s="237" t="str">
        <f>IF(ISBLANK(Z535),"",IF((VLOOKUP(Z535,'[1]plan gier'!$X$1:$AF$65536,7,FALSE))="",L535,VLOOKUP(Z535,'[1]plan gier'!$X$1:$AF$65536,9,FALSE)))</f>
        <v>21:18,21:16</v>
      </c>
      <c r="AB536" s="237"/>
      <c r="AC536" s="240"/>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row>
    <row r="537" spans="1:64" ht="11.45" customHeight="1" x14ac:dyDescent="0.2">
      <c r="A537" s="102">
        <f>W537</f>
        <v>303</v>
      </c>
      <c r="B537" s="2" t="str">
        <f>IF(TYPE(T537)=16,"",T537)</f>
        <v>K5208</v>
      </c>
      <c r="D537" s="2" t="str">
        <f>IF(TYPE(T538)=16,"",T538)</f>
        <v>P4759</v>
      </c>
      <c r="F537" s="2" t="str">
        <f>IF(A537=0,IF(AND(LEN(B537)&gt;0,LEN(D537)=0),VLOOKUP(B537,[1]zawodnicy!$A$1:$E$65536,1,FALSE),IF(AND(LEN(D537)&gt;0,LEN(B537)=0),VLOOKUP(D537,[1]zawodnicy!$A$1:$E$65536,1,FALSE),"")),IF((VLOOKUP(A537,'[1]plan gier'!$X$1:$AF$65536,7,FALSE))="","",VLOOKUP(VLOOKUP(A537,'[1]plan gier'!$X$1:$AF$65536,7,FALSE),[1]zawodnicy!$A$1:$E$65536,1,FALSE)))</f>
        <v>P4759</v>
      </c>
      <c r="H537" s="2" t="str">
        <f>IF(A537=0,"",IF((VLOOKUP(A537,'[1]plan gier'!$X$1:$AF$65536,7,FALSE))="","",VLOOKUP(A537,'[1]plan gier'!$X$1:$AF$65536,9,FALSE)))</f>
        <v>15:21,21:14,21:13</v>
      </c>
      <c r="J537" s="103"/>
      <c r="L537" s="43" t="str">
        <f>IF(A537=0,"",IF(VLOOKUP(A537,'[1]plan gier'!A$1:S$65536,19,FALSE)="","",VLOOKUP(A537,'[1]plan gier'!A$1:S$65536,19,FALSE)))</f>
        <v>sob 13:50</v>
      </c>
      <c r="M537" s="2" t="str">
        <f>N532</f>
        <v>pojedyncza dziewcząt MM</v>
      </c>
      <c r="N537" s="104"/>
      <c r="O537" s="105">
        <f>IF(P537="","",MAX(O533:O536)+1)</f>
        <v>2</v>
      </c>
      <c r="P537" s="106">
        <f>IF(O531&gt;8,5,"")</f>
        <v>5</v>
      </c>
      <c r="Q537" s="5">
        <f>O537</f>
        <v>2</v>
      </c>
      <c r="T537" s="286" t="str">
        <f>UPPER(IF(O537="","",IF(ISTEXT(N537),N537,IF(AND(N531&gt;0,O537&gt;0),VLOOKUP(N531&amp;O537&amp;N532,I:J,2,FALSE),""))))</f>
        <v>K5208</v>
      </c>
      <c r="U537" s="287"/>
      <c r="V537" s="107" t="str">
        <f>IF(T537&lt;&gt;"",CONCATENATE(VLOOKUP(T537,[1]zawodnicy!$A$1:$E$65536,2,FALSE)," ",VLOOKUP(T537,[1]zawodnicy!$A$1:$E$65536,3,FALSE)," - ",VLOOKUP(T537,[1]zawodnicy!$A$1:$E$65536,4,FALSE)),"")</f>
        <v>Dominika KWAŚNIK - UKS Feniks Kędzierzyn-Koźle</v>
      </c>
      <c r="W537" s="108">
        <v>303</v>
      </c>
      <c r="X537" s="231" t="str">
        <f>IF(ISBLANK(W537),IF(AND(LEN(T537)&gt;0,LEN(T538)=0),VLOOKUP(T537,[1]zawodnicy!$A$1:$E$65536,3,FALSE),IF(AND(LEN(T538)&gt;0,LEN(T537)=0),VLOOKUP(T538,[1]zawodnicy!$A$1:$E$65536,3,FALSE),"")),IF((VLOOKUP(W537,'[1]plan gier'!$X$1:$AF$65536,7,FALSE))="","",VLOOKUP(VLOOKUP(W537,'[1]plan gier'!$X$1:$AF$65536,7,FALSE),[1]zawodnicy!$A$1:$E$65536,3,FALSE)))</f>
        <v>PIETRZAK</v>
      </c>
      <c r="Y537" s="232"/>
      <c r="Z537" s="233"/>
      <c r="AA537" s="10"/>
      <c r="AB537" s="10"/>
      <c r="AC537" s="117"/>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row>
    <row r="538" spans="1:64" ht="11.45" customHeight="1" x14ac:dyDescent="0.2">
      <c r="J538" s="103"/>
      <c r="N538" s="104"/>
      <c r="O538" s="109">
        <f>IF(P538="","",MAX(O533:O537)+1)</f>
        <v>3</v>
      </c>
      <c r="P538" s="106">
        <f>IF(O531&gt;11,7,"")</f>
        <v>7</v>
      </c>
      <c r="Q538" s="5">
        <f>O538</f>
        <v>3</v>
      </c>
      <c r="T538" s="286" t="str">
        <f>UPPER(IF(O538="","",IF(ISTEXT(N538),N538,IF(AND(N531&gt;0,O538&gt;0),VLOOKUP(N531&amp;O538&amp;N532,I:J,2,FALSE),""))))</f>
        <v>P4759</v>
      </c>
      <c r="U538" s="287"/>
      <c r="V538" s="107" t="str">
        <f>IF(T538&lt;&gt;"",CONCATENATE(VLOOKUP(T538,[1]zawodnicy!$A$1:$E$65536,2,FALSE)," ",VLOOKUP(T538,[1]zawodnicy!$A$1:$E$65536,3,FALSE)," - ",VLOOKUP(T538,[1]zawodnicy!$A$1:$E$65536,4,FALSE)),"")</f>
        <v>Martyna PIETRZAK - MLKS Solec Kuj.</v>
      </c>
      <c r="W538" s="110"/>
      <c r="X538" s="228" t="str">
        <f>IF(ISBLANK(W537),"",IF((VLOOKUP(W537,'[1]plan gier'!$X$1:$AF$65536,7,FALSE))="",L537,VLOOKUP(W537,'[1]plan gier'!$X$1:$AF$65536,9,FALSE)))</f>
        <v>15:21,21:14,21:13</v>
      </c>
      <c r="Y538" s="229"/>
      <c r="Z538" s="229"/>
      <c r="AA538" s="10"/>
      <c r="AB538" s="10"/>
      <c r="AC538" s="117"/>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row>
    <row r="539" spans="1:64" ht="11.45" customHeight="1" x14ac:dyDescent="0.2">
      <c r="A539" s="118">
        <f>AC539</f>
        <v>406</v>
      </c>
      <c r="B539" s="2" t="str">
        <f>F535</f>
        <v>D4628</v>
      </c>
      <c r="D539" s="2" t="str">
        <f>F543</f>
        <v>X17</v>
      </c>
      <c r="F539" s="2" t="str">
        <f>IF(A539=0,IF(AND(LEN(B539)&gt;0,LEN(D539)=0),B539,IF(AND(LEN(D539)&gt;0,LEN(B539)=0),D539,"")),IF((VLOOKUP(A539,'[1]plan gier'!$X$1:$AF$65536,7,FALSE))="","",VLOOKUP(VLOOKUP(A539,'[1]plan gier'!$X$1:$AF$65536,7,FALSE),[1]zawodnicy!$A$1:$E$65536,1,FALSE)))</f>
        <v>X17</v>
      </c>
      <c r="H539" s="2" t="str">
        <f>IF(A539=0,"",IF((VLOOKUP(A539,'[1]plan gier'!$X$1:$AF$65536,7,FALSE))="","",VLOOKUP(A539,'[1]plan gier'!$X$1:$AF$65536,9,FALSE)))</f>
        <v>22:20,21:19</v>
      </c>
      <c r="J539" s="103"/>
      <c r="L539" s="43" t="str">
        <f>IF(A539=0,"",IF(VLOOKUP(A539,'[1]plan gier'!A$1:S$65536,19,FALSE)="","",VLOOKUP(A539,'[1]plan gier'!A$1:S$65536,19,FALSE)))</f>
        <v>sob 20:15</v>
      </c>
      <c r="M539" s="2" t="str">
        <f>N532</f>
        <v>pojedyncza dziewcząt MM</v>
      </c>
      <c r="N539" s="95"/>
      <c r="O539" s="112"/>
      <c r="P539" s="106"/>
      <c r="T539" s="9"/>
      <c r="U539" s="113"/>
      <c r="V539" s="114"/>
      <c r="W539" s="2"/>
      <c r="X539" s="10"/>
      <c r="Y539" s="2"/>
      <c r="Z539" s="2"/>
      <c r="AA539" s="10"/>
      <c r="AB539" s="10"/>
      <c r="AC539" s="115">
        <v>406</v>
      </c>
      <c r="AD539" s="232" t="str">
        <f>IF(ISBLANK(AC539),IF(AND(LEN(AA535)&gt;0,LEN(AA543)=0),AA535,IF(AND(LEN(AA543)&gt;0,LEN(AA535)=0),AA543,"")),IF((VLOOKUP(AC539,'[1]plan gier'!$X$1:$AF$65536,7,FALSE))="","",VLOOKUP(VLOOKUP(AC539,'[1]plan gier'!$X$1:$AF$65536,7,FALSE),[1]zawodnicy!$A$1:$E$65536,3,FALSE)))</f>
        <v>BANDARENKA</v>
      </c>
      <c r="AE539" s="232"/>
      <c r="AF539" s="23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row>
    <row r="540" spans="1:64" ht="11.45" customHeight="1" x14ac:dyDescent="0.2">
      <c r="J540" s="103"/>
      <c r="N540" s="95"/>
      <c r="O540" s="112"/>
      <c r="P540" s="106"/>
      <c r="T540" s="9"/>
      <c r="U540" s="113"/>
      <c r="V540" s="114"/>
      <c r="W540" s="2"/>
      <c r="X540" s="10"/>
      <c r="Y540" s="2"/>
      <c r="Z540" s="2"/>
      <c r="AA540" s="10"/>
      <c r="AB540" s="10"/>
      <c r="AC540" s="116"/>
      <c r="AD540" s="237" t="str">
        <f>IF(ISBLANK(AC539),"",IF((VLOOKUP(AC539,'[1]plan gier'!$X$1:$AF$65536,7,FALSE))="",L539,VLOOKUP(AC539,'[1]plan gier'!$X$1:$AF$65536,9,FALSE)))</f>
        <v>22:20,21:19</v>
      </c>
      <c r="AE540" s="237"/>
      <c r="AF540" s="240"/>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row>
    <row r="541" spans="1:64" ht="11.45" customHeight="1" x14ac:dyDescent="0.2">
      <c r="A541" s="102">
        <f>W541</f>
        <v>304</v>
      </c>
      <c r="B541" s="2" t="str">
        <f>IF(TYPE(T541)=16,"",T541)</f>
        <v>D5062</v>
      </c>
      <c r="D541" s="2" t="str">
        <f>IF(TYPE(T542)=16,"",T542)</f>
        <v>L5359</v>
      </c>
      <c r="F541" s="2" t="str">
        <f>IF(A541=0,IF(AND(LEN(B541)&gt;0,LEN(D541)=0),VLOOKUP(B541,[1]zawodnicy!$A$1:$E$65536,1,FALSE),IF(AND(LEN(D541)&gt;0,LEN(B541)=0),VLOOKUP(D541,[1]zawodnicy!$A$1:$E$65536,1,FALSE),"")),IF((VLOOKUP(A541,'[1]plan gier'!$X$1:$AF$65536,7,FALSE))="","",VLOOKUP(VLOOKUP(A541,'[1]plan gier'!$X$1:$AF$65536,7,FALSE),[1]zawodnicy!$A$1:$E$65536,1,FALSE)))</f>
        <v>L5359</v>
      </c>
      <c r="H541" s="2" t="str">
        <f>IF(A541=0,"",IF((VLOOKUP(A541,'[1]plan gier'!$X$1:$AF$65536,7,FALSE))="","",VLOOKUP(A541,'[1]plan gier'!$X$1:$AF$65536,9,FALSE)))</f>
        <v>14:21,21:15,21:16</v>
      </c>
      <c r="J541" s="103"/>
      <c r="L541" s="43" t="str">
        <f>IF(A541=0,"",IF(VLOOKUP(A541,'[1]plan gier'!A$1:S$65536,19,FALSE)="","",VLOOKUP(A541,'[1]plan gier'!A$1:S$65536,19,FALSE)))</f>
        <v>sob 13:50</v>
      </c>
      <c r="M541" s="2" t="str">
        <f>N532</f>
        <v>pojedyncza dziewcząt MM</v>
      </c>
      <c r="N541" s="104"/>
      <c r="O541" s="105">
        <f>IF(P541="","",MAX(O533:O540)+1)</f>
        <v>4</v>
      </c>
      <c r="P541" s="106">
        <f>IF(O531&gt;8,9,"")</f>
        <v>9</v>
      </c>
      <c r="Q541" s="5">
        <f>O541</f>
        <v>4</v>
      </c>
      <c r="T541" s="286" t="str">
        <f>UPPER(IF(O541="","",IF(ISTEXT(N541),N541,IF(AND(N531&gt;0,O541&gt;0),VLOOKUP(N531&amp;O541&amp;N532,I:J,2,FALSE),""))))</f>
        <v>D5062</v>
      </c>
      <c r="U541" s="287"/>
      <c r="V541" s="107" t="str">
        <f>IF(T541&lt;&gt;"",CONCATENATE(VLOOKUP(T541,[1]zawodnicy!$A$1:$E$65536,2,FALSE)," ",VLOOKUP(T541,[1]zawodnicy!$A$1:$E$65536,3,FALSE)," - ",VLOOKUP(T541,[1]zawodnicy!$A$1:$E$65536,4,FALSE)),"")</f>
        <v>Emilia DRĄGOWSKA - UKS Hubal Białystok</v>
      </c>
      <c r="W541" s="108">
        <v>304</v>
      </c>
      <c r="X541" s="231" t="str">
        <f>IF(ISBLANK(W541),IF(AND(LEN(T541)&gt;0,LEN(T542)=0),VLOOKUP(T541,[1]zawodnicy!$A$1:$E$65536,3,FALSE),IF(AND(LEN(T542)&gt;0,LEN(T541)=0),VLOOKUP(T542,[1]zawodnicy!$A$1:$E$65536,3,FALSE),"")),IF((VLOOKUP(W541,'[1]plan gier'!$X$1:$AF$65536,7,FALSE))="","",VLOOKUP(VLOOKUP(W541,'[1]plan gier'!$X$1:$AF$65536,7,FALSE),[1]zawodnicy!$A$1:$E$65536,3,FALSE)))</f>
        <v>LASKOWSKA</v>
      </c>
      <c r="Y541" s="232"/>
      <c r="Z541" s="232"/>
      <c r="AA541" s="10"/>
      <c r="AB541" s="10"/>
      <c r="AC541" s="117"/>
      <c r="AD541" s="10"/>
      <c r="AE541" s="10"/>
      <c r="AF541" s="117"/>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row>
    <row r="542" spans="1:64" ht="11.45" customHeight="1" x14ac:dyDescent="0.2">
      <c r="J542" s="103"/>
      <c r="N542" s="104"/>
      <c r="O542" s="109">
        <f>IF(P542="","",MAX(O533:O541)+1)</f>
        <v>5</v>
      </c>
      <c r="P542" s="106">
        <f>IF(O531&gt;13,11,"")</f>
        <v>11</v>
      </c>
      <c r="Q542" s="5">
        <f>O542</f>
        <v>5</v>
      </c>
      <c r="T542" s="286" t="str">
        <f>UPPER(IF(O542="","",IF(ISTEXT(N542),N542,IF(AND(N531&gt;0,O542&gt;0),VLOOKUP(N531&amp;O542&amp;N532,I:J,2,FALSE),""))))</f>
        <v>L5359</v>
      </c>
      <c r="U542" s="287"/>
      <c r="V542" s="107" t="str">
        <f>IF(T542&lt;&gt;"",CONCATENATE(VLOOKUP(T542,[1]zawodnicy!$A$1:$E$65536,2,FALSE)," ",VLOOKUP(T542,[1]zawodnicy!$A$1:$E$65536,3,FALSE)," - ",VLOOKUP(T542,[1]zawodnicy!$A$1:$E$65536,4,FALSE)),"")</f>
        <v>Aleksandra LASKOWSKA - UKS Kiko Zamość</v>
      </c>
      <c r="W542" s="110"/>
      <c r="X542" s="236" t="str">
        <f>IF(ISBLANK(W541),"",IF((VLOOKUP(W541,'[1]plan gier'!$X$1:$AF$65536,7,FALSE))="",L541,VLOOKUP(W541,'[1]plan gier'!$X$1:$AF$65536,9,FALSE)))</f>
        <v>14:21,21:15,21:16</v>
      </c>
      <c r="Y542" s="237"/>
      <c r="Z542" s="240"/>
      <c r="AA542" s="10"/>
      <c r="AB542" s="10"/>
      <c r="AC542" s="117"/>
      <c r="AD542" s="10"/>
      <c r="AE542" s="10"/>
      <c r="AF542" s="117"/>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row>
    <row r="543" spans="1:64" ht="11.45" customHeight="1" x14ac:dyDescent="0.2">
      <c r="A543" s="111">
        <f>Z543</f>
        <v>362</v>
      </c>
      <c r="B543" s="2" t="str">
        <f>F541</f>
        <v>L5359</v>
      </c>
      <c r="D543" s="2" t="str">
        <f>F545</f>
        <v>X17</v>
      </c>
      <c r="F543" s="2" t="str">
        <f>IF(A543=0,IF(AND(LEN(B543)&gt;0,LEN(D543)=0),B543,IF(AND(LEN(D543)&gt;0,LEN(B543)=0),D543,"")),IF((VLOOKUP(A543,'[1]plan gier'!$X$1:$AF$65536,7,FALSE))="","",VLOOKUP(VLOOKUP(A543,'[1]plan gier'!$X$1:$AF$65536,7,FALSE),[1]zawodnicy!$A$1:$E$65536,1,FALSE)))</f>
        <v>X17</v>
      </c>
      <c r="H543" s="2" t="str">
        <f>IF(A543=0,"",IF((VLOOKUP(A543,'[1]plan gier'!$X$1:$AF$65536,7,FALSE))="","",VLOOKUP(A543,'[1]plan gier'!$X$1:$AF$65536,9,FALSE)))</f>
        <v>21:9,21:8</v>
      </c>
      <c r="J543" s="103"/>
      <c r="L543" s="43" t="str">
        <f>IF(A543=0,"",IF(VLOOKUP(A543,'[1]plan gier'!A$1:S$65536,19,FALSE)="","",VLOOKUP(A543,'[1]plan gier'!A$1:S$65536,19,FALSE)))</f>
        <v>sob 17:15</v>
      </c>
      <c r="M543" s="2" t="str">
        <f>N532</f>
        <v>pojedyncza dziewcząt MM</v>
      </c>
      <c r="N543" s="95"/>
      <c r="O543" s="112"/>
      <c r="P543" s="106"/>
      <c r="T543" s="9"/>
      <c r="U543" s="113"/>
      <c r="V543" s="2"/>
      <c r="W543" s="2"/>
      <c r="X543" s="114"/>
      <c r="Y543" s="10"/>
      <c r="Z543" s="115">
        <v>362</v>
      </c>
      <c r="AA543" s="232" t="str">
        <f>IF(ISBLANK(Z543),IF(AND(LEN(X541)&gt;0,LEN(X545)=0),X541,IF(AND(LEN(X545)&gt;0,LEN(X541)=0),X545,"")),IF((VLOOKUP(Z543,'[1]plan gier'!$X$1:$AF$65536,7,FALSE))="","",VLOOKUP(VLOOKUP(Z543,'[1]plan gier'!$X$1:$AF$65536,7,FALSE),[1]zawodnicy!$A$1:$E$65536,3,FALSE)))</f>
        <v>BANDARENKA</v>
      </c>
      <c r="AB543" s="232"/>
      <c r="AC543" s="233"/>
      <c r="AD543" s="10"/>
      <c r="AE543" s="10"/>
      <c r="AF543" s="117"/>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row>
    <row r="544" spans="1:64" ht="11.45" customHeight="1" x14ac:dyDescent="0.2">
      <c r="J544" s="103"/>
      <c r="N544" s="95"/>
      <c r="O544" s="112"/>
      <c r="P544" s="106"/>
      <c r="T544" s="9"/>
      <c r="U544" s="113"/>
      <c r="V544" s="2"/>
      <c r="W544" s="2"/>
      <c r="X544" s="114"/>
      <c r="Y544" s="10"/>
      <c r="Z544" s="116"/>
      <c r="AA544" s="229" t="str">
        <f>IF(ISBLANK(Z543),"",IF((VLOOKUP(Z543,'[1]plan gier'!$X$1:$AF$65536,7,FALSE))="",L543,VLOOKUP(Z543,'[1]plan gier'!$X$1:$AF$65536,9,FALSE)))</f>
        <v>21:9,21:8</v>
      </c>
      <c r="AB544" s="229"/>
      <c r="AC544" s="229"/>
      <c r="AD544" s="169"/>
      <c r="AE544" s="169"/>
      <c r="AF544" s="19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row>
    <row r="545" spans="1:63" ht="11.45" customHeight="1" x14ac:dyDescent="0.2">
      <c r="A545" s="102">
        <f>W545</f>
        <v>305</v>
      </c>
      <c r="B545" s="2" t="str">
        <f>IF(TYPE(T545)=16,"",T545)</f>
        <v>X29</v>
      </c>
      <c r="D545" s="2" t="str">
        <f>IF(TYPE(T546)=16,"",T546)</f>
        <v>X17</v>
      </c>
      <c r="F545" s="2" t="str">
        <f>IF(A545=0,IF(AND(LEN(B545)&gt;0,LEN(D545)=0),VLOOKUP(B545,[1]zawodnicy!$A$1:$E$65536,1,FALSE),IF(AND(LEN(D545)&gt;0,LEN(B545)=0),VLOOKUP(D545,[1]zawodnicy!$A$1:$E$65536,1,FALSE),"")),IF((VLOOKUP(A545,'[1]plan gier'!$X$1:$AF$65536,7,FALSE))="","",VLOOKUP(VLOOKUP(A545,'[1]plan gier'!$X$1:$AF$65536,7,FALSE),[1]zawodnicy!$A$1:$E$65536,1,FALSE)))</f>
        <v>X17</v>
      </c>
      <c r="H545" s="2" t="str">
        <f>IF(A545=0,"",IF((VLOOKUP(A545,'[1]plan gier'!$X$1:$AF$65536,7,FALSE))="","",VLOOKUP(A545,'[1]plan gier'!$X$1:$AF$65536,9,FALSE)))</f>
        <v>21:5,21:5</v>
      </c>
      <c r="J545" s="103"/>
      <c r="L545" s="43" t="str">
        <f>IF(A545=0,"",IF(VLOOKUP(A545,'[1]plan gier'!A$1:S$65536,19,FALSE)="","",VLOOKUP(A545,'[1]plan gier'!A$1:S$65536,19,FALSE)))</f>
        <v>sob 14:20</v>
      </c>
      <c r="M545" s="2" t="str">
        <f>N532</f>
        <v>pojedyncza dziewcząt MM</v>
      </c>
      <c r="N545" s="104"/>
      <c r="O545" s="105">
        <f>IF(P545="","",MAX(O533:O544)+1)</f>
        <v>6</v>
      </c>
      <c r="P545" s="106">
        <f>IF(O531&gt;8,13,"")</f>
        <v>13</v>
      </c>
      <c r="Q545" s="5">
        <f>O545</f>
        <v>6</v>
      </c>
      <c r="T545" s="286" t="str">
        <f>UPPER(IF(O545="","",IF(ISTEXT(N545),N545,IF(AND(N531&gt;0,O545&gt;0),VLOOKUP(N531&amp;O545&amp;N532,I:J,2,FALSE),""))))</f>
        <v>X29</v>
      </c>
      <c r="U545" s="287"/>
      <c r="V545" s="107" t="str">
        <f>IF(T545&lt;&gt;"",CONCATENATE(VLOOKUP(T545,[1]zawodnicy!$A$1:$E$65536,2,FALSE)," ",VLOOKUP(T545,[1]zawodnicy!$A$1:$E$65536,3,FALSE)," - ",VLOOKUP(T545,[1]zawodnicy!$A$1:$E$65536,4,FALSE)),"")</f>
        <v>Anastasiya KHOMICH - Białoruś</v>
      </c>
      <c r="W545" s="108">
        <v>305</v>
      </c>
      <c r="X545" s="231" t="str">
        <f>IF(ISBLANK(W545),IF(AND(LEN(T545)&gt;0,LEN(T546)=0),VLOOKUP(T545,[1]zawodnicy!$A$1:$E$65536,3,FALSE),IF(AND(LEN(T546)&gt;0,LEN(T545)=0),VLOOKUP(T546,[1]zawodnicy!$A$1:$E$65536,3,FALSE),"")),IF((VLOOKUP(W545,'[1]plan gier'!$X$1:$AF$65536,7,FALSE))="","",VLOOKUP(VLOOKUP(W545,'[1]plan gier'!$X$1:$AF$65536,7,FALSE),[1]zawodnicy!$A$1:$E$65536,3,FALSE)))</f>
        <v>BANDARENKA</v>
      </c>
      <c r="Y545" s="232"/>
      <c r="Z545" s="233"/>
      <c r="AA545" s="2"/>
      <c r="AB545" s="2"/>
      <c r="AC545" s="2"/>
      <c r="AD545" s="292"/>
      <c r="AE545" s="292"/>
      <c r="AF545" s="294"/>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row>
    <row r="546" spans="1:63" ht="11.45" customHeight="1" x14ac:dyDescent="0.2">
      <c r="J546" s="103"/>
      <c r="N546" s="104"/>
      <c r="O546" s="109">
        <f>IF(P546="","",MAX(O533:O545)+1)</f>
        <v>7</v>
      </c>
      <c r="P546" s="106">
        <f>IF(O531&gt;9,15,"")</f>
        <v>15</v>
      </c>
      <c r="Q546" s="5">
        <f>O546</f>
        <v>7</v>
      </c>
      <c r="T546" s="286" t="str">
        <f>UPPER(IF(O546="","",IF(ISTEXT(N546),N546,IF(AND(N531&gt;0,O546&gt;0),VLOOKUP(N531&amp;O546&amp;N532,I:J,2,FALSE),""))))</f>
        <v>X17</v>
      </c>
      <c r="U546" s="287"/>
      <c r="V546" s="107" t="str">
        <f>IF(T546&lt;&gt;"",CONCATENATE(VLOOKUP(T546,[1]zawodnicy!$A$1:$E$65536,2,FALSE)," ",VLOOKUP(T546,[1]zawodnicy!$A$1:$E$65536,3,FALSE)," - ",VLOOKUP(T546,[1]zawodnicy!$A$1:$E$65536,4,FALSE)),"")</f>
        <v>Anna BANDARENKA - Mińsk Białoruś</v>
      </c>
      <c r="W546" s="110"/>
      <c r="X546" s="228" t="str">
        <f>IF(ISBLANK(W545),"",IF((VLOOKUP(W545,'[1]plan gier'!$X$1:$AF$65536,7,FALSE))="",L545,VLOOKUP(W545,'[1]plan gier'!$X$1:$AF$65536,9,FALSE)))</f>
        <v>21:5,21:5</v>
      </c>
      <c r="Y546" s="229"/>
      <c r="Z546" s="229"/>
      <c r="AA546" s="2"/>
      <c r="AB546" s="2"/>
      <c r="AC546" s="2"/>
      <c r="AD546" s="169"/>
      <c r="AE546" s="169"/>
      <c r="AF546" s="19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row>
    <row r="547" spans="1:63" ht="11.45" customHeight="1" x14ac:dyDescent="0.2">
      <c r="A547" s="172">
        <f>AC547</f>
        <v>415</v>
      </c>
      <c r="B547" s="2" t="str">
        <f>F539</f>
        <v>X17</v>
      </c>
      <c r="D547" s="2" t="str">
        <f>F555</f>
        <v>X63</v>
      </c>
      <c r="F547" s="2" t="str">
        <f>IF(A547=0,IF(AND(LEN(B547)&gt;0,LEN(D547)=0),B547,IF(AND(LEN(D547)&gt;0,LEN(B547)=0),D547,"")),IF((VLOOKUP(A547,'[1]plan gier'!$X$1:$AF$65536,7,FALSE))="","",VLOOKUP(VLOOKUP(A547,'[1]plan gier'!$X$1:$AF$65536,7,FALSE),[1]zawodnicy!$A$1:$E$65536,1,FALSE)))</f>
        <v>X63</v>
      </c>
      <c r="H547" s="2" t="str">
        <f>IF(A547=0,"",IF((VLOOKUP(A547,'[1]plan gier'!$X$1:$AF$65536,7,FALSE))="","",VLOOKUP(A547,'[1]plan gier'!$X$1:$AF$65536,9,FALSE)))</f>
        <v>21:17,21:14</v>
      </c>
      <c r="J547" s="103"/>
      <c r="L547" s="43" t="str">
        <f>IF(A547=0,"",IF(VLOOKUP(A547,'[1]plan gier'!A$1:S$65536,19,FALSE)="","",VLOOKUP(A547,'[1]plan gier'!A$1:S$65536,19,FALSE)))</f>
        <v>sob 21:00</v>
      </c>
      <c r="M547" s="2" t="str">
        <f>N532</f>
        <v>pojedyncza dziewcząt MM</v>
      </c>
      <c r="N547" s="95"/>
      <c r="O547" s="112"/>
      <c r="P547" s="106"/>
      <c r="T547" s="9"/>
      <c r="U547" s="113"/>
      <c r="V547" s="114"/>
      <c r="W547" s="2"/>
      <c r="X547" s="10"/>
      <c r="Y547" s="2"/>
      <c r="Z547" s="2"/>
      <c r="AA547" s="2"/>
      <c r="AB547" s="2"/>
      <c r="AC547" s="137">
        <v>415</v>
      </c>
      <c r="AD547" s="290" t="s">
        <v>319</v>
      </c>
      <c r="AE547" s="290"/>
      <c r="AF547" s="295"/>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row>
    <row r="548" spans="1:63" ht="11.45" customHeight="1" x14ac:dyDescent="0.2">
      <c r="J548" s="103"/>
      <c r="N548" s="95"/>
      <c r="O548" s="112"/>
      <c r="P548" s="106"/>
      <c r="T548" s="9"/>
      <c r="U548" s="113"/>
      <c r="V548" s="114"/>
      <c r="W548" s="2"/>
      <c r="X548" s="10"/>
      <c r="Y548" s="2"/>
      <c r="Z548" s="2"/>
      <c r="AA548" s="2"/>
      <c r="AB548" s="2"/>
      <c r="AC548" s="2"/>
      <c r="AD548" s="292" t="s">
        <v>320</v>
      </c>
      <c r="AE548" s="292"/>
      <c r="AF548" s="294"/>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row>
    <row r="549" spans="1:63" ht="11.45" customHeight="1" x14ac:dyDescent="0.2">
      <c r="A549" s="102">
        <f>W549</f>
        <v>306</v>
      </c>
      <c r="B549" s="2" t="str">
        <f>IF(TYPE(T549)=16,"",T549)</f>
        <v>X63</v>
      </c>
      <c r="D549" s="2" t="str">
        <f>IF(TYPE(T550)=16,"",T550)</f>
        <v>S4730</v>
      </c>
      <c r="F549" s="2" t="str">
        <f>IF(A549=0,IF(AND(LEN(B549)&gt;0,LEN(D549)=0),VLOOKUP(B549,[1]zawodnicy!$A$1:$E$65536,1,FALSE),IF(AND(LEN(D549)&gt;0,LEN(B549)=0),VLOOKUP(D549,[1]zawodnicy!$A$1:$E$65536,1,FALSE),"")),IF((VLOOKUP(A549,'[1]plan gier'!$X$1:$AF$65536,7,FALSE))="","",VLOOKUP(VLOOKUP(A549,'[1]plan gier'!$X$1:$AF$65536,7,FALSE),[1]zawodnicy!$A$1:$E$65536,1,FALSE)))</f>
        <v>X63</v>
      </c>
      <c r="H549" s="2" t="str">
        <f>IF(A549=0,"",IF((VLOOKUP(A549,'[1]plan gier'!$X$1:$AF$65536,7,FALSE))="","",VLOOKUP(A549,'[1]plan gier'!$X$1:$AF$65536,9,FALSE)))</f>
        <v>21:19,21:14</v>
      </c>
      <c r="J549" s="103"/>
      <c r="L549" s="43" t="str">
        <f>IF(A549=0,"",IF(VLOOKUP(A549,'[1]plan gier'!A$1:S$65536,19,FALSE)="","",VLOOKUP(A549,'[1]plan gier'!A$1:S$65536,19,FALSE)))</f>
        <v>sob 14:20</v>
      </c>
      <c r="M549" s="2" t="str">
        <f>N532</f>
        <v>pojedyncza dziewcząt MM</v>
      </c>
      <c r="N549" s="104"/>
      <c r="O549" s="105">
        <f>IF(P549="","",MAX(O533:O548)+1)</f>
        <v>8</v>
      </c>
      <c r="P549" s="106">
        <f>IF(O531&gt;8,18,"")</f>
        <v>18</v>
      </c>
      <c r="Q549" s="5">
        <f>O549</f>
        <v>8</v>
      </c>
      <c r="T549" s="286" t="str">
        <f>UPPER(IF(O549="","",IF(ISTEXT(N549),N549,IF(AND(N531&gt;0,O549&gt;0),VLOOKUP(N531&amp;O549&amp;N532,I:J,2,FALSE),""))))</f>
        <v>X63</v>
      </c>
      <c r="U549" s="287"/>
      <c r="V549" s="107" t="str">
        <f>IF(T549&lt;&gt;"",CONCATENATE(VLOOKUP(T549,[1]zawodnicy!$A$1:$E$65536,2,FALSE)," ",VLOOKUP(T549,[1]zawodnicy!$A$1:$E$65536,3,FALSE)," - ",VLOOKUP(T549,[1]zawodnicy!$A$1:$E$65536,4,FALSE)),"")</f>
        <v>Anna  KRAMCHANINA - Brześć 2 Białoruś</v>
      </c>
      <c r="W549" s="108">
        <v>306</v>
      </c>
      <c r="X549" s="231" t="str">
        <f>IF(ISBLANK(W549),IF(AND(LEN(T549)&gt;0,LEN(T550)=0),VLOOKUP(T549,[1]zawodnicy!$A$1:$E$65536,3,FALSE),IF(AND(LEN(T550)&gt;0,LEN(T549)=0),VLOOKUP(T550,[1]zawodnicy!$A$1:$E$65536,3,FALSE),"")),IF((VLOOKUP(W549,'[1]plan gier'!$X$1:$AF$65536,7,FALSE))="","",VLOOKUP(VLOOKUP(W549,'[1]plan gier'!$X$1:$AF$65536,7,FALSE),[1]zawodnicy!$A$1:$E$65536,3,FALSE)))</f>
        <v>KRAMCHANINA</v>
      </c>
      <c r="Y549" s="232"/>
      <c r="Z549" s="232"/>
      <c r="AA549" s="2"/>
      <c r="AB549" s="2"/>
      <c r="AC549" s="2"/>
      <c r="AD549" s="169"/>
      <c r="AE549" s="169"/>
      <c r="AF549" s="19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row>
    <row r="550" spans="1:63" ht="11.45" customHeight="1" x14ac:dyDescent="0.2">
      <c r="J550" s="103"/>
      <c r="N550" s="104"/>
      <c r="O550" s="109">
        <f>IF(P550="","",MAX(O533:O549)+1)</f>
        <v>9</v>
      </c>
      <c r="P550" s="106">
        <f>IF(O531&gt;8,20,"")</f>
        <v>20</v>
      </c>
      <c r="Q550" s="5">
        <f>O550</f>
        <v>9</v>
      </c>
      <c r="T550" s="286" t="str">
        <f>UPPER(IF(O550="","",IF(ISTEXT(N550),N550,IF(AND(N531&gt;0,O550&gt;0),VLOOKUP(N531&amp;O550&amp;N532,I:J,2,FALSE),""))))</f>
        <v>S4730</v>
      </c>
      <c r="U550" s="287"/>
      <c r="V550" s="107" t="str">
        <f>IF(T550&lt;&gt;"",CONCATENATE(VLOOKUP(T550,[1]zawodnicy!$A$1:$E$65536,2,FALSE)," ",VLOOKUP(T550,[1]zawodnicy!$A$1:$E$65536,3,FALSE)," - ",VLOOKUP(T550,[1]zawodnicy!$A$1:$E$65536,4,FALSE)),"")</f>
        <v>Karolina SZUBERT - KS Match Point Ślęza</v>
      </c>
      <c r="W550" s="110"/>
      <c r="X550" s="236" t="str">
        <f>IF(ISBLANK(W549),"",IF((VLOOKUP(W549,'[1]plan gier'!$X$1:$AF$65536,7,FALSE))="",L549,VLOOKUP(W549,'[1]plan gier'!$X$1:$AF$65536,9,FALSE)))</f>
        <v>21:19,21:14</v>
      </c>
      <c r="Y550" s="237"/>
      <c r="Z550" s="240"/>
      <c r="AA550" s="2"/>
      <c r="AB550" s="2"/>
      <c r="AC550" s="2"/>
      <c r="AD550" s="10"/>
      <c r="AE550" s="10"/>
      <c r="AF550" s="117"/>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row>
    <row r="551" spans="1:63" ht="11.45" customHeight="1" x14ac:dyDescent="0.2">
      <c r="A551" s="111">
        <f>Z551</f>
        <v>363</v>
      </c>
      <c r="B551" s="2" t="str">
        <f>F549</f>
        <v>X63</v>
      </c>
      <c r="D551" s="2" t="str">
        <f>F553</f>
        <v>B4319</v>
      </c>
      <c r="F551" s="2" t="str">
        <f>IF(A551=0,IF(AND(LEN(B551)&gt;0,LEN(D551)=0),B551,IF(AND(LEN(D551)&gt;0,LEN(B551)=0),D551,"")),IF((VLOOKUP(A551,'[1]plan gier'!$X$1:$AF$65536,7,FALSE))="","",VLOOKUP(VLOOKUP(A551,'[1]plan gier'!$X$1:$AF$65536,7,FALSE),[1]zawodnicy!$A$1:$E$65536,1,FALSE)))</f>
        <v>X63</v>
      </c>
      <c r="H551" s="2" t="str">
        <f>IF(A551=0,"",IF((VLOOKUP(A551,'[1]plan gier'!$X$1:$AF$65536,7,FALSE))="","",VLOOKUP(A551,'[1]plan gier'!$X$1:$AF$65536,9,FALSE)))</f>
        <v>23:21,24:22</v>
      </c>
      <c r="J551" s="103"/>
      <c r="L551" s="43" t="str">
        <f>IF(A551=0,"",IF(VLOOKUP(A551,'[1]plan gier'!A$1:S$65536,19,FALSE)="","",VLOOKUP(A551,'[1]plan gier'!A$1:S$65536,19,FALSE)))</f>
        <v>sob 17:30</v>
      </c>
      <c r="M551" s="2" t="str">
        <f>N532</f>
        <v>pojedyncza dziewcząt MM</v>
      </c>
      <c r="N551" s="95"/>
      <c r="O551" s="112"/>
      <c r="P551" s="106"/>
      <c r="T551" s="9"/>
      <c r="U551" s="113"/>
      <c r="V551" s="2"/>
      <c r="W551" s="2"/>
      <c r="X551" s="114"/>
      <c r="Y551" s="10"/>
      <c r="Z551" s="115">
        <v>363</v>
      </c>
      <c r="AA551" s="229" t="str">
        <f>IF(ISBLANK(Z551),IF(AND(LEN(X549)&gt;0,LEN(X553)=0),X549,IF(AND(LEN(X553)&gt;0,LEN(X549)=0),X553,"")),IF((VLOOKUP(Z551,'[1]plan gier'!$X$1:$AF$65536,7,FALSE))="","",VLOOKUP(VLOOKUP(Z551,'[1]plan gier'!$X$1:$AF$65536,7,FALSE),[1]zawodnicy!$A$1:$E$65536,3,FALSE)))</f>
        <v>KRAMCHANINA</v>
      </c>
      <c r="AB551" s="229"/>
      <c r="AC551" s="229"/>
      <c r="AD551" s="10"/>
      <c r="AE551" s="10"/>
      <c r="AF551" s="117"/>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row>
    <row r="552" spans="1:63" ht="11.45" customHeight="1" x14ac:dyDescent="0.2">
      <c r="J552" s="103"/>
      <c r="N552" s="95"/>
      <c r="O552" s="112"/>
      <c r="P552" s="106"/>
      <c r="T552" s="9"/>
      <c r="U552" s="113"/>
      <c r="V552" s="2"/>
      <c r="W552" s="2"/>
      <c r="X552" s="114"/>
      <c r="Y552" s="10"/>
      <c r="Z552" s="116"/>
      <c r="AA552" s="237" t="str">
        <f>IF(ISBLANK(Z551),"",IF((VLOOKUP(Z551,'[1]plan gier'!$X$1:$AF$65536,7,FALSE))="",L551,VLOOKUP(Z551,'[1]plan gier'!$X$1:$AF$65536,9,FALSE)))</f>
        <v>23:21,24:22</v>
      </c>
      <c r="AB552" s="237"/>
      <c r="AC552" s="240"/>
      <c r="AD552" s="10"/>
      <c r="AE552" s="10"/>
      <c r="AF552" s="117"/>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row>
    <row r="553" spans="1:63" ht="11.45" customHeight="1" x14ac:dyDescent="0.2">
      <c r="A553" s="102">
        <f>W553</f>
        <v>307</v>
      </c>
      <c r="B553" s="2" t="str">
        <f>IF(TYPE(T553)=16,"",T553)</f>
        <v>B4319</v>
      </c>
      <c r="D553" s="2" t="str">
        <f>IF(TYPE(T554)=16,"",T554)</f>
        <v>J5024</v>
      </c>
      <c r="F553" s="2" t="str">
        <f>IF(A553=0,IF(AND(LEN(B553)&gt;0,LEN(D553)=0),VLOOKUP(B553,[1]zawodnicy!$A$1:$E$65536,1,FALSE),IF(AND(LEN(D553)&gt;0,LEN(B553)=0),VLOOKUP(D553,[1]zawodnicy!$A$1:$E$65536,1,FALSE),"")),IF((VLOOKUP(A553,'[1]plan gier'!$X$1:$AF$65536,7,FALSE))="","",VLOOKUP(VLOOKUP(A553,'[1]plan gier'!$X$1:$AF$65536,7,FALSE),[1]zawodnicy!$A$1:$E$65536,1,FALSE)))</f>
        <v>B4319</v>
      </c>
      <c r="H553" s="2" t="str">
        <f>IF(A553=0,"",IF((VLOOKUP(A553,'[1]plan gier'!$X$1:$AF$65536,7,FALSE))="","",VLOOKUP(A553,'[1]plan gier'!$X$1:$AF$65536,9,FALSE)))</f>
        <v>21:19,21:13</v>
      </c>
      <c r="J553" s="103"/>
      <c r="L553" s="43" t="str">
        <f>IF(A553=0,"",IF(VLOOKUP(A553,'[1]plan gier'!A$1:S$65536,19,FALSE)="","",VLOOKUP(A553,'[1]plan gier'!A$1:S$65536,19,FALSE)))</f>
        <v>sob 14:20</v>
      </c>
      <c r="M553" s="2" t="str">
        <f>N532</f>
        <v>pojedyncza dziewcząt MM</v>
      </c>
      <c r="N553" s="104"/>
      <c r="O553" s="105">
        <f>IF(P553="","",MAX(O533:O552)+1)</f>
        <v>10</v>
      </c>
      <c r="P553" s="106">
        <f>IF(O531&gt;12,22,"")</f>
        <v>22</v>
      </c>
      <c r="Q553" s="5">
        <f>O553</f>
        <v>10</v>
      </c>
      <c r="T553" s="286" t="str">
        <f>UPPER(IF(O553="","",IF(ISTEXT(N553),N553,IF(AND(N531&gt;0,O553&gt;0),VLOOKUP(N531&amp;O553&amp;N532,I:J,2,FALSE),""))))</f>
        <v>B4319</v>
      </c>
      <c r="U553" s="287"/>
      <c r="V553" s="107" t="str">
        <f>IF(T553&lt;&gt;"",CONCATENATE(VLOOKUP(T553,[1]zawodnicy!$A$1:$E$65536,2,FALSE)," ",VLOOKUP(T553,[1]zawodnicy!$A$1:$E$65536,3,FALSE)," - ",VLOOKUP(T553,[1]zawodnicy!$A$1:$E$65536,4,FALSE)),"")</f>
        <v>Laura BUJAK - ULKS U-2 Lotka Bytów</v>
      </c>
      <c r="W553" s="108">
        <v>307</v>
      </c>
      <c r="X553" s="231" t="str">
        <f>IF(ISBLANK(W553),IF(AND(LEN(T553)&gt;0,LEN(T554)=0),VLOOKUP(T553,[1]zawodnicy!$A$1:$E$65536,3,FALSE),IF(AND(LEN(T554)&gt;0,LEN(T553)=0),VLOOKUP(T554,[1]zawodnicy!$A$1:$E$65536,3,FALSE),"")),IF((VLOOKUP(W553,'[1]plan gier'!$X$1:$AF$65536,7,FALSE))="","",VLOOKUP(VLOOKUP(W553,'[1]plan gier'!$X$1:$AF$65536,7,FALSE),[1]zawodnicy!$A$1:$E$65536,3,FALSE)))</f>
        <v>BUJAK</v>
      </c>
      <c r="Y553" s="232"/>
      <c r="Z553" s="233"/>
      <c r="AA553" s="10"/>
      <c r="AB553" s="10"/>
      <c r="AC553" s="117"/>
      <c r="AD553" s="10"/>
      <c r="AE553" s="10"/>
      <c r="AF553" s="117"/>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row>
    <row r="554" spans="1:63" ht="11.45" customHeight="1" x14ac:dyDescent="0.2">
      <c r="J554" s="103"/>
      <c r="N554" s="104"/>
      <c r="O554" s="109">
        <f>IF(P554="","",MAX(O533:O553)+1)</f>
        <v>11</v>
      </c>
      <c r="P554" s="106">
        <f>IF(O531&gt;8,24,"")</f>
        <v>24</v>
      </c>
      <c r="Q554" s="5">
        <f>O554</f>
        <v>11</v>
      </c>
      <c r="T554" s="286" t="str">
        <f>UPPER(IF(O554="","",IF(ISTEXT(N554),N554,IF(AND(N531&gt;0,O554&gt;0),VLOOKUP(N531&amp;O554&amp;N532,I:J,2,FALSE),""))))</f>
        <v>J5024</v>
      </c>
      <c r="U554" s="287"/>
      <c r="V554" s="107" t="str">
        <f>IF(T554&lt;&gt;"",CONCATENATE(VLOOKUP(T554,[1]zawodnicy!$A$1:$E$65536,2,FALSE)," ",VLOOKUP(T554,[1]zawodnicy!$A$1:$E$65536,3,FALSE)," - ",VLOOKUP(T554,[1]zawodnicy!$A$1:$E$65536,4,FALSE)),"")</f>
        <v>Zuzanna JANKOWSKA - MKS Strzelce Opolskie</v>
      </c>
      <c r="W554" s="110"/>
      <c r="X554" s="228" t="str">
        <f>IF(ISBLANK(W553),"",IF((VLOOKUP(W553,'[1]plan gier'!$X$1:$AF$65536,7,FALSE))="",L553,VLOOKUP(W553,'[1]plan gier'!$X$1:$AF$65536,9,FALSE)))</f>
        <v>21:19,21:13</v>
      </c>
      <c r="Y554" s="229"/>
      <c r="Z554" s="229"/>
      <c r="AA554" s="10"/>
      <c r="AB554" s="10"/>
      <c r="AC554" s="117"/>
      <c r="AD554" s="10"/>
      <c r="AE554" s="10"/>
      <c r="AF554" s="117"/>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row>
    <row r="555" spans="1:63" ht="11.45" customHeight="1" x14ac:dyDescent="0.2">
      <c r="A555" s="118">
        <f>AC555</f>
        <v>407</v>
      </c>
      <c r="B555" s="2" t="str">
        <f>F551</f>
        <v>X63</v>
      </c>
      <c r="D555" s="2" t="str">
        <f>F559</f>
        <v>X16</v>
      </c>
      <c r="F555" s="2" t="str">
        <f>IF(A555=0,IF(AND(LEN(B555)&gt;0,LEN(D555)=0),B555,IF(AND(LEN(D555)&gt;0,LEN(B555)=0),D555,"")),IF((VLOOKUP(A555,'[1]plan gier'!$X$1:$AF$65536,7,FALSE))="","",VLOOKUP(VLOOKUP(A555,'[1]plan gier'!$X$1:$AF$65536,7,FALSE),[1]zawodnicy!$A$1:$E$65536,1,FALSE)))</f>
        <v>X63</v>
      </c>
      <c r="H555" s="2" t="str">
        <f>IF(A555=0,"",IF((VLOOKUP(A555,'[1]plan gier'!$X$1:$AF$65536,7,FALSE))="","",VLOOKUP(A555,'[1]plan gier'!$X$1:$AF$65536,9,FALSE)))</f>
        <v>21:18,21:19</v>
      </c>
      <c r="J555" s="103"/>
      <c r="L555" s="43" t="str">
        <f>IF(A555=0,"",IF(VLOOKUP(A555,'[1]plan gier'!A$1:S$65536,19,FALSE)="","",VLOOKUP(A555,'[1]plan gier'!A$1:S$65536,19,FALSE)))</f>
        <v>sob 20:15</v>
      </c>
      <c r="M555" s="2" t="str">
        <f>N532</f>
        <v>pojedyncza dziewcząt MM</v>
      </c>
      <c r="N555" s="95"/>
      <c r="O555" s="112"/>
      <c r="P555" s="106"/>
      <c r="T555" s="9"/>
      <c r="U555" s="113"/>
      <c r="V555" s="114"/>
      <c r="W555" s="2"/>
      <c r="X555" s="10"/>
      <c r="Y555" s="2"/>
      <c r="Z555" s="2"/>
      <c r="AA555" s="10"/>
      <c r="AB555" s="10"/>
      <c r="AC555" s="115">
        <v>407</v>
      </c>
      <c r="AD555" s="232" t="str">
        <f>IF(ISBLANK(AC555),IF(AND(LEN(AA551)&gt;0,LEN(AA559)=0),AA551,IF(AND(LEN(AA559)&gt;0,LEN(AA551)=0),AA559,"")),IF((VLOOKUP(AC555,'[1]plan gier'!$X$1:$AF$65536,7,FALSE))="","",VLOOKUP(VLOOKUP(AC555,'[1]plan gier'!$X$1:$AF$65536,7,FALSE),[1]zawodnicy!$A$1:$E$65536,3,FALSE)))</f>
        <v>KRAMCHANINA</v>
      </c>
      <c r="AE555" s="232"/>
      <c r="AF555" s="233"/>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row>
    <row r="556" spans="1:63" ht="11.45" customHeight="1" x14ac:dyDescent="0.2">
      <c r="J556" s="103"/>
      <c r="N556" s="95"/>
      <c r="O556" s="112"/>
      <c r="P556" s="106"/>
      <c r="T556" s="9"/>
      <c r="U556" s="113"/>
      <c r="V556" s="114"/>
      <c r="W556" s="2"/>
      <c r="X556" s="10"/>
      <c r="Y556" s="2"/>
      <c r="Z556" s="2"/>
      <c r="AA556" s="10"/>
      <c r="AB556" s="10"/>
      <c r="AC556" s="116"/>
      <c r="AD556" s="237" t="str">
        <f>IF(ISBLANK(AC555),"",IF((VLOOKUP(AC555,'[1]plan gier'!$X$1:$AF$65536,7,FALSE))="",L555,VLOOKUP(AC555,'[1]plan gier'!$X$1:$AF$65536,9,FALSE)))</f>
        <v>21:18,21:19</v>
      </c>
      <c r="AE556" s="237"/>
      <c r="AF556" s="237"/>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row>
    <row r="557" spans="1:63" ht="11.45" customHeight="1" x14ac:dyDescent="0.2">
      <c r="A557" s="102">
        <f>W557</f>
        <v>308</v>
      </c>
      <c r="B557" s="2" t="str">
        <f>IF(TYPE(T557)=16,"",T557)</f>
        <v>R5603</v>
      </c>
      <c r="D557" s="2" t="str">
        <f>IF(TYPE(T558)=16,"",T558)</f>
        <v>X16</v>
      </c>
      <c r="F557" s="2" t="str">
        <f>IF(A557=0,IF(AND(LEN(B557)&gt;0,LEN(D557)=0),VLOOKUP(B557,[1]zawodnicy!$A$1:$E$65536,1,FALSE),IF(AND(LEN(D557)&gt;0,LEN(B557)=0),VLOOKUP(D557,[1]zawodnicy!$A$1:$E$65536,1,FALSE),"")),IF((VLOOKUP(A557,'[1]plan gier'!$X$1:$AF$65536,7,FALSE))="","",VLOOKUP(VLOOKUP(A557,'[1]plan gier'!$X$1:$AF$65536,7,FALSE),[1]zawodnicy!$A$1:$E$65536,1,FALSE)))</f>
        <v>X16</v>
      </c>
      <c r="H557" s="2" t="str">
        <f>IF(A557=0,"",IF((VLOOKUP(A557,'[1]plan gier'!$X$1:$AF$65536,7,FALSE))="","",VLOOKUP(A557,'[1]plan gier'!$X$1:$AF$65536,9,FALSE)))</f>
        <v>21:9,21:10</v>
      </c>
      <c r="J557" s="103"/>
      <c r="L557" s="43" t="str">
        <f>IF(A557=0,"",IF(VLOOKUP(A557,'[1]plan gier'!A$1:S$65536,19,FALSE)="","",VLOOKUP(A557,'[1]plan gier'!A$1:S$65536,19,FALSE)))</f>
        <v>sob 14:20</v>
      </c>
      <c r="M557" s="2" t="str">
        <f>N532</f>
        <v>pojedyncza dziewcząt MM</v>
      </c>
      <c r="N557" s="104"/>
      <c r="O557" s="105">
        <f>IF(P557="","",MAX(O533:O556)+1)</f>
        <v>12</v>
      </c>
      <c r="P557" s="106">
        <f>IF(O531&gt;10,26,"")</f>
        <v>26</v>
      </c>
      <c r="Q557" s="5">
        <f>O557</f>
        <v>12</v>
      </c>
      <c r="T557" s="286" t="str">
        <f>UPPER(IF(O557="","",IF(ISTEXT(N557),N557,IF(AND(N531&gt;0,O557&gt;0),VLOOKUP(N531&amp;O557&amp;N532,I:J,2,FALSE),""))))</f>
        <v>R5603</v>
      </c>
      <c r="U557" s="287"/>
      <c r="V557" s="107" t="str">
        <f>IF(T557&lt;&gt;"",CONCATENATE(VLOOKUP(T557,[1]zawodnicy!$A$1:$E$65536,2,FALSE)," ",VLOOKUP(T557,[1]zawodnicy!$A$1:$E$65536,3,FALSE)," - ",VLOOKUP(T557,[1]zawodnicy!$A$1:$E$65536,4,FALSE)),"")</f>
        <v>Aleksandra RADZISZEWSKA - UKS Hubal Białystok</v>
      </c>
      <c r="W557" s="108">
        <v>308</v>
      </c>
      <c r="X557" s="231" t="str">
        <f>IF(ISBLANK(W557),IF(AND(LEN(T557)&gt;0,LEN(T558)=0),VLOOKUP(T557,[1]zawodnicy!$A$1:$E$65536,3,FALSE),IF(AND(LEN(T558)&gt;0,LEN(T557)=0),VLOOKUP(T558,[1]zawodnicy!$A$1:$E$65536,3,FALSE),"")),IF((VLOOKUP(W557,'[1]plan gier'!$X$1:$AF$65536,7,FALSE))="","",VLOOKUP(VLOOKUP(W557,'[1]plan gier'!$X$1:$AF$65536,7,FALSE),[1]zawodnicy!$A$1:$E$65536,3,FALSE)))</f>
        <v>KAMINSKAYA</v>
      </c>
      <c r="Y557" s="232"/>
      <c r="Z557" s="232"/>
      <c r="AA557" s="10"/>
      <c r="AB557" s="10"/>
      <c r="AC557" s="117"/>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row>
    <row r="558" spans="1:63" ht="11.45" customHeight="1" x14ac:dyDescent="0.2">
      <c r="J558" s="103"/>
      <c r="N558" s="104"/>
      <c r="O558" s="109">
        <f>IF(P558="","",MAX(O533:O557)+1)</f>
        <v>13</v>
      </c>
      <c r="P558" s="106">
        <f>IF(O531&gt;8,28,"")</f>
        <v>28</v>
      </c>
      <c r="Q558" s="5">
        <f>O558</f>
        <v>13</v>
      </c>
      <c r="T558" s="286" t="str">
        <f>UPPER(IF(O558="","",IF(ISTEXT(N558),N558,IF(AND(N531&gt;0,O558&gt;0),VLOOKUP(N531&amp;O558&amp;N532,I:J,2,FALSE),""))))</f>
        <v>X16</v>
      </c>
      <c r="U558" s="287"/>
      <c r="V558" s="107" t="str">
        <f>IF(T558&lt;&gt;"",CONCATENATE(VLOOKUP(T558,[1]zawodnicy!$A$1:$E$65536,2,FALSE)," ",VLOOKUP(T558,[1]zawodnicy!$A$1:$E$65536,3,FALSE)," - ",VLOOKUP(T558,[1]zawodnicy!$A$1:$E$65536,4,FALSE)),"")</f>
        <v>Yelizaveta KAMINSKAYA - Mińsk Białoruś</v>
      </c>
      <c r="W558" s="110"/>
      <c r="X558" s="236" t="str">
        <f>IF(ISBLANK(W557),"",IF((VLOOKUP(W557,'[1]plan gier'!$X$1:$AF$65536,7,FALSE))="",L557,VLOOKUP(W557,'[1]plan gier'!$X$1:$AF$65536,9,FALSE)))</f>
        <v>21:9,21:10</v>
      </c>
      <c r="Y558" s="237"/>
      <c r="Z558" s="240"/>
      <c r="AA558" s="10"/>
      <c r="AB558" s="10"/>
      <c r="AC558" s="117"/>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row>
    <row r="559" spans="1:63" ht="11.45" customHeight="1" x14ac:dyDescent="0.2">
      <c r="A559" s="111">
        <f>Z559</f>
        <v>364</v>
      </c>
      <c r="B559" s="2" t="str">
        <f>F557</f>
        <v>X16</v>
      </c>
      <c r="D559" s="2" t="str">
        <f>F561</f>
        <v>K5262</v>
      </c>
      <c r="F559" s="2" t="str">
        <f>IF(A559=0,IF(AND(LEN(B559)&gt;0,LEN(D559)=0),B559,IF(AND(LEN(D559)&gt;0,LEN(B559)=0),D559,"")),IF((VLOOKUP(A559,'[1]plan gier'!$X$1:$AF$65536,7,FALSE))="","",VLOOKUP(VLOOKUP(A559,'[1]plan gier'!$X$1:$AF$65536,7,FALSE),[1]zawodnicy!$A$1:$E$65536,1,FALSE)))</f>
        <v>X16</v>
      </c>
      <c r="H559" s="2" t="str">
        <f>IF(A559=0,"",IF((VLOOKUP(A559,'[1]plan gier'!$X$1:$AF$65536,7,FALSE))="","",VLOOKUP(A559,'[1]plan gier'!$X$1:$AF$65536,9,FALSE)))</f>
        <v>21:11,21:13</v>
      </c>
      <c r="J559" s="103"/>
      <c r="L559" s="43" t="str">
        <f>IF(A559=0,"",IF(VLOOKUP(A559,'[1]plan gier'!A$1:S$65536,19,FALSE)="","",VLOOKUP(A559,'[1]plan gier'!A$1:S$65536,19,FALSE)))</f>
        <v>sob 17:30</v>
      </c>
      <c r="M559" s="2" t="str">
        <f>N532</f>
        <v>pojedyncza dziewcząt MM</v>
      </c>
      <c r="N559" s="95"/>
      <c r="O559" s="112"/>
      <c r="P559" s="106"/>
      <c r="T559" s="9"/>
      <c r="U559" s="113"/>
      <c r="V559" s="2"/>
      <c r="W559" s="2"/>
      <c r="X559" s="114"/>
      <c r="Y559" s="10"/>
      <c r="Z559" s="115">
        <v>364</v>
      </c>
      <c r="AA559" s="232" t="str">
        <f>IF(ISBLANK(Z559),IF(AND(LEN(X557)&gt;0,LEN(X561)=0),X557,IF(AND(LEN(X561)&gt;0,LEN(X557)=0),X561,"")),IF((VLOOKUP(Z559,'[1]plan gier'!$X$1:$AF$65536,7,FALSE))="","",VLOOKUP(VLOOKUP(Z559,'[1]plan gier'!$X$1:$AF$65536,7,FALSE),[1]zawodnicy!$A$1:$E$65536,3,FALSE)))</f>
        <v>KAMINSKAYA</v>
      </c>
      <c r="AB559" s="232"/>
      <c r="AC559" s="233"/>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row>
    <row r="560" spans="1:63" ht="11.45" customHeight="1" x14ac:dyDescent="0.2">
      <c r="J560" s="103"/>
      <c r="N560" s="95"/>
      <c r="O560" s="112"/>
      <c r="P560" s="106"/>
      <c r="T560" s="9"/>
      <c r="U560" s="113"/>
      <c r="V560" s="2"/>
      <c r="W560" s="2"/>
      <c r="X560" s="114"/>
      <c r="Y560" s="10"/>
      <c r="Z560" s="116"/>
      <c r="AA560" s="229" t="str">
        <f>IF(ISBLANK(Z559),"",IF((VLOOKUP(Z559,'[1]plan gier'!$X$1:$AF$65536,7,FALSE))="",L559,VLOOKUP(Z559,'[1]plan gier'!$X$1:$AF$65536,9,FALSE)))</f>
        <v>21:11,21:13</v>
      </c>
      <c r="AB560" s="229"/>
      <c r="AC560" s="229"/>
      <c r="AD560" s="288"/>
      <c r="AE560" s="288"/>
      <c r="AF560" s="288"/>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row>
    <row r="561" spans="1:64" ht="11.45" customHeight="1" x14ac:dyDescent="0.2">
      <c r="A561" s="102">
        <f>W561</f>
        <v>0</v>
      </c>
      <c r="B561" s="2" t="str">
        <f>IF(TYPE(T561)=16,"",T561)</f>
        <v/>
      </c>
      <c r="D561" s="2" t="str">
        <f>IF(TYPE(T562)=16,"",T562)</f>
        <v>K5262</v>
      </c>
      <c r="F561" s="2" t="str">
        <f>IF(A561=0,IF(AND(LEN(B561)&gt;0,LEN(D561)=0),VLOOKUP(B561,[1]zawodnicy!$A$1:$E$65536,1,FALSE),IF(AND(LEN(D561)&gt;0,LEN(B561)=0),VLOOKUP(D561,[1]zawodnicy!$A$1:$E$65536,1,FALSE),"")),IF((VLOOKUP(A561,'[1]plan gier'!$X$1:$AF$65536,7,FALSE))="","",VLOOKUP(VLOOKUP(A561,'[1]plan gier'!$X$1:$AF$65536,7,FALSE),[1]zawodnicy!$A$1:$E$65536,1,FALSE)))</f>
        <v>K5262</v>
      </c>
      <c r="H561" s="2" t="str">
        <f>IF(A561=0,"",IF((VLOOKUP(A561,'[1]plan gier'!$X$1:$AF$65536,7,FALSE))="","",VLOOKUP(A561,'[1]plan gier'!$X$1:$AF$65536,9,FALSE)))</f>
        <v/>
      </c>
      <c r="J561" s="103"/>
      <c r="L561" s="43" t="str">
        <f>IF(A561=0,"",IF(VLOOKUP(A561,'[1]plan gier'!A$1:S$65536,19,FALSE)="","",VLOOKUP(A561,'[1]plan gier'!A$1:S$65536,19,FALSE)))</f>
        <v/>
      </c>
      <c r="M561" s="2" t="str">
        <f>N532</f>
        <v>pojedyncza dziewcząt MM</v>
      </c>
      <c r="N561" s="104"/>
      <c r="O561" s="105" t="str">
        <f>IF(P561="","",MAX(O533:O560)+1)</f>
        <v/>
      </c>
      <c r="P561" s="106" t="str">
        <f>IF(O531&gt;14,30,"")</f>
        <v/>
      </c>
      <c r="Q561" s="5" t="str">
        <f>O561</f>
        <v/>
      </c>
      <c r="T561" s="286" t="str">
        <f>UPPER(IF(O561="","",IF(ISTEXT(N561),N561,IF(AND(N531&gt;0,O561&gt;0),VLOOKUP(N531&amp;O561&amp;N532,I:J,2,FALSE),""))))</f>
        <v/>
      </c>
      <c r="U561" s="287"/>
      <c r="V561" s="107" t="str">
        <f>IF(T561&lt;&gt;"",CONCATENATE(VLOOKUP(T561,[1]zawodnicy!$A$1:$E$65536,2,FALSE)," ",VLOOKUP(T561,[1]zawodnicy!$A$1:$E$65536,3,FALSE)," - ",VLOOKUP(T561,[1]zawodnicy!$A$1:$E$65536,4,FALSE)),"")</f>
        <v/>
      </c>
      <c r="W561" s="108"/>
      <c r="X561" s="231" t="str">
        <f>IF(ISBLANK(W561),IF(AND(LEN(T561)&gt;0,LEN(T562)=0),VLOOKUP(T561,[1]zawodnicy!$A$1:$E$65536,3,FALSE),IF(AND(LEN(T562)&gt;0,LEN(T561)=0),VLOOKUP(T562,[1]zawodnicy!$A$1:$E$65536,3,FALSE),"")),IF((VLOOKUP(W561,'[1]plan gier'!$X$1:$AF$65536,7,FALSE))="","",VLOOKUP(VLOOKUP(W561,'[1]plan gier'!$X$1:$AF$65536,7,FALSE),[1]zawodnicy!$A$1:$E$65536,3,FALSE)))</f>
        <v>KASPRZAK</v>
      </c>
      <c r="Y561" s="232"/>
      <c r="Z561" s="233"/>
      <c r="AA561" s="2"/>
      <c r="AB561" s="18"/>
      <c r="AC561" s="18"/>
      <c r="AD561" s="18"/>
      <c r="AE561" s="18"/>
      <c r="AF561" s="18"/>
      <c r="AO561" s="2"/>
      <c r="AP561" s="2"/>
      <c r="AQ561" s="2"/>
      <c r="AR561" s="2"/>
      <c r="AS561" s="2"/>
      <c r="AT561" s="2"/>
      <c r="AU561" s="2"/>
      <c r="AV561" s="2"/>
      <c r="AW561" s="2"/>
      <c r="AX561" s="2"/>
      <c r="AY561" s="2"/>
      <c r="AZ561" s="2"/>
      <c r="BA561" s="2"/>
      <c r="BB561" s="2"/>
      <c r="BC561" s="2"/>
      <c r="BD561" s="2"/>
      <c r="BE561" s="2"/>
      <c r="BF561" s="2"/>
      <c r="BG561" s="2"/>
      <c r="BH561" s="2"/>
      <c r="BI561" s="2"/>
      <c r="BJ561" s="2"/>
      <c r="BK561" s="2"/>
    </row>
    <row r="562" spans="1:64" ht="11.45" customHeight="1" x14ac:dyDescent="0.2">
      <c r="J562" s="103"/>
      <c r="N562" s="104"/>
      <c r="O562" s="109">
        <f>IF(P562="","",MAX(O533:O561)+1)</f>
        <v>14</v>
      </c>
      <c r="P562" s="106">
        <f>IF(O531&gt;8,32,"")</f>
        <v>32</v>
      </c>
      <c r="Q562" s="5">
        <f>O562</f>
        <v>14</v>
      </c>
      <c r="T562" s="286" t="str">
        <f>UPPER(IF(O562="","",IF(ISTEXT(N562),N562,IF(AND(N531&gt;0,O562&gt;0),VLOOKUP(N531&amp;O562&amp;N532,I:J,2,FALSE),""))))</f>
        <v>K5262</v>
      </c>
      <c r="U562" s="287"/>
      <c r="V562" s="107" t="str">
        <f>IF(T562&lt;&gt;"",CONCATENATE(VLOOKUP(T562,[1]zawodnicy!$A$1:$E$65536,2,FALSE)," ",VLOOKUP(T562,[1]zawodnicy!$A$1:$E$65536,3,FALSE)," - ",VLOOKUP(T562,[1]zawodnicy!$A$1:$E$65536,4,FALSE)),"")</f>
        <v>Wiktoria KASPRZAK - UKS Kiko Zamość</v>
      </c>
      <c r="W562" s="110"/>
      <c r="X562" s="228" t="str">
        <f>IF(ISBLANK(W561),"",IF((VLOOKUP(W561,'[1]plan gier'!$X$1:$AF$65536,7,FALSE))="",L561,VLOOKUP(W561,'[1]plan gier'!$X$1:$AF$65536,9,FALSE)))</f>
        <v/>
      </c>
      <c r="Y562" s="229"/>
      <c r="Z562" s="229"/>
      <c r="AA562" s="2"/>
      <c r="AB562" s="91"/>
      <c r="AC562" s="91"/>
      <c r="AD562" s="91"/>
      <c r="AE562" s="91"/>
      <c r="AF562" s="91"/>
      <c r="AG562" s="13"/>
      <c r="AH562" s="173"/>
      <c r="AI562" s="173"/>
      <c r="AO562" s="2"/>
      <c r="AP562" s="2"/>
      <c r="AQ562" s="2"/>
      <c r="AR562" s="2"/>
      <c r="AS562" s="2"/>
      <c r="AT562" s="2"/>
      <c r="AU562" s="2"/>
      <c r="AV562" s="2"/>
      <c r="AW562" s="2"/>
      <c r="AX562" s="2"/>
      <c r="AY562" s="2"/>
      <c r="AZ562" s="2"/>
      <c r="BA562" s="2"/>
      <c r="BB562" s="2"/>
      <c r="BC562" s="2"/>
      <c r="BD562" s="2"/>
      <c r="BE562" s="2"/>
      <c r="BF562" s="2"/>
      <c r="BG562" s="2"/>
      <c r="BH562" s="2"/>
      <c r="BI562" s="2"/>
      <c r="BJ562" s="2"/>
      <c r="BK562" s="2"/>
    </row>
    <row r="564" spans="1:64" ht="11.45" customHeight="1" x14ac:dyDescent="0.2">
      <c r="M564" s="16"/>
      <c r="N564" s="17" t="s">
        <v>321</v>
      </c>
      <c r="R564" s="18"/>
      <c r="S564" s="18"/>
      <c r="T564" s="277" t="str">
        <f>"Gra "&amp;N564</f>
        <v>Gra podwójna dziewcząt MM</v>
      </c>
      <c r="U564" s="277"/>
      <c r="V564" s="277"/>
      <c r="W564" s="277"/>
      <c r="X564" s="277"/>
      <c r="Y564" s="277"/>
      <c r="Z564" s="277"/>
      <c r="AA564" s="277"/>
      <c r="AB564" s="277"/>
      <c r="AC564" s="277"/>
      <c r="AD564" s="277"/>
      <c r="AE564" s="18"/>
    </row>
    <row r="565" spans="1:64" ht="11.45" customHeight="1" thickBot="1" x14ac:dyDescent="0.25"/>
    <row r="566" spans="1:64" ht="11.45" customHeight="1" thickBot="1" x14ac:dyDescent="0.25">
      <c r="N566" s="11"/>
      <c r="O566" s="21">
        <v>1</v>
      </c>
      <c r="Q566" s="277" t="str">
        <f>"Grupa "&amp;O566&amp;"."</f>
        <v>Grupa 1.</v>
      </c>
      <c r="R566" s="277"/>
      <c r="S566" s="277"/>
      <c r="T566" s="22" t="s">
        <v>1</v>
      </c>
      <c r="U566" s="278" t="s">
        <v>2</v>
      </c>
      <c r="V566" s="279"/>
      <c r="W566" s="280"/>
      <c r="X566" s="22">
        <v>1</v>
      </c>
      <c r="Y566" s="23">
        <v>2</v>
      </c>
      <c r="Z566" s="24">
        <v>3</v>
      </c>
      <c r="AA566" s="25" t="s">
        <v>3</v>
      </c>
      <c r="AB566" s="26" t="s">
        <v>4</v>
      </c>
      <c r="AC566" s="26" t="s">
        <v>5</v>
      </c>
      <c r="AD566" s="27" t="s">
        <v>6</v>
      </c>
      <c r="AE566" s="2"/>
      <c r="AF566" s="12"/>
      <c r="AG566" s="12"/>
      <c r="BK566" s="19"/>
      <c r="BL566" s="20"/>
    </row>
    <row r="567" spans="1:64" ht="11.45" customHeight="1" x14ac:dyDescent="0.2">
      <c r="J567" s="28"/>
      <c r="K567" s="28"/>
      <c r="L567" s="28"/>
      <c r="N567" s="29" t="s">
        <v>321</v>
      </c>
      <c r="Q567" s="274" t="s">
        <v>7</v>
      </c>
      <c r="R567" s="274"/>
      <c r="S567" s="275" t="s">
        <v>8</v>
      </c>
      <c r="T567" s="276">
        <v>1</v>
      </c>
      <c r="U567" s="244" t="str">
        <f>IF(AND(N568&lt;&gt;"",N569&lt;&gt;""),CONCATENATE(VLOOKUP(N568,[1]zawodnicy!$A$1:$E$65536,1,FALSE)," ",VLOOKUP(N568,[1]zawodnicy!$A$1:$E$65536,2,FALSE)," ",VLOOKUP(N568,[1]zawodnicy!$A$1:$E$65536,3,FALSE)," - ",VLOOKUP(N568,[1]zawodnicy!$A$1:$E$65536,4,FALSE)),"")</f>
        <v>B4319 Laura BUJAK - ULKS U-2 Lotka Bytów</v>
      </c>
      <c r="V567" s="245"/>
      <c r="W567" s="246"/>
      <c r="X567" s="30"/>
      <c r="Y567" s="31" t="str">
        <f>IF(SUM(AO572:AP572)=0,"",AO572&amp;":"&amp;AP572)</f>
        <v>21:7</v>
      </c>
      <c r="Z567" s="32" t="str">
        <f>IF(SUM(AO570:AP570)=0,"",AO570&amp;":"&amp;AP570)</f>
        <v>18:21</v>
      </c>
      <c r="AA567" s="270" t="str">
        <f>IF(SUM(AY570:BB570)=0,"",BE570&amp;":"&amp;BF570)</f>
        <v>95:92</v>
      </c>
      <c r="AB567" s="271" t="str">
        <f>IF(SUM(AY570:BB570)=0,"",BG570&amp;":"&amp;BH570)</f>
        <v>1:4</v>
      </c>
      <c r="AC567" s="271" t="str">
        <f>IF(SUM(AY570:BB570)=0,"",BI570&amp;":"&amp;BJ570)</f>
        <v>0:2</v>
      </c>
      <c r="AD567" s="272">
        <f>IF(SUM(BI570:BI572)&gt;0,BK570,"")</f>
        <v>3</v>
      </c>
      <c r="AE567" s="2"/>
      <c r="AF567" s="12"/>
      <c r="AG567" s="12"/>
      <c r="AH567" s="14"/>
      <c r="AI567" s="273" t="s">
        <v>9</v>
      </c>
      <c r="AJ567" s="273"/>
      <c r="AK567" s="273"/>
      <c r="AL567" s="273"/>
      <c r="AM567" s="273"/>
      <c r="AN567" s="273"/>
      <c r="AO567" s="273" t="s">
        <v>10</v>
      </c>
      <c r="AP567" s="273"/>
      <c r="AQ567" s="273"/>
      <c r="AR567" s="273"/>
      <c r="AS567" s="273"/>
      <c r="AT567" s="273"/>
      <c r="BK567" s="19"/>
      <c r="BL567" s="20"/>
    </row>
    <row r="568" spans="1:64" ht="11.45" customHeight="1" thickBot="1" x14ac:dyDescent="0.25">
      <c r="I568" s="2" t="str">
        <f>"1"&amp;O566&amp;N567</f>
        <v>11podwójna dziewcząt MM</v>
      </c>
      <c r="J568" s="10" t="str">
        <f>IF(AD567="","",IF(AD567=1,N568,IF(AD570=1,N571,IF(AD573=1,N574,""))))</f>
        <v>X30</v>
      </c>
      <c r="K568" s="10" t="str">
        <f>IF(AD567="","",IF(AD567=1,N569,IF(AD570=1,N572,IF(AD573=1,N575,""))))</f>
        <v>X29</v>
      </c>
      <c r="L568" s="10"/>
      <c r="N568" s="33" t="s">
        <v>304</v>
      </c>
      <c r="O568" s="34">
        <f>IF(O566&gt;0,(O566&amp;1)*1,"")</f>
        <v>11</v>
      </c>
      <c r="Q568" s="274"/>
      <c r="R568" s="274"/>
      <c r="S568" s="275"/>
      <c r="T568" s="242"/>
      <c r="U568" s="244" t="str">
        <f>IF(AND(N568&lt;&gt;"",N569=""),CONCATENATE(VLOOKUP(N568,[1]zawodnicy!$A$1:$E$65536,1,FALSE)," ",VLOOKUP(N568,[1]zawodnicy!$A$1:$E$65536,2,FALSE)," ",VLOOKUP(N568,[1]zawodnicy!$A$1:$E$65536,3,FALSE)," - ",VLOOKUP(N568,[1]zawodnicy!$A$1:$E$65536,4,FALSE)),"")</f>
        <v/>
      </c>
      <c r="V568" s="245"/>
      <c r="W568" s="246"/>
      <c r="X568" s="35"/>
      <c r="Y568" s="36" t="str">
        <f>IF(SUM(AQ572:AR572)=0,"",AQ572&amp;":"&amp;AR572)</f>
        <v>17:21</v>
      </c>
      <c r="Z568" s="37" t="str">
        <f>IF(SUM(AQ570:AR570)=0,"",AQ570&amp;":"&amp;AR570)</f>
        <v>19:21</v>
      </c>
      <c r="AA568" s="248"/>
      <c r="AB568" s="251"/>
      <c r="AC568" s="251"/>
      <c r="AD568" s="254"/>
      <c r="AE568" s="2"/>
      <c r="AF568" s="12"/>
      <c r="AG568" s="12"/>
      <c r="AH568" s="14"/>
      <c r="BE568" s="19">
        <f>SUM(BE570:BE572)</f>
        <v>263</v>
      </c>
      <c r="BF568" s="19">
        <f>SUM(BF570:BF572)</f>
        <v>263</v>
      </c>
      <c r="BG568" s="19">
        <f>SUM(BG570:BG572)</f>
        <v>7</v>
      </c>
      <c r="BH568" s="19">
        <f>SUM(BH570:BH572)</f>
        <v>7</v>
      </c>
      <c r="BK568" s="19"/>
      <c r="BL568" s="20"/>
    </row>
    <row r="569" spans="1:64" ht="11.45" customHeight="1" thickBot="1" x14ac:dyDescent="0.25">
      <c r="J569" s="10"/>
      <c r="K569" s="28"/>
      <c r="L569" s="28"/>
      <c r="N569" s="38" t="s">
        <v>279</v>
      </c>
      <c r="O569" s="28"/>
      <c r="P569" s="28"/>
      <c r="Q569" s="274"/>
      <c r="R569" s="274"/>
      <c r="S569" s="275"/>
      <c r="T569" s="261"/>
      <c r="U569" s="265" t="str">
        <f>IF(N569&lt;&gt;"",CONCATENATE(VLOOKUP(N569,[1]zawodnicy!$A$1:$E$65536,1,FALSE)," ",VLOOKUP(N569,[1]zawodnicy!$A$1:$E$65536,2,FALSE)," ",VLOOKUP(N569,[1]zawodnicy!$A$1:$E$65536,3,FALSE)," - ",VLOOKUP(N569,[1]zawodnicy!$A$1:$E$65536,4,FALSE)),"")</f>
        <v>D4628 Anna DUDA - ULKS U-2 Lotka Bytów</v>
      </c>
      <c r="V569" s="266"/>
      <c r="W569" s="267"/>
      <c r="X569" s="35"/>
      <c r="Y569" s="39" t="str">
        <f>IF(SUM(AS572:AT572)=0,"",AS572&amp;":"&amp;AT572)</f>
        <v>20:22</v>
      </c>
      <c r="Z569" s="40" t="str">
        <f>IF(SUM(AS570:AT570)=0,"",AS570&amp;":"&amp;AT570)</f>
        <v/>
      </c>
      <c r="AA569" s="262"/>
      <c r="AB569" s="263"/>
      <c r="AC569" s="263"/>
      <c r="AD569" s="264"/>
      <c r="AE569" s="2"/>
      <c r="AF569" s="12"/>
      <c r="AG569" s="12"/>
      <c r="AH569" s="14"/>
      <c r="AI569" s="259" t="s">
        <v>12</v>
      </c>
      <c r="AJ569" s="269"/>
      <c r="AK569" s="268" t="s">
        <v>13</v>
      </c>
      <c r="AL569" s="269"/>
      <c r="AM569" s="268" t="s">
        <v>14</v>
      </c>
      <c r="AN569" s="260"/>
      <c r="AO569" s="259" t="s">
        <v>12</v>
      </c>
      <c r="AP569" s="269"/>
      <c r="AQ569" s="268" t="s">
        <v>13</v>
      </c>
      <c r="AR569" s="269"/>
      <c r="AS569" s="268" t="s">
        <v>14</v>
      </c>
      <c r="AT569" s="269"/>
      <c r="AU569" s="12"/>
      <c r="AV569" s="12"/>
      <c r="AW569" s="259">
        <v>1</v>
      </c>
      <c r="AX569" s="269"/>
      <c r="AY569" s="268">
        <v>2</v>
      </c>
      <c r="AZ569" s="269"/>
      <c r="BA569" s="268">
        <v>3</v>
      </c>
      <c r="BB569" s="260"/>
      <c r="BE569" s="259" t="s">
        <v>3</v>
      </c>
      <c r="BF569" s="260"/>
      <c r="BG569" s="259" t="s">
        <v>4</v>
      </c>
      <c r="BH569" s="260"/>
      <c r="BI569" s="259" t="s">
        <v>5</v>
      </c>
      <c r="BJ569" s="260"/>
      <c r="BK569" s="41" t="s">
        <v>6</v>
      </c>
      <c r="BL569" s="20"/>
    </row>
    <row r="570" spans="1:64" ht="11.45" customHeight="1" x14ac:dyDescent="0.2">
      <c r="A570" s="19">
        <f>S570</f>
        <v>86</v>
      </c>
      <c r="B570" s="2" t="str">
        <f>IF(N568="","",N568)</f>
        <v>B4319</v>
      </c>
      <c r="C570" s="2" t="str">
        <f>IF(N569="","",N569)</f>
        <v>D4628</v>
      </c>
      <c r="D570" s="2" t="str">
        <f>IF(N574="","",N574)</f>
        <v>x05</v>
      </c>
      <c r="E570" s="2" t="str">
        <f>IF(N575="","",N575)</f>
        <v>P4820</v>
      </c>
      <c r="I570" s="2" t="str">
        <f>"2"&amp;O566&amp;N567</f>
        <v>21podwójna dziewcząt MM</v>
      </c>
      <c r="J570" s="10" t="str">
        <f>IF(AD570="","",IF(AD567=2,N568,IF(AD570=2,N571,IF(AD573=2,N574,""))))</f>
        <v>x05</v>
      </c>
      <c r="K570" s="10" t="str">
        <f>IF(AD570="","",IF(AD567=2,N569,IF(AD570=2,N572,IF(AD573=2,N575,""))))</f>
        <v>P4820</v>
      </c>
      <c r="M570" s="42" t="str">
        <f>N567</f>
        <v>podwójna dziewcząt MM</v>
      </c>
      <c r="O570" s="28"/>
      <c r="P570" s="28"/>
      <c r="Q570" s="43" t="str">
        <f>IF(AU570&gt;0,"",IF(A570=0,"",IF(VLOOKUP(A570,'[1]plan gier'!A$1:S$65536,19,FALSE)="","",VLOOKUP(A570,'[1]plan gier'!A$1:S$65536,19,FALSE))))</f>
        <v/>
      </c>
      <c r="R570" s="44" t="s">
        <v>15</v>
      </c>
      <c r="S570" s="45">
        <v>86</v>
      </c>
      <c r="T570" s="241">
        <v>2</v>
      </c>
      <c r="U570" s="244" t="str">
        <f>IF(AND(N571&lt;&gt;"",N572&lt;&gt;""),CONCATENATE(VLOOKUP(N571,[1]zawodnicy!$A$1:$E$65536,1,FALSE)," ",VLOOKUP(N571,[1]zawodnicy!$A$1:$E$65536,2,FALSE)," ",VLOOKUP(N571,[1]zawodnicy!$A$1:$E$65536,3,FALSE)," - ",VLOOKUP(N571,[1]zawodnicy!$A$1:$E$65536,4,FALSE)),"")</f>
        <v>X30 Lizaveta BAYAROUSKAYA - Białoruś</v>
      </c>
      <c r="V570" s="245"/>
      <c r="W570" s="246"/>
      <c r="X570" s="46" t="str">
        <f>IF(SUM(AO572:AP572)=0,"",AP572&amp;":"&amp;AO572)</f>
        <v>7:21</v>
      </c>
      <c r="Y570" s="47"/>
      <c r="Z570" s="48" t="str">
        <f>IF(SUM(AO571:AP571)=0,"",AO571&amp;":"&amp;AP571)</f>
        <v>23:21</v>
      </c>
      <c r="AA570" s="247" t="str">
        <f>IF(SUM(AW571:AX571,BA571:BB571)=0,"",BE571&amp;":"&amp;BF571)</f>
        <v>94:90</v>
      </c>
      <c r="AB570" s="250" t="str">
        <f>IF(SUM(AW571:AX571,BA571:BB571)=0,"",BG571&amp;":"&amp;BH571)</f>
        <v>4:1</v>
      </c>
      <c r="AC570" s="250" t="str">
        <f>IF(SUM(AW571:AX571,BA571:BB571)=0,"",BI571&amp;":"&amp;BJ571)</f>
        <v>2:0</v>
      </c>
      <c r="AD570" s="253">
        <f>IF(SUM(BI570:BI572)&gt;0,BK571,"")</f>
        <v>1</v>
      </c>
      <c r="AE570" s="2"/>
      <c r="AF570" s="12"/>
      <c r="AG570" s="12"/>
      <c r="AH570" s="44" t="s">
        <v>15</v>
      </c>
      <c r="AI570" s="49">
        <f>IF(ISBLANK(S570),"",VLOOKUP(S570,'[1]plan gier'!$X$1:$AN$65536,12,FALSE))</f>
        <v>18</v>
      </c>
      <c r="AJ570" s="50">
        <f>IF(ISBLANK(S570),"",VLOOKUP(S570,'[1]plan gier'!$X$1:$AN$65536,13,FALSE))</f>
        <v>21</v>
      </c>
      <c r="AK570" s="50">
        <f>IF(ISBLANK(S570),"",VLOOKUP(S570,'[1]plan gier'!$X$1:$AN$65536,14,FALSE))</f>
        <v>19</v>
      </c>
      <c r="AL570" s="50">
        <f>IF(ISBLANK(S570),"",VLOOKUP(S570,'[1]plan gier'!$X$1:$AN$65536,15,FALSE))</f>
        <v>21</v>
      </c>
      <c r="AM570" s="50">
        <f>IF(ISBLANK(S570),"",VLOOKUP(S570,'[1]plan gier'!$X$1:$AN$65536,16,FALSE))</f>
        <v>0</v>
      </c>
      <c r="AN570" s="50">
        <f>IF(ISBLANK(S570),"",VLOOKUP(S570,'[1]plan gier'!$X$1:$AN$65536,17,FALSE))</f>
        <v>0</v>
      </c>
      <c r="AO570" s="51">
        <f t="shared" ref="AO570:AT572" si="54">IF(AI570="",0,AI570)</f>
        <v>18</v>
      </c>
      <c r="AP570" s="52">
        <f t="shared" si="54"/>
        <v>21</v>
      </c>
      <c r="AQ570" s="53">
        <f t="shared" si="54"/>
        <v>19</v>
      </c>
      <c r="AR570" s="52">
        <f t="shared" si="54"/>
        <v>21</v>
      </c>
      <c r="AS570" s="53">
        <f t="shared" si="54"/>
        <v>0</v>
      </c>
      <c r="AT570" s="52">
        <f t="shared" si="54"/>
        <v>0</v>
      </c>
      <c r="AU570" s="54">
        <f>SUM(AO570:AT570)</f>
        <v>79</v>
      </c>
      <c r="AV570" s="13">
        <v>1</v>
      </c>
      <c r="AW570" s="55"/>
      <c r="AX570" s="56"/>
      <c r="AY570" s="50">
        <f>IF(AI572&gt;AJ572,1,0)+IF(AK572&gt;AL572,1,0)+IF(AM572&gt;AN572,1,0)</f>
        <v>1</v>
      </c>
      <c r="AZ570" s="50">
        <f>AW571</f>
        <v>2</v>
      </c>
      <c r="BA570" s="50">
        <f>IF(AI570&gt;AJ570,1,0)+IF(AK570&gt;AL570,1,0)+IF(AM570&gt;AN570,1,0)</f>
        <v>0</v>
      </c>
      <c r="BB570" s="57">
        <f>AW572</f>
        <v>2</v>
      </c>
      <c r="BE570" s="49">
        <f>AO570+AQ570+AS570+AO572+AQ572+AS572</f>
        <v>95</v>
      </c>
      <c r="BF570" s="57">
        <f>AP570+AR570+AT570+AP572+AR572+AT572</f>
        <v>92</v>
      </c>
      <c r="BG570" s="49">
        <f>AY570+BA570</f>
        <v>1</v>
      </c>
      <c r="BH570" s="57">
        <f>AZ570+BB570</f>
        <v>4</v>
      </c>
      <c r="BI570" s="49">
        <f>IF(AY570&gt;AZ570,1,0)+IF(BA570&gt;BB570,1,0)</f>
        <v>0</v>
      </c>
      <c r="BJ570" s="58">
        <f>IF(AZ570&gt;AY570,1,0)+IF(BB570&gt;BA570,1,0)</f>
        <v>2</v>
      </c>
      <c r="BK570" s="59">
        <f>IF(BI570+BJ570=0,"",IF(BL570=MAX(BL570:BL572),1,IF(BL570=MIN(BL570:BL572),3,2)))</f>
        <v>3</v>
      </c>
      <c r="BL570" s="60">
        <f>IF(BI570+BJ570&lt;&gt;0,BI570+1+(BG570-BH570)/100+(BE570-BF570)/100000+(BE570/BF570)/1000000,0)</f>
        <v>0.97003103260869561</v>
      </c>
    </row>
    <row r="571" spans="1:64" ht="11.45" customHeight="1" x14ac:dyDescent="0.2">
      <c r="A571" s="19">
        <f>S571</f>
        <v>152</v>
      </c>
      <c r="B571" s="2" t="str">
        <f>IF(N571="","",N571)</f>
        <v>X30</v>
      </c>
      <c r="C571" s="2" t="str">
        <f>IF(N572="","",N572)</f>
        <v>X29</v>
      </c>
      <c r="D571" s="2" t="str">
        <f>IF(N574="","",N574)</f>
        <v>x05</v>
      </c>
      <c r="E571" s="2" t="str">
        <f>IF(N575="","",N575)</f>
        <v>P4820</v>
      </c>
      <c r="J571" s="10"/>
      <c r="K571" s="19"/>
      <c r="M571" s="42" t="str">
        <f>N567</f>
        <v>podwójna dziewcząt MM</v>
      </c>
      <c r="N571" s="33" t="s">
        <v>286</v>
      </c>
      <c r="O571" s="34">
        <f>IF(O566&gt;0,(O566&amp;2)*1,"")</f>
        <v>12</v>
      </c>
      <c r="Q571" s="43" t="str">
        <f>IF(AU571&gt;0,"",IF(A571=0,"",IF(VLOOKUP(A571,'[1]plan gier'!A$1:S$65536,19,FALSE)="","",VLOOKUP(A571,'[1]plan gier'!A$1:S$65536,19,FALSE))))</f>
        <v/>
      </c>
      <c r="R571" s="44" t="s">
        <v>17</v>
      </c>
      <c r="S571" s="45">
        <v>152</v>
      </c>
      <c r="T571" s="242"/>
      <c r="U571" s="244" t="str">
        <f>IF(AND(N571&lt;&gt;"",N572=""),CONCATENATE(VLOOKUP(N571,[1]zawodnicy!$A$1:$E$65536,1,FALSE)," ",VLOOKUP(N571,[1]zawodnicy!$A$1:$E$65536,2,FALSE)," ",VLOOKUP(N571,[1]zawodnicy!$A$1:$E$65536,3,FALSE)," - ",VLOOKUP(N571,[1]zawodnicy!$A$1:$E$65536,4,FALSE)),"")</f>
        <v/>
      </c>
      <c r="V571" s="245"/>
      <c r="W571" s="246"/>
      <c r="X571" s="61" t="str">
        <f>IF(SUM(AQ572:AR572)=0,"",AR572&amp;":"&amp;AQ572)</f>
        <v>21:17</v>
      </c>
      <c r="Y571" s="62"/>
      <c r="Z571" s="37" t="str">
        <f>IF(SUM(AQ571:AR571)=0,"",AQ571&amp;":"&amp;AR571)</f>
        <v>21:11</v>
      </c>
      <c r="AA571" s="248"/>
      <c r="AB571" s="251"/>
      <c r="AC571" s="251"/>
      <c r="AD571" s="254"/>
      <c r="AE571" s="2"/>
      <c r="AF571" s="12"/>
      <c r="AG571" s="12"/>
      <c r="AH571" s="44" t="s">
        <v>17</v>
      </c>
      <c r="AI571" s="63">
        <f>IF(ISBLANK(S571),"",VLOOKUP(S571,'[1]plan gier'!$X$1:$AN$65536,12,FALSE))</f>
        <v>23</v>
      </c>
      <c r="AJ571" s="64">
        <f>IF(ISBLANK(S571),"",VLOOKUP(S571,'[1]plan gier'!$X$1:$AN$65536,13,FALSE))</f>
        <v>21</v>
      </c>
      <c r="AK571" s="64">
        <f>IF(ISBLANK(S571),"",VLOOKUP(S571,'[1]plan gier'!$X$1:$AN$65536,14,FALSE))</f>
        <v>21</v>
      </c>
      <c r="AL571" s="64">
        <f>IF(ISBLANK(S571),"",VLOOKUP(S571,'[1]plan gier'!$X$1:$AN$65536,15,FALSE))</f>
        <v>11</v>
      </c>
      <c r="AM571" s="64">
        <f>IF(ISBLANK(S571),"",VLOOKUP(S571,'[1]plan gier'!$X$1:$AN$65536,16,FALSE))</f>
        <v>0</v>
      </c>
      <c r="AN571" s="64">
        <f>IF(ISBLANK(S571),"",VLOOKUP(S571,'[1]plan gier'!$X$1:$AN$65536,17,FALSE))</f>
        <v>0</v>
      </c>
      <c r="AO571" s="65">
        <f t="shared" si="54"/>
        <v>23</v>
      </c>
      <c r="AP571" s="64">
        <f t="shared" si="54"/>
        <v>21</v>
      </c>
      <c r="AQ571" s="66">
        <f t="shared" si="54"/>
        <v>21</v>
      </c>
      <c r="AR571" s="64">
        <f t="shared" si="54"/>
        <v>11</v>
      </c>
      <c r="AS571" s="66">
        <f t="shared" si="54"/>
        <v>0</v>
      </c>
      <c r="AT571" s="64">
        <f t="shared" si="54"/>
        <v>0</v>
      </c>
      <c r="AU571" s="54">
        <f>SUM(AO571:AT571)</f>
        <v>76</v>
      </c>
      <c r="AV571" s="13">
        <v>2</v>
      </c>
      <c r="AW571" s="63">
        <f>IF(AI572&lt;AJ572,1,0)+IF(AK572&lt;AL572,1,0)+IF(AM572&lt;AN572,1,0)</f>
        <v>2</v>
      </c>
      <c r="AX571" s="64">
        <f>AY570</f>
        <v>1</v>
      </c>
      <c r="AY571" s="67"/>
      <c r="AZ571" s="68"/>
      <c r="BA571" s="64">
        <f>IF(AI571&gt;AJ571,1,0)+IF(AK571&gt;AL571,1,0)+IF(AM571&gt;AN571,1,0)</f>
        <v>2</v>
      </c>
      <c r="BB571" s="69">
        <f>AY572</f>
        <v>0</v>
      </c>
      <c r="BE571" s="63">
        <f>AO571+AQ571+AS571+AP572+AR572+AT572</f>
        <v>94</v>
      </c>
      <c r="BF571" s="69">
        <f>AP571+AR571+AT571+AO572+AQ572+AS572</f>
        <v>90</v>
      </c>
      <c r="BG571" s="63">
        <f>AW571+BA571</f>
        <v>4</v>
      </c>
      <c r="BH571" s="69">
        <f>AX571+BB571</f>
        <v>1</v>
      </c>
      <c r="BI571" s="63">
        <f>IF(AW571&gt;AX571,1,0)+IF(BA571&gt;BB571,1,0)</f>
        <v>2</v>
      </c>
      <c r="BJ571" s="70">
        <f>IF(AX571&gt;AW571,1,0)+IF(BB571&gt;BA571,1,0)</f>
        <v>0</v>
      </c>
      <c r="BK571" s="71">
        <f>IF(BI571+BJ571=0,"",IF(BL571=MAX(BL570:BL572),1,IF(BL571=MIN(BL570:BL572),3,2)))</f>
        <v>1</v>
      </c>
      <c r="BL571" s="60">
        <f>IF(BI571+BJ571&lt;&gt;0,BI571+1+(BG571-BH571)/100+(BE571-BF571)/100000+(BE571/BF571)/1000000,0)</f>
        <v>3.0300410444444439</v>
      </c>
    </row>
    <row r="572" spans="1:64" ht="11.45" customHeight="1" thickBot="1" x14ac:dyDescent="0.25">
      <c r="A572" s="19">
        <f>S572</f>
        <v>205</v>
      </c>
      <c r="B572" s="2" t="str">
        <f>IF(N568="","",N568)</f>
        <v>B4319</v>
      </c>
      <c r="C572" s="2" t="str">
        <f>IF(N569="","",N569)</f>
        <v>D4628</v>
      </c>
      <c r="D572" s="2" t="str">
        <f>IF(N571="","",N571)</f>
        <v>X30</v>
      </c>
      <c r="E572" s="2" t="str">
        <f>IF(N572="","",N572)</f>
        <v>X29</v>
      </c>
      <c r="I572" s="2" t="str">
        <f>"3"&amp;O566&amp;N567</f>
        <v>31podwójna dziewcząt MM</v>
      </c>
      <c r="J572" s="10" t="str">
        <f>IF(AD573="","",IF(AD567=3,N568,IF(AD570=3,N571,IF(AD573=3,N574,""))))</f>
        <v>B4319</v>
      </c>
      <c r="K572" s="10" t="str">
        <f>IF(AD573="","",IF(AD567=3,N569,IF(AD570=3,N572,IF(AD573=3,N575,""))))</f>
        <v>D4628</v>
      </c>
      <c r="M572" s="42" t="str">
        <f>N567</f>
        <v>podwójna dziewcząt MM</v>
      </c>
      <c r="N572" s="38" t="s">
        <v>295</v>
      </c>
      <c r="O572" s="28"/>
      <c r="P572" s="28"/>
      <c r="Q572" s="43" t="str">
        <f>IF(AU572&gt;0,"",IF(A572=0,"",IF(VLOOKUP(A572,'[1]plan gier'!A$1:S$65536,19,FALSE)="","",VLOOKUP(A572,'[1]plan gier'!A$1:S$65536,19,FALSE))))</f>
        <v/>
      </c>
      <c r="R572" s="72" t="s">
        <v>18</v>
      </c>
      <c r="S572" s="45">
        <v>205</v>
      </c>
      <c r="T572" s="261"/>
      <c r="U572" s="265" t="str">
        <f>IF(N572&lt;&gt;"",CONCATENATE(VLOOKUP(N572,[1]zawodnicy!$A$1:$E$65536,1,FALSE)," ",VLOOKUP(N572,[1]zawodnicy!$A$1:$E$65536,2,FALSE)," ",VLOOKUP(N572,[1]zawodnicy!$A$1:$E$65536,3,FALSE)," - ",VLOOKUP(N572,[1]zawodnicy!$A$1:$E$65536,4,FALSE)),"")</f>
        <v>X29 Anastasiya KHOMICH - Białoruś</v>
      </c>
      <c r="V572" s="266"/>
      <c r="W572" s="267"/>
      <c r="X572" s="73" t="str">
        <f>IF(SUM(AS572:AT572)=0,"",AT572&amp;":"&amp;AS572)</f>
        <v>22:20</v>
      </c>
      <c r="Y572" s="62"/>
      <c r="Z572" s="40" t="str">
        <f>IF(SUM(AS571:AT571)=0,"",AS571&amp;":"&amp;AT571)</f>
        <v/>
      </c>
      <c r="AA572" s="262"/>
      <c r="AB572" s="263"/>
      <c r="AC572" s="263"/>
      <c r="AD572" s="264"/>
      <c r="AE572" s="2"/>
      <c r="AF572" s="12"/>
      <c r="AG572" s="12"/>
      <c r="AH572" s="72" t="s">
        <v>18</v>
      </c>
      <c r="AI572" s="74">
        <f>IF(ISBLANK(S572),"",VLOOKUP(S572,'[1]plan gier'!$X$1:$AN$65536,12,FALSE))</f>
        <v>21</v>
      </c>
      <c r="AJ572" s="75">
        <f>IF(ISBLANK(S572),"",VLOOKUP(S572,'[1]plan gier'!$X$1:$AN$65536,13,FALSE))</f>
        <v>7</v>
      </c>
      <c r="AK572" s="75">
        <f>IF(ISBLANK(S572),"",VLOOKUP(S572,'[1]plan gier'!$X$1:$AN$65536,14,FALSE))</f>
        <v>17</v>
      </c>
      <c r="AL572" s="75">
        <f>IF(ISBLANK(S572),"",VLOOKUP(S572,'[1]plan gier'!$X$1:$AN$65536,15,FALSE))</f>
        <v>21</v>
      </c>
      <c r="AM572" s="75">
        <f>IF(ISBLANK(S572),"",VLOOKUP(S572,'[1]plan gier'!$X$1:$AN$65536,16,FALSE))</f>
        <v>20</v>
      </c>
      <c r="AN572" s="75">
        <f>IF(ISBLANK(S572),"",VLOOKUP(S572,'[1]plan gier'!$X$1:$AN$65536,17,FALSE))</f>
        <v>22</v>
      </c>
      <c r="AO572" s="76">
        <f t="shared" si="54"/>
        <v>21</v>
      </c>
      <c r="AP572" s="75">
        <f t="shared" si="54"/>
        <v>7</v>
      </c>
      <c r="AQ572" s="77">
        <f t="shared" si="54"/>
        <v>17</v>
      </c>
      <c r="AR572" s="75">
        <f t="shared" si="54"/>
        <v>21</v>
      </c>
      <c r="AS572" s="77">
        <f t="shared" si="54"/>
        <v>20</v>
      </c>
      <c r="AT572" s="75">
        <f t="shared" si="54"/>
        <v>22</v>
      </c>
      <c r="AU572" s="54">
        <f>SUM(AO572:AT572)</f>
        <v>108</v>
      </c>
      <c r="AV572" s="13">
        <v>3</v>
      </c>
      <c r="AW572" s="74">
        <f>IF(AI570&lt;AJ570,1,0)+IF(AK570&lt;AL570,1,0)+IF(AM570&lt;AN570,1,0)</f>
        <v>2</v>
      </c>
      <c r="AX572" s="75">
        <f>BA570</f>
        <v>0</v>
      </c>
      <c r="AY572" s="75">
        <f>IF(AI571&lt;AJ571,1,0)+IF(AK571&lt;AL571,1,0)+IF(AM571&lt;AN571,1,0)</f>
        <v>0</v>
      </c>
      <c r="AZ572" s="75">
        <f>BA571</f>
        <v>2</v>
      </c>
      <c r="BA572" s="78"/>
      <c r="BB572" s="79"/>
      <c r="BE572" s="74">
        <f>AP570+AR570+AT570+AP571+AR571+AT571</f>
        <v>74</v>
      </c>
      <c r="BF572" s="80">
        <f>AO570+AQ570+AS570+AO571+AQ571+AS571</f>
        <v>81</v>
      </c>
      <c r="BG572" s="74">
        <f>AW572+AY572</f>
        <v>2</v>
      </c>
      <c r="BH572" s="80">
        <f>AX572+AZ572</f>
        <v>2</v>
      </c>
      <c r="BI572" s="74">
        <f>IF(AW572&gt;AX572,1,0)+IF(AY572&gt;AZ572,1,0)</f>
        <v>1</v>
      </c>
      <c r="BJ572" s="81">
        <f>IF(AX572&gt;AW572,1,0)+IF(AZ572&gt;AY572,1,0)</f>
        <v>1</v>
      </c>
      <c r="BK572" s="82">
        <f>IF(BI572+BJ572=0,"",IF(BL572=MAX(BL570:BL572),1,IF(BL572=MIN(BL570:BL572),3,2)))</f>
        <v>2</v>
      </c>
      <c r="BL572" s="60">
        <f>IF(BI572+BJ572&lt;&gt;0,BI572+1+(BG572-BH572)/100+(BE572-BF572)/100000+(BE572/BF572)/1000000,0)</f>
        <v>1.999930913580247</v>
      </c>
    </row>
    <row r="573" spans="1:64" ht="11.45" customHeight="1" x14ac:dyDescent="0.2">
      <c r="A573" s="2"/>
      <c r="J573" s="28"/>
      <c r="K573" s="28"/>
      <c r="L573" s="28"/>
      <c r="O573" s="28"/>
      <c r="P573" s="28"/>
      <c r="Q573" s="2"/>
      <c r="R573" s="2"/>
      <c r="S573" s="2"/>
      <c r="T573" s="241">
        <v>3</v>
      </c>
      <c r="U573" s="244" t="str">
        <f>IF(AND(N574&lt;&gt;"",N575&lt;&gt;""),CONCATENATE(VLOOKUP(N574,[1]zawodnicy!$A$1:$E$65536,1,FALSE)," ",VLOOKUP(N574,[1]zawodnicy!$A$1:$E$65536,2,FALSE)," ",VLOOKUP(N574,[1]zawodnicy!$A$1:$E$65536,3,FALSE)," - ",VLOOKUP(N574,[1]zawodnicy!$A$1:$E$65536,4,FALSE)),"")</f>
        <v>X05 Alesia  KRAMCHANINA - Białoruś</v>
      </c>
      <c r="V573" s="245"/>
      <c r="W573" s="246"/>
      <c r="X573" s="46" t="str">
        <f>IF(SUM(AO570:AP570)=0,"",AP570&amp;":"&amp;AO570)</f>
        <v>21:18</v>
      </c>
      <c r="Y573" s="83" t="str">
        <f>IF(SUM(AO571:AP571)=0,"",AP571&amp;":"&amp;AO571)</f>
        <v>21:23</v>
      </c>
      <c r="Z573" s="84"/>
      <c r="AA573" s="247" t="str">
        <f>IF(SUM(AW572:AZ572)=0,"",BE572&amp;":"&amp;BF572)</f>
        <v>74:81</v>
      </c>
      <c r="AB573" s="250" t="str">
        <f>IF(SUM(AW572:AZ572)=0,"",BG572&amp;":"&amp;BH572)</f>
        <v>2:2</v>
      </c>
      <c r="AC573" s="250" t="str">
        <f>IF(SUM(AW572:AZ572)=0,"",BI572&amp;":"&amp;BJ572)</f>
        <v>1:1</v>
      </c>
      <c r="AD573" s="253">
        <f>IF(SUM(BI570:BI572)&gt;0,BK572,"")</f>
        <v>2</v>
      </c>
      <c r="AE573" s="2"/>
      <c r="AF573" s="12"/>
      <c r="AG573" s="12"/>
      <c r="BE573" s="19">
        <f>SUM(BE570:BE572)</f>
        <v>263</v>
      </c>
      <c r="BF573" s="19">
        <f>SUM(BF570:BF572)</f>
        <v>263</v>
      </c>
      <c r="BG573" s="19">
        <f>SUM(BG570:BG572)</f>
        <v>7</v>
      </c>
      <c r="BH573" s="19">
        <f>SUM(BH570:BH572)</f>
        <v>7</v>
      </c>
      <c r="BK573" s="19"/>
      <c r="BL573" s="20"/>
    </row>
    <row r="574" spans="1:64" ht="11.45" customHeight="1" x14ac:dyDescent="0.2">
      <c r="A574" s="19"/>
      <c r="J574" s="19"/>
      <c r="K574" s="19"/>
      <c r="L574" s="19"/>
      <c r="N574" s="33" t="s">
        <v>322</v>
      </c>
      <c r="O574" s="34">
        <f>IF(O566&gt;0,(O566&amp;3)*1,"")</f>
        <v>13</v>
      </c>
      <c r="Q574" s="85"/>
      <c r="R574" s="85"/>
      <c r="S574" s="85"/>
      <c r="T574" s="242"/>
      <c r="U574" s="244" t="str">
        <f>IF(AND(N574&lt;&gt;"",N575=""),CONCATENATE(VLOOKUP(N574,[1]zawodnicy!$A$1:$E$65536,1,FALSE)," ",VLOOKUP(N574,[1]zawodnicy!$A$1:$E$65536,2,FALSE)," ",VLOOKUP(N574,[1]zawodnicy!$A$1:$E$65536,3,FALSE)," - ",VLOOKUP(N574,[1]zawodnicy!$A$1:$E$65536,4,FALSE)),"")</f>
        <v/>
      </c>
      <c r="V574" s="245"/>
      <c r="W574" s="246"/>
      <c r="X574" s="61" t="str">
        <f>IF(SUM(AQ570:AR570)=0,"",AR570&amp;":"&amp;AQ570)</f>
        <v>21:19</v>
      </c>
      <c r="Y574" s="36" t="str">
        <f>IF(SUM(AQ571:AR571)=0,"",AR571&amp;":"&amp;AQ571)</f>
        <v>11:21</v>
      </c>
      <c r="Z574" s="86"/>
      <c r="AA574" s="248"/>
      <c r="AB574" s="251"/>
      <c r="AC574" s="251"/>
      <c r="AD574" s="254"/>
      <c r="AE574" s="2"/>
      <c r="AF574" s="12"/>
      <c r="AG574" s="1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row>
    <row r="575" spans="1:64" ht="11.45" customHeight="1" thickBot="1" x14ac:dyDescent="0.25">
      <c r="A575" s="2"/>
      <c r="J575" s="28"/>
      <c r="K575" s="28"/>
      <c r="L575" s="28"/>
      <c r="N575" s="38" t="s">
        <v>294</v>
      </c>
      <c r="O575" s="28"/>
      <c r="P575" s="28"/>
      <c r="Q575" s="2"/>
      <c r="R575" s="2"/>
      <c r="S575" s="2"/>
      <c r="T575" s="243"/>
      <c r="U575" s="256" t="str">
        <f>IF(N575&lt;&gt;"",CONCATENATE(VLOOKUP(N575,[1]zawodnicy!$A$1:$E$65536,1,FALSE)," ",VLOOKUP(N575,[1]zawodnicy!$A$1:$E$65536,2,FALSE)," ",VLOOKUP(N575,[1]zawodnicy!$A$1:$E$65536,3,FALSE)," - ",VLOOKUP(N575,[1]zawodnicy!$A$1:$E$65536,4,FALSE)),"")</f>
        <v>P4820 Aleksandra PAJĄK - MKS Orlicz Suchedniów</v>
      </c>
      <c r="V575" s="257"/>
      <c r="W575" s="258"/>
      <c r="X575" s="87" t="str">
        <f>IF(SUM(AS570:AT570)=0,"",AT570&amp;":"&amp;AS570)</f>
        <v/>
      </c>
      <c r="Y575" s="88" t="str">
        <f>IF(SUM(AS571:AT571)=0,"",AT571&amp;":"&amp;AS571)</f>
        <v/>
      </c>
      <c r="Z575" s="89"/>
      <c r="AA575" s="249"/>
      <c r="AB575" s="252"/>
      <c r="AC575" s="252"/>
      <c r="AD575" s="255"/>
      <c r="AE575" s="10"/>
      <c r="AF575" s="12"/>
      <c r="AG575" s="1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row>
    <row r="576" spans="1:64" ht="3" customHeight="1" thickBot="1" x14ac:dyDescent="0.25"/>
    <row r="577" spans="1:64" ht="11.45" customHeight="1" thickBot="1" x14ac:dyDescent="0.25">
      <c r="N577" s="11"/>
      <c r="O577" s="21">
        <v>2</v>
      </c>
      <c r="Q577" s="277" t="str">
        <f>"Grupa "&amp;O577&amp;"."</f>
        <v>Grupa 2.</v>
      </c>
      <c r="R577" s="277"/>
      <c r="S577" s="277"/>
      <c r="T577" s="22" t="s">
        <v>1</v>
      </c>
      <c r="U577" s="278" t="s">
        <v>2</v>
      </c>
      <c r="V577" s="279"/>
      <c r="W577" s="280"/>
      <c r="X577" s="22">
        <v>1</v>
      </c>
      <c r="Y577" s="23">
        <v>2</v>
      </c>
      <c r="Z577" s="24">
        <v>3</v>
      </c>
      <c r="AA577" s="25" t="s">
        <v>3</v>
      </c>
      <c r="AB577" s="26" t="s">
        <v>4</v>
      </c>
      <c r="AC577" s="26" t="s">
        <v>5</v>
      </c>
      <c r="AD577" s="27" t="s">
        <v>6</v>
      </c>
      <c r="AE577" s="2"/>
      <c r="AF577" s="12"/>
      <c r="AG577" s="12"/>
      <c r="BK577" s="19"/>
      <c r="BL577" s="20"/>
    </row>
    <row r="578" spans="1:64" ht="11.45" customHeight="1" x14ac:dyDescent="0.2">
      <c r="J578" s="28"/>
      <c r="K578" s="28"/>
      <c r="L578" s="28"/>
      <c r="N578" s="29" t="s">
        <v>321</v>
      </c>
      <c r="Q578" s="274" t="s">
        <v>7</v>
      </c>
      <c r="R578" s="274"/>
      <c r="S578" s="275" t="s">
        <v>8</v>
      </c>
      <c r="T578" s="276">
        <v>1</v>
      </c>
      <c r="U578" s="244" t="str">
        <f>IF(AND(N579&lt;&gt;"",N580&lt;&gt;""),CONCATENATE(VLOOKUP(N579,[1]zawodnicy!$A$1:$E$65536,1,FALSE)," ",VLOOKUP(N579,[1]zawodnicy!$A$1:$E$65536,2,FALSE)," ",VLOOKUP(N579,[1]zawodnicy!$A$1:$E$65536,3,FALSE)," - ",VLOOKUP(N579,[1]zawodnicy!$A$1:$E$65536,4,FALSE)),"")</f>
        <v>J5024 Zuzanna JANKOWSKA - MKS Strzelce Opolskie</v>
      </c>
      <c r="V578" s="245"/>
      <c r="W578" s="246"/>
      <c r="X578" s="30"/>
      <c r="Y578" s="31" t="str">
        <f>IF(SUM(AO583:AP583)=0,"",AO583&amp;":"&amp;AP583)</f>
        <v>21:7</v>
      </c>
      <c r="Z578" s="32" t="str">
        <f>IF(SUM(AO581:AP581)=0,"",AO581&amp;":"&amp;AP581)</f>
        <v>21:17</v>
      </c>
      <c r="AA578" s="270" t="str">
        <f>IF(SUM(AY581:BB581)=0,"",BE581&amp;":"&amp;BF581)</f>
        <v>84:56</v>
      </c>
      <c r="AB578" s="271" t="str">
        <f>IF(SUM(AY581:BB581)=0,"",BG581&amp;":"&amp;BH581)</f>
        <v>4:0</v>
      </c>
      <c r="AC578" s="271" t="str">
        <f>IF(SUM(AY581:BB581)=0,"",BI581&amp;":"&amp;BJ581)</f>
        <v>2:0</v>
      </c>
      <c r="AD578" s="272">
        <f>IF(SUM(BI581:BI583)&gt;0,BK581,"")</f>
        <v>1</v>
      </c>
      <c r="AE578" s="2"/>
      <c r="AF578" s="12"/>
      <c r="AG578" s="12"/>
      <c r="AH578" s="14"/>
      <c r="AI578" s="273" t="s">
        <v>9</v>
      </c>
      <c r="AJ578" s="273"/>
      <c r="AK578" s="273"/>
      <c r="AL578" s="273"/>
      <c r="AM578" s="273"/>
      <c r="AN578" s="273"/>
      <c r="AO578" s="273" t="s">
        <v>10</v>
      </c>
      <c r="AP578" s="273"/>
      <c r="AQ578" s="273"/>
      <c r="AR578" s="273"/>
      <c r="AS578" s="273"/>
      <c r="AT578" s="273"/>
      <c r="BK578" s="19"/>
      <c r="BL578" s="20"/>
    </row>
    <row r="579" spans="1:64" ht="11.45" customHeight="1" thickBot="1" x14ac:dyDescent="0.25">
      <c r="I579" s="2" t="str">
        <f>"1"&amp;O577&amp;N578</f>
        <v>12podwójna dziewcząt MM</v>
      </c>
      <c r="J579" s="10" t="str">
        <f>IF(AD578="","",IF(AD578=1,N579,IF(AD581=1,N582,IF(AD584=1,N585,""))))</f>
        <v>J5024</v>
      </c>
      <c r="K579" s="10" t="str">
        <f>IF(AD578="","",IF(AD578=1,N580,IF(AD581=1,N583,IF(AD584=1,N586,""))))</f>
        <v>K5208</v>
      </c>
      <c r="L579" s="10"/>
      <c r="N579" s="33" t="s">
        <v>307</v>
      </c>
      <c r="O579" s="34">
        <f>IF(O577&gt;0,(O577&amp;1)*1,"")</f>
        <v>21</v>
      </c>
      <c r="Q579" s="274"/>
      <c r="R579" s="274"/>
      <c r="S579" s="275"/>
      <c r="T579" s="242"/>
      <c r="U579" s="244" t="str">
        <f>IF(AND(N579&lt;&gt;"",N580=""),CONCATENATE(VLOOKUP(N579,[1]zawodnicy!$A$1:$E$65536,1,FALSE)," ",VLOOKUP(N579,[1]zawodnicy!$A$1:$E$65536,2,FALSE)," ",VLOOKUP(N579,[1]zawodnicy!$A$1:$E$65536,3,FALSE)," - ",VLOOKUP(N579,[1]zawodnicy!$A$1:$E$65536,4,FALSE)),"")</f>
        <v/>
      </c>
      <c r="V579" s="245"/>
      <c r="W579" s="246"/>
      <c r="X579" s="35"/>
      <c r="Y579" s="36" t="str">
        <f>IF(SUM(AQ583:AR583)=0,"",AQ583&amp;":"&amp;AR583)</f>
        <v>21:14</v>
      </c>
      <c r="Z579" s="37" t="str">
        <f>IF(SUM(AQ581:AR581)=0,"",AQ581&amp;":"&amp;AR581)</f>
        <v>21:18</v>
      </c>
      <c r="AA579" s="248"/>
      <c r="AB579" s="251"/>
      <c r="AC579" s="251"/>
      <c r="AD579" s="254"/>
      <c r="AE579" s="2"/>
      <c r="AF579" s="12"/>
      <c r="AG579" s="12"/>
      <c r="AH579" s="14"/>
      <c r="BE579" s="19">
        <f>SUM(BE581:BE583)</f>
        <v>250</v>
      </c>
      <c r="BF579" s="19">
        <f>SUM(BF581:BF583)</f>
        <v>250</v>
      </c>
      <c r="BG579" s="19">
        <f>SUM(BG581:BG583)</f>
        <v>7</v>
      </c>
      <c r="BH579" s="19">
        <f>SUM(BH581:BH583)</f>
        <v>7</v>
      </c>
      <c r="BK579" s="19"/>
      <c r="BL579" s="20"/>
    </row>
    <row r="580" spans="1:64" ht="11.45" customHeight="1" thickBot="1" x14ac:dyDescent="0.25">
      <c r="J580" s="10"/>
      <c r="K580" s="28"/>
      <c r="L580" s="28"/>
      <c r="N580" s="38" t="s">
        <v>282</v>
      </c>
      <c r="O580" s="28"/>
      <c r="P580" s="28"/>
      <c r="Q580" s="274"/>
      <c r="R580" s="274"/>
      <c r="S580" s="275"/>
      <c r="T580" s="261"/>
      <c r="U580" s="265" t="str">
        <f>IF(N580&lt;&gt;"",CONCATENATE(VLOOKUP(N580,[1]zawodnicy!$A$1:$E$65536,1,FALSE)," ",VLOOKUP(N580,[1]zawodnicy!$A$1:$E$65536,2,FALSE)," ",VLOOKUP(N580,[1]zawodnicy!$A$1:$E$65536,3,FALSE)," - ",VLOOKUP(N580,[1]zawodnicy!$A$1:$E$65536,4,FALSE)),"")</f>
        <v>K5208 Dominika KWAŚNIK - UKS Feniks Kędzierzyn-Koźle</v>
      </c>
      <c r="V580" s="266"/>
      <c r="W580" s="267"/>
      <c r="X580" s="35"/>
      <c r="Y580" s="39" t="str">
        <f>IF(SUM(AS583:AT583)=0,"",AS583&amp;":"&amp;AT583)</f>
        <v/>
      </c>
      <c r="Z580" s="40" t="str">
        <f>IF(SUM(AS581:AT581)=0,"",AS581&amp;":"&amp;AT581)</f>
        <v/>
      </c>
      <c r="AA580" s="262"/>
      <c r="AB580" s="263"/>
      <c r="AC580" s="263"/>
      <c r="AD580" s="264"/>
      <c r="AE580" s="2"/>
      <c r="AF580" s="12"/>
      <c r="AG580" s="12"/>
      <c r="AH580" s="14"/>
      <c r="AI580" s="259" t="s">
        <v>12</v>
      </c>
      <c r="AJ580" s="269"/>
      <c r="AK580" s="268" t="s">
        <v>13</v>
      </c>
      <c r="AL580" s="269"/>
      <c r="AM580" s="268" t="s">
        <v>14</v>
      </c>
      <c r="AN580" s="260"/>
      <c r="AO580" s="259" t="s">
        <v>12</v>
      </c>
      <c r="AP580" s="269"/>
      <c r="AQ580" s="268" t="s">
        <v>13</v>
      </c>
      <c r="AR580" s="269"/>
      <c r="AS580" s="268" t="s">
        <v>14</v>
      </c>
      <c r="AT580" s="269"/>
      <c r="AU580" s="12"/>
      <c r="AV580" s="12"/>
      <c r="AW580" s="259">
        <v>1</v>
      </c>
      <c r="AX580" s="269"/>
      <c r="AY580" s="268">
        <v>2</v>
      </c>
      <c r="AZ580" s="269"/>
      <c r="BA580" s="268">
        <v>3</v>
      </c>
      <c r="BB580" s="260"/>
      <c r="BE580" s="259" t="s">
        <v>3</v>
      </c>
      <c r="BF580" s="260"/>
      <c r="BG580" s="259" t="s">
        <v>4</v>
      </c>
      <c r="BH580" s="260"/>
      <c r="BI580" s="259" t="s">
        <v>5</v>
      </c>
      <c r="BJ580" s="260"/>
      <c r="BK580" s="41" t="s">
        <v>6</v>
      </c>
      <c r="BL580" s="20"/>
    </row>
    <row r="581" spans="1:64" ht="11.45" customHeight="1" x14ac:dyDescent="0.2">
      <c r="A581" s="19">
        <f>S581</f>
        <v>87</v>
      </c>
      <c r="B581" s="2" t="str">
        <f>IF(N579="","",N579)</f>
        <v>J5024</v>
      </c>
      <c r="C581" s="2" t="str">
        <f>IF(N580="","",N580)</f>
        <v>K5208</v>
      </c>
      <c r="D581" s="2" t="str">
        <f>IF(N585="","",N585)</f>
        <v>X31</v>
      </c>
      <c r="E581" s="2" t="str">
        <f>IF(N586="","",N586)</f>
        <v>X32</v>
      </c>
      <c r="I581" s="2" t="str">
        <f>"2"&amp;O577&amp;N578</f>
        <v>22podwójna dziewcząt MM</v>
      </c>
      <c r="J581" s="10" t="str">
        <f>IF(AD581="","",IF(AD578=2,N579,IF(AD581=2,N582,IF(AD584=2,N585,""))))</f>
        <v>X31</v>
      </c>
      <c r="K581" s="10" t="str">
        <f>IF(AD581="","",IF(AD578=2,N580,IF(AD581=2,N583,IF(AD584=2,N586,""))))</f>
        <v>X32</v>
      </c>
      <c r="M581" s="42" t="str">
        <f>N578</f>
        <v>podwójna dziewcząt MM</v>
      </c>
      <c r="O581" s="28"/>
      <c r="P581" s="28"/>
      <c r="Q581" s="43" t="str">
        <f>IF(AU581&gt;0,"",IF(A581=0,"",IF(VLOOKUP(A581,'[1]plan gier'!A$1:S$65536,19,FALSE)="","",VLOOKUP(A581,'[1]plan gier'!A$1:S$65536,19,FALSE))))</f>
        <v/>
      </c>
      <c r="R581" s="44" t="s">
        <v>15</v>
      </c>
      <c r="S581" s="45">
        <v>87</v>
      </c>
      <c r="T581" s="241">
        <v>2</v>
      </c>
      <c r="U581" s="244" t="str">
        <f>IF(AND(N582&lt;&gt;"",N583&lt;&gt;""),CONCATENATE(VLOOKUP(N582,[1]zawodnicy!$A$1:$E$65536,1,FALSE)," ",VLOOKUP(N582,[1]zawodnicy!$A$1:$E$65536,2,FALSE)," ",VLOOKUP(N582,[1]zawodnicy!$A$1:$E$65536,3,FALSE)," - ",VLOOKUP(N582,[1]zawodnicy!$A$1:$E$65536,4,FALSE)),"")</f>
        <v>X25 Yana  HALYTSKA - Vinnica Ukraina</v>
      </c>
      <c r="V581" s="245"/>
      <c r="W581" s="246"/>
      <c r="X581" s="46" t="str">
        <f>IF(SUM(AO583:AP583)=0,"",AP583&amp;":"&amp;AO583)</f>
        <v>7:21</v>
      </c>
      <c r="Y581" s="47"/>
      <c r="Z581" s="48" t="str">
        <f>IF(SUM(AO582:AP582)=0,"",AO582&amp;":"&amp;AP582)</f>
        <v>19:21</v>
      </c>
      <c r="AA581" s="247" t="str">
        <f>IF(SUM(AW582:AX582,BA582:BB582)=0,"",BE582&amp;":"&amp;BF582)</f>
        <v>70:103</v>
      </c>
      <c r="AB581" s="250" t="str">
        <f>IF(SUM(AW582:AX582,BA582:BB582)=0,"",BG582&amp;":"&amp;BH582)</f>
        <v>1:4</v>
      </c>
      <c r="AC581" s="250" t="str">
        <f>IF(SUM(AW582:AX582,BA582:BB582)=0,"",BI582&amp;":"&amp;BJ582)</f>
        <v>0:2</v>
      </c>
      <c r="AD581" s="253">
        <f>IF(SUM(BI581:BI583)&gt;0,BK582,"")</f>
        <v>3</v>
      </c>
      <c r="AE581" s="2"/>
      <c r="AF581" s="12"/>
      <c r="AG581" s="12"/>
      <c r="AH581" s="44" t="s">
        <v>15</v>
      </c>
      <c r="AI581" s="49">
        <f>IF(ISBLANK(S581),"",VLOOKUP(S581,'[1]plan gier'!$X$1:$AN$65536,12,FALSE))</f>
        <v>21</v>
      </c>
      <c r="AJ581" s="50">
        <f>IF(ISBLANK(S581),"",VLOOKUP(S581,'[1]plan gier'!$X$1:$AN$65536,13,FALSE))</f>
        <v>17</v>
      </c>
      <c r="AK581" s="50">
        <f>IF(ISBLANK(S581),"",VLOOKUP(S581,'[1]plan gier'!$X$1:$AN$65536,14,FALSE))</f>
        <v>21</v>
      </c>
      <c r="AL581" s="50">
        <f>IF(ISBLANK(S581),"",VLOOKUP(S581,'[1]plan gier'!$X$1:$AN$65536,15,FALSE))</f>
        <v>18</v>
      </c>
      <c r="AM581" s="50">
        <f>IF(ISBLANK(S581),"",VLOOKUP(S581,'[1]plan gier'!$X$1:$AN$65536,16,FALSE))</f>
        <v>0</v>
      </c>
      <c r="AN581" s="50">
        <f>IF(ISBLANK(S581),"",VLOOKUP(S581,'[1]plan gier'!$X$1:$AN$65536,17,FALSE))</f>
        <v>0</v>
      </c>
      <c r="AO581" s="51">
        <f t="shared" ref="AO581:AT583" si="55">IF(AI581="",0,AI581)</f>
        <v>21</v>
      </c>
      <c r="AP581" s="52">
        <f t="shared" si="55"/>
        <v>17</v>
      </c>
      <c r="AQ581" s="53">
        <f t="shared" si="55"/>
        <v>21</v>
      </c>
      <c r="AR581" s="52">
        <f t="shared" si="55"/>
        <v>18</v>
      </c>
      <c r="AS581" s="53">
        <f t="shared" si="55"/>
        <v>0</v>
      </c>
      <c r="AT581" s="52">
        <f t="shared" si="55"/>
        <v>0</v>
      </c>
      <c r="AU581" s="54">
        <f>SUM(AO581:AT581)</f>
        <v>77</v>
      </c>
      <c r="AV581" s="13">
        <v>1</v>
      </c>
      <c r="AW581" s="55"/>
      <c r="AX581" s="56"/>
      <c r="AY581" s="50">
        <f>IF(AI583&gt;AJ583,1,0)+IF(AK583&gt;AL583,1,0)+IF(AM583&gt;AN583,1,0)</f>
        <v>2</v>
      </c>
      <c r="AZ581" s="50">
        <f>AW582</f>
        <v>0</v>
      </c>
      <c r="BA581" s="50">
        <f>IF(AI581&gt;AJ581,1,0)+IF(AK581&gt;AL581,1,0)+IF(AM581&gt;AN581,1,0)</f>
        <v>2</v>
      </c>
      <c r="BB581" s="57">
        <f>AW583</f>
        <v>0</v>
      </c>
      <c r="BE581" s="49">
        <f>AO581+AQ581+AS581+AO583+AQ583+AS583</f>
        <v>84</v>
      </c>
      <c r="BF581" s="57">
        <f>AP581+AR581+AT581+AP583+AR583+AT583</f>
        <v>56</v>
      </c>
      <c r="BG581" s="49">
        <f>AY581+BA581</f>
        <v>4</v>
      </c>
      <c r="BH581" s="57">
        <f>AZ581+BB581</f>
        <v>0</v>
      </c>
      <c r="BI581" s="49">
        <f>IF(AY581&gt;AZ581,1,0)+IF(BA581&gt;BB581,1,0)</f>
        <v>2</v>
      </c>
      <c r="BJ581" s="58">
        <f>IF(AZ581&gt;AY581,1,0)+IF(BB581&gt;BA581,1,0)</f>
        <v>0</v>
      </c>
      <c r="BK581" s="59">
        <f>IF(BI581+BJ581=0,"",IF(BL581=MAX(BL581:BL583),1,IF(BL581=MIN(BL581:BL583),3,2)))</f>
        <v>1</v>
      </c>
      <c r="BL581" s="60">
        <f>IF(BI581+BJ581&lt;&gt;0,BI581+1+(BG581-BH581)/100+(BE581-BF581)/100000+(BE581/BF581)/1000000,0)</f>
        <v>3.0402815000000003</v>
      </c>
    </row>
    <row r="582" spans="1:64" ht="11.45" customHeight="1" x14ac:dyDescent="0.2">
      <c r="A582" s="19">
        <f>S582</f>
        <v>153</v>
      </c>
      <c r="B582" s="2" t="str">
        <f>IF(N582="","",N582)</f>
        <v>X25</v>
      </c>
      <c r="C582" s="2" t="str">
        <f>IF(N583="","",N583)</f>
        <v>X43</v>
      </c>
      <c r="D582" s="2" t="str">
        <f>IF(N585="","",N585)</f>
        <v>X31</v>
      </c>
      <c r="E582" s="2" t="str">
        <f>IF(N586="","",N586)</f>
        <v>X32</v>
      </c>
      <c r="J582" s="10"/>
      <c r="K582" s="19"/>
      <c r="M582" s="42" t="str">
        <f>N578</f>
        <v>podwójna dziewcząt MM</v>
      </c>
      <c r="N582" s="33" t="s">
        <v>317</v>
      </c>
      <c r="O582" s="34">
        <f>IF(O577&gt;0,(O577&amp;2)*1,"")</f>
        <v>22</v>
      </c>
      <c r="Q582" s="43" t="str">
        <f>IF(AU582&gt;0,"",IF(A582=0,"",IF(VLOOKUP(A582,'[1]plan gier'!A$1:S$65536,19,FALSE)="","",VLOOKUP(A582,'[1]plan gier'!A$1:S$65536,19,FALSE))))</f>
        <v/>
      </c>
      <c r="R582" s="44" t="s">
        <v>17</v>
      </c>
      <c r="S582" s="45">
        <v>153</v>
      </c>
      <c r="T582" s="242"/>
      <c r="U582" s="244" t="str">
        <f>IF(AND(N582&lt;&gt;"",N583=""),CONCATENATE(VLOOKUP(N582,[1]zawodnicy!$A$1:$E$65536,1,FALSE)," ",VLOOKUP(N582,[1]zawodnicy!$A$1:$E$65536,2,FALSE)," ",VLOOKUP(N582,[1]zawodnicy!$A$1:$E$65536,3,FALSE)," - ",VLOOKUP(N582,[1]zawodnicy!$A$1:$E$65536,4,FALSE)),"")</f>
        <v/>
      </c>
      <c r="V582" s="245"/>
      <c r="W582" s="246"/>
      <c r="X582" s="61" t="str">
        <f>IF(SUM(AQ583:AR583)=0,"",AR583&amp;":"&amp;AQ583)</f>
        <v>14:21</v>
      </c>
      <c r="Y582" s="62"/>
      <c r="Z582" s="37" t="str">
        <f>IF(SUM(AQ582:AR582)=0,"",AQ582&amp;":"&amp;AR582)</f>
        <v>21:19</v>
      </c>
      <c r="AA582" s="248"/>
      <c r="AB582" s="251"/>
      <c r="AC582" s="251"/>
      <c r="AD582" s="254"/>
      <c r="AE582" s="2"/>
      <c r="AF582" s="12"/>
      <c r="AG582" s="12"/>
      <c r="AH582" s="44" t="s">
        <v>17</v>
      </c>
      <c r="AI582" s="63">
        <f>IF(ISBLANK(S582),"",VLOOKUP(S582,'[1]plan gier'!$X$1:$AN$65536,12,FALSE))</f>
        <v>19</v>
      </c>
      <c r="AJ582" s="64">
        <f>IF(ISBLANK(S582),"",VLOOKUP(S582,'[1]plan gier'!$X$1:$AN$65536,13,FALSE))</f>
        <v>21</v>
      </c>
      <c r="AK582" s="64">
        <f>IF(ISBLANK(S582),"",VLOOKUP(S582,'[1]plan gier'!$X$1:$AN$65536,14,FALSE))</f>
        <v>21</v>
      </c>
      <c r="AL582" s="64">
        <f>IF(ISBLANK(S582),"",VLOOKUP(S582,'[1]plan gier'!$X$1:$AN$65536,15,FALSE))</f>
        <v>19</v>
      </c>
      <c r="AM582" s="64">
        <f>IF(ISBLANK(S582),"",VLOOKUP(S582,'[1]plan gier'!$X$1:$AN$65536,16,FALSE))</f>
        <v>9</v>
      </c>
      <c r="AN582" s="64">
        <f>IF(ISBLANK(S582),"",VLOOKUP(S582,'[1]plan gier'!$X$1:$AN$65536,17,FALSE))</f>
        <v>21</v>
      </c>
      <c r="AO582" s="65">
        <f t="shared" si="55"/>
        <v>19</v>
      </c>
      <c r="AP582" s="64">
        <f t="shared" si="55"/>
        <v>21</v>
      </c>
      <c r="AQ582" s="66">
        <f t="shared" si="55"/>
        <v>21</v>
      </c>
      <c r="AR582" s="64">
        <f t="shared" si="55"/>
        <v>19</v>
      </c>
      <c r="AS582" s="66">
        <f t="shared" si="55"/>
        <v>9</v>
      </c>
      <c r="AT582" s="64">
        <f t="shared" si="55"/>
        <v>21</v>
      </c>
      <c r="AU582" s="54">
        <f>SUM(AO582:AT582)</f>
        <v>110</v>
      </c>
      <c r="AV582" s="13">
        <v>2</v>
      </c>
      <c r="AW582" s="63">
        <f>IF(AI583&lt;AJ583,1,0)+IF(AK583&lt;AL583,1,0)+IF(AM583&lt;AN583,1,0)</f>
        <v>0</v>
      </c>
      <c r="AX582" s="64">
        <f>AY581</f>
        <v>2</v>
      </c>
      <c r="AY582" s="67"/>
      <c r="AZ582" s="68"/>
      <c r="BA582" s="64">
        <f>IF(AI582&gt;AJ582,1,0)+IF(AK582&gt;AL582,1,0)+IF(AM582&gt;AN582,1,0)</f>
        <v>1</v>
      </c>
      <c r="BB582" s="69">
        <f>AY583</f>
        <v>2</v>
      </c>
      <c r="BE582" s="63">
        <f>AO582+AQ582+AS582+AP583+AR583+AT583</f>
        <v>70</v>
      </c>
      <c r="BF582" s="69">
        <f>AP582+AR582+AT582+AO583+AQ583+AS583</f>
        <v>103</v>
      </c>
      <c r="BG582" s="63">
        <f>AW582+BA582</f>
        <v>1</v>
      </c>
      <c r="BH582" s="69">
        <f>AX582+BB582</f>
        <v>4</v>
      </c>
      <c r="BI582" s="63">
        <f>IF(AW582&gt;AX582,1,0)+IF(BA582&gt;BB582,1,0)</f>
        <v>0</v>
      </c>
      <c r="BJ582" s="70">
        <f>IF(AX582&gt;AW582,1,0)+IF(BB582&gt;BA582,1,0)</f>
        <v>2</v>
      </c>
      <c r="BK582" s="71">
        <f>IF(BI582+BJ582=0,"",IF(BL582=MAX(BL581:BL583),1,IF(BL582=MIN(BL581:BL583),3,2)))</f>
        <v>3</v>
      </c>
      <c r="BL582" s="60">
        <f>IF(BI582+BJ582&lt;&gt;0,BI582+1+(BG582-BH582)/100+(BE582-BF582)/100000+(BE582/BF582)/1000000,0)</f>
        <v>0.96967067961165043</v>
      </c>
    </row>
    <row r="583" spans="1:64" ht="11.45" customHeight="1" thickBot="1" x14ac:dyDescent="0.25">
      <c r="A583" s="19">
        <f>S583</f>
        <v>206</v>
      </c>
      <c r="B583" s="2" t="str">
        <f>IF(N579="","",N579)</f>
        <v>J5024</v>
      </c>
      <c r="C583" s="2" t="str">
        <f>IF(N580="","",N580)</f>
        <v>K5208</v>
      </c>
      <c r="D583" s="2" t="str">
        <f>IF(N582="","",N582)</f>
        <v>X25</v>
      </c>
      <c r="E583" s="2" t="str">
        <f>IF(N583="","",N583)</f>
        <v>X43</v>
      </c>
      <c r="I583" s="2" t="str">
        <f>"3"&amp;O577&amp;N578</f>
        <v>32podwójna dziewcząt MM</v>
      </c>
      <c r="J583" s="10" t="str">
        <f>IF(AD584="","",IF(AD578=3,N579,IF(AD581=3,N582,IF(AD584=3,N585,""))))</f>
        <v>X25</v>
      </c>
      <c r="K583" s="10" t="str">
        <f>IF(AD584="","",IF(AD578=3,N580,IF(AD581=3,N583,IF(AD584=3,N586,""))))</f>
        <v>X43</v>
      </c>
      <c r="M583" s="42" t="str">
        <f>N578</f>
        <v>podwójna dziewcząt MM</v>
      </c>
      <c r="N583" s="38" t="s">
        <v>308</v>
      </c>
      <c r="O583" s="28"/>
      <c r="P583" s="28"/>
      <c r="Q583" s="43" t="str">
        <f>IF(AU583&gt;0,"",IF(A583=0,"",IF(VLOOKUP(A583,'[1]plan gier'!A$1:S$65536,19,FALSE)="","",VLOOKUP(A583,'[1]plan gier'!A$1:S$65536,19,FALSE))))</f>
        <v/>
      </c>
      <c r="R583" s="72" t="s">
        <v>18</v>
      </c>
      <c r="S583" s="45">
        <v>206</v>
      </c>
      <c r="T583" s="261"/>
      <c r="U583" s="265" t="str">
        <f>IF(N583&lt;&gt;"",CONCATENATE(VLOOKUP(N583,[1]zawodnicy!$A$1:$E$65536,1,FALSE)," ",VLOOKUP(N583,[1]zawodnicy!$A$1:$E$65536,2,FALSE)," ",VLOOKUP(N583,[1]zawodnicy!$A$1:$E$65536,3,FALSE)," - ",VLOOKUP(N583,[1]zawodnicy!$A$1:$E$65536,4,FALSE)),"")</f>
        <v>X43 Marta PROSTAK - Lwów Ukraina</v>
      </c>
      <c r="V583" s="266"/>
      <c r="W583" s="267"/>
      <c r="X583" s="73" t="str">
        <f>IF(SUM(AS583:AT583)=0,"",AT583&amp;":"&amp;AS583)</f>
        <v/>
      </c>
      <c r="Y583" s="62"/>
      <c r="Z583" s="40" t="str">
        <f>IF(SUM(AS582:AT582)=0,"",AS582&amp;":"&amp;AT582)</f>
        <v>9:21</v>
      </c>
      <c r="AA583" s="262"/>
      <c r="AB583" s="263"/>
      <c r="AC583" s="263"/>
      <c r="AD583" s="264"/>
      <c r="AE583" s="2"/>
      <c r="AF583" s="12"/>
      <c r="AG583" s="12"/>
      <c r="AH583" s="72" t="s">
        <v>18</v>
      </c>
      <c r="AI583" s="74">
        <f>IF(ISBLANK(S583),"",VLOOKUP(S583,'[1]plan gier'!$X$1:$AN$65536,12,FALSE))</f>
        <v>21</v>
      </c>
      <c r="AJ583" s="75">
        <f>IF(ISBLANK(S583),"",VLOOKUP(S583,'[1]plan gier'!$X$1:$AN$65536,13,FALSE))</f>
        <v>7</v>
      </c>
      <c r="AK583" s="75">
        <f>IF(ISBLANK(S583),"",VLOOKUP(S583,'[1]plan gier'!$X$1:$AN$65536,14,FALSE))</f>
        <v>21</v>
      </c>
      <c r="AL583" s="75">
        <f>IF(ISBLANK(S583),"",VLOOKUP(S583,'[1]plan gier'!$X$1:$AN$65536,15,FALSE))</f>
        <v>14</v>
      </c>
      <c r="AM583" s="75">
        <f>IF(ISBLANK(S583),"",VLOOKUP(S583,'[1]plan gier'!$X$1:$AN$65536,16,FALSE))</f>
        <v>0</v>
      </c>
      <c r="AN583" s="75">
        <f>IF(ISBLANK(S583),"",VLOOKUP(S583,'[1]plan gier'!$X$1:$AN$65536,17,FALSE))</f>
        <v>0</v>
      </c>
      <c r="AO583" s="76">
        <f t="shared" si="55"/>
        <v>21</v>
      </c>
      <c r="AP583" s="75">
        <f t="shared" si="55"/>
        <v>7</v>
      </c>
      <c r="AQ583" s="77">
        <f t="shared" si="55"/>
        <v>21</v>
      </c>
      <c r="AR583" s="75">
        <f t="shared" si="55"/>
        <v>14</v>
      </c>
      <c r="AS583" s="77">
        <f t="shared" si="55"/>
        <v>0</v>
      </c>
      <c r="AT583" s="75">
        <f t="shared" si="55"/>
        <v>0</v>
      </c>
      <c r="AU583" s="54">
        <f>SUM(AO583:AT583)</f>
        <v>63</v>
      </c>
      <c r="AV583" s="13">
        <v>3</v>
      </c>
      <c r="AW583" s="74">
        <f>IF(AI581&lt;AJ581,1,0)+IF(AK581&lt;AL581,1,0)+IF(AM581&lt;AN581,1,0)</f>
        <v>0</v>
      </c>
      <c r="AX583" s="75">
        <f>BA581</f>
        <v>2</v>
      </c>
      <c r="AY583" s="75">
        <f>IF(AI582&lt;AJ582,1,0)+IF(AK582&lt;AL582,1,0)+IF(AM582&lt;AN582,1,0)</f>
        <v>2</v>
      </c>
      <c r="AZ583" s="75">
        <f>BA582</f>
        <v>1</v>
      </c>
      <c r="BA583" s="78"/>
      <c r="BB583" s="79"/>
      <c r="BE583" s="74">
        <f>AP581+AR581+AT581+AP582+AR582+AT582</f>
        <v>96</v>
      </c>
      <c r="BF583" s="80">
        <f>AO581+AQ581+AS581+AO582+AQ582+AS582</f>
        <v>91</v>
      </c>
      <c r="BG583" s="74">
        <f>AW583+AY583</f>
        <v>2</v>
      </c>
      <c r="BH583" s="80">
        <f>AX583+AZ583</f>
        <v>3</v>
      </c>
      <c r="BI583" s="74">
        <f>IF(AW583&gt;AX583,1,0)+IF(AY583&gt;AZ583,1,0)</f>
        <v>1</v>
      </c>
      <c r="BJ583" s="81">
        <f>IF(AX583&gt;AW583,1,0)+IF(AZ583&gt;AY583,1,0)</f>
        <v>1</v>
      </c>
      <c r="BK583" s="82">
        <f>IF(BI583+BJ583=0,"",IF(BL583=MAX(BL581:BL583),1,IF(BL583=MIN(BL581:BL583),3,2)))</f>
        <v>2</v>
      </c>
      <c r="BL583" s="60">
        <f>IF(BI583+BJ583&lt;&gt;0,BI583+1+(BG583-BH583)/100+(BE583-BF583)/100000+(BE583/BF583)/1000000,0)</f>
        <v>1.990051054945055</v>
      </c>
    </row>
    <row r="584" spans="1:64" ht="11.45" customHeight="1" x14ac:dyDescent="0.2">
      <c r="A584" s="2"/>
      <c r="J584" s="28"/>
      <c r="K584" s="28"/>
      <c r="L584" s="28"/>
      <c r="O584" s="28"/>
      <c r="P584" s="28"/>
      <c r="Q584" s="2"/>
      <c r="R584" s="2"/>
      <c r="S584" s="2"/>
      <c r="T584" s="241">
        <v>3</v>
      </c>
      <c r="U584" s="244" t="str">
        <f>IF(AND(N585&lt;&gt;"",N586&lt;&gt;""),CONCATENATE(VLOOKUP(N585,[1]zawodnicy!$A$1:$E$65536,1,FALSE)," ",VLOOKUP(N585,[1]zawodnicy!$A$1:$E$65536,2,FALSE)," ",VLOOKUP(N585,[1]zawodnicy!$A$1:$E$65536,3,FALSE)," - ",VLOOKUP(N585,[1]zawodnicy!$A$1:$E$65536,4,FALSE)),"")</f>
        <v>X31 Kseniya MATYSIK - Białoruś</v>
      </c>
      <c r="V584" s="245"/>
      <c r="W584" s="246"/>
      <c r="X584" s="46" t="str">
        <f>IF(SUM(AO581:AP581)=0,"",AP581&amp;":"&amp;AO581)</f>
        <v>17:21</v>
      </c>
      <c r="Y584" s="83" t="str">
        <f>IF(SUM(AO582:AP582)=0,"",AP582&amp;":"&amp;AO582)</f>
        <v>21:19</v>
      </c>
      <c r="Z584" s="84"/>
      <c r="AA584" s="247" t="str">
        <f>IF(SUM(AW583:AZ583)=0,"",BE583&amp;":"&amp;BF583)</f>
        <v>96:91</v>
      </c>
      <c r="AB584" s="250" t="str">
        <f>IF(SUM(AW583:AZ583)=0,"",BG583&amp;":"&amp;BH583)</f>
        <v>2:3</v>
      </c>
      <c r="AC584" s="250" t="str">
        <f>IF(SUM(AW583:AZ583)=0,"",BI583&amp;":"&amp;BJ583)</f>
        <v>1:1</v>
      </c>
      <c r="AD584" s="253">
        <f>IF(SUM(BI581:BI583)&gt;0,BK583,"")</f>
        <v>2</v>
      </c>
      <c r="AE584" s="2"/>
      <c r="AF584" s="12"/>
      <c r="AG584" s="12"/>
      <c r="BE584" s="19">
        <f>SUM(BE581:BE583)</f>
        <v>250</v>
      </c>
      <c r="BF584" s="19">
        <f>SUM(BF581:BF583)</f>
        <v>250</v>
      </c>
      <c r="BG584" s="19">
        <f>SUM(BG581:BG583)</f>
        <v>7</v>
      </c>
      <c r="BH584" s="19">
        <f>SUM(BH581:BH583)</f>
        <v>7</v>
      </c>
      <c r="BK584" s="19"/>
      <c r="BL584" s="20"/>
    </row>
    <row r="585" spans="1:64" ht="11.45" customHeight="1" x14ac:dyDescent="0.2">
      <c r="A585" s="19"/>
      <c r="J585" s="19"/>
      <c r="K585" s="19"/>
      <c r="L585" s="19"/>
      <c r="N585" s="33" t="s">
        <v>302</v>
      </c>
      <c r="O585" s="34">
        <f>IF(O577&gt;0,(O577&amp;3)*1,"")</f>
        <v>23</v>
      </c>
      <c r="Q585" s="85"/>
      <c r="R585" s="85"/>
      <c r="S585" s="85"/>
      <c r="T585" s="242"/>
      <c r="U585" s="244" t="str">
        <f>IF(AND(N585&lt;&gt;"",N586=""),CONCATENATE(VLOOKUP(N585,[1]zawodnicy!$A$1:$E$65536,1,FALSE)," ",VLOOKUP(N585,[1]zawodnicy!$A$1:$E$65536,2,FALSE)," ",VLOOKUP(N585,[1]zawodnicy!$A$1:$E$65536,3,FALSE)," - ",VLOOKUP(N585,[1]zawodnicy!$A$1:$E$65536,4,FALSE)),"")</f>
        <v/>
      </c>
      <c r="V585" s="245"/>
      <c r="W585" s="246"/>
      <c r="X585" s="61" t="str">
        <f>IF(SUM(AQ581:AR581)=0,"",AR581&amp;":"&amp;AQ581)</f>
        <v>18:21</v>
      </c>
      <c r="Y585" s="36" t="str">
        <f>IF(SUM(AQ582:AR582)=0,"",AR582&amp;":"&amp;AQ582)</f>
        <v>19:21</v>
      </c>
      <c r="Z585" s="86"/>
      <c r="AA585" s="248"/>
      <c r="AB585" s="251"/>
      <c r="AC585" s="251"/>
      <c r="AD585" s="254"/>
      <c r="AE585" s="2"/>
      <c r="AF585" s="12"/>
      <c r="AG585" s="1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row>
    <row r="586" spans="1:64" ht="11.45" customHeight="1" thickBot="1" x14ac:dyDescent="0.25">
      <c r="A586" s="2"/>
      <c r="J586" s="28"/>
      <c r="K586" s="28"/>
      <c r="L586" s="28"/>
      <c r="N586" s="38" t="s">
        <v>312</v>
      </c>
      <c r="O586" s="28"/>
      <c r="P586" s="28"/>
      <c r="Q586" s="2"/>
      <c r="R586" s="2"/>
      <c r="S586" s="2"/>
      <c r="T586" s="243"/>
      <c r="U586" s="256" t="str">
        <f>IF(N586&lt;&gt;"",CONCATENATE(VLOOKUP(N586,[1]zawodnicy!$A$1:$E$65536,1,FALSE)," ",VLOOKUP(N586,[1]zawodnicy!$A$1:$E$65536,2,FALSE)," ",VLOOKUP(N586,[1]zawodnicy!$A$1:$E$65536,3,FALSE)," - ",VLOOKUP(N586,[1]zawodnicy!$A$1:$E$65536,4,FALSE)),"")</f>
        <v>X32 Anastsiya TAMASHEUSKAYA - Białoruś</v>
      </c>
      <c r="V586" s="257"/>
      <c r="W586" s="258"/>
      <c r="X586" s="87" t="str">
        <f>IF(SUM(AS581:AT581)=0,"",AT581&amp;":"&amp;AS581)</f>
        <v/>
      </c>
      <c r="Y586" s="88" t="str">
        <f>IF(SUM(AS582:AT582)=0,"",AT582&amp;":"&amp;AS582)</f>
        <v>21:9</v>
      </c>
      <c r="Z586" s="89"/>
      <c r="AA586" s="249"/>
      <c r="AB586" s="252"/>
      <c r="AC586" s="252"/>
      <c r="AD586" s="255"/>
      <c r="AE586" s="10"/>
      <c r="AF586" s="12"/>
      <c r="AG586" s="1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row>
    <row r="587" spans="1:64" ht="3" customHeight="1" thickBot="1" x14ac:dyDescent="0.25"/>
    <row r="588" spans="1:64" ht="11.45" customHeight="1" thickBot="1" x14ac:dyDescent="0.25">
      <c r="N588" s="11"/>
      <c r="O588" s="21">
        <v>3</v>
      </c>
      <c r="Q588" s="277" t="str">
        <f>"Grupa "&amp;O588&amp;"."</f>
        <v>Grupa 3.</v>
      </c>
      <c r="R588" s="277"/>
      <c r="S588" s="277"/>
      <c r="T588" s="22" t="s">
        <v>1</v>
      </c>
      <c r="U588" s="278" t="s">
        <v>2</v>
      </c>
      <c r="V588" s="279"/>
      <c r="W588" s="280"/>
      <c r="X588" s="22">
        <v>1</v>
      </c>
      <c r="Y588" s="23">
        <v>2</v>
      </c>
      <c r="Z588" s="24">
        <v>3</v>
      </c>
      <c r="AA588" s="25" t="s">
        <v>3</v>
      </c>
      <c r="AB588" s="26" t="s">
        <v>4</v>
      </c>
      <c r="AC588" s="26" t="s">
        <v>5</v>
      </c>
      <c r="AD588" s="27" t="s">
        <v>6</v>
      </c>
      <c r="AE588" s="2"/>
      <c r="AF588" s="12"/>
      <c r="AG588" s="12"/>
      <c r="BK588" s="19"/>
      <c r="BL588" s="20"/>
    </row>
    <row r="589" spans="1:64" ht="11.45" customHeight="1" x14ac:dyDescent="0.2">
      <c r="J589" s="28"/>
      <c r="K589" s="28"/>
      <c r="L589" s="28"/>
      <c r="N589" s="29" t="s">
        <v>321</v>
      </c>
      <c r="Q589" s="274" t="s">
        <v>7</v>
      </c>
      <c r="R589" s="274"/>
      <c r="S589" s="275" t="s">
        <v>8</v>
      </c>
      <c r="T589" s="276">
        <v>1</v>
      </c>
      <c r="U589" s="244" t="str">
        <f>IF(AND(N590&lt;&gt;"",N591&lt;&gt;""),CONCATENATE(VLOOKUP(N590,[1]zawodnicy!$A$1:$E$65536,1,FALSE)," ",VLOOKUP(N590,[1]zawodnicy!$A$1:$E$65536,2,FALSE)," ",VLOOKUP(N590,[1]zawodnicy!$A$1:$E$65536,3,FALSE)," - ",VLOOKUP(N590,[1]zawodnicy!$A$1:$E$65536,4,FALSE)),"")</f>
        <v>D5062 Emilia DRĄGOWSKA - UKS Hubal Białystok</v>
      </c>
      <c r="V589" s="245"/>
      <c r="W589" s="246"/>
      <c r="X589" s="30"/>
      <c r="Y589" s="31" t="str">
        <f>IF(SUM(AO594:AP594)=0,"",AO594&amp;":"&amp;AP594)</f>
        <v>21:15</v>
      </c>
      <c r="Z589" s="32" t="str">
        <f>IF(SUM(AO592:AP592)=0,"",AO592&amp;":"&amp;AP592)</f>
        <v>15:21</v>
      </c>
      <c r="AA589" s="270" t="str">
        <f>IF(SUM(AY592:BB592)=0,"",BE592&amp;":"&amp;BF592)</f>
        <v>94:83</v>
      </c>
      <c r="AB589" s="271" t="str">
        <f>IF(SUM(AY592:BB592)=0,"",BG592&amp;":"&amp;BH592)</f>
        <v>3:2</v>
      </c>
      <c r="AC589" s="271" t="str">
        <f>IF(SUM(AY592:BB592)=0,"",BI592&amp;":"&amp;BJ592)</f>
        <v>1:1</v>
      </c>
      <c r="AD589" s="272">
        <f>IF(SUM(BI592:BI594)&gt;0,BK592,"")</f>
        <v>2</v>
      </c>
      <c r="AE589" s="2"/>
      <c r="AF589" s="12"/>
      <c r="AG589" s="12"/>
      <c r="AH589" s="14"/>
      <c r="AI589" s="273" t="s">
        <v>9</v>
      </c>
      <c r="AJ589" s="273"/>
      <c r="AK589" s="273"/>
      <c r="AL589" s="273"/>
      <c r="AM589" s="273"/>
      <c r="AN589" s="273"/>
      <c r="AO589" s="273" t="s">
        <v>10</v>
      </c>
      <c r="AP589" s="273"/>
      <c r="AQ589" s="273"/>
      <c r="AR589" s="273"/>
      <c r="AS589" s="273"/>
      <c r="AT589" s="273"/>
      <c r="BK589" s="19"/>
      <c r="BL589" s="20"/>
    </row>
    <row r="590" spans="1:64" ht="11.45" customHeight="1" thickBot="1" x14ac:dyDescent="0.25">
      <c r="I590" s="2" t="str">
        <f>"1"&amp;O588&amp;N589</f>
        <v>13podwójna dziewcząt MM</v>
      </c>
      <c r="J590" s="10" t="str">
        <f>IF(AD589="","",IF(AD589=1,N590,IF(AD592=1,N593,IF(AD595=1,N596,""))))</f>
        <v>X16</v>
      </c>
      <c r="K590" s="10" t="str">
        <f>IF(AD589="","",IF(AD589=1,N591,IF(AD592=1,N594,IF(AD595=1,N597,""))))</f>
        <v>X18</v>
      </c>
      <c r="L590" s="10"/>
      <c r="N590" s="33" t="s">
        <v>288</v>
      </c>
      <c r="O590" s="34">
        <f>IF(O588&gt;0,(O588&amp;1)*1,"")</f>
        <v>31</v>
      </c>
      <c r="Q590" s="274"/>
      <c r="R590" s="274"/>
      <c r="S590" s="275"/>
      <c r="T590" s="242"/>
      <c r="U590" s="244" t="str">
        <f>IF(AND(N590&lt;&gt;"",N591=""),CONCATENATE(VLOOKUP(N590,[1]zawodnicy!$A$1:$E$65536,1,FALSE)," ",VLOOKUP(N590,[1]zawodnicy!$A$1:$E$65536,2,FALSE)," ",VLOOKUP(N590,[1]zawodnicy!$A$1:$E$65536,3,FALSE)," - ",VLOOKUP(N590,[1]zawodnicy!$A$1:$E$65536,4,FALSE)),"")</f>
        <v/>
      </c>
      <c r="V590" s="245"/>
      <c r="W590" s="246"/>
      <c r="X590" s="35"/>
      <c r="Y590" s="36" t="str">
        <f>IF(SUM(AQ594:AR594)=0,"",AQ594&amp;":"&amp;AR594)</f>
        <v>21:14</v>
      </c>
      <c r="Z590" s="37" t="str">
        <f>IF(SUM(AQ592:AR592)=0,"",AQ592&amp;":"&amp;AR592)</f>
        <v>21:12</v>
      </c>
      <c r="AA590" s="248"/>
      <c r="AB590" s="251"/>
      <c r="AC590" s="251"/>
      <c r="AD590" s="254"/>
      <c r="AE590" s="2"/>
      <c r="AF590" s="12"/>
      <c r="AG590" s="12"/>
      <c r="AH590" s="14"/>
      <c r="BE590" s="19">
        <f>SUM(BE592:BE594)</f>
        <v>250</v>
      </c>
      <c r="BF590" s="19">
        <f>SUM(BF592:BF594)</f>
        <v>250</v>
      </c>
      <c r="BG590" s="19">
        <f>SUM(BG592:BG594)</f>
        <v>7</v>
      </c>
      <c r="BH590" s="19">
        <f>SUM(BH592:BH594)</f>
        <v>7</v>
      </c>
      <c r="BK590" s="19"/>
      <c r="BL590" s="20"/>
    </row>
    <row r="591" spans="1:64" ht="11.45" customHeight="1" thickBot="1" x14ac:dyDescent="0.25">
      <c r="J591" s="10"/>
      <c r="K591" s="28"/>
      <c r="L591" s="28"/>
      <c r="N591" s="38" t="s">
        <v>310</v>
      </c>
      <c r="O591" s="28"/>
      <c r="P591" s="28"/>
      <c r="Q591" s="274"/>
      <c r="R591" s="274"/>
      <c r="S591" s="275"/>
      <c r="T591" s="261"/>
      <c r="U591" s="265" t="str">
        <f>IF(N591&lt;&gt;"",CONCATENATE(VLOOKUP(N591,[1]zawodnicy!$A$1:$E$65536,1,FALSE)," ",VLOOKUP(N591,[1]zawodnicy!$A$1:$E$65536,2,FALSE)," ",VLOOKUP(N591,[1]zawodnicy!$A$1:$E$65536,3,FALSE)," - ",VLOOKUP(N591,[1]zawodnicy!$A$1:$E$65536,4,FALSE)),"")</f>
        <v>R5603 Aleksandra RADZISZEWSKA - UKS Hubal Białystok</v>
      </c>
      <c r="V591" s="266"/>
      <c r="W591" s="267"/>
      <c r="X591" s="35"/>
      <c r="Y591" s="39" t="str">
        <f>IF(SUM(AS594:AT594)=0,"",AS594&amp;":"&amp;AT594)</f>
        <v/>
      </c>
      <c r="Z591" s="40" t="str">
        <f>IF(SUM(AS592:AT592)=0,"",AS592&amp;":"&amp;AT592)</f>
        <v>16:21</v>
      </c>
      <c r="AA591" s="262"/>
      <c r="AB591" s="263"/>
      <c r="AC591" s="263"/>
      <c r="AD591" s="264"/>
      <c r="AE591" s="2"/>
      <c r="AF591" s="12"/>
      <c r="AG591" s="12"/>
      <c r="AH591" s="14"/>
      <c r="AI591" s="259" t="s">
        <v>12</v>
      </c>
      <c r="AJ591" s="269"/>
      <c r="AK591" s="268" t="s">
        <v>13</v>
      </c>
      <c r="AL591" s="269"/>
      <c r="AM591" s="268" t="s">
        <v>14</v>
      </c>
      <c r="AN591" s="260"/>
      <c r="AO591" s="259" t="s">
        <v>12</v>
      </c>
      <c r="AP591" s="269"/>
      <c r="AQ591" s="268" t="s">
        <v>13</v>
      </c>
      <c r="AR591" s="269"/>
      <c r="AS591" s="268" t="s">
        <v>14</v>
      </c>
      <c r="AT591" s="269"/>
      <c r="AU591" s="12"/>
      <c r="AV591" s="12"/>
      <c r="AW591" s="259">
        <v>1</v>
      </c>
      <c r="AX591" s="269"/>
      <c r="AY591" s="268">
        <v>2</v>
      </c>
      <c r="AZ591" s="269"/>
      <c r="BA591" s="268">
        <v>3</v>
      </c>
      <c r="BB591" s="260"/>
      <c r="BE591" s="259" t="s">
        <v>3</v>
      </c>
      <c r="BF591" s="260"/>
      <c r="BG591" s="259" t="s">
        <v>4</v>
      </c>
      <c r="BH591" s="260"/>
      <c r="BI591" s="259" t="s">
        <v>5</v>
      </c>
      <c r="BJ591" s="260"/>
      <c r="BK591" s="41" t="s">
        <v>6</v>
      </c>
      <c r="BL591" s="20"/>
    </row>
    <row r="592" spans="1:64" ht="11.45" customHeight="1" x14ac:dyDescent="0.2">
      <c r="A592" s="19">
        <f>S592</f>
        <v>88</v>
      </c>
      <c r="B592" s="2" t="str">
        <f>IF(N590="","",N590)</f>
        <v>D5062</v>
      </c>
      <c r="C592" s="2" t="str">
        <f>IF(N591="","",N591)</f>
        <v>R5603</v>
      </c>
      <c r="D592" s="2" t="str">
        <f>IF(N596="","",N596)</f>
        <v>X16</v>
      </c>
      <c r="E592" s="2" t="str">
        <f>IF(N597="","",N597)</f>
        <v>X18</v>
      </c>
      <c r="I592" s="2" t="str">
        <f>"2"&amp;O588&amp;N589</f>
        <v>23podwójna dziewcząt MM</v>
      </c>
      <c r="J592" s="10" t="str">
        <f>IF(AD592="","",IF(AD589=2,N590,IF(AD592=2,N593,IF(AD595=2,N596,""))))</f>
        <v>D5062</v>
      </c>
      <c r="K592" s="10" t="str">
        <f>IF(AD592="","",IF(AD589=2,N591,IF(AD592=2,N594,IF(AD595=2,N597,""))))</f>
        <v>R5603</v>
      </c>
      <c r="M592" s="42" t="str">
        <f>N589</f>
        <v>podwójna dziewcząt MM</v>
      </c>
      <c r="O592" s="28"/>
      <c r="P592" s="28"/>
      <c r="Q592" s="43" t="str">
        <f>IF(AU592&gt;0,"",IF(A592=0,"",IF(VLOOKUP(A592,'[1]plan gier'!A$1:S$65536,19,FALSE)="","",VLOOKUP(A592,'[1]plan gier'!A$1:S$65536,19,FALSE))))</f>
        <v/>
      </c>
      <c r="R592" s="44" t="s">
        <v>15</v>
      </c>
      <c r="S592" s="45">
        <v>88</v>
      </c>
      <c r="T592" s="241">
        <v>2</v>
      </c>
      <c r="U592" s="244" t="str">
        <f>IF(AND(N593&lt;&gt;"",N594&lt;&gt;""),CONCATENATE(VLOOKUP(N593,[1]zawodnicy!$A$1:$E$65536,1,FALSE)," ",VLOOKUP(N593,[1]zawodnicy!$A$1:$E$65536,2,FALSE)," ",VLOOKUP(N593,[1]zawodnicy!$A$1:$E$65536,3,FALSE)," - ",VLOOKUP(N593,[1]zawodnicy!$A$1:$E$65536,4,FALSE)),"")</f>
        <v>S5479 Aleksandra SZYMAŃSKA - UKSB Milenium Warszawa</v>
      </c>
      <c r="V592" s="245"/>
      <c r="W592" s="246"/>
      <c r="X592" s="46" t="str">
        <f>IF(SUM(AO594:AP594)=0,"",AP594&amp;":"&amp;AO594)</f>
        <v>15:21</v>
      </c>
      <c r="Y592" s="47"/>
      <c r="Z592" s="48" t="str">
        <f>IF(SUM(AO593:AP593)=0,"",AO593&amp;":"&amp;AP593)</f>
        <v>10:21</v>
      </c>
      <c r="AA592" s="247" t="str">
        <f>IF(SUM(AW593:AX593,BA593:BB593)=0,"",BE593&amp;":"&amp;BF593)</f>
        <v>59:85</v>
      </c>
      <c r="AB592" s="250" t="str">
        <f>IF(SUM(AW593:AX593,BA593:BB593)=0,"",BG593&amp;":"&amp;BH593)</f>
        <v>0:4</v>
      </c>
      <c r="AC592" s="250" t="str">
        <f>IF(SUM(AW593:AX593,BA593:BB593)=0,"",BI593&amp;":"&amp;BJ593)</f>
        <v>0:2</v>
      </c>
      <c r="AD592" s="253">
        <f>IF(SUM(BI592:BI594)&gt;0,BK593,"")</f>
        <v>3</v>
      </c>
      <c r="AE592" s="2"/>
      <c r="AF592" s="12"/>
      <c r="AG592" s="12"/>
      <c r="AH592" s="44" t="s">
        <v>15</v>
      </c>
      <c r="AI592" s="49">
        <f>IF(ISBLANK(S592),"",VLOOKUP(S592,'[1]plan gier'!$X$1:$AN$65536,12,FALSE))</f>
        <v>15</v>
      </c>
      <c r="AJ592" s="50">
        <f>IF(ISBLANK(S592),"",VLOOKUP(S592,'[1]plan gier'!$X$1:$AN$65536,13,FALSE))</f>
        <v>21</v>
      </c>
      <c r="AK592" s="50">
        <f>IF(ISBLANK(S592),"",VLOOKUP(S592,'[1]plan gier'!$X$1:$AN$65536,14,FALSE))</f>
        <v>21</v>
      </c>
      <c r="AL592" s="50">
        <f>IF(ISBLANK(S592),"",VLOOKUP(S592,'[1]plan gier'!$X$1:$AN$65536,15,FALSE))</f>
        <v>12</v>
      </c>
      <c r="AM592" s="50">
        <f>IF(ISBLANK(S592),"",VLOOKUP(S592,'[1]plan gier'!$X$1:$AN$65536,16,FALSE))</f>
        <v>16</v>
      </c>
      <c r="AN592" s="50">
        <f>IF(ISBLANK(S592),"",VLOOKUP(S592,'[1]plan gier'!$X$1:$AN$65536,17,FALSE))</f>
        <v>21</v>
      </c>
      <c r="AO592" s="51">
        <f t="shared" ref="AO592:AT594" si="56">IF(AI592="",0,AI592)</f>
        <v>15</v>
      </c>
      <c r="AP592" s="52">
        <f t="shared" si="56"/>
        <v>21</v>
      </c>
      <c r="AQ592" s="53">
        <f t="shared" si="56"/>
        <v>21</v>
      </c>
      <c r="AR592" s="52">
        <f t="shared" si="56"/>
        <v>12</v>
      </c>
      <c r="AS592" s="53">
        <f t="shared" si="56"/>
        <v>16</v>
      </c>
      <c r="AT592" s="52">
        <f t="shared" si="56"/>
        <v>21</v>
      </c>
      <c r="AU592" s="54">
        <f>SUM(AO592:AT592)</f>
        <v>106</v>
      </c>
      <c r="AV592" s="13">
        <v>1</v>
      </c>
      <c r="AW592" s="55"/>
      <c r="AX592" s="56"/>
      <c r="AY592" s="50">
        <f>IF(AI594&gt;AJ594,1,0)+IF(AK594&gt;AL594,1,0)+IF(AM594&gt;AN594,1,0)</f>
        <v>2</v>
      </c>
      <c r="AZ592" s="50">
        <f>AW593</f>
        <v>0</v>
      </c>
      <c r="BA592" s="50">
        <f>IF(AI592&gt;AJ592,1,0)+IF(AK592&gt;AL592,1,0)+IF(AM592&gt;AN592,1,0)</f>
        <v>1</v>
      </c>
      <c r="BB592" s="57">
        <f>AW594</f>
        <v>2</v>
      </c>
      <c r="BE592" s="49">
        <f>AO592+AQ592+AS592+AO594+AQ594+AS594</f>
        <v>94</v>
      </c>
      <c r="BF592" s="57">
        <f>AP592+AR592+AT592+AP594+AR594+AT594</f>
        <v>83</v>
      </c>
      <c r="BG592" s="49">
        <f>AY592+BA592</f>
        <v>3</v>
      </c>
      <c r="BH592" s="57">
        <f>AZ592+BB592</f>
        <v>2</v>
      </c>
      <c r="BI592" s="49">
        <f>IF(AY592&gt;AZ592,1,0)+IF(BA592&gt;BB592,1,0)</f>
        <v>1</v>
      </c>
      <c r="BJ592" s="58">
        <f>IF(AZ592&gt;AY592,1,0)+IF(BB592&gt;BA592,1,0)</f>
        <v>1</v>
      </c>
      <c r="BK592" s="59">
        <f>IF(BI592+BJ592=0,"",IF(BL592=MAX(BL592:BL594),1,IF(BL592=MIN(BL592:BL594),3,2)))</f>
        <v>2</v>
      </c>
      <c r="BL592" s="60">
        <f>IF(BI592+BJ592&lt;&gt;0,BI592+1+(BG592-BH592)/100+(BE592-BF592)/100000+(BE592/BF592)/1000000,0)</f>
        <v>2.01011113253012</v>
      </c>
    </row>
    <row r="593" spans="1:64" ht="11.45" customHeight="1" x14ac:dyDescent="0.2">
      <c r="A593" s="19">
        <f>S593</f>
        <v>154</v>
      </c>
      <c r="B593" s="2" t="str">
        <f>IF(N593="","",N593)</f>
        <v>S5479</v>
      </c>
      <c r="C593" s="2" t="str">
        <f>IF(N594="","",N594)</f>
        <v>Ż5592</v>
      </c>
      <c r="D593" s="2" t="str">
        <f>IF(N596="","",N596)</f>
        <v>X16</v>
      </c>
      <c r="E593" s="2" t="str">
        <f>IF(N597="","",N597)</f>
        <v>X18</v>
      </c>
      <c r="J593" s="10"/>
      <c r="K593" s="19"/>
      <c r="M593" s="42" t="str">
        <f>N589</f>
        <v>podwójna dziewcząt MM</v>
      </c>
      <c r="N593" s="33" t="s">
        <v>311</v>
      </c>
      <c r="O593" s="34">
        <f>IF(O588&gt;0,(O588&amp;2)*1,"")</f>
        <v>32</v>
      </c>
      <c r="Q593" s="43" t="str">
        <f>IF(AU593&gt;0,"",IF(A593=0,"",IF(VLOOKUP(A593,'[1]plan gier'!A$1:S$65536,19,FALSE)="","",VLOOKUP(A593,'[1]plan gier'!A$1:S$65536,19,FALSE))))</f>
        <v/>
      </c>
      <c r="R593" s="44" t="s">
        <v>17</v>
      </c>
      <c r="S593" s="45">
        <v>154</v>
      </c>
      <c r="T593" s="242"/>
      <c r="U593" s="244" t="str">
        <f>IF(AND(N593&lt;&gt;"",N594=""),CONCATENATE(VLOOKUP(N593,[1]zawodnicy!$A$1:$E$65536,1,FALSE)," ",VLOOKUP(N593,[1]zawodnicy!$A$1:$E$65536,2,FALSE)," ",VLOOKUP(N593,[1]zawodnicy!$A$1:$E$65536,3,FALSE)," - ",VLOOKUP(N593,[1]zawodnicy!$A$1:$E$65536,4,FALSE)),"")</f>
        <v/>
      </c>
      <c r="V593" s="245"/>
      <c r="W593" s="246"/>
      <c r="X593" s="61" t="str">
        <f>IF(SUM(AQ594:AR594)=0,"",AR594&amp;":"&amp;AQ594)</f>
        <v>14:21</v>
      </c>
      <c r="Y593" s="62"/>
      <c r="Z593" s="37" t="str">
        <f>IF(SUM(AQ593:AR593)=0,"",AQ593&amp;":"&amp;AR593)</f>
        <v>20:22</v>
      </c>
      <c r="AA593" s="248"/>
      <c r="AB593" s="251"/>
      <c r="AC593" s="251"/>
      <c r="AD593" s="254"/>
      <c r="AE593" s="2"/>
      <c r="AF593" s="12"/>
      <c r="AG593" s="12"/>
      <c r="AH593" s="44" t="s">
        <v>17</v>
      </c>
      <c r="AI593" s="63">
        <f>IF(ISBLANK(S593),"",VLOOKUP(S593,'[1]plan gier'!$X$1:$AN$65536,12,FALSE))</f>
        <v>10</v>
      </c>
      <c r="AJ593" s="64">
        <f>IF(ISBLANK(S593),"",VLOOKUP(S593,'[1]plan gier'!$X$1:$AN$65536,13,FALSE))</f>
        <v>21</v>
      </c>
      <c r="AK593" s="64">
        <f>IF(ISBLANK(S593),"",VLOOKUP(S593,'[1]plan gier'!$X$1:$AN$65536,14,FALSE))</f>
        <v>20</v>
      </c>
      <c r="AL593" s="64">
        <f>IF(ISBLANK(S593),"",VLOOKUP(S593,'[1]plan gier'!$X$1:$AN$65536,15,FALSE))</f>
        <v>22</v>
      </c>
      <c r="AM593" s="64">
        <f>IF(ISBLANK(S593),"",VLOOKUP(S593,'[1]plan gier'!$X$1:$AN$65536,16,FALSE))</f>
        <v>0</v>
      </c>
      <c r="AN593" s="64">
        <f>IF(ISBLANK(S593),"",VLOOKUP(S593,'[1]plan gier'!$X$1:$AN$65536,17,FALSE))</f>
        <v>0</v>
      </c>
      <c r="AO593" s="65">
        <f t="shared" si="56"/>
        <v>10</v>
      </c>
      <c r="AP593" s="64">
        <f t="shared" si="56"/>
        <v>21</v>
      </c>
      <c r="AQ593" s="66">
        <f t="shared" si="56"/>
        <v>20</v>
      </c>
      <c r="AR593" s="64">
        <f t="shared" si="56"/>
        <v>22</v>
      </c>
      <c r="AS593" s="66">
        <f t="shared" si="56"/>
        <v>0</v>
      </c>
      <c r="AT593" s="64">
        <f t="shared" si="56"/>
        <v>0</v>
      </c>
      <c r="AU593" s="54">
        <f>SUM(AO593:AT593)</f>
        <v>73</v>
      </c>
      <c r="AV593" s="13">
        <v>2</v>
      </c>
      <c r="AW593" s="63">
        <f>IF(AI594&lt;AJ594,1,0)+IF(AK594&lt;AL594,1,0)+IF(AM594&lt;AN594,1,0)</f>
        <v>0</v>
      </c>
      <c r="AX593" s="64">
        <f>AY592</f>
        <v>2</v>
      </c>
      <c r="AY593" s="67"/>
      <c r="AZ593" s="68"/>
      <c r="BA593" s="64">
        <f>IF(AI593&gt;AJ593,1,0)+IF(AK593&gt;AL593,1,0)+IF(AM593&gt;AN593,1,0)</f>
        <v>0</v>
      </c>
      <c r="BB593" s="69">
        <f>AY594</f>
        <v>2</v>
      </c>
      <c r="BE593" s="63">
        <f>AO593+AQ593+AS593+AP594+AR594+AT594</f>
        <v>59</v>
      </c>
      <c r="BF593" s="69">
        <f>AP593+AR593+AT593+AO594+AQ594+AS594</f>
        <v>85</v>
      </c>
      <c r="BG593" s="63">
        <f>AW593+BA593</f>
        <v>0</v>
      </c>
      <c r="BH593" s="69">
        <f>AX593+BB593</f>
        <v>4</v>
      </c>
      <c r="BI593" s="63">
        <f>IF(AW593&gt;AX593,1,0)+IF(BA593&gt;BB593,1,0)</f>
        <v>0</v>
      </c>
      <c r="BJ593" s="70">
        <f>IF(AX593&gt;AW593,1,0)+IF(BB593&gt;BA593,1,0)</f>
        <v>2</v>
      </c>
      <c r="BK593" s="71">
        <f>IF(BI593+BJ593=0,"",IF(BL593=MAX(BL592:BL594),1,IF(BL593=MIN(BL592:BL594),3,2)))</f>
        <v>3</v>
      </c>
      <c r="BL593" s="60">
        <f>IF(BI593+BJ593&lt;&gt;0,BI593+1+(BG593-BH593)/100+(BE593-BF593)/100000+(BE593/BF593)/1000000,0)</f>
        <v>0.95974069411764695</v>
      </c>
    </row>
    <row r="594" spans="1:64" ht="11.45" customHeight="1" thickBot="1" x14ac:dyDescent="0.25">
      <c r="A594" s="19">
        <f>S594</f>
        <v>207</v>
      </c>
      <c r="B594" s="2" t="str">
        <f>IF(N590="","",N590)</f>
        <v>D5062</v>
      </c>
      <c r="C594" s="2" t="str">
        <f>IF(N591="","",N591)</f>
        <v>R5603</v>
      </c>
      <c r="D594" s="2" t="str">
        <f>IF(N593="","",N593)</f>
        <v>S5479</v>
      </c>
      <c r="E594" s="2" t="str">
        <f>IF(N594="","",N594)</f>
        <v>Ż5592</v>
      </c>
      <c r="I594" s="2" t="str">
        <f>"3"&amp;O588&amp;N589</f>
        <v>33podwójna dziewcząt MM</v>
      </c>
      <c r="J594" s="10" t="str">
        <f>IF(AD595="","",IF(AD589=3,N590,IF(AD592=3,N593,IF(AD595=3,N596,""))))</f>
        <v>S5479</v>
      </c>
      <c r="K594" s="10" t="str">
        <f>IF(AD595="","",IF(AD589=3,N591,IF(AD592=3,N594,IF(AD595=3,N597,""))))</f>
        <v>Ż5592</v>
      </c>
      <c r="M594" s="42" t="str">
        <f>N589</f>
        <v>podwójna dziewcząt MM</v>
      </c>
      <c r="N594" s="38" t="s">
        <v>290</v>
      </c>
      <c r="O594" s="28"/>
      <c r="P594" s="28"/>
      <c r="Q594" s="43" t="str">
        <f>IF(AU594&gt;0,"",IF(A594=0,"",IF(VLOOKUP(A594,'[1]plan gier'!A$1:S$65536,19,FALSE)="","",VLOOKUP(A594,'[1]plan gier'!A$1:S$65536,19,FALSE))))</f>
        <v/>
      </c>
      <c r="R594" s="72" t="s">
        <v>18</v>
      </c>
      <c r="S594" s="45">
        <v>207</v>
      </c>
      <c r="T594" s="261"/>
      <c r="U594" s="265" t="str">
        <f>IF(N594&lt;&gt;"",CONCATENATE(VLOOKUP(N594,[1]zawodnicy!$A$1:$E$65536,1,FALSE)," ",VLOOKUP(N594,[1]zawodnicy!$A$1:$E$65536,2,FALSE)," ",VLOOKUP(N594,[1]zawodnicy!$A$1:$E$65536,3,FALSE)," - ",VLOOKUP(N594,[1]zawodnicy!$A$1:$E$65536,4,FALSE)),"")</f>
        <v>Ż5592 Nina ŻWAN - UTS Akro-Bad Warszawa</v>
      </c>
      <c r="V594" s="266"/>
      <c r="W594" s="267"/>
      <c r="X594" s="73" t="str">
        <f>IF(SUM(AS594:AT594)=0,"",AT594&amp;":"&amp;AS594)</f>
        <v/>
      </c>
      <c r="Y594" s="62"/>
      <c r="Z594" s="40" t="str">
        <f>IF(SUM(AS593:AT593)=0,"",AS593&amp;":"&amp;AT593)</f>
        <v/>
      </c>
      <c r="AA594" s="262"/>
      <c r="AB594" s="263"/>
      <c r="AC594" s="263"/>
      <c r="AD594" s="264"/>
      <c r="AE594" s="2"/>
      <c r="AF594" s="12"/>
      <c r="AG594" s="12"/>
      <c r="AH594" s="72" t="s">
        <v>18</v>
      </c>
      <c r="AI594" s="74">
        <f>IF(ISBLANK(S594),"",VLOOKUP(S594,'[1]plan gier'!$X$1:$AN$65536,12,FALSE))</f>
        <v>21</v>
      </c>
      <c r="AJ594" s="75">
        <f>IF(ISBLANK(S594),"",VLOOKUP(S594,'[1]plan gier'!$X$1:$AN$65536,13,FALSE))</f>
        <v>15</v>
      </c>
      <c r="AK594" s="75">
        <f>IF(ISBLANK(S594),"",VLOOKUP(S594,'[1]plan gier'!$X$1:$AN$65536,14,FALSE))</f>
        <v>21</v>
      </c>
      <c r="AL594" s="75">
        <f>IF(ISBLANK(S594),"",VLOOKUP(S594,'[1]plan gier'!$X$1:$AN$65536,15,FALSE))</f>
        <v>14</v>
      </c>
      <c r="AM594" s="75">
        <f>IF(ISBLANK(S594),"",VLOOKUP(S594,'[1]plan gier'!$X$1:$AN$65536,16,FALSE))</f>
        <v>0</v>
      </c>
      <c r="AN594" s="75">
        <f>IF(ISBLANK(S594),"",VLOOKUP(S594,'[1]plan gier'!$X$1:$AN$65536,17,FALSE))</f>
        <v>0</v>
      </c>
      <c r="AO594" s="76">
        <f t="shared" si="56"/>
        <v>21</v>
      </c>
      <c r="AP594" s="75">
        <f t="shared" si="56"/>
        <v>15</v>
      </c>
      <c r="AQ594" s="77">
        <f t="shared" si="56"/>
        <v>21</v>
      </c>
      <c r="AR594" s="75">
        <f t="shared" si="56"/>
        <v>14</v>
      </c>
      <c r="AS594" s="77">
        <f t="shared" si="56"/>
        <v>0</v>
      </c>
      <c r="AT594" s="75">
        <f t="shared" si="56"/>
        <v>0</v>
      </c>
      <c r="AU594" s="54">
        <f>SUM(AO594:AT594)</f>
        <v>71</v>
      </c>
      <c r="AV594" s="13">
        <v>3</v>
      </c>
      <c r="AW594" s="74">
        <f>IF(AI592&lt;AJ592,1,0)+IF(AK592&lt;AL592,1,0)+IF(AM592&lt;AN592,1,0)</f>
        <v>2</v>
      </c>
      <c r="AX594" s="75">
        <f>BA592</f>
        <v>1</v>
      </c>
      <c r="AY594" s="75">
        <f>IF(AI593&lt;AJ593,1,0)+IF(AK593&lt;AL593,1,0)+IF(AM593&lt;AN593,1,0)</f>
        <v>2</v>
      </c>
      <c r="AZ594" s="75">
        <f>BA593</f>
        <v>0</v>
      </c>
      <c r="BA594" s="78"/>
      <c r="BB594" s="79"/>
      <c r="BE594" s="74">
        <f>AP592+AR592+AT592+AP593+AR593+AT593</f>
        <v>97</v>
      </c>
      <c r="BF594" s="80">
        <f>AO592+AQ592+AS592+AO593+AQ593+AS593</f>
        <v>82</v>
      </c>
      <c r="BG594" s="74">
        <f>AW594+AY594</f>
        <v>4</v>
      </c>
      <c r="BH594" s="80">
        <f>AX594+AZ594</f>
        <v>1</v>
      </c>
      <c r="BI594" s="74">
        <f>IF(AW594&gt;AX594,1,0)+IF(AY594&gt;AZ594,1,0)</f>
        <v>2</v>
      </c>
      <c r="BJ594" s="81">
        <f>IF(AX594&gt;AW594,1,0)+IF(AZ594&gt;AY594,1,0)</f>
        <v>0</v>
      </c>
      <c r="BK594" s="82">
        <f>IF(BI594+BJ594=0,"",IF(BL594=MAX(BL592:BL594),1,IF(BL594=MIN(BL592:BL594),3,2)))</f>
        <v>1</v>
      </c>
      <c r="BL594" s="60">
        <f>IF(BI594+BJ594&lt;&gt;0,BI594+1+(BG594-BH594)/100+(BE594-BF594)/100000+(BE594/BF594)/1000000,0)</f>
        <v>3.0301511829268293</v>
      </c>
    </row>
    <row r="595" spans="1:64" ht="11.45" customHeight="1" x14ac:dyDescent="0.2">
      <c r="A595" s="2"/>
      <c r="J595" s="28"/>
      <c r="K595" s="28"/>
      <c r="L595" s="28"/>
      <c r="O595" s="28"/>
      <c r="P595" s="28"/>
      <c r="Q595" s="2"/>
      <c r="R595" s="2"/>
      <c r="S595" s="2"/>
      <c r="T595" s="241">
        <v>3</v>
      </c>
      <c r="U595" s="244" t="str">
        <f>IF(AND(N596&lt;&gt;"",N597&lt;&gt;""),CONCATENATE(VLOOKUP(N596,[1]zawodnicy!$A$1:$E$65536,1,FALSE)," ",VLOOKUP(N596,[1]zawodnicy!$A$1:$E$65536,2,FALSE)," ",VLOOKUP(N596,[1]zawodnicy!$A$1:$E$65536,3,FALSE)," - ",VLOOKUP(N596,[1]zawodnicy!$A$1:$E$65536,4,FALSE)),"")</f>
        <v>X16 Yelizaveta KAMINSKAYA - Mińsk Białoruś</v>
      </c>
      <c r="V595" s="245"/>
      <c r="W595" s="246"/>
      <c r="X595" s="46" t="str">
        <f>IF(SUM(AO592:AP592)=0,"",AP592&amp;":"&amp;AO592)</f>
        <v>21:15</v>
      </c>
      <c r="Y595" s="83" t="str">
        <f>IF(SUM(AO593:AP593)=0,"",AP593&amp;":"&amp;AO593)</f>
        <v>21:10</v>
      </c>
      <c r="Z595" s="84"/>
      <c r="AA595" s="247" t="str">
        <f>IF(SUM(AW594:AZ594)=0,"",BE594&amp;":"&amp;BF594)</f>
        <v>97:82</v>
      </c>
      <c r="AB595" s="250" t="str">
        <f>IF(SUM(AW594:AZ594)=0,"",BG594&amp;":"&amp;BH594)</f>
        <v>4:1</v>
      </c>
      <c r="AC595" s="250" t="str">
        <f>IF(SUM(AW594:AZ594)=0,"",BI594&amp;":"&amp;BJ594)</f>
        <v>2:0</v>
      </c>
      <c r="AD595" s="253">
        <f>IF(SUM(BI592:BI594)&gt;0,BK594,"")</f>
        <v>1</v>
      </c>
      <c r="AE595" s="2"/>
      <c r="AF595" s="12"/>
      <c r="AG595" s="12"/>
      <c r="BE595" s="19">
        <f>SUM(BE592:BE594)</f>
        <v>250</v>
      </c>
      <c r="BF595" s="19">
        <f>SUM(BF592:BF594)</f>
        <v>250</v>
      </c>
      <c r="BG595" s="19">
        <f>SUM(BG592:BG594)</f>
        <v>7</v>
      </c>
      <c r="BH595" s="19">
        <f>SUM(BH592:BH594)</f>
        <v>7</v>
      </c>
      <c r="BK595" s="19"/>
      <c r="BL595" s="20"/>
    </row>
    <row r="596" spans="1:64" ht="11.45" customHeight="1" x14ac:dyDescent="0.2">
      <c r="A596" s="19"/>
      <c r="J596" s="19"/>
      <c r="K596" s="19"/>
      <c r="L596" s="19"/>
      <c r="N596" s="33" t="s">
        <v>315</v>
      </c>
      <c r="O596" s="34">
        <f>IF(O588&gt;0,(O588&amp;3)*1,"")</f>
        <v>33</v>
      </c>
      <c r="Q596" s="85"/>
      <c r="R596" s="85"/>
      <c r="S596" s="85"/>
      <c r="T596" s="242"/>
      <c r="U596" s="244" t="str">
        <f>IF(AND(N596&lt;&gt;"",N597=""),CONCATENATE(VLOOKUP(N596,[1]zawodnicy!$A$1:$E$65536,1,FALSE)," ",VLOOKUP(N596,[1]zawodnicy!$A$1:$E$65536,2,FALSE)," ",VLOOKUP(N596,[1]zawodnicy!$A$1:$E$65536,3,FALSE)," - ",VLOOKUP(N596,[1]zawodnicy!$A$1:$E$65536,4,FALSE)),"")</f>
        <v/>
      </c>
      <c r="V596" s="245"/>
      <c r="W596" s="246"/>
      <c r="X596" s="61" t="str">
        <f>IF(SUM(AQ592:AR592)=0,"",AR592&amp;":"&amp;AQ592)</f>
        <v>12:21</v>
      </c>
      <c r="Y596" s="36" t="str">
        <f>IF(SUM(AQ593:AR593)=0,"",AR593&amp;":"&amp;AQ593)</f>
        <v>22:20</v>
      </c>
      <c r="Z596" s="86"/>
      <c r="AA596" s="248"/>
      <c r="AB596" s="251"/>
      <c r="AC596" s="251"/>
      <c r="AD596" s="254"/>
      <c r="AE596" s="2"/>
      <c r="AF596" s="12"/>
      <c r="AG596" s="1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row>
    <row r="597" spans="1:64" ht="11.45" customHeight="1" thickBot="1" x14ac:dyDescent="0.25">
      <c r="A597" s="2"/>
      <c r="J597" s="28"/>
      <c r="K597" s="28"/>
      <c r="L597" s="28"/>
      <c r="N597" s="38" t="s">
        <v>323</v>
      </c>
      <c r="O597" s="28"/>
      <c r="P597" s="28"/>
      <c r="Q597" s="2"/>
      <c r="R597" s="2"/>
      <c r="S597" s="2"/>
      <c r="T597" s="243"/>
      <c r="U597" s="256" t="str">
        <f>IF(N597&lt;&gt;"",CONCATENATE(VLOOKUP(N597,[1]zawodnicy!$A$1:$E$65536,1,FALSE)," ",VLOOKUP(N597,[1]zawodnicy!$A$1:$E$65536,2,FALSE)," ",VLOOKUP(N597,[1]zawodnicy!$A$1:$E$65536,3,FALSE)," - ",VLOOKUP(N597,[1]zawodnicy!$A$1:$E$65536,4,FALSE)),"")</f>
        <v>X18 Veranika TARUSAVA - Mińsk Białoruś</v>
      </c>
      <c r="V597" s="257"/>
      <c r="W597" s="258"/>
      <c r="X597" s="87" t="str">
        <f>IF(SUM(AS592:AT592)=0,"",AT592&amp;":"&amp;AS592)</f>
        <v>21:16</v>
      </c>
      <c r="Y597" s="88" t="str">
        <f>IF(SUM(AS593:AT593)=0,"",AT593&amp;":"&amp;AS593)</f>
        <v/>
      </c>
      <c r="Z597" s="89"/>
      <c r="AA597" s="249"/>
      <c r="AB597" s="252"/>
      <c r="AC597" s="252"/>
      <c r="AD597" s="255"/>
      <c r="AE597" s="10"/>
      <c r="AF597" s="12"/>
      <c r="AG597" s="1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row>
    <row r="598" spans="1:64" ht="3" customHeight="1" thickBot="1" x14ac:dyDescent="0.25"/>
    <row r="599" spans="1:64" ht="11.45" customHeight="1" thickBot="1" x14ac:dyDescent="0.25">
      <c r="N599" s="11"/>
      <c r="O599" s="21">
        <v>4</v>
      </c>
      <c r="Q599" s="277" t="str">
        <f>"Grupa "&amp;O599&amp;"."</f>
        <v>Grupa 4.</v>
      </c>
      <c r="R599" s="277"/>
      <c r="S599" s="277"/>
      <c r="T599" s="22" t="s">
        <v>1</v>
      </c>
      <c r="U599" s="278" t="s">
        <v>2</v>
      </c>
      <c r="V599" s="279"/>
      <c r="W599" s="280"/>
      <c r="X599" s="22">
        <v>1</v>
      </c>
      <c r="Y599" s="23">
        <v>2</v>
      </c>
      <c r="Z599" s="24">
        <v>3</v>
      </c>
      <c r="AA599" s="25" t="s">
        <v>3</v>
      </c>
      <c r="AB599" s="26" t="s">
        <v>4</v>
      </c>
      <c r="AC599" s="26" t="s">
        <v>5</v>
      </c>
      <c r="AD599" s="27" t="s">
        <v>6</v>
      </c>
      <c r="AE599" s="2"/>
      <c r="AF599" s="12"/>
      <c r="AG599" s="12"/>
      <c r="BK599" s="19"/>
      <c r="BL599" s="20"/>
    </row>
    <row r="600" spans="1:64" ht="11.45" customHeight="1" x14ac:dyDescent="0.2">
      <c r="J600" s="28"/>
      <c r="K600" s="28"/>
      <c r="L600" s="28"/>
      <c r="N600" s="29" t="s">
        <v>321</v>
      </c>
      <c r="Q600" s="274" t="s">
        <v>7</v>
      </c>
      <c r="R600" s="274"/>
      <c r="S600" s="275" t="s">
        <v>8</v>
      </c>
      <c r="T600" s="276">
        <v>1</v>
      </c>
      <c r="U600" s="244" t="str">
        <f>IF(AND(N601&lt;&gt;"",N602&lt;&gt;""),CONCATENATE(VLOOKUP(N601,[1]zawodnicy!$A$1:$E$65536,1,FALSE)," ",VLOOKUP(N601,[1]zawodnicy!$A$1:$E$65536,2,FALSE)," ",VLOOKUP(N601,[1]zawodnicy!$A$1:$E$65536,3,FALSE)," - ",VLOOKUP(N601,[1]zawodnicy!$A$1:$E$65536,4,FALSE)),"")</f>
        <v>K5262 Wiktoria KASPRZAK - UKS Kiko Zamość</v>
      </c>
      <c r="V600" s="245"/>
      <c r="W600" s="246"/>
      <c r="X600" s="30"/>
      <c r="Y600" s="31" t="str">
        <f>IF(SUM(AO605:AP605)=0,"",AO605&amp;":"&amp;AP605)</f>
        <v>21:18</v>
      </c>
      <c r="Z600" s="32" t="str">
        <f>IF(SUM(AO603:AP603)=0,"",AO603&amp;":"&amp;AP603)</f>
        <v>21:8</v>
      </c>
      <c r="AA600" s="270" t="str">
        <f>IF(SUM(AY603:BB603)=0,"",BE603&amp;":"&amp;BF603)</f>
        <v>84:45</v>
      </c>
      <c r="AB600" s="271" t="str">
        <f>IF(SUM(AY603:BB603)=0,"",BG603&amp;":"&amp;BH603)</f>
        <v>4:0</v>
      </c>
      <c r="AC600" s="271" t="str">
        <f>IF(SUM(AY603:BB603)=0,"",BI603&amp;":"&amp;BJ603)</f>
        <v>2:0</v>
      </c>
      <c r="AD600" s="272">
        <f>IF(SUM(BI603:BI605)&gt;0,BK603,"")</f>
        <v>1</v>
      </c>
      <c r="AE600" s="2"/>
      <c r="AF600" s="12"/>
      <c r="AG600" s="12"/>
      <c r="AH600" s="14"/>
      <c r="AI600" s="273" t="s">
        <v>9</v>
      </c>
      <c r="AJ600" s="273"/>
      <c r="AK600" s="273"/>
      <c r="AL600" s="273"/>
      <c r="AM600" s="273"/>
      <c r="AN600" s="273"/>
      <c r="AO600" s="273" t="s">
        <v>10</v>
      </c>
      <c r="AP600" s="273"/>
      <c r="AQ600" s="273"/>
      <c r="AR600" s="273"/>
      <c r="AS600" s="273"/>
      <c r="AT600" s="273"/>
      <c r="BK600" s="19"/>
      <c r="BL600" s="20"/>
    </row>
    <row r="601" spans="1:64" ht="11.45" customHeight="1" thickBot="1" x14ac:dyDescent="0.25">
      <c r="I601" s="2" t="str">
        <f>"1"&amp;O599&amp;N600</f>
        <v>14podwójna dziewcząt MM</v>
      </c>
      <c r="J601" s="10" t="str">
        <f>IF(AD600="","",IF(AD600=1,N601,IF(AD603=1,N604,IF(AD606=1,N607,""))))</f>
        <v>K5262</v>
      </c>
      <c r="K601" s="10" t="str">
        <f>IF(AD600="","",IF(AD600=1,N602,IF(AD603=1,N605,IF(AD606=1,N608,""))))</f>
        <v>L5359</v>
      </c>
      <c r="L601" s="10"/>
      <c r="N601" s="33" t="s">
        <v>316</v>
      </c>
      <c r="O601" s="34">
        <f>IF(O599&gt;0,(O599&amp;1)*1,"")</f>
        <v>41</v>
      </c>
      <c r="Q601" s="274"/>
      <c r="R601" s="274"/>
      <c r="S601" s="275"/>
      <c r="T601" s="242"/>
      <c r="U601" s="244" t="str">
        <f>IF(AND(N601&lt;&gt;"",N602=""),CONCATENATE(VLOOKUP(N601,[1]zawodnicy!$A$1:$E$65536,1,FALSE)," ",VLOOKUP(N601,[1]zawodnicy!$A$1:$E$65536,2,FALSE)," ",VLOOKUP(N601,[1]zawodnicy!$A$1:$E$65536,3,FALSE)," - ",VLOOKUP(N601,[1]zawodnicy!$A$1:$E$65536,4,FALSE)),"")</f>
        <v/>
      </c>
      <c r="V601" s="245"/>
      <c r="W601" s="246"/>
      <c r="X601" s="35"/>
      <c r="Y601" s="36" t="str">
        <f>IF(SUM(AQ605:AR605)=0,"",AQ605&amp;":"&amp;AR605)</f>
        <v>21:17</v>
      </c>
      <c r="Z601" s="37" t="str">
        <f>IF(SUM(AQ603:AR603)=0,"",AQ603&amp;":"&amp;AR603)</f>
        <v>21:2</v>
      </c>
      <c r="AA601" s="248"/>
      <c r="AB601" s="251"/>
      <c r="AC601" s="251"/>
      <c r="AD601" s="254"/>
      <c r="AE601" s="2"/>
      <c r="AF601" s="12"/>
      <c r="AG601" s="12"/>
      <c r="AH601" s="14"/>
      <c r="BE601" s="19">
        <f>SUM(BE603:BE605)</f>
        <v>191</v>
      </c>
      <c r="BF601" s="19">
        <f>SUM(BF603:BF605)</f>
        <v>191</v>
      </c>
      <c r="BG601" s="19">
        <f>SUM(BG603:BG605)</f>
        <v>6</v>
      </c>
      <c r="BH601" s="19">
        <f>SUM(BH603:BH605)</f>
        <v>6</v>
      </c>
      <c r="BK601" s="19"/>
      <c r="BL601" s="20"/>
    </row>
    <row r="602" spans="1:64" ht="11.45" customHeight="1" thickBot="1" x14ac:dyDescent="0.25">
      <c r="J602" s="10"/>
      <c r="K602" s="28"/>
      <c r="L602" s="28"/>
      <c r="N602" s="38" t="s">
        <v>291</v>
      </c>
      <c r="O602" s="28"/>
      <c r="P602" s="28"/>
      <c r="Q602" s="274"/>
      <c r="R602" s="274"/>
      <c r="S602" s="275"/>
      <c r="T602" s="261"/>
      <c r="U602" s="265" t="str">
        <f>IF(N602&lt;&gt;"",CONCATENATE(VLOOKUP(N602,[1]zawodnicy!$A$1:$E$65536,1,FALSE)," ",VLOOKUP(N602,[1]zawodnicy!$A$1:$E$65536,2,FALSE)," ",VLOOKUP(N602,[1]zawodnicy!$A$1:$E$65536,3,FALSE)," - ",VLOOKUP(N602,[1]zawodnicy!$A$1:$E$65536,4,FALSE)),"")</f>
        <v>L5359 Aleksandra LASKOWSKA - UKS Kiko Zamość</v>
      </c>
      <c r="V602" s="266"/>
      <c r="W602" s="267"/>
      <c r="X602" s="35"/>
      <c r="Y602" s="39" t="str">
        <f>IF(SUM(AS605:AT605)=0,"",AS605&amp;":"&amp;AT605)</f>
        <v/>
      </c>
      <c r="Z602" s="40" t="str">
        <f>IF(SUM(AS603:AT603)=0,"",AS603&amp;":"&amp;AT603)</f>
        <v/>
      </c>
      <c r="AA602" s="262"/>
      <c r="AB602" s="263"/>
      <c r="AC602" s="263"/>
      <c r="AD602" s="264"/>
      <c r="AE602" s="2"/>
      <c r="AF602" s="12"/>
      <c r="AG602" s="12"/>
      <c r="AH602" s="14"/>
      <c r="AI602" s="259" t="s">
        <v>12</v>
      </c>
      <c r="AJ602" s="269"/>
      <c r="AK602" s="268" t="s">
        <v>13</v>
      </c>
      <c r="AL602" s="269"/>
      <c r="AM602" s="268" t="s">
        <v>14</v>
      </c>
      <c r="AN602" s="260"/>
      <c r="AO602" s="259" t="s">
        <v>12</v>
      </c>
      <c r="AP602" s="269"/>
      <c r="AQ602" s="268" t="s">
        <v>13</v>
      </c>
      <c r="AR602" s="269"/>
      <c r="AS602" s="268" t="s">
        <v>14</v>
      </c>
      <c r="AT602" s="269"/>
      <c r="AU602" s="12"/>
      <c r="AV602" s="12"/>
      <c r="AW602" s="259">
        <v>1</v>
      </c>
      <c r="AX602" s="269"/>
      <c r="AY602" s="268">
        <v>2</v>
      </c>
      <c r="AZ602" s="269"/>
      <c r="BA602" s="268">
        <v>3</v>
      </c>
      <c r="BB602" s="260"/>
      <c r="BE602" s="259" t="s">
        <v>3</v>
      </c>
      <c r="BF602" s="260"/>
      <c r="BG602" s="259" t="s">
        <v>4</v>
      </c>
      <c r="BH602" s="260"/>
      <c r="BI602" s="259" t="s">
        <v>5</v>
      </c>
      <c r="BJ602" s="260"/>
      <c r="BK602" s="41" t="s">
        <v>6</v>
      </c>
      <c r="BL602" s="20"/>
    </row>
    <row r="603" spans="1:64" ht="11.45" customHeight="1" x14ac:dyDescent="0.2">
      <c r="A603" s="19">
        <f>S603</f>
        <v>89</v>
      </c>
      <c r="B603" s="2" t="str">
        <f>IF(N601="","",N601)</f>
        <v>K5262</v>
      </c>
      <c r="C603" s="2" t="str">
        <f>IF(N602="","",N602)</f>
        <v>L5359</v>
      </c>
      <c r="D603" s="2" t="str">
        <f>IF(N607="","",N607)</f>
        <v>G5478</v>
      </c>
      <c r="E603" s="2" t="str">
        <f>IF(N608="","",N608)</f>
        <v>W5473</v>
      </c>
      <c r="I603" s="2" t="str">
        <f>"2"&amp;O599&amp;N600</f>
        <v>24podwójna dziewcząt MM</v>
      </c>
      <c r="J603" s="10" t="str">
        <f>IF(AD603="","",IF(AD600=2,N601,IF(AD603=2,N604,IF(AD606=2,N607,""))))</f>
        <v>g5614</v>
      </c>
      <c r="K603" s="10" t="str">
        <f>IF(AD603="","",IF(AD600=2,N602,IF(AD603=2,N605,IF(AD606=2,N608,""))))</f>
        <v>H5946</v>
      </c>
      <c r="M603" s="42" t="str">
        <f>N600</f>
        <v>podwójna dziewcząt MM</v>
      </c>
      <c r="O603" s="28"/>
      <c r="P603" s="28"/>
      <c r="Q603" s="43" t="str">
        <f>IF(AU603&gt;0,"",IF(A603=0,"",IF(VLOOKUP(A603,'[1]plan gier'!A$1:S$65536,19,FALSE)="","",VLOOKUP(A603,'[1]plan gier'!A$1:S$65536,19,FALSE))))</f>
        <v/>
      </c>
      <c r="R603" s="44" t="s">
        <v>15</v>
      </c>
      <c r="S603" s="45">
        <v>89</v>
      </c>
      <c r="T603" s="241">
        <v>2</v>
      </c>
      <c r="U603" s="244" t="str">
        <f>IF(AND(N604&lt;&gt;"",N605&lt;&gt;""),CONCATENATE(VLOOKUP(N604,[1]zawodnicy!$A$1:$E$65536,1,FALSE)," ",VLOOKUP(N604,[1]zawodnicy!$A$1:$E$65536,2,FALSE)," ",VLOOKUP(N604,[1]zawodnicy!$A$1:$E$65536,3,FALSE)," - ",VLOOKUP(N604,[1]zawodnicy!$A$1:$E$65536,4,FALSE)),"")</f>
        <v>G5614 Weronika GÓRNIAK - UKSB Milenium Warszawa</v>
      </c>
      <c r="V603" s="245"/>
      <c r="W603" s="246"/>
      <c r="X603" s="46" t="str">
        <f>IF(SUM(AO605:AP605)=0,"",AP605&amp;":"&amp;AO605)</f>
        <v>18:21</v>
      </c>
      <c r="Y603" s="47"/>
      <c r="Z603" s="48" t="str">
        <f>IF(SUM(AO604:AP604)=0,"",AO604&amp;":"&amp;AP604)</f>
        <v>21:12</v>
      </c>
      <c r="AA603" s="247" t="str">
        <f>IF(SUM(AW604:AX604,BA604:BB604)=0,"",BE604&amp;":"&amp;BF604)</f>
        <v>77:62</v>
      </c>
      <c r="AB603" s="250" t="str">
        <f>IF(SUM(AW604:AX604,BA604:BB604)=0,"",BG604&amp;":"&amp;BH604)</f>
        <v>2:2</v>
      </c>
      <c r="AC603" s="250" t="str">
        <f>IF(SUM(AW604:AX604,BA604:BB604)=0,"",BI604&amp;":"&amp;BJ604)</f>
        <v>1:1</v>
      </c>
      <c r="AD603" s="253">
        <f>IF(SUM(BI603:BI605)&gt;0,BK604,"")</f>
        <v>2</v>
      </c>
      <c r="AE603" s="2"/>
      <c r="AF603" s="12"/>
      <c r="AG603" s="12"/>
      <c r="AH603" s="44" t="s">
        <v>15</v>
      </c>
      <c r="AI603" s="49">
        <f>IF(ISBLANK(S603),"",VLOOKUP(S603,'[1]plan gier'!$X$1:$AN$65536,12,FALSE))</f>
        <v>21</v>
      </c>
      <c r="AJ603" s="50">
        <f>IF(ISBLANK(S603),"",VLOOKUP(S603,'[1]plan gier'!$X$1:$AN$65536,13,FALSE))</f>
        <v>8</v>
      </c>
      <c r="AK603" s="50">
        <f>IF(ISBLANK(S603),"",VLOOKUP(S603,'[1]plan gier'!$X$1:$AN$65536,14,FALSE))</f>
        <v>21</v>
      </c>
      <c r="AL603" s="50">
        <f>IF(ISBLANK(S603),"",VLOOKUP(S603,'[1]plan gier'!$X$1:$AN$65536,15,FALSE))</f>
        <v>2</v>
      </c>
      <c r="AM603" s="50">
        <f>IF(ISBLANK(S603),"",VLOOKUP(S603,'[1]plan gier'!$X$1:$AN$65536,16,FALSE))</f>
        <v>0</v>
      </c>
      <c r="AN603" s="50">
        <f>IF(ISBLANK(S603),"",VLOOKUP(S603,'[1]plan gier'!$X$1:$AN$65536,17,FALSE))</f>
        <v>0</v>
      </c>
      <c r="AO603" s="51">
        <f t="shared" ref="AO603:AT605" si="57">IF(AI603="",0,AI603)</f>
        <v>21</v>
      </c>
      <c r="AP603" s="52">
        <f t="shared" si="57"/>
        <v>8</v>
      </c>
      <c r="AQ603" s="53">
        <f t="shared" si="57"/>
        <v>21</v>
      </c>
      <c r="AR603" s="52">
        <f t="shared" si="57"/>
        <v>2</v>
      </c>
      <c r="AS603" s="53">
        <f t="shared" si="57"/>
        <v>0</v>
      </c>
      <c r="AT603" s="52">
        <f t="shared" si="57"/>
        <v>0</v>
      </c>
      <c r="AU603" s="54">
        <f>SUM(AO603:AT603)</f>
        <v>52</v>
      </c>
      <c r="AV603" s="13">
        <v>1</v>
      </c>
      <c r="AW603" s="55"/>
      <c r="AX603" s="56"/>
      <c r="AY603" s="50">
        <f>IF(AI605&gt;AJ605,1,0)+IF(AK605&gt;AL605,1,0)+IF(AM605&gt;AN605,1,0)</f>
        <v>2</v>
      </c>
      <c r="AZ603" s="50">
        <f>AW604</f>
        <v>0</v>
      </c>
      <c r="BA603" s="50">
        <f>IF(AI603&gt;AJ603,1,0)+IF(AK603&gt;AL603,1,0)+IF(AM603&gt;AN603,1,0)</f>
        <v>2</v>
      </c>
      <c r="BB603" s="57">
        <f>AW605</f>
        <v>0</v>
      </c>
      <c r="BE603" s="49">
        <f>AO603+AQ603+AS603+AO605+AQ605+AS605</f>
        <v>84</v>
      </c>
      <c r="BF603" s="57">
        <f>AP603+AR603+AT603+AP605+AR605+AT605</f>
        <v>45</v>
      </c>
      <c r="BG603" s="49">
        <f>AY603+BA603</f>
        <v>4</v>
      </c>
      <c r="BH603" s="57">
        <f>AZ603+BB603</f>
        <v>0</v>
      </c>
      <c r="BI603" s="49">
        <f>IF(AY603&gt;AZ603,1,0)+IF(BA603&gt;BB603,1,0)</f>
        <v>2</v>
      </c>
      <c r="BJ603" s="58">
        <f>IF(AZ603&gt;AY603,1,0)+IF(BB603&gt;BA603,1,0)</f>
        <v>0</v>
      </c>
      <c r="BK603" s="59">
        <f>IF(BI603+BJ603=0,"",IF(BL603=MAX(BL603:BL605),1,IF(BL603=MIN(BL603:BL605),3,2)))</f>
        <v>1</v>
      </c>
      <c r="BL603" s="60">
        <f>IF(BI603+BJ603&lt;&gt;0,BI603+1+(BG603-BH603)/100+(BE603-BF603)/100000+(BE603/BF603)/1000000,0)</f>
        <v>3.0403918666666665</v>
      </c>
    </row>
    <row r="604" spans="1:64" ht="11.45" customHeight="1" x14ac:dyDescent="0.2">
      <c r="A604" s="19">
        <f>S604</f>
        <v>155</v>
      </c>
      <c r="B604" s="2" t="str">
        <f>IF(N604="","",N604)</f>
        <v>g5614</v>
      </c>
      <c r="C604" s="2" t="str">
        <f>IF(N605="","",N605)</f>
        <v>H5946</v>
      </c>
      <c r="D604" s="2" t="str">
        <f>IF(N607="","",N607)</f>
        <v>G5478</v>
      </c>
      <c r="E604" s="2" t="str">
        <f>IF(N608="","",N608)</f>
        <v>W5473</v>
      </c>
      <c r="J604" s="10"/>
      <c r="K604" s="19"/>
      <c r="M604" s="42" t="str">
        <f>N600</f>
        <v>podwójna dziewcząt MM</v>
      </c>
      <c r="N604" s="33" t="s">
        <v>324</v>
      </c>
      <c r="O604" s="34">
        <f>IF(O599&gt;0,(O599&amp;2)*1,"")</f>
        <v>42</v>
      </c>
      <c r="Q604" s="43" t="str">
        <f>IF(AU604&gt;0,"",IF(A604=0,"",IF(VLOOKUP(A604,'[1]plan gier'!A$1:S$65536,19,FALSE)="","",VLOOKUP(A604,'[1]plan gier'!A$1:S$65536,19,FALSE))))</f>
        <v/>
      </c>
      <c r="R604" s="44" t="s">
        <v>17</v>
      </c>
      <c r="S604" s="45">
        <v>155</v>
      </c>
      <c r="T604" s="242"/>
      <c r="U604" s="244" t="str">
        <f>IF(AND(N604&lt;&gt;"",N605=""),CONCATENATE(VLOOKUP(N604,[1]zawodnicy!$A$1:$E$65536,1,FALSE)," ",VLOOKUP(N604,[1]zawodnicy!$A$1:$E$65536,2,FALSE)," ",VLOOKUP(N604,[1]zawodnicy!$A$1:$E$65536,3,FALSE)," - ",VLOOKUP(N604,[1]zawodnicy!$A$1:$E$65536,4,FALSE)),"")</f>
        <v/>
      </c>
      <c r="V604" s="245"/>
      <c r="W604" s="246"/>
      <c r="X604" s="61" t="str">
        <f>IF(SUM(AQ605:AR605)=0,"",AR605&amp;":"&amp;AQ605)</f>
        <v>17:21</v>
      </c>
      <c r="Y604" s="62"/>
      <c r="Z604" s="37" t="str">
        <f>IF(SUM(AQ604:AR604)=0,"",AQ604&amp;":"&amp;AR604)</f>
        <v>21:8</v>
      </c>
      <c r="AA604" s="248"/>
      <c r="AB604" s="251"/>
      <c r="AC604" s="251"/>
      <c r="AD604" s="254"/>
      <c r="AE604" s="2"/>
      <c r="AF604" s="12"/>
      <c r="AG604" s="12"/>
      <c r="AH604" s="44" t="s">
        <v>17</v>
      </c>
      <c r="AI604" s="63">
        <f>IF(ISBLANK(S604),"",VLOOKUP(S604,'[1]plan gier'!$X$1:$AN$65536,12,FALSE))</f>
        <v>21</v>
      </c>
      <c r="AJ604" s="64">
        <f>IF(ISBLANK(S604),"",VLOOKUP(S604,'[1]plan gier'!$X$1:$AN$65536,13,FALSE))</f>
        <v>12</v>
      </c>
      <c r="AK604" s="64">
        <f>IF(ISBLANK(S604),"",VLOOKUP(S604,'[1]plan gier'!$X$1:$AN$65536,14,FALSE))</f>
        <v>21</v>
      </c>
      <c r="AL604" s="64">
        <f>IF(ISBLANK(S604),"",VLOOKUP(S604,'[1]plan gier'!$X$1:$AN$65536,15,FALSE))</f>
        <v>8</v>
      </c>
      <c r="AM604" s="64">
        <f>IF(ISBLANK(S604),"",VLOOKUP(S604,'[1]plan gier'!$X$1:$AN$65536,16,FALSE))</f>
        <v>0</v>
      </c>
      <c r="AN604" s="64">
        <f>IF(ISBLANK(S604),"",VLOOKUP(S604,'[1]plan gier'!$X$1:$AN$65536,17,FALSE))</f>
        <v>0</v>
      </c>
      <c r="AO604" s="65">
        <f t="shared" si="57"/>
        <v>21</v>
      </c>
      <c r="AP604" s="64">
        <f t="shared" si="57"/>
        <v>12</v>
      </c>
      <c r="AQ604" s="66">
        <f t="shared" si="57"/>
        <v>21</v>
      </c>
      <c r="AR604" s="64">
        <f t="shared" si="57"/>
        <v>8</v>
      </c>
      <c r="AS604" s="66">
        <f t="shared" si="57"/>
        <v>0</v>
      </c>
      <c r="AT604" s="64">
        <f t="shared" si="57"/>
        <v>0</v>
      </c>
      <c r="AU604" s="54">
        <f>SUM(AO604:AT604)</f>
        <v>62</v>
      </c>
      <c r="AV604" s="13">
        <v>2</v>
      </c>
      <c r="AW604" s="63">
        <f>IF(AI605&lt;AJ605,1,0)+IF(AK605&lt;AL605,1,0)+IF(AM605&lt;AN605,1,0)</f>
        <v>0</v>
      </c>
      <c r="AX604" s="64">
        <f>AY603</f>
        <v>2</v>
      </c>
      <c r="AY604" s="67"/>
      <c r="AZ604" s="68"/>
      <c r="BA604" s="64">
        <f>IF(AI604&gt;AJ604,1,0)+IF(AK604&gt;AL604,1,0)+IF(AM604&gt;AN604,1,0)</f>
        <v>2</v>
      </c>
      <c r="BB604" s="69">
        <f>AY605</f>
        <v>0</v>
      </c>
      <c r="BE604" s="63">
        <f>AO604+AQ604+AS604+AP605+AR605+AT605</f>
        <v>77</v>
      </c>
      <c r="BF604" s="69">
        <f>AP604+AR604+AT604+AO605+AQ605+AS605</f>
        <v>62</v>
      </c>
      <c r="BG604" s="63">
        <f>AW604+BA604</f>
        <v>2</v>
      </c>
      <c r="BH604" s="69">
        <f>AX604+BB604</f>
        <v>2</v>
      </c>
      <c r="BI604" s="63">
        <f>IF(AW604&gt;AX604,1,0)+IF(BA604&gt;BB604,1,0)</f>
        <v>1</v>
      </c>
      <c r="BJ604" s="70">
        <f>IF(AX604&gt;AW604,1,0)+IF(BB604&gt;BA604,1,0)</f>
        <v>1</v>
      </c>
      <c r="BK604" s="71">
        <f>IF(BI604+BJ604=0,"",IF(BL604=MAX(BL603:BL605),1,IF(BL604=MIN(BL603:BL605),3,2)))</f>
        <v>2</v>
      </c>
      <c r="BL604" s="60">
        <f>IF(BI604+BJ604&lt;&gt;0,BI604+1+(BG604-BH604)/100+(BE604-BF604)/100000+(BE604/BF604)/1000000,0)</f>
        <v>2.0001512419354839</v>
      </c>
    </row>
    <row r="605" spans="1:64" ht="11.45" customHeight="1" thickBot="1" x14ac:dyDescent="0.25">
      <c r="A605" s="19">
        <f>S605</f>
        <v>208</v>
      </c>
      <c r="B605" s="2" t="str">
        <f>IF(N601="","",N601)</f>
        <v>K5262</v>
      </c>
      <c r="C605" s="2" t="str">
        <f>IF(N602="","",N602)</f>
        <v>L5359</v>
      </c>
      <c r="D605" s="2" t="str">
        <f>IF(N604="","",N604)</f>
        <v>g5614</v>
      </c>
      <c r="E605" s="2" t="str">
        <f>IF(N605="","",N605)</f>
        <v>H5946</v>
      </c>
      <c r="I605" s="2" t="str">
        <f>"3"&amp;O599&amp;N600</f>
        <v>34podwójna dziewcząt MM</v>
      </c>
      <c r="J605" s="10" t="str">
        <f>IF(AD606="","",IF(AD600=3,N601,IF(AD603=3,N604,IF(AD606=3,N607,""))))</f>
        <v>G5478</v>
      </c>
      <c r="K605" s="10" t="str">
        <f>IF(AD606="","",IF(AD600=3,N602,IF(AD603=3,N605,IF(AD606=3,N608,""))))</f>
        <v>W5473</v>
      </c>
      <c r="M605" s="42" t="str">
        <f>N600</f>
        <v>podwójna dziewcząt MM</v>
      </c>
      <c r="N605" s="38" t="s">
        <v>298</v>
      </c>
      <c r="O605" s="28"/>
      <c r="P605" s="28"/>
      <c r="Q605" s="43" t="str">
        <f>IF(AU605&gt;0,"",IF(A605=0,"",IF(VLOOKUP(A605,'[1]plan gier'!A$1:S$65536,19,FALSE)="","",VLOOKUP(A605,'[1]plan gier'!A$1:S$65536,19,FALSE))))</f>
        <v/>
      </c>
      <c r="R605" s="72" t="s">
        <v>18</v>
      </c>
      <c r="S605" s="45">
        <v>208</v>
      </c>
      <c r="T605" s="261"/>
      <c r="U605" s="265" t="str">
        <f>IF(N605&lt;&gt;"",CONCATENATE(VLOOKUP(N605,[1]zawodnicy!$A$1:$E$65536,1,FALSE)," ",VLOOKUP(N605,[1]zawodnicy!$A$1:$E$65536,2,FALSE)," ",VLOOKUP(N605,[1]zawodnicy!$A$1:$E$65536,3,FALSE)," - ",VLOOKUP(N605,[1]zawodnicy!$A$1:$E$65536,4,FALSE)),"")</f>
        <v>H5946 Paulina HANKIEWICZ - UKSB Milenium Warszawa</v>
      </c>
      <c r="V605" s="266"/>
      <c r="W605" s="267"/>
      <c r="X605" s="73" t="str">
        <f>IF(SUM(AS605:AT605)=0,"",AT605&amp;":"&amp;AS605)</f>
        <v/>
      </c>
      <c r="Y605" s="62"/>
      <c r="Z605" s="40" t="str">
        <f>IF(SUM(AS604:AT604)=0,"",AS604&amp;":"&amp;AT604)</f>
        <v/>
      </c>
      <c r="AA605" s="262"/>
      <c r="AB605" s="263"/>
      <c r="AC605" s="263"/>
      <c r="AD605" s="264"/>
      <c r="AE605" s="2"/>
      <c r="AF605" s="12"/>
      <c r="AG605" s="12"/>
      <c r="AH605" s="72" t="s">
        <v>18</v>
      </c>
      <c r="AI605" s="74">
        <f>IF(ISBLANK(S605),"",VLOOKUP(S605,'[1]plan gier'!$X$1:$AN$65536,12,FALSE))</f>
        <v>21</v>
      </c>
      <c r="AJ605" s="75">
        <f>IF(ISBLANK(S605),"",VLOOKUP(S605,'[1]plan gier'!$X$1:$AN$65536,13,FALSE))</f>
        <v>18</v>
      </c>
      <c r="AK605" s="75">
        <f>IF(ISBLANK(S605),"",VLOOKUP(S605,'[1]plan gier'!$X$1:$AN$65536,14,FALSE))</f>
        <v>21</v>
      </c>
      <c r="AL605" s="75">
        <f>IF(ISBLANK(S605),"",VLOOKUP(S605,'[1]plan gier'!$X$1:$AN$65536,15,FALSE))</f>
        <v>17</v>
      </c>
      <c r="AM605" s="75">
        <f>IF(ISBLANK(S605),"",VLOOKUP(S605,'[1]plan gier'!$X$1:$AN$65536,16,FALSE))</f>
        <v>0</v>
      </c>
      <c r="AN605" s="75">
        <f>IF(ISBLANK(S605),"",VLOOKUP(S605,'[1]plan gier'!$X$1:$AN$65536,17,FALSE))</f>
        <v>0</v>
      </c>
      <c r="AO605" s="76">
        <f t="shared" si="57"/>
        <v>21</v>
      </c>
      <c r="AP605" s="75">
        <f t="shared" si="57"/>
        <v>18</v>
      </c>
      <c r="AQ605" s="77">
        <f t="shared" si="57"/>
        <v>21</v>
      </c>
      <c r="AR605" s="75">
        <f t="shared" si="57"/>
        <v>17</v>
      </c>
      <c r="AS605" s="77">
        <f t="shared" si="57"/>
        <v>0</v>
      </c>
      <c r="AT605" s="75">
        <f t="shared" si="57"/>
        <v>0</v>
      </c>
      <c r="AU605" s="54">
        <f>SUM(AO605:AT605)</f>
        <v>77</v>
      </c>
      <c r="AV605" s="13">
        <v>3</v>
      </c>
      <c r="AW605" s="74">
        <f>IF(AI603&lt;AJ603,1,0)+IF(AK603&lt;AL603,1,0)+IF(AM603&lt;AN603,1,0)</f>
        <v>0</v>
      </c>
      <c r="AX605" s="75">
        <f>BA603</f>
        <v>2</v>
      </c>
      <c r="AY605" s="75">
        <f>IF(AI604&lt;AJ604,1,0)+IF(AK604&lt;AL604,1,0)+IF(AM604&lt;AN604,1,0)</f>
        <v>0</v>
      </c>
      <c r="AZ605" s="75">
        <f>BA604</f>
        <v>2</v>
      </c>
      <c r="BA605" s="78"/>
      <c r="BB605" s="79"/>
      <c r="BE605" s="74">
        <f>AP603+AR603+AT603+AP604+AR604+AT604</f>
        <v>30</v>
      </c>
      <c r="BF605" s="80">
        <f>AO603+AQ603+AS603+AO604+AQ604+AS604</f>
        <v>84</v>
      </c>
      <c r="BG605" s="74">
        <f>AW605+AY605</f>
        <v>0</v>
      </c>
      <c r="BH605" s="80">
        <f>AX605+AZ605</f>
        <v>4</v>
      </c>
      <c r="BI605" s="74">
        <f>IF(AW605&gt;AX605,1,0)+IF(AY605&gt;AZ605,1,0)</f>
        <v>0</v>
      </c>
      <c r="BJ605" s="81">
        <f>IF(AX605&gt;AW605,1,0)+IF(AZ605&gt;AY605,1,0)</f>
        <v>2</v>
      </c>
      <c r="BK605" s="82">
        <f>IF(BI605+BJ605=0,"",IF(BL605=MAX(BL603:BL605),1,IF(BL605=MIN(BL603:BL605),3,2)))</f>
        <v>3</v>
      </c>
      <c r="BL605" s="60">
        <f>IF(BI605+BJ605&lt;&gt;0,BI605+1+(BG605-BH605)/100+(BE605-BF605)/100000+(BE605/BF605)/1000000,0)</f>
        <v>0.95946035714285716</v>
      </c>
    </row>
    <row r="606" spans="1:64" ht="11.45" customHeight="1" x14ac:dyDescent="0.2">
      <c r="A606" s="2"/>
      <c r="J606" s="28"/>
      <c r="K606" s="28"/>
      <c r="L606" s="28"/>
      <c r="O606" s="28"/>
      <c r="P606" s="28"/>
      <c r="Q606" s="2"/>
      <c r="R606" s="2"/>
      <c r="S606" s="2"/>
      <c r="T606" s="241">
        <v>3</v>
      </c>
      <c r="U606" s="244" t="str">
        <f>IF(AND(N607&lt;&gt;"",N608&lt;&gt;""),CONCATENATE(VLOOKUP(N607,[1]zawodnicy!$A$1:$E$65536,1,FALSE)," ",VLOOKUP(N607,[1]zawodnicy!$A$1:$E$65536,2,FALSE)," ",VLOOKUP(N607,[1]zawodnicy!$A$1:$E$65536,3,FALSE)," - ",VLOOKUP(N607,[1]zawodnicy!$A$1:$E$65536,4,FALSE)),"")</f>
        <v>G5478 Paulina GAPSA - UKS Iskra Sarbice</v>
      </c>
      <c r="V606" s="245"/>
      <c r="W606" s="246"/>
      <c r="X606" s="46" t="str">
        <f>IF(SUM(AO603:AP603)=0,"",AP603&amp;":"&amp;AO603)</f>
        <v>8:21</v>
      </c>
      <c r="Y606" s="83" t="str">
        <f>IF(SUM(AO604:AP604)=0,"",AP604&amp;":"&amp;AO604)</f>
        <v>12:21</v>
      </c>
      <c r="Z606" s="84"/>
      <c r="AA606" s="247" t="str">
        <f>IF(SUM(AW605:AZ605)=0,"",BE605&amp;":"&amp;BF605)</f>
        <v>30:84</v>
      </c>
      <c r="AB606" s="250" t="str">
        <f>IF(SUM(AW605:AZ605)=0,"",BG605&amp;":"&amp;BH605)</f>
        <v>0:4</v>
      </c>
      <c r="AC606" s="250" t="str">
        <f>IF(SUM(AW605:AZ605)=0,"",BI605&amp;":"&amp;BJ605)</f>
        <v>0:2</v>
      </c>
      <c r="AD606" s="253">
        <f>IF(SUM(BI603:BI605)&gt;0,BK605,"")</f>
        <v>3</v>
      </c>
      <c r="AE606" s="2"/>
      <c r="AF606" s="12"/>
      <c r="AG606" s="12"/>
      <c r="BE606" s="19">
        <f>SUM(BE603:BE605)</f>
        <v>191</v>
      </c>
      <c r="BF606" s="19">
        <f>SUM(BF603:BF605)</f>
        <v>191</v>
      </c>
      <c r="BG606" s="19">
        <f>SUM(BG603:BG605)</f>
        <v>6</v>
      </c>
      <c r="BH606" s="19">
        <f>SUM(BH603:BH605)</f>
        <v>6</v>
      </c>
      <c r="BK606" s="19"/>
      <c r="BL606" s="20"/>
    </row>
    <row r="607" spans="1:64" ht="11.45" customHeight="1" x14ac:dyDescent="0.2">
      <c r="A607" s="19"/>
      <c r="J607" s="19"/>
      <c r="K607" s="19"/>
      <c r="L607" s="19"/>
      <c r="N607" s="33" t="s">
        <v>325</v>
      </c>
      <c r="O607" s="34">
        <f>IF(O599&gt;0,(O599&amp;3)*1,"")</f>
        <v>43</v>
      </c>
      <c r="Q607" s="85"/>
      <c r="R607" s="85"/>
      <c r="S607" s="85"/>
      <c r="T607" s="242"/>
      <c r="U607" s="244" t="str">
        <f>IF(AND(N607&lt;&gt;"",N608=""),CONCATENATE(VLOOKUP(N607,[1]zawodnicy!$A$1:$E$65536,1,FALSE)," ",VLOOKUP(N607,[1]zawodnicy!$A$1:$E$65536,2,FALSE)," ",VLOOKUP(N607,[1]zawodnicy!$A$1:$E$65536,3,FALSE)," - ",VLOOKUP(N607,[1]zawodnicy!$A$1:$E$65536,4,FALSE)),"")</f>
        <v/>
      </c>
      <c r="V607" s="245"/>
      <c r="W607" s="246"/>
      <c r="X607" s="61" t="str">
        <f>IF(SUM(AQ603:AR603)=0,"",AR603&amp;":"&amp;AQ603)</f>
        <v>2:21</v>
      </c>
      <c r="Y607" s="36" t="str">
        <f>IF(SUM(AQ604:AR604)=0,"",AR604&amp;":"&amp;AQ604)</f>
        <v>8:21</v>
      </c>
      <c r="Z607" s="86"/>
      <c r="AA607" s="248"/>
      <c r="AB607" s="251"/>
      <c r="AC607" s="251"/>
      <c r="AD607" s="254"/>
      <c r="AE607" s="2"/>
      <c r="AF607" s="12"/>
      <c r="AG607" s="1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row>
    <row r="608" spans="1:64" ht="11.45" customHeight="1" thickBot="1" x14ac:dyDescent="0.25">
      <c r="A608" s="2"/>
      <c r="J608" s="28"/>
      <c r="K608" s="28"/>
      <c r="L608" s="28"/>
      <c r="N608" s="38" t="s">
        <v>309</v>
      </c>
      <c r="O608" s="28"/>
      <c r="P608" s="28"/>
      <c r="Q608" s="2"/>
      <c r="R608" s="2"/>
      <c r="S608" s="2"/>
      <c r="T608" s="243"/>
      <c r="U608" s="256" t="str">
        <f>IF(N608&lt;&gt;"",CONCATENATE(VLOOKUP(N608,[1]zawodnicy!$A$1:$E$65536,1,FALSE)," ",VLOOKUP(N608,[1]zawodnicy!$A$1:$E$65536,2,FALSE)," ",VLOOKUP(N608,[1]zawodnicy!$A$1:$E$65536,3,FALSE)," - ",VLOOKUP(N608,[1]zawodnicy!$A$1:$E$65536,4,FALSE)),"")</f>
        <v>W5473 Paulina WUDARSKA - UKS Iskra Sarbice</v>
      </c>
      <c r="V608" s="257"/>
      <c r="W608" s="258"/>
      <c r="X608" s="87" t="str">
        <f>IF(SUM(AS603:AT603)=0,"",AT603&amp;":"&amp;AS603)</f>
        <v/>
      </c>
      <c r="Y608" s="88" t="str">
        <f>IF(SUM(AS604:AT604)=0,"",AT604&amp;":"&amp;AS604)</f>
        <v/>
      </c>
      <c r="Z608" s="89"/>
      <c r="AA608" s="249"/>
      <c r="AB608" s="252"/>
      <c r="AC608" s="252"/>
      <c r="AD608" s="255"/>
      <c r="AE608" s="10"/>
      <c r="AF608" s="12"/>
      <c r="AG608" s="1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row>
    <row r="609" spans="1:64" ht="3" customHeight="1" thickBot="1" x14ac:dyDescent="0.25"/>
    <row r="610" spans="1:64" ht="11.45" customHeight="1" thickBot="1" x14ac:dyDescent="0.25">
      <c r="N610" s="11"/>
      <c r="O610" s="21">
        <v>5</v>
      </c>
      <c r="Q610" s="277" t="str">
        <f>"Grupa "&amp;O610&amp;"."</f>
        <v>Grupa 5.</v>
      </c>
      <c r="R610" s="277"/>
      <c r="S610" s="277"/>
      <c r="T610" s="22" t="s">
        <v>1</v>
      </c>
      <c r="U610" s="278" t="s">
        <v>2</v>
      </c>
      <c r="V610" s="279"/>
      <c r="W610" s="280"/>
      <c r="X610" s="22">
        <v>1</v>
      </c>
      <c r="Y610" s="23">
        <v>2</v>
      </c>
      <c r="Z610" s="24">
        <v>3</v>
      </c>
      <c r="AA610" s="25" t="s">
        <v>3</v>
      </c>
      <c r="AB610" s="26" t="s">
        <v>4</v>
      </c>
      <c r="AC610" s="26" t="s">
        <v>5</v>
      </c>
      <c r="AD610" s="27" t="s">
        <v>6</v>
      </c>
      <c r="AE610" s="2"/>
      <c r="AF610" s="12"/>
      <c r="AG610" s="12"/>
      <c r="BK610" s="19"/>
      <c r="BL610" s="20"/>
    </row>
    <row r="611" spans="1:64" ht="11.45" customHeight="1" x14ac:dyDescent="0.2">
      <c r="J611" s="28"/>
      <c r="K611" s="28"/>
      <c r="L611" s="28"/>
      <c r="N611" s="29" t="s">
        <v>321</v>
      </c>
      <c r="Q611" s="274" t="s">
        <v>7</v>
      </c>
      <c r="R611" s="274"/>
      <c r="S611" s="275" t="s">
        <v>8</v>
      </c>
      <c r="T611" s="276">
        <v>1</v>
      </c>
      <c r="U611" s="244" t="str">
        <f>IF(AND(N612&lt;&gt;"",N613&lt;&gt;""),CONCATENATE(VLOOKUP(N612,[1]zawodnicy!$A$1:$E$65536,1,FALSE)," ",VLOOKUP(N612,[1]zawodnicy!$A$1:$E$65536,2,FALSE)," ",VLOOKUP(N612,[1]zawodnicy!$A$1:$E$65536,3,FALSE)," - ",VLOOKUP(N612,[1]zawodnicy!$A$1:$E$65536,4,FALSE)),"")</f>
        <v>M4792 Urszula MISZKIEL - SKB Suwałki</v>
      </c>
      <c r="V611" s="245"/>
      <c r="W611" s="246"/>
      <c r="X611" s="30"/>
      <c r="Y611" s="31" t="str">
        <f>IF(SUM(AO616:AP616)=0,"",AO616&amp;":"&amp;AP616)</f>
        <v>21:10</v>
      </c>
      <c r="Z611" s="32" t="str">
        <f>IF(SUM(AO614:AP614)=0,"",AO614&amp;":"&amp;AP614)</f>
        <v>21:13</v>
      </c>
      <c r="AA611" s="270" t="str">
        <f>IF(SUM(AY614:BB614)=0,"",BE614&amp;":"&amp;BF614)</f>
        <v>84:44</v>
      </c>
      <c r="AB611" s="271" t="str">
        <f>IF(SUM(AY614:BB614)=0,"",BG614&amp;":"&amp;BH614)</f>
        <v>4:0</v>
      </c>
      <c r="AC611" s="271" t="str">
        <f>IF(SUM(AY614:BB614)=0,"",BI614&amp;":"&amp;BJ614)</f>
        <v>2:0</v>
      </c>
      <c r="AD611" s="272">
        <f>IF(SUM(BI614:BI616)&gt;0,BK614,"")</f>
        <v>1</v>
      </c>
      <c r="AE611" s="2"/>
      <c r="AF611" s="12"/>
      <c r="AG611" s="12"/>
      <c r="AH611" s="14"/>
      <c r="AI611" s="273" t="s">
        <v>9</v>
      </c>
      <c r="AJ611" s="273"/>
      <c r="AK611" s="273"/>
      <c r="AL611" s="273"/>
      <c r="AM611" s="273"/>
      <c r="AN611" s="273"/>
      <c r="AO611" s="273" t="s">
        <v>10</v>
      </c>
      <c r="AP611" s="273"/>
      <c r="AQ611" s="273"/>
      <c r="AR611" s="273"/>
      <c r="AS611" s="273"/>
      <c r="AT611" s="273"/>
      <c r="BK611" s="19"/>
      <c r="BL611" s="20"/>
    </row>
    <row r="612" spans="1:64" ht="11.45" customHeight="1" thickBot="1" x14ac:dyDescent="0.25">
      <c r="I612" s="2" t="str">
        <f>"1"&amp;O610&amp;N611</f>
        <v>15podwójna dziewcząt MM</v>
      </c>
      <c r="J612" s="10" t="str">
        <f>IF(AD611="","",IF(AD611=1,N612,IF(AD614=1,N615,IF(AD617=1,N618,""))))</f>
        <v>M4792</v>
      </c>
      <c r="K612" s="10" t="str">
        <f>IF(AD611="","",IF(AD611=1,N613,IF(AD614=1,N616,IF(AD617=1,N619,""))))</f>
        <v>O5218</v>
      </c>
      <c r="L612" s="10"/>
      <c r="N612" s="33" t="s">
        <v>313</v>
      </c>
      <c r="O612" s="34">
        <f>IF(O610&gt;0,(O610&amp;1)*1,"")</f>
        <v>51</v>
      </c>
      <c r="Q612" s="274"/>
      <c r="R612" s="274"/>
      <c r="S612" s="275"/>
      <c r="T612" s="242"/>
      <c r="U612" s="244" t="str">
        <f>IF(AND(N612&lt;&gt;"",N613=""),CONCATENATE(VLOOKUP(N612,[1]zawodnicy!$A$1:$E$65536,1,FALSE)," ",VLOOKUP(N612,[1]zawodnicy!$A$1:$E$65536,2,FALSE)," ",VLOOKUP(N612,[1]zawodnicy!$A$1:$E$65536,3,FALSE)," - ",VLOOKUP(N612,[1]zawodnicy!$A$1:$E$65536,4,FALSE)),"")</f>
        <v/>
      </c>
      <c r="V612" s="245"/>
      <c r="W612" s="246"/>
      <c r="X612" s="35"/>
      <c r="Y612" s="36" t="str">
        <f>IF(SUM(AQ616:AR616)=0,"",AQ616&amp;":"&amp;AR616)</f>
        <v>21:9</v>
      </c>
      <c r="Z612" s="37" t="str">
        <f>IF(SUM(AQ614:AR614)=0,"",AQ614&amp;":"&amp;AR614)</f>
        <v>21:12</v>
      </c>
      <c r="AA612" s="248"/>
      <c r="AB612" s="251"/>
      <c r="AC612" s="251"/>
      <c r="AD612" s="254"/>
      <c r="AE612" s="2"/>
      <c r="AF612" s="12"/>
      <c r="AG612" s="12"/>
      <c r="AH612" s="14"/>
      <c r="BE612" s="19">
        <f>SUM(BE614:BE616)</f>
        <v>195</v>
      </c>
      <c r="BF612" s="19">
        <f>SUM(BF614:BF616)</f>
        <v>195</v>
      </c>
      <c r="BG612" s="19">
        <f>SUM(BG614:BG616)</f>
        <v>6</v>
      </c>
      <c r="BH612" s="19">
        <f>SUM(BH614:BH616)</f>
        <v>6</v>
      </c>
      <c r="BK612" s="19"/>
      <c r="BL612" s="20"/>
    </row>
    <row r="613" spans="1:64" ht="11.45" customHeight="1" thickBot="1" x14ac:dyDescent="0.25">
      <c r="J613" s="10"/>
      <c r="K613" s="28"/>
      <c r="L613" s="28"/>
      <c r="N613" s="38" t="s">
        <v>297</v>
      </c>
      <c r="O613" s="28"/>
      <c r="P613" s="28"/>
      <c r="Q613" s="274"/>
      <c r="R613" s="274"/>
      <c r="S613" s="275"/>
      <c r="T613" s="261"/>
      <c r="U613" s="265" t="str">
        <f>IF(N613&lt;&gt;"",CONCATENATE(VLOOKUP(N613,[1]zawodnicy!$A$1:$E$65536,1,FALSE)," ",VLOOKUP(N613,[1]zawodnicy!$A$1:$E$65536,2,FALSE)," ",VLOOKUP(N613,[1]zawodnicy!$A$1:$E$65536,3,FALSE)," - ",VLOOKUP(N613,[1]zawodnicy!$A$1:$E$65536,4,FALSE)),"")</f>
        <v>O5218 Natalia OWSIEJEW - SKB Suwałki</v>
      </c>
      <c r="V613" s="266"/>
      <c r="W613" s="267"/>
      <c r="X613" s="35"/>
      <c r="Y613" s="39" t="str">
        <f>IF(SUM(AS616:AT616)=0,"",AS616&amp;":"&amp;AT616)</f>
        <v/>
      </c>
      <c r="Z613" s="40" t="str">
        <f>IF(SUM(AS614:AT614)=0,"",AS614&amp;":"&amp;AT614)</f>
        <v/>
      </c>
      <c r="AA613" s="262"/>
      <c r="AB613" s="263"/>
      <c r="AC613" s="263"/>
      <c r="AD613" s="264"/>
      <c r="AE613" s="2"/>
      <c r="AF613" s="12"/>
      <c r="AG613" s="12"/>
      <c r="AH613" s="14"/>
      <c r="AI613" s="259" t="s">
        <v>12</v>
      </c>
      <c r="AJ613" s="269"/>
      <c r="AK613" s="268" t="s">
        <v>13</v>
      </c>
      <c r="AL613" s="269"/>
      <c r="AM613" s="268" t="s">
        <v>14</v>
      </c>
      <c r="AN613" s="260"/>
      <c r="AO613" s="259" t="s">
        <v>12</v>
      </c>
      <c r="AP613" s="269"/>
      <c r="AQ613" s="268" t="s">
        <v>13</v>
      </c>
      <c r="AR613" s="269"/>
      <c r="AS613" s="268" t="s">
        <v>14</v>
      </c>
      <c r="AT613" s="269"/>
      <c r="AU613" s="12"/>
      <c r="AV613" s="12"/>
      <c r="AW613" s="259">
        <v>1</v>
      </c>
      <c r="AX613" s="269"/>
      <c r="AY613" s="268">
        <v>2</v>
      </c>
      <c r="AZ613" s="269"/>
      <c r="BA613" s="268">
        <v>3</v>
      </c>
      <c r="BB613" s="260"/>
      <c r="BE613" s="259" t="s">
        <v>3</v>
      </c>
      <c r="BF613" s="260"/>
      <c r="BG613" s="259" t="s">
        <v>4</v>
      </c>
      <c r="BH613" s="260"/>
      <c r="BI613" s="259" t="s">
        <v>5</v>
      </c>
      <c r="BJ613" s="260"/>
      <c r="BK613" s="41" t="s">
        <v>6</v>
      </c>
      <c r="BL613" s="20"/>
    </row>
    <row r="614" spans="1:64" ht="11.45" customHeight="1" x14ac:dyDescent="0.2">
      <c r="A614" s="19">
        <f>S614</f>
        <v>90</v>
      </c>
      <c r="B614" s="2" t="str">
        <f>IF(N612="","",N612)</f>
        <v>M4792</v>
      </c>
      <c r="C614" s="2" t="str">
        <f>IF(N613="","",N613)</f>
        <v>O5218</v>
      </c>
      <c r="D614" s="2" t="str">
        <f>IF(N618="","",N618)</f>
        <v>G5951</v>
      </c>
      <c r="E614" s="2" t="str">
        <f>IF(N619="","",N619)</f>
        <v>K5950</v>
      </c>
      <c r="I614" s="2" t="str">
        <f>"2"&amp;O610&amp;N611</f>
        <v>25podwójna dziewcząt MM</v>
      </c>
      <c r="J614" s="10" t="str">
        <f>IF(AD614="","",IF(AD611=2,N612,IF(AD614=2,N615,IF(AD617=2,N618,""))))</f>
        <v>G5951</v>
      </c>
      <c r="K614" s="10" t="str">
        <f>IF(AD614="","",IF(AD611=2,N613,IF(AD614=2,N616,IF(AD617=2,N619,""))))</f>
        <v>K5950</v>
      </c>
      <c r="M614" s="42" t="str">
        <f>N611</f>
        <v>podwójna dziewcząt MM</v>
      </c>
      <c r="O614" s="28"/>
      <c r="P614" s="28"/>
      <c r="Q614" s="43" t="str">
        <f>IF(AU614&gt;0,"",IF(A614=0,"",IF(VLOOKUP(A614,'[1]plan gier'!A$1:S$65536,19,FALSE)="","",VLOOKUP(A614,'[1]plan gier'!A$1:S$65536,19,FALSE))))</f>
        <v/>
      </c>
      <c r="R614" s="44" t="s">
        <v>15</v>
      </c>
      <c r="S614" s="45">
        <v>90</v>
      </c>
      <c r="T614" s="241">
        <v>2</v>
      </c>
      <c r="U614" s="244" t="str">
        <f>IF(AND(N615&lt;&gt;"",N616&lt;&gt;""),CONCATENATE(VLOOKUP(N615,[1]zawodnicy!$A$1:$E$65536,1,FALSE)," ",VLOOKUP(N615,[1]zawodnicy!$A$1:$E$65536,2,FALSE)," ",VLOOKUP(N615,[1]zawodnicy!$A$1:$E$65536,3,FALSE)," - ",VLOOKUP(N615,[1]zawodnicy!$A$1:$E$65536,4,FALSE)),"")</f>
        <v>X34 Marina YANBAYEVA - Białoruś</v>
      </c>
      <c r="V614" s="245"/>
      <c r="W614" s="246"/>
      <c r="X614" s="46" t="str">
        <f>IF(SUM(AO616:AP616)=0,"",AP616&amp;":"&amp;AO616)</f>
        <v>10:21</v>
      </c>
      <c r="Y614" s="47"/>
      <c r="Z614" s="48" t="str">
        <f>IF(SUM(AO615:AP615)=0,"",AO615&amp;":"&amp;AP615)</f>
        <v>12:21</v>
      </c>
      <c r="AA614" s="247" t="str">
        <f>IF(SUM(AW615:AX615,BA615:BB615)=0,"",BE615&amp;":"&amp;BF615)</f>
        <v>44:84</v>
      </c>
      <c r="AB614" s="250" t="str">
        <f>IF(SUM(AW615:AX615,BA615:BB615)=0,"",BG615&amp;":"&amp;BH615)</f>
        <v>0:4</v>
      </c>
      <c r="AC614" s="250" t="str">
        <f>IF(SUM(AW615:AX615,BA615:BB615)=0,"",BI615&amp;":"&amp;BJ615)</f>
        <v>0:2</v>
      </c>
      <c r="AD614" s="253">
        <f>IF(SUM(BI614:BI616)&gt;0,BK615,"")</f>
        <v>3</v>
      </c>
      <c r="AE614" s="2"/>
      <c r="AF614" s="12"/>
      <c r="AG614" s="12"/>
      <c r="AH614" s="44" t="s">
        <v>15</v>
      </c>
      <c r="AI614" s="49">
        <f>IF(ISBLANK(S614),"",VLOOKUP(S614,'[1]plan gier'!$X$1:$AN$65536,12,FALSE))</f>
        <v>21</v>
      </c>
      <c r="AJ614" s="50">
        <f>IF(ISBLANK(S614),"",VLOOKUP(S614,'[1]plan gier'!$X$1:$AN$65536,13,FALSE))</f>
        <v>13</v>
      </c>
      <c r="AK614" s="50">
        <f>IF(ISBLANK(S614),"",VLOOKUP(S614,'[1]plan gier'!$X$1:$AN$65536,14,FALSE))</f>
        <v>21</v>
      </c>
      <c r="AL614" s="50">
        <f>IF(ISBLANK(S614),"",VLOOKUP(S614,'[1]plan gier'!$X$1:$AN$65536,15,FALSE))</f>
        <v>12</v>
      </c>
      <c r="AM614" s="50">
        <f>IF(ISBLANK(S614),"",VLOOKUP(S614,'[1]plan gier'!$X$1:$AN$65536,16,FALSE))</f>
        <v>0</v>
      </c>
      <c r="AN614" s="50">
        <f>IF(ISBLANK(S614),"",VLOOKUP(S614,'[1]plan gier'!$X$1:$AN$65536,17,FALSE))</f>
        <v>0</v>
      </c>
      <c r="AO614" s="51">
        <f t="shared" ref="AO614:AT616" si="58">IF(AI614="",0,AI614)</f>
        <v>21</v>
      </c>
      <c r="AP614" s="52">
        <f t="shared" si="58"/>
        <v>13</v>
      </c>
      <c r="AQ614" s="53">
        <f t="shared" si="58"/>
        <v>21</v>
      </c>
      <c r="AR614" s="52">
        <f t="shared" si="58"/>
        <v>12</v>
      </c>
      <c r="AS614" s="53">
        <f t="shared" si="58"/>
        <v>0</v>
      </c>
      <c r="AT614" s="52">
        <f t="shared" si="58"/>
        <v>0</v>
      </c>
      <c r="AU614" s="54">
        <f>SUM(AO614:AT614)</f>
        <v>67</v>
      </c>
      <c r="AV614" s="13">
        <v>1</v>
      </c>
      <c r="AW614" s="55"/>
      <c r="AX614" s="56"/>
      <c r="AY614" s="50">
        <f>IF(AI616&gt;AJ616,1,0)+IF(AK616&gt;AL616,1,0)+IF(AM616&gt;AN616,1,0)</f>
        <v>2</v>
      </c>
      <c r="AZ614" s="50">
        <f>AW615</f>
        <v>0</v>
      </c>
      <c r="BA614" s="50">
        <f>IF(AI614&gt;AJ614,1,0)+IF(AK614&gt;AL614,1,0)+IF(AM614&gt;AN614,1,0)</f>
        <v>2</v>
      </c>
      <c r="BB614" s="57">
        <f>AW616</f>
        <v>0</v>
      </c>
      <c r="BE614" s="49">
        <f>AO614+AQ614+AS614+AO616+AQ616+AS616</f>
        <v>84</v>
      </c>
      <c r="BF614" s="57">
        <f>AP614+AR614+AT614+AP616+AR616+AT616</f>
        <v>44</v>
      </c>
      <c r="BG614" s="49">
        <f>AY614+BA614</f>
        <v>4</v>
      </c>
      <c r="BH614" s="57">
        <f>AZ614+BB614</f>
        <v>0</v>
      </c>
      <c r="BI614" s="49">
        <f>IF(AY614&gt;AZ614,1,0)+IF(BA614&gt;BB614,1,0)</f>
        <v>2</v>
      </c>
      <c r="BJ614" s="58">
        <f>IF(AZ614&gt;AY614,1,0)+IF(BB614&gt;BA614,1,0)</f>
        <v>0</v>
      </c>
      <c r="BK614" s="59">
        <f>IF(BI614+BJ614=0,"",IF(BL614=MAX(BL614:BL616),1,IF(BL614=MIN(BL614:BL616),3,2)))</f>
        <v>1</v>
      </c>
      <c r="BL614" s="60">
        <f>IF(BI614+BJ614&lt;&gt;0,BI614+1+(BG614-BH614)/100+(BE614-BF614)/100000+(BE614/BF614)/1000000,0)</f>
        <v>3.0404019090909089</v>
      </c>
    </row>
    <row r="615" spans="1:64" ht="11.45" customHeight="1" x14ac:dyDescent="0.2">
      <c r="A615" s="19">
        <f>S615</f>
        <v>156</v>
      </c>
      <c r="B615" s="2" t="str">
        <f>IF(N615="","",N615)</f>
        <v>X34</v>
      </c>
      <c r="C615" s="2" t="str">
        <f>IF(N616="","",N616)</f>
        <v>X33</v>
      </c>
      <c r="D615" s="2" t="str">
        <f>IF(N618="","",N618)</f>
        <v>G5951</v>
      </c>
      <c r="E615" s="2" t="str">
        <f>IF(N619="","",N619)</f>
        <v>K5950</v>
      </c>
      <c r="J615" s="10"/>
      <c r="K615" s="19"/>
      <c r="M615" s="42" t="str">
        <f>N611</f>
        <v>podwójna dziewcząt MM</v>
      </c>
      <c r="N615" s="33" t="s">
        <v>326</v>
      </c>
      <c r="O615" s="34">
        <f>IF(O610&gt;0,(O610&amp;2)*1,"")</f>
        <v>52</v>
      </c>
      <c r="Q615" s="43" t="str">
        <f>IF(AU615&gt;0,"",IF(A615=0,"",IF(VLOOKUP(A615,'[1]plan gier'!A$1:S$65536,19,FALSE)="","",VLOOKUP(A615,'[1]plan gier'!A$1:S$65536,19,FALSE))))</f>
        <v/>
      </c>
      <c r="R615" s="44" t="s">
        <v>17</v>
      </c>
      <c r="S615" s="45">
        <v>156</v>
      </c>
      <c r="T615" s="242"/>
      <c r="U615" s="244" t="str">
        <f>IF(AND(N615&lt;&gt;"",N616=""),CONCATENATE(VLOOKUP(N615,[1]zawodnicy!$A$1:$E$65536,1,FALSE)," ",VLOOKUP(N615,[1]zawodnicy!$A$1:$E$65536,2,FALSE)," ",VLOOKUP(N615,[1]zawodnicy!$A$1:$E$65536,3,FALSE)," - ",VLOOKUP(N615,[1]zawodnicy!$A$1:$E$65536,4,FALSE)),"")</f>
        <v/>
      </c>
      <c r="V615" s="245"/>
      <c r="W615" s="246"/>
      <c r="X615" s="61" t="str">
        <f>IF(SUM(AQ616:AR616)=0,"",AR616&amp;":"&amp;AQ616)</f>
        <v>9:21</v>
      </c>
      <c r="Y615" s="62"/>
      <c r="Z615" s="37" t="str">
        <f>IF(SUM(AQ615:AR615)=0,"",AQ615&amp;":"&amp;AR615)</f>
        <v>13:21</v>
      </c>
      <c r="AA615" s="248"/>
      <c r="AB615" s="251"/>
      <c r="AC615" s="251"/>
      <c r="AD615" s="254"/>
      <c r="AE615" s="2"/>
      <c r="AF615" s="12"/>
      <c r="AG615" s="12"/>
      <c r="AH615" s="44" t="s">
        <v>17</v>
      </c>
      <c r="AI615" s="63">
        <f>IF(ISBLANK(S615),"",VLOOKUP(S615,'[1]plan gier'!$X$1:$AN$65536,12,FALSE))</f>
        <v>12</v>
      </c>
      <c r="AJ615" s="64">
        <f>IF(ISBLANK(S615),"",VLOOKUP(S615,'[1]plan gier'!$X$1:$AN$65536,13,FALSE))</f>
        <v>21</v>
      </c>
      <c r="AK615" s="64">
        <f>IF(ISBLANK(S615),"",VLOOKUP(S615,'[1]plan gier'!$X$1:$AN$65536,14,FALSE))</f>
        <v>13</v>
      </c>
      <c r="AL615" s="64">
        <f>IF(ISBLANK(S615),"",VLOOKUP(S615,'[1]plan gier'!$X$1:$AN$65536,15,FALSE))</f>
        <v>21</v>
      </c>
      <c r="AM615" s="64">
        <f>IF(ISBLANK(S615),"",VLOOKUP(S615,'[1]plan gier'!$X$1:$AN$65536,16,FALSE))</f>
        <v>0</v>
      </c>
      <c r="AN615" s="64">
        <f>IF(ISBLANK(S615),"",VLOOKUP(S615,'[1]plan gier'!$X$1:$AN$65536,17,FALSE))</f>
        <v>0</v>
      </c>
      <c r="AO615" s="65">
        <f t="shared" si="58"/>
        <v>12</v>
      </c>
      <c r="AP615" s="64">
        <f t="shared" si="58"/>
        <v>21</v>
      </c>
      <c r="AQ615" s="66">
        <f t="shared" si="58"/>
        <v>13</v>
      </c>
      <c r="AR615" s="64">
        <f t="shared" si="58"/>
        <v>21</v>
      </c>
      <c r="AS615" s="66">
        <f t="shared" si="58"/>
        <v>0</v>
      </c>
      <c r="AT615" s="64">
        <f t="shared" si="58"/>
        <v>0</v>
      </c>
      <c r="AU615" s="54">
        <f>SUM(AO615:AT615)</f>
        <v>67</v>
      </c>
      <c r="AV615" s="13">
        <v>2</v>
      </c>
      <c r="AW615" s="63">
        <f>IF(AI616&lt;AJ616,1,0)+IF(AK616&lt;AL616,1,0)+IF(AM616&lt;AN616,1,0)</f>
        <v>0</v>
      </c>
      <c r="AX615" s="64">
        <f>AY614</f>
        <v>2</v>
      </c>
      <c r="AY615" s="67"/>
      <c r="AZ615" s="68"/>
      <c r="BA615" s="64">
        <f>IF(AI615&gt;AJ615,1,0)+IF(AK615&gt;AL615,1,0)+IF(AM615&gt;AN615,1,0)</f>
        <v>0</v>
      </c>
      <c r="BB615" s="69">
        <f>AY616</f>
        <v>2</v>
      </c>
      <c r="BE615" s="63">
        <f>AO615+AQ615+AS615+AP616+AR616+AT616</f>
        <v>44</v>
      </c>
      <c r="BF615" s="69">
        <f>AP615+AR615+AT615+AO616+AQ616+AS616</f>
        <v>84</v>
      </c>
      <c r="BG615" s="63">
        <f>AW615+BA615</f>
        <v>0</v>
      </c>
      <c r="BH615" s="69">
        <f>AX615+BB615</f>
        <v>4</v>
      </c>
      <c r="BI615" s="63">
        <f>IF(AW615&gt;AX615,1,0)+IF(BA615&gt;BB615,1,0)</f>
        <v>0</v>
      </c>
      <c r="BJ615" s="70">
        <f>IF(AX615&gt;AW615,1,0)+IF(BB615&gt;BA615,1,0)</f>
        <v>2</v>
      </c>
      <c r="BK615" s="71">
        <f>IF(BI615+BJ615=0,"",IF(BL615=MAX(BL614:BL616),1,IF(BL615=MIN(BL614:BL616),3,2)))</f>
        <v>3</v>
      </c>
      <c r="BL615" s="60">
        <f>IF(BI615+BJ615&lt;&gt;0,BI615+1+(BG615-BH615)/100+(BE615-BF615)/100000+(BE615/BF615)/1000000,0)</f>
        <v>0.95960052380952376</v>
      </c>
    </row>
    <row r="616" spans="1:64" ht="11.45" customHeight="1" thickBot="1" x14ac:dyDescent="0.25">
      <c r="A616" s="19">
        <f>S616</f>
        <v>209</v>
      </c>
      <c r="B616" s="2" t="str">
        <f>IF(N612="","",N612)</f>
        <v>M4792</v>
      </c>
      <c r="C616" s="2" t="str">
        <f>IF(N613="","",N613)</f>
        <v>O5218</v>
      </c>
      <c r="D616" s="2" t="str">
        <f>IF(N615="","",N615)</f>
        <v>X34</v>
      </c>
      <c r="E616" s="2" t="str">
        <f>IF(N616="","",N616)</f>
        <v>X33</v>
      </c>
      <c r="I616" s="2" t="str">
        <f>"3"&amp;O610&amp;N611</f>
        <v>35podwójna dziewcząt MM</v>
      </c>
      <c r="J616" s="10" t="str">
        <f>IF(AD617="","",IF(AD611=3,N612,IF(AD614=3,N615,IF(AD617=3,N618,""))))</f>
        <v>X34</v>
      </c>
      <c r="K616" s="10" t="str">
        <f>IF(AD617="","",IF(AD611=3,N613,IF(AD614=3,N616,IF(AD617=3,N619,""))))</f>
        <v>X33</v>
      </c>
      <c r="M616" s="42" t="str">
        <f>N611</f>
        <v>podwójna dziewcząt MM</v>
      </c>
      <c r="N616" s="38" t="s">
        <v>318</v>
      </c>
      <c r="O616" s="28"/>
      <c r="P616" s="28"/>
      <c r="Q616" s="43" t="str">
        <f>IF(AU616&gt;0,"",IF(A616=0,"",IF(VLOOKUP(A616,'[1]plan gier'!A$1:S$65536,19,FALSE)="","",VLOOKUP(A616,'[1]plan gier'!A$1:S$65536,19,FALSE))))</f>
        <v/>
      </c>
      <c r="R616" s="72" t="s">
        <v>18</v>
      </c>
      <c r="S616" s="45">
        <v>209</v>
      </c>
      <c r="T616" s="261"/>
      <c r="U616" s="265" t="str">
        <f>IF(N616&lt;&gt;"",CONCATENATE(VLOOKUP(N616,[1]zawodnicy!$A$1:$E$65536,1,FALSE)," ",VLOOKUP(N616,[1]zawodnicy!$A$1:$E$65536,2,FALSE)," ",VLOOKUP(N616,[1]zawodnicy!$A$1:$E$65536,3,FALSE)," - ",VLOOKUP(N616,[1]zawodnicy!$A$1:$E$65536,4,FALSE)),"")</f>
        <v>X33 Kseniya YAROSHUK - Białoruś</v>
      </c>
      <c r="V616" s="266"/>
      <c r="W616" s="267"/>
      <c r="X616" s="73" t="str">
        <f>IF(SUM(AS616:AT616)=0,"",AT616&amp;":"&amp;AS616)</f>
        <v/>
      </c>
      <c r="Y616" s="62"/>
      <c r="Z616" s="40" t="str">
        <f>IF(SUM(AS615:AT615)=0,"",AS615&amp;":"&amp;AT615)</f>
        <v/>
      </c>
      <c r="AA616" s="262"/>
      <c r="AB616" s="263"/>
      <c r="AC616" s="263"/>
      <c r="AD616" s="264"/>
      <c r="AE616" s="2"/>
      <c r="AF616" s="12"/>
      <c r="AG616" s="12"/>
      <c r="AH616" s="72" t="s">
        <v>18</v>
      </c>
      <c r="AI616" s="74">
        <f>IF(ISBLANK(S616),"",VLOOKUP(S616,'[1]plan gier'!$X$1:$AN$65536,12,FALSE))</f>
        <v>21</v>
      </c>
      <c r="AJ616" s="75">
        <f>IF(ISBLANK(S616),"",VLOOKUP(S616,'[1]plan gier'!$X$1:$AN$65536,13,FALSE))</f>
        <v>10</v>
      </c>
      <c r="AK616" s="75">
        <f>IF(ISBLANK(S616),"",VLOOKUP(S616,'[1]plan gier'!$X$1:$AN$65536,14,FALSE))</f>
        <v>21</v>
      </c>
      <c r="AL616" s="75">
        <f>IF(ISBLANK(S616),"",VLOOKUP(S616,'[1]plan gier'!$X$1:$AN$65536,15,FALSE))</f>
        <v>9</v>
      </c>
      <c r="AM616" s="75">
        <f>IF(ISBLANK(S616),"",VLOOKUP(S616,'[1]plan gier'!$X$1:$AN$65536,16,FALSE))</f>
        <v>0</v>
      </c>
      <c r="AN616" s="75">
        <f>IF(ISBLANK(S616),"",VLOOKUP(S616,'[1]plan gier'!$X$1:$AN$65536,17,FALSE))</f>
        <v>0</v>
      </c>
      <c r="AO616" s="76">
        <f t="shared" si="58"/>
        <v>21</v>
      </c>
      <c r="AP616" s="75">
        <f t="shared" si="58"/>
        <v>10</v>
      </c>
      <c r="AQ616" s="77">
        <f t="shared" si="58"/>
        <v>21</v>
      </c>
      <c r="AR616" s="75">
        <f t="shared" si="58"/>
        <v>9</v>
      </c>
      <c r="AS616" s="77">
        <f t="shared" si="58"/>
        <v>0</v>
      </c>
      <c r="AT616" s="75">
        <f t="shared" si="58"/>
        <v>0</v>
      </c>
      <c r="AU616" s="54">
        <f>SUM(AO616:AT616)</f>
        <v>61</v>
      </c>
      <c r="AV616" s="13">
        <v>3</v>
      </c>
      <c r="AW616" s="74">
        <f>IF(AI614&lt;AJ614,1,0)+IF(AK614&lt;AL614,1,0)+IF(AM614&lt;AN614,1,0)</f>
        <v>0</v>
      </c>
      <c r="AX616" s="75">
        <f>BA614</f>
        <v>2</v>
      </c>
      <c r="AY616" s="75">
        <f>IF(AI615&lt;AJ615,1,0)+IF(AK615&lt;AL615,1,0)+IF(AM615&lt;AN615,1,0)</f>
        <v>2</v>
      </c>
      <c r="AZ616" s="75">
        <f>BA615</f>
        <v>0</v>
      </c>
      <c r="BA616" s="78"/>
      <c r="BB616" s="79"/>
      <c r="BE616" s="74">
        <f>AP614+AR614+AT614+AP615+AR615+AT615</f>
        <v>67</v>
      </c>
      <c r="BF616" s="80">
        <f>AO614+AQ614+AS614+AO615+AQ615+AS615</f>
        <v>67</v>
      </c>
      <c r="BG616" s="74">
        <f>AW616+AY616</f>
        <v>2</v>
      </c>
      <c r="BH616" s="80">
        <f>AX616+AZ616</f>
        <v>2</v>
      </c>
      <c r="BI616" s="74">
        <f>IF(AW616&gt;AX616,1,0)+IF(AY616&gt;AZ616,1,0)</f>
        <v>1</v>
      </c>
      <c r="BJ616" s="81">
        <f>IF(AX616&gt;AW616,1,0)+IF(AZ616&gt;AY616,1,0)</f>
        <v>1</v>
      </c>
      <c r="BK616" s="82">
        <f>IF(BI616+BJ616=0,"",IF(BL616=MAX(BL614:BL616),1,IF(BL616=MIN(BL614:BL616),3,2)))</f>
        <v>2</v>
      </c>
      <c r="BL616" s="60">
        <f>IF(BI616+BJ616&lt;&gt;0,BI616+1+(BG616-BH616)/100+(BE616-BF616)/100000+(BE616/BF616)/1000000,0)</f>
        <v>2.0000010000000001</v>
      </c>
    </row>
    <row r="617" spans="1:64" ht="11.45" customHeight="1" x14ac:dyDescent="0.2">
      <c r="A617" s="2"/>
      <c r="J617" s="28"/>
      <c r="K617" s="28"/>
      <c r="L617" s="28"/>
      <c r="O617" s="28"/>
      <c r="P617" s="28"/>
      <c r="Q617" s="2"/>
      <c r="R617" s="2"/>
      <c r="S617" s="2"/>
      <c r="T617" s="241">
        <v>3</v>
      </c>
      <c r="U617" s="244" t="str">
        <f>IF(AND(N618&lt;&gt;"",N619&lt;&gt;""),CONCATENATE(VLOOKUP(N618,[1]zawodnicy!$A$1:$E$65536,1,FALSE)," ",VLOOKUP(N618,[1]zawodnicy!$A$1:$E$65536,2,FALSE)," ",VLOOKUP(N618,[1]zawodnicy!$A$1:$E$65536,3,FALSE)," - ",VLOOKUP(N618,[1]zawodnicy!$A$1:$E$65536,4,FALSE)),"")</f>
        <v>G5951 Laura GRONKIEWICZ - KS Masovia Płock</v>
      </c>
      <c r="V617" s="245"/>
      <c r="W617" s="246"/>
      <c r="X617" s="46" t="str">
        <f>IF(SUM(AO614:AP614)=0,"",AP614&amp;":"&amp;AO614)</f>
        <v>13:21</v>
      </c>
      <c r="Y617" s="83" t="str">
        <f>IF(SUM(AO615:AP615)=0,"",AP615&amp;":"&amp;AO615)</f>
        <v>21:12</v>
      </c>
      <c r="Z617" s="84"/>
      <c r="AA617" s="247" t="str">
        <f>IF(SUM(AW616:AZ616)=0,"",BE616&amp;":"&amp;BF616)</f>
        <v>67:67</v>
      </c>
      <c r="AB617" s="250" t="str">
        <f>IF(SUM(AW616:AZ616)=0,"",BG616&amp;":"&amp;BH616)</f>
        <v>2:2</v>
      </c>
      <c r="AC617" s="250" t="str">
        <f>IF(SUM(AW616:AZ616)=0,"",BI616&amp;":"&amp;BJ616)</f>
        <v>1:1</v>
      </c>
      <c r="AD617" s="253">
        <f>IF(SUM(BI614:BI616)&gt;0,BK616,"")</f>
        <v>2</v>
      </c>
      <c r="AE617" s="2"/>
      <c r="AF617" s="12"/>
      <c r="AG617" s="12"/>
      <c r="BE617" s="19">
        <f>SUM(BE614:BE616)</f>
        <v>195</v>
      </c>
      <c r="BF617" s="19">
        <f>SUM(BF614:BF616)</f>
        <v>195</v>
      </c>
      <c r="BG617" s="19">
        <f>SUM(BG614:BG616)</f>
        <v>6</v>
      </c>
      <c r="BH617" s="19">
        <f>SUM(BH614:BH616)</f>
        <v>6</v>
      </c>
      <c r="BK617" s="19"/>
      <c r="BL617" s="20"/>
    </row>
    <row r="618" spans="1:64" ht="11.45" customHeight="1" x14ac:dyDescent="0.2">
      <c r="A618" s="19"/>
      <c r="J618" s="19"/>
      <c r="K618" s="19"/>
      <c r="L618" s="19"/>
      <c r="N618" s="33" t="s">
        <v>292</v>
      </c>
      <c r="O618" s="34">
        <f>IF(O610&gt;0,(O610&amp;3)*1,"")</f>
        <v>53</v>
      </c>
      <c r="Q618" s="85"/>
      <c r="R618" s="85"/>
      <c r="S618" s="85"/>
      <c r="T618" s="242"/>
      <c r="U618" s="244" t="str">
        <f>IF(AND(N618&lt;&gt;"",N619=""),CONCATENATE(VLOOKUP(N618,[1]zawodnicy!$A$1:$E$65536,1,FALSE)," ",VLOOKUP(N618,[1]zawodnicy!$A$1:$E$65536,2,FALSE)," ",VLOOKUP(N618,[1]zawodnicy!$A$1:$E$65536,3,FALSE)," - ",VLOOKUP(N618,[1]zawodnicy!$A$1:$E$65536,4,FALSE)),"")</f>
        <v/>
      </c>
      <c r="V618" s="245"/>
      <c r="W618" s="246"/>
      <c r="X618" s="61" t="str">
        <f>IF(SUM(AQ614:AR614)=0,"",AR614&amp;":"&amp;AQ614)</f>
        <v>12:21</v>
      </c>
      <c r="Y618" s="36" t="str">
        <f>IF(SUM(AQ615:AR615)=0,"",AR615&amp;":"&amp;AQ615)</f>
        <v>21:13</v>
      </c>
      <c r="Z618" s="86"/>
      <c r="AA618" s="248"/>
      <c r="AB618" s="251"/>
      <c r="AC618" s="251"/>
      <c r="AD618" s="254"/>
      <c r="AE618" s="2"/>
      <c r="AF618" s="12"/>
      <c r="AG618" s="1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row>
    <row r="619" spans="1:64" ht="11.45" customHeight="1" thickBot="1" x14ac:dyDescent="0.25">
      <c r="A619" s="2"/>
      <c r="J619" s="28"/>
      <c r="K619" s="28"/>
      <c r="L619" s="28"/>
      <c r="N619" s="38" t="s">
        <v>303</v>
      </c>
      <c r="O619" s="28"/>
      <c r="P619" s="28"/>
      <c r="Q619" s="2"/>
      <c r="R619" s="2"/>
      <c r="S619" s="2"/>
      <c r="T619" s="243"/>
      <c r="U619" s="256" t="str">
        <f>IF(N619&lt;&gt;"",CONCATENATE(VLOOKUP(N619,[1]zawodnicy!$A$1:$E$65536,1,FALSE)," ",VLOOKUP(N619,[1]zawodnicy!$A$1:$E$65536,2,FALSE)," ",VLOOKUP(N619,[1]zawodnicy!$A$1:$E$65536,3,FALSE)," - ",VLOOKUP(N619,[1]zawodnicy!$A$1:$E$65536,4,FALSE)),"")</f>
        <v>K5950 Olga KRZEMIŃSKA - KS Masovia Płock</v>
      </c>
      <c r="V619" s="257"/>
      <c r="W619" s="258"/>
      <c r="X619" s="87" t="str">
        <f>IF(SUM(AS614:AT614)=0,"",AT614&amp;":"&amp;AS614)</f>
        <v/>
      </c>
      <c r="Y619" s="88" t="str">
        <f>IF(SUM(AS615:AT615)=0,"",AT615&amp;":"&amp;AS615)</f>
        <v/>
      </c>
      <c r="Z619" s="89"/>
      <c r="AA619" s="249"/>
      <c r="AB619" s="252"/>
      <c r="AC619" s="252"/>
      <c r="AD619" s="255"/>
      <c r="AE619" s="10"/>
      <c r="AF619" s="12"/>
      <c r="AG619" s="1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row>
    <row r="620" spans="1:64" ht="3" customHeight="1" thickBot="1" x14ac:dyDescent="0.25"/>
    <row r="621" spans="1:64" ht="11.45" customHeight="1" thickBot="1" x14ac:dyDescent="0.25">
      <c r="N621" s="11"/>
      <c r="O621" s="21">
        <v>6</v>
      </c>
      <c r="Q621" s="277" t="str">
        <f>"Grupa "&amp;O621&amp;"."</f>
        <v>Grupa 6.</v>
      </c>
      <c r="R621" s="277"/>
      <c r="S621" s="277"/>
      <c r="T621" s="22" t="s">
        <v>1</v>
      </c>
      <c r="U621" s="278" t="s">
        <v>2</v>
      </c>
      <c r="V621" s="279"/>
      <c r="W621" s="280"/>
      <c r="X621" s="22">
        <v>1</v>
      </c>
      <c r="Y621" s="23">
        <v>2</v>
      </c>
      <c r="Z621" s="24">
        <v>3</v>
      </c>
      <c r="AA621" s="25" t="s">
        <v>3</v>
      </c>
      <c r="AB621" s="26" t="s">
        <v>4</v>
      </c>
      <c r="AC621" s="26" t="s">
        <v>5</v>
      </c>
      <c r="AD621" s="27" t="s">
        <v>6</v>
      </c>
      <c r="AE621" s="2"/>
      <c r="AF621" s="12"/>
      <c r="AG621" s="12"/>
      <c r="BK621" s="19"/>
      <c r="BL621" s="20"/>
    </row>
    <row r="622" spans="1:64" ht="11.45" customHeight="1" x14ac:dyDescent="0.2">
      <c r="J622" s="28"/>
      <c r="K622" s="28"/>
      <c r="L622" s="28"/>
      <c r="N622" s="29" t="s">
        <v>321</v>
      </c>
      <c r="Q622" s="274" t="s">
        <v>7</v>
      </c>
      <c r="R622" s="274"/>
      <c r="S622" s="275" t="s">
        <v>8</v>
      </c>
      <c r="T622" s="276">
        <v>1</v>
      </c>
      <c r="U622" s="244" t="str">
        <f>IF(AND(N623&lt;&gt;"",N624&lt;&gt;""),CONCATENATE(VLOOKUP(N623,[1]zawodnicy!$A$1:$E$65536,1,FALSE)," ",VLOOKUP(N623,[1]zawodnicy!$A$1:$E$65536,2,FALSE)," ",VLOOKUP(N623,[1]zawodnicy!$A$1:$E$65536,3,FALSE)," - ",VLOOKUP(N623,[1]zawodnicy!$A$1:$E$65536,4,FALSE)),"")</f>
        <v>C5063 Karolina CIEŚLUK - UKS Hubal Białystok</v>
      </c>
      <c r="V622" s="245"/>
      <c r="W622" s="246"/>
      <c r="X622" s="30"/>
      <c r="Y622" s="31" t="str">
        <f>IF(SUM(AO627:AP627)=0,"",AO627&amp;":"&amp;AP627)</f>
        <v>18:21</v>
      </c>
      <c r="Z622" s="32" t="str">
        <f>IF(SUM(AO625:AP625)=0,"",AO625&amp;":"&amp;AP625)</f>
        <v>21:10</v>
      </c>
      <c r="AA622" s="270" t="str">
        <f>IF(SUM(AY625:BB625)=0,"",BE625&amp;":"&amp;BF625)</f>
        <v>74:57</v>
      </c>
      <c r="AB622" s="271" t="str">
        <f>IF(SUM(AY625:BB625)=0,"",BG625&amp;":"&amp;BH625)</f>
        <v>2:2</v>
      </c>
      <c r="AC622" s="271" t="str">
        <f>IF(SUM(AY625:BB625)=0,"",BI625&amp;":"&amp;BJ625)</f>
        <v>1:1</v>
      </c>
      <c r="AD622" s="272">
        <f>IF(SUM(BI625:BI627)&gt;0,BK625,"")</f>
        <v>2</v>
      </c>
      <c r="AE622" s="2"/>
      <c r="AF622" s="12"/>
      <c r="AG622" s="12"/>
      <c r="AH622" s="14"/>
      <c r="AI622" s="273" t="s">
        <v>9</v>
      </c>
      <c r="AJ622" s="273"/>
      <c r="AK622" s="273"/>
      <c r="AL622" s="273"/>
      <c r="AM622" s="273"/>
      <c r="AN622" s="273"/>
      <c r="AO622" s="273" t="s">
        <v>10</v>
      </c>
      <c r="AP622" s="273"/>
      <c r="AQ622" s="273"/>
      <c r="AR622" s="273"/>
      <c r="AS622" s="273"/>
      <c r="AT622" s="273"/>
      <c r="BK622" s="19"/>
      <c r="BL622" s="20"/>
    </row>
    <row r="623" spans="1:64" ht="11.45" customHeight="1" thickBot="1" x14ac:dyDescent="0.25">
      <c r="I623" s="2" t="str">
        <f>"1"&amp;O621&amp;N622</f>
        <v>16podwójna dziewcząt MM</v>
      </c>
      <c r="J623" s="10" t="str">
        <f>IF(AD622="","",IF(AD622=1,N623,IF(AD625=1,N626,IF(AD628=1,N629,""))))</f>
        <v>F4870</v>
      </c>
      <c r="K623" s="10" t="str">
        <f>IF(AD622="","",IF(AD622=1,N624,IF(AD625=1,N627,IF(AD628=1,N630,""))))</f>
        <v>S4730</v>
      </c>
      <c r="L623" s="10"/>
      <c r="N623" s="33" t="s">
        <v>299</v>
      </c>
      <c r="O623" s="34">
        <f>IF(O621&gt;0,(O621&amp;1)*1,"")</f>
        <v>61</v>
      </c>
      <c r="Q623" s="274"/>
      <c r="R623" s="274"/>
      <c r="S623" s="275"/>
      <c r="T623" s="242"/>
      <c r="U623" s="244" t="str">
        <f>IF(AND(N623&lt;&gt;"",N624=""),CONCATENATE(VLOOKUP(N623,[1]zawodnicy!$A$1:$E$65536,1,FALSE)," ",VLOOKUP(N623,[1]zawodnicy!$A$1:$E$65536,2,FALSE)," ",VLOOKUP(N623,[1]zawodnicy!$A$1:$E$65536,3,FALSE)," - ",VLOOKUP(N623,[1]zawodnicy!$A$1:$E$65536,4,FALSE)),"")</f>
        <v/>
      </c>
      <c r="V623" s="245"/>
      <c r="W623" s="246"/>
      <c r="X623" s="35"/>
      <c r="Y623" s="36" t="str">
        <f>IF(SUM(AQ627:AR627)=0,"",AQ627&amp;":"&amp;AR627)</f>
        <v>14:21</v>
      </c>
      <c r="Z623" s="37" t="str">
        <f>IF(SUM(AQ625:AR625)=0,"",AQ625&amp;":"&amp;AR625)</f>
        <v>21:5</v>
      </c>
      <c r="AA623" s="248"/>
      <c r="AB623" s="251"/>
      <c r="AC623" s="251"/>
      <c r="AD623" s="254"/>
      <c r="AE623" s="2"/>
      <c r="AF623" s="12"/>
      <c r="AG623" s="12"/>
      <c r="AH623" s="14"/>
      <c r="BE623" s="19">
        <f>SUM(BE625:BE627)</f>
        <v>181</v>
      </c>
      <c r="BF623" s="19">
        <f>SUM(BF625:BF627)</f>
        <v>181</v>
      </c>
      <c r="BG623" s="19">
        <f>SUM(BG625:BG627)</f>
        <v>6</v>
      </c>
      <c r="BH623" s="19">
        <f>SUM(BH625:BH627)</f>
        <v>6</v>
      </c>
      <c r="BK623" s="19"/>
      <c r="BL623" s="20"/>
    </row>
    <row r="624" spans="1:64" ht="11.45" customHeight="1" thickBot="1" x14ac:dyDescent="0.25">
      <c r="J624" s="10"/>
      <c r="K624" s="28"/>
      <c r="L624" s="28"/>
      <c r="N624" s="38" t="s">
        <v>283</v>
      </c>
      <c r="O624" s="28"/>
      <c r="P624" s="28"/>
      <c r="Q624" s="274"/>
      <c r="R624" s="274"/>
      <c r="S624" s="275"/>
      <c r="T624" s="261"/>
      <c r="U624" s="265" t="str">
        <f>IF(N624&lt;&gt;"",CONCATENATE(VLOOKUP(N624,[1]zawodnicy!$A$1:$E$65536,1,FALSE)," ",VLOOKUP(N624,[1]zawodnicy!$A$1:$E$65536,2,FALSE)," ",VLOOKUP(N624,[1]zawodnicy!$A$1:$E$65536,3,FALSE)," - ",VLOOKUP(N624,[1]zawodnicy!$A$1:$E$65536,4,FALSE)),"")</f>
        <v>K5600 Gabriela KUŁAKOWSKA - UKS Hubal Białystok</v>
      </c>
      <c r="V624" s="266"/>
      <c r="W624" s="267"/>
      <c r="X624" s="35"/>
      <c r="Y624" s="39" t="str">
        <f>IF(SUM(AS627:AT627)=0,"",AS627&amp;":"&amp;AT627)</f>
        <v/>
      </c>
      <c r="Z624" s="40" t="str">
        <f>IF(SUM(AS625:AT625)=0,"",AS625&amp;":"&amp;AT625)</f>
        <v/>
      </c>
      <c r="AA624" s="262"/>
      <c r="AB624" s="263"/>
      <c r="AC624" s="263"/>
      <c r="AD624" s="264"/>
      <c r="AE624" s="2"/>
      <c r="AF624" s="12"/>
      <c r="AG624" s="12"/>
      <c r="AH624" s="14"/>
      <c r="AI624" s="259" t="s">
        <v>12</v>
      </c>
      <c r="AJ624" s="269"/>
      <c r="AK624" s="268" t="s">
        <v>13</v>
      </c>
      <c r="AL624" s="269"/>
      <c r="AM624" s="268" t="s">
        <v>14</v>
      </c>
      <c r="AN624" s="260"/>
      <c r="AO624" s="259" t="s">
        <v>12</v>
      </c>
      <c r="AP624" s="269"/>
      <c r="AQ624" s="268" t="s">
        <v>13</v>
      </c>
      <c r="AR624" s="269"/>
      <c r="AS624" s="268" t="s">
        <v>14</v>
      </c>
      <c r="AT624" s="269"/>
      <c r="AU624" s="12"/>
      <c r="AV624" s="12"/>
      <c r="AW624" s="259">
        <v>1</v>
      </c>
      <c r="AX624" s="269"/>
      <c r="AY624" s="268">
        <v>2</v>
      </c>
      <c r="AZ624" s="269"/>
      <c r="BA624" s="268">
        <v>3</v>
      </c>
      <c r="BB624" s="260"/>
      <c r="BE624" s="259" t="s">
        <v>3</v>
      </c>
      <c r="BF624" s="260"/>
      <c r="BG624" s="259" t="s">
        <v>4</v>
      </c>
      <c r="BH624" s="260"/>
      <c r="BI624" s="259" t="s">
        <v>5</v>
      </c>
      <c r="BJ624" s="260"/>
      <c r="BK624" s="41" t="s">
        <v>6</v>
      </c>
      <c r="BL624" s="20"/>
    </row>
    <row r="625" spans="1:64" ht="11.45" customHeight="1" x14ac:dyDescent="0.2">
      <c r="A625" s="19">
        <f>S625</f>
        <v>91</v>
      </c>
      <c r="B625" s="2" t="str">
        <f>IF(N623="","",N623)</f>
        <v>C5063</v>
      </c>
      <c r="C625" s="2" t="str">
        <f>IF(N624="","",N624)</f>
        <v>K5600</v>
      </c>
      <c r="D625" s="2" t="str">
        <f>IF(N629="","",N629)</f>
        <v>X35</v>
      </c>
      <c r="E625" s="2" t="str">
        <f>IF(N630="","",N630)</f>
        <v>X36</v>
      </c>
      <c r="I625" s="2" t="str">
        <f>"2"&amp;O621&amp;N622</f>
        <v>26podwójna dziewcząt MM</v>
      </c>
      <c r="J625" s="10" t="str">
        <f>IF(AD625="","",IF(AD622=2,N623,IF(AD625=2,N626,IF(AD628=2,N629,""))))</f>
        <v>C5063</v>
      </c>
      <c r="K625" s="10" t="str">
        <f>IF(AD625="","",IF(AD622=2,N624,IF(AD625=2,N627,IF(AD628=2,N630,""))))</f>
        <v>K5600</v>
      </c>
      <c r="M625" s="42" t="str">
        <f>N622</f>
        <v>podwójna dziewcząt MM</v>
      </c>
      <c r="O625" s="28"/>
      <c r="P625" s="28"/>
      <c r="Q625" s="43" t="str">
        <f>IF(AU625&gt;0,"",IF(A625=0,"",IF(VLOOKUP(A625,'[1]plan gier'!A$1:S$65536,19,FALSE)="","",VLOOKUP(A625,'[1]plan gier'!A$1:S$65536,19,FALSE))))</f>
        <v/>
      </c>
      <c r="R625" s="44" t="s">
        <v>15</v>
      </c>
      <c r="S625" s="45">
        <v>91</v>
      </c>
      <c r="T625" s="241">
        <v>2</v>
      </c>
      <c r="U625" s="244" t="str">
        <f>IF(AND(N626&lt;&gt;"",N627&lt;&gt;""),CONCATENATE(VLOOKUP(N626,[1]zawodnicy!$A$1:$E$65536,1,FALSE)," ",VLOOKUP(N626,[1]zawodnicy!$A$1:$E$65536,2,FALSE)," ",VLOOKUP(N626,[1]zawodnicy!$A$1:$E$65536,3,FALSE)," - ",VLOOKUP(N626,[1]zawodnicy!$A$1:$E$65536,4,FALSE)),"")</f>
        <v>F4870 Marcelina FRANCZUK - MMKS Gdańsk</v>
      </c>
      <c r="V625" s="245"/>
      <c r="W625" s="246"/>
      <c r="X625" s="46" t="str">
        <f>IF(SUM(AO627:AP627)=0,"",AP627&amp;":"&amp;AO627)</f>
        <v>21:18</v>
      </c>
      <c r="Y625" s="47"/>
      <c r="Z625" s="48" t="str">
        <f>IF(SUM(AO626:AP626)=0,"",AO626&amp;":"&amp;AP626)</f>
        <v>21:2</v>
      </c>
      <c r="AA625" s="247" t="str">
        <f>IF(SUM(AW626:AX626,BA626:BB626)=0,"",BE626&amp;":"&amp;BF626)</f>
        <v>84:40</v>
      </c>
      <c r="AB625" s="250" t="str">
        <f>IF(SUM(AW626:AX626,BA626:BB626)=0,"",BG626&amp;":"&amp;BH626)</f>
        <v>4:0</v>
      </c>
      <c r="AC625" s="250" t="str">
        <f>IF(SUM(AW626:AX626,BA626:BB626)=0,"",BI626&amp;":"&amp;BJ626)</f>
        <v>2:0</v>
      </c>
      <c r="AD625" s="253">
        <f>IF(SUM(BI625:BI627)&gt;0,BK626,"")</f>
        <v>1</v>
      </c>
      <c r="AE625" s="2"/>
      <c r="AF625" s="12"/>
      <c r="AG625" s="12"/>
      <c r="AH625" s="44" t="s">
        <v>15</v>
      </c>
      <c r="AI625" s="49">
        <f>IF(ISBLANK(S625),"",VLOOKUP(S625,'[1]plan gier'!$X$1:$AN$65536,12,FALSE))</f>
        <v>21</v>
      </c>
      <c r="AJ625" s="50">
        <f>IF(ISBLANK(S625),"",VLOOKUP(S625,'[1]plan gier'!$X$1:$AN$65536,13,FALSE))</f>
        <v>10</v>
      </c>
      <c r="AK625" s="50">
        <f>IF(ISBLANK(S625),"",VLOOKUP(S625,'[1]plan gier'!$X$1:$AN$65536,14,FALSE))</f>
        <v>21</v>
      </c>
      <c r="AL625" s="50">
        <f>IF(ISBLANK(S625),"",VLOOKUP(S625,'[1]plan gier'!$X$1:$AN$65536,15,FALSE))</f>
        <v>5</v>
      </c>
      <c r="AM625" s="50">
        <f>IF(ISBLANK(S625),"",VLOOKUP(S625,'[1]plan gier'!$X$1:$AN$65536,16,FALSE))</f>
        <v>0</v>
      </c>
      <c r="AN625" s="50">
        <f>IF(ISBLANK(S625),"",VLOOKUP(S625,'[1]plan gier'!$X$1:$AN$65536,17,FALSE))</f>
        <v>0</v>
      </c>
      <c r="AO625" s="51">
        <f t="shared" ref="AO625:AT627" si="59">IF(AI625="",0,AI625)</f>
        <v>21</v>
      </c>
      <c r="AP625" s="52">
        <f t="shared" si="59"/>
        <v>10</v>
      </c>
      <c r="AQ625" s="53">
        <f t="shared" si="59"/>
        <v>21</v>
      </c>
      <c r="AR625" s="52">
        <f t="shared" si="59"/>
        <v>5</v>
      </c>
      <c r="AS625" s="53">
        <f t="shared" si="59"/>
        <v>0</v>
      </c>
      <c r="AT625" s="52">
        <f t="shared" si="59"/>
        <v>0</v>
      </c>
      <c r="AU625" s="54">
        <f>SUM(AO625:AT625)</f>
        <v>57</v>
      </c>
      <c r="AV625" s="13">
        <v>1</v>
      </c>
      <c r="AW625" s="55"/>
      <c r="AX625" s="56"/>
      <c r="AY625" s="50">
        <f>IF(AI627&gt;AJ627,1,0)+IF(AK627&gt;AL627,1,0)+IF(AM627&gt;AN627,1,0)</f>
        <v>0</v>
      </c>
      <c r="AZ625" s="50">
        <f>AW626</f>
        <v>2</v>
      </c>
      <c r="BA625" s="50">
        <f>IF(AI625&gt;AJ625,1,0)+IF(AK625&gt;AL625,1,0)+IF(AM625&gt;AN625,1,0)</f>
        <v>2</v>
      </c>
      <c r="BB625" s="57">
        <f>AW627</f>
        <v>0</v>
      </c>
      <c r="BE625" s="49">
        <f>AO625+AQ625+AS625+AO627+AQ627+AS627</f>
        <v>74</v>
      </c>
      <c r="BF625" s="57">
        <f>AP625+AR625+AT625+AP627+AR627+AT627</f>
        <v>57</v>
      </c>
      <c r="BG625" s="49">
        <f>AY625+BA625</f>
        <v>2</v>
      </c>
      <c r="BH625" s="57">
        <f>AZ625+BB625</f>
        <v>2</v>
      </c>
      <c r="BI625" s="49">
        <f>IF(AY625&gt;AZ625,1,0)+IF(BA625&gt;BB625,1,0)</f>
        <v>1</v>
      </c>
      <c r="BJ625" s="58">
        <f>IF(AZ625&gt;AY625,1,0)+IF(BB625&gt;BA625,1,0)</f>
        <v>1</v>
      </c>
      <c r="BK625" s="59">
        <f>IF(BI625+BJ625=0,"",IF(BL625=MAX(BL625:BL627),1,IF(BL625=MIN(BL625:BL627),3,2)))</f>
        <v>2</v>
      </c>
      <c r="BL625" s="60">
        <f>IF(BI625+BJ625&lt;&gt;0,BI625+1+(BG625-BH625)/100+(BE625-BF625)/100000+(BE625/BF625)/1000000,0)</f>
        <v>2.0001712982456139</v>
      </c>
    </row>
    <row r="626" spans="1:64" ht="11.45" customHeight="1" x14ac:dyDescent="0.2">
      <c r="A626" s="19">
        <f>S626</f>
        <v>157</v>
      </c>
      <c r="B626" s="2" t="str">
        <f>IF(N626="","",N626)</f>
        <v>F4870</v>
      </c>
      <c r="C626" s="2" t="str">
        <f>IF(N627="","",N627)</f>
        <v>S4730</v>
      </c>
      <c r="D626" s="2" t="str">
        <f>IF(N629="","",N629)</f>
        <v>X35</v>
      </c>
      <c r="E626" s="2" t="str">
        <f>IF(N630="","",N630)</f>
        <v>X36</v>
      </c>
      <c r="J626" s="10"/>
      <c r="K626" s="19"/>
      <c r="M626" s="42" t="str">
        <f>N622</f>
        <v>podwójna dziewcząt MM</v>
      </c>
      <c r="N626" s="33" t="s">
        <v>284</v>
      </c>
      <c r="O626" s="34">
        <f>IF(O621&gt;0,(O621&amp;2)*1,"")</f>
        <v>62</v>
      </c>
      <c r="Q626" s="43" t="str">
        <f>IF(AU626&gt;0,"",IF(A626=0,"",IF(VLOOKUP(A626,'[1]plan gier'!A$1:S$65536,19,FALSE)="","",VLOOKUP(A626,'[1]plan gier'!A$1:S$65536,19,FALSE))))</f>
        <v/>
      </c>
      <c r="R626" s="44" t="s">
        <v>17</v>
      </c>
      <c r="S626" s="45">
        <v>157</v>
      </c>
      <c r="T626" s="242"/>
      <c r="U626" s="244" t="str">
        <f>IF(AND(N626&lt;&gt;"",N627=""),CONCATENATE(VLOOKUP(N626,[1]zawodnicy!$A$1:$E$65536,1,FALSE)," ",VLOOKUP(N626,[1]zawodnicy!$A$1:$E$65536,2,FALSE)," ",VLOOKUP(N626,[1]zawodnicy!$A$1:$E$65536,3,FALSE)," - ",VLOOKUP(N626,[1]zawodnicy!$A$1:$E$65536,4,FALSE)),"")</f>
        <v/>
      </c>
      <c r="V626" s="245"/>
      <c r="W626" s="246"/>
      <c r="X626" s="61" t="str">
        <f>IF(SUM(AQ627:AR627)=0,"",AR627&amp;":"&amp;AQ627)</f>
        <v>21:14</v>
      </c>
      <c r="Y626" s="62"/>
      <c r="Z626" s="37" t="str">
        <f>IF(SUM(AQ626:AR626)=0,"",AQ626&amp;":"&amp;AR626)</f>
        <v>21:6</v>
      </c>
      <c r="AA626" s="248"/>
      <c r="AB626" s="251"/>
      <c r="AC626" s="251"/>
      <c r="AD626" s="254"/>
      <c r="AE626" s="2"/>
      <c r="AF626" s="12"/>
      <c r="AG626" s="12"/>
      <c r="AH626" s="44" t="s">
        <v>17</v>
      </c>
      <c r="AI626" s="63">
        <f>IF(ISBLANK(S626),"",VLOOKUP(S626,'[1]plan gier'!$X$1:$AN$65536,12,FALSE))</f>
        <v>21</v>
      </c>
      <c r="AJ626" s="64">
        <f>IF(ISBLANK(S626),"",VLOOKUP(S626,'[1]plan gier'!$X$1:$AN$65536,13,FALSE))</f>
        <v>2</v>
      </c>
      <c r="AK626" s="64">
        <f>IF(ISBLANK(S626),"",VLOOKUP(S626,'[1]plan gier'!$X$1:$AN$65536,14,FALSE))</f>
        <v>21</v>
      </c>
      <c r="AL626" s="64">
        <f>IF(ISBLANK(S626),"",VLOOKUP(S626,'[1]plan gier'!$X$1:$AN$65536,15,FALSE))</f>
        <v>6</v>
      </c>
      <c r="AM626" s="64">
        <f>IF(ISBLANK(S626),"",VLOOKUP(S626,'[1]plan gier'!$X$1:$AN$65536,16,FALSE))</f>
        <v>0</v>
      </c>
      <c r="AN626" s="64">
        <f>IF(ISBLANK(S626),"",VLOOKUP(S626,'[1]plan gier'!$X$1:$AN$65536,17,FALSE))</f>
        <v>0</v>
      </c>
      <c r="AO626" s="65">
        <f t="shared" si="59"/>
        <v>21</v>
      </c>
      <c r="AP626" s="64">
        <f t="shared" si="59"/>
        <v>2</v>
      </c>
      <c r="AQ626" s="66">
        <f t="shared" si="59"/>
        <v>21</v>
      </c>
      <c r="AR626" s="64">
        <f t="shared" si="59"/>
        <v>6</v>
      </c>
      <c r="AS626" s="66">
        <f t="shared" si="59"/>
        <v>0</v>
      </c>
      <c r="AT626" s="64">
        <f t="shared" si="59"/>
        <v>0</v>
      </c>
      <c r="AU626" s="54">
        <f>SUM(AO626:AT626)</f>
        <v>50</v>
      </c>
      <c r="AV626" s="13">
        <v>2</v>
      </c>
      <c r="AW626" s="63">
        <f>IF(AI627&lt;AJ627,1,0)+IF(AK627&lt;AL627,1,0)+IF(AM627&lt;AN627,1,0)</f>
        <v>2</v>
      </c>
      <c r="AX626" s="64">
        <f>AY625</f>
        <v>0</v>
      </c>
      <c r="AY626" s="67"/>
      <c r="AZ626" s="68"/>
      <c r="BA626" s="64">
        <f>IF(AI626&gt;AJ626,1,0)+IF(AK626&gt;AL626,1,0)+IF(AM626&gt;AN626,1,0)</f>
        <v>2</v>
      </c>
      <c r="BB626" s="69">
        <f>AY627</f>
        <v>0</v>
      </c>
      <c r="BE626" s="63">
        <f>AO626+AQ626+AS626+AP627+AR627+AT627</f>
        <v>84</v>
      </c>
      <c r="BF626" s="69">
        <f>AP626+AR626+AT626+AO627+AQ627+AS627</f>
        <v>40</v>
      </c>
      <c r="BG626" s="63">
        <f>AW626+BA626</f>
        <v>4</v>
      </c>
      <c r="BH626" s="69">
        <f>AX626+BB626</f>
        <v>0</v>
      </c>
      <c r="BI626" s="63">
        <f>IF(AW626&gt;AX626,1,0)+IF(BA626&gt;BB626,1,0)</f>
        <v>2</v>
      </c>
      <c r="BJ626" s="70">
        <f>IF(AX626&gt;AW626,1,0)+IF(BB626&gt;BA626,1,0)</f>
        <v>0</v>
      </c>
      <c r="BK626" s="71">
        <f>IF(BI626+BJ626=0,"",IF(BL626=MAX(BL625:BL627),1,IF(BL626=MIN(BL625:BL627),3,2)))</f>
        <v>1</v>
      </c>
      <c r="BL626" s="60">
        <f>IF(BI626+BJ626&lt;&gt;0,BI626+1+(BG626-BH626)/100+(BE626-BF626)/100000+(BE626/BF626)/1000000,0)</f>
        <v>3.0404421000000004</v>
      </c>
    </row>
    <row r="627" spans="1:64" ht="11.45" customHeight="1" thickBot="1" x14ac:dyDescent="0.25">
      <c r="A627" s="19">
        <f>S627</f>
        <v>210</v>
      </c>
      <c r="B627" s="2" t="str">
        <f>IF(N623="","",N623)</f>
        <v>C5063</v>
      </c>
      <c r="C627" s="2" t="str">
        <f>IF(N624="","",N624)</f>
        <v>K5600</v>
      </c>
      <c r="D627" s="2" t="str">
        <f>IF(N626="","",N626)</f>
        <v>F4870</v>
      </c>
      <c r="E627" s="2" t="str">
        <f>IF(N627="","",N627)</f>
        <v>S4730</v>
      </c>
      <c r="I627" s="2" t="str">
        <f>"3"&amp;O621&amp;N622</f>
        <v>36podwójna dziewcząt MM</v>
      </c>
      <c r="J627" s="10" t="str">
        <f>IF(AD628="","",IF(AD622=3,N623,IF(AD625=3,N626,IF(AD628=3,N629,""))))</f>
        <v>X35</v>
      </c>
      <c r="K627" s="10" t="str">
        <f>IF(AD628="","",IF(AD622=3,N624,IF(AD625=3,N627,IF(AD628=3,N630,""))))</f>
        <v>X36</v>
      </c>
      <c r="M627" s="42" t="str">
        <f>N622</f>
        <v>podwójna dziewcząt MM</v>
      </c>
      <c r="N627" s="38" t="s">
        <v>301</v>
      </c>
      <c r="O627" s="28"/>
      <c r="P627" s="28"/>
      <c r="Q627" s="43" t="str">
        <f>IF(AU627&gt;0,"",IF(A627=0,"",IF(VLOOKUP(A627,'[1]plan gier'!A$1:S$65536,19,FALSE)="","",VLOOKUP(A627,'[1]plan gier'!A$1:S$65536,19,FALSE))))</f>
        <v/>
      </c>
      <c r="R627" s="72" t="s">
        <v>18</v>
      </c>
      <c r="S627" s="45">
        <v>210</v>
      </c>
      <c r="T627" s="261"/>
      <c r="U627" s="265" t="str">
        <f>IF(N627&lt;&gt;"",CONCATENATE(VLOOKUP(N627,[1]zawodnicy!$A$1:$E$65536,1,FALSE)," ",VLOOKUP(N627,[1]zawodnicy!$A$1:$E$65536,2,FALSE)," ",VLOOKUP(N627,[1]zawodnicy!$A$1:$E$65536,3,FALSE)," - ",VLOOKUP(N627,[1]zawodnicy!$A$1:$E$65536,4,FALSE)),"")</f>
        <v>S4730 Karolina SZUBERT - KS Match Point Ślęza</v>
      </c>
      <c r="V627" s="266"/>
      <c r="W627" s="267"/>
      <c r="X627" s="73" t="str">
        <f>IF(SUM(AS627:AT627)=0,"",AT627&amp;":"&amp;AS627)</f>
        <v/>
      </c>
      <c r="Y627" s="62"/>
      <c r="Z627" s="40" t="str">
        <f>IF(SUM(AS626:AT626)=0,"",AS626&amp;":"&amp;AT626)</f>
        <v/>
      </c>
      <c r="AA627" s="262"/>
      <c r="AB627" s="263"/>
      <c r="AC627" s="263"/>
      <c r="AD627" s="264"/>
      <c r="AE627" s="2"/>
      <c r="AF627" s="12"/>
      <c r="AG627" s="12"/>
      <c r="AH627" s="72" t="s">
        <v>18</v>
      </c>
      <c r="AI627" s="74">
        <f>IF(ISBLANK(S627),"",VLOOKUP(S627,'[1]plan gier'!$X$1:$AN$65536,12,FALSE))</f>
        <v>18</v>
      </c>
      <c r="AJ627" s="75">
        <f>IF(ISBLANK(S627),"",VLOOKUP(S627,'[1]plan gier'!$X$1:$AN$65536,13,FALSE))</f>
        <v>21</v>
      </c>
      <c r="AK627" s="75">
        <f>IF(ISBLANK(S627),"",VLOOKUP(S627,'[1]plan gier'!$X$1:$AN$65536,14,FALSE))</f>
        <v>14</v>
      </c>
      <c r="AL627" s="75">
        <f>IF(ISBLANK(S627),"",VLOOKUP(S627,'[1]plan gier'!$X$1:$AN$65536,15,FALSE))</f>
        <v>21</v>
      </c>
      <c r="AM627" s="75">
        <f>IF(ISBLANK(S627),"",VLOOKUP(S627,'[1]plan gier'!$X$1:$AN$65536,16,FALSE))</f>
        <v>0</v>
      </c>
      <c r="AN627" s="75">
        <f>IF(ISBLANK(S627),"",VLOOKUP(S627,'[1]plan gier'!$X$1:$AN$65536,17,FALSE))</f>
        <v>0</v>
      </c>
      <c r="AO627" s="76">
        <f t="shared" si="59"/>
        <v>18</v>
      </c>
      <c r="AP627" s="75">
        <f t="shared" si="59"/>
        <v>21</v>
      </c>
      <c r="AQ627" s="77">
        <f t="shared" si="59"/>
        <v>14</v>
      </c>
      <c r="AR627" s="75">
        <f t="shared" si="59"/>
        <v>21</v>
      </c>
      <c r="AS627" s="77">
        <f t="shared" si="59"/>
        <v>0</v>
      </c>
      <c r="AT627" s="75">
        <f t="shared" si="59"/>
        <v>0</v>
      </c>
      <c r="AU627" s="54">
        <f>SUM(AO627:AT627)</f>
        <v>74</v>
      </c>
      <c r="AV627" s="13">
        <v>3</v>
      </c>
      <c r="AW627" s="74">
        <f>IF(AI625&lt;AJ625,1,0)+IF(AK625&lt;AL625,1,0)+IF(AM625&lt;AN625,1,0)</f>
        <v>0</v>
      </c>
      <c r="AX627" s="75">
        <f>BA625</f>
        <v>2</v>
      </c>
      <c r="AY627" s="75">
        <f>IF(AI626&lt;AJ626,1,0)+IF(AK626&lt;AL626,1,0)+IF(AM626&lt;AN626,1,0)</f>
        <v>0</v>
      </c>
      <c r="AZ627" s="75">
        <f>BA626</f>
        <v>2</v>
      </c>
      <c r="BA627" s="78"/>
      <c r="BB627" s="79"/>
      <c r="BE627" s="74">
        <f>AP625+AR625+AT625+AP626+AR626+AT626</f>
        <v>23</v>
      </c>
      <c r="BF627" s="80">
        <f>AO625+AQ625+AS625+AO626+AQ626+AS626</f>
        <v>84</v>
      </c>
      <c r="BG627" s="74">
        <f>AW627+AY627</f>
        <v>0</v>
      </c>
      <c r="BH627" s="80">
        <f>AX627+AZ627</f>
        <v>4</v>
      </c>
      <c r="BI627" s="74">
        <f>IF(AW627&gt;AX627,1,0)+IF(AY627&gt;AZ627,1,0)</f>
        <v>0</v>
      </c>
      <c r="BJ627" s="81">
        <f>IF(AX627&gt;AW627,1,0)+IF(AZ627&gt;AY627,1,0)</f>
        <v>2</v>
      </c>
      <c r="BK627" s="82">
        <f>IF(BI627+BJ627=0,"",IF(BL627=MAX(BL625:BL627),1,IF(BL627=MIN(BL625:BL627),3,2)))</f>
        <v>3</v>
      </c>
      <c r="BL627" s="60">
        <f>IF(BI627+BJ627&lt;&gt;0,BI627+1+(BG627-BH627)/100+(BE627-BF627)/100000+(BE627/BF627)/1000000,0)</f>
        <v>0.9593902738095238</v>
      </c>
    </row>
    <row r="628" spans="1:64" ht="11.45" customHeight="1" x14ac:dyDescent="0.2">
      <c r="A628" s="2"/>
      <c r="J628" s="28"/>
      <c r="K628" s="28"/>
      <c r="L628" s="28"/>
      <c r="O628" s="28"/>
      <c r="P628" s="28"/>
      <c r="Q628" s="2"/>
      <c r="R628" s="2"/>
      <c r="S628" s="2"/>
      <c r="T628" s="241">
        <v>3</v>
      </c>
      <c r="U628" s="244" t="str">
        <f>IF(AND(N629&lt;&gt;"",N630&lt;&gt;""),CONCATENATE(VLOOKUP(N629,[1]zawodnicy!$A$1:$E$65536,1,FALSE)," ",VLOOKUP(N629,[1]zawodnicy!$A$1:$E$65536,2,FALSE)," ",VLOOKUP(N629,[1]zawodnicy!$A$1:$E$65536,3,FALSE)," - ",VLOOKUP(N629,[1]zawodnicy!$A$1:$E$65536,4,FALSE)),"")</f>
        <v>X35 Hanna ABRAMAVA - Białoruś</v>
      </c>
      <c r="V628" s="245"/>
      <c r="W628" s="246"/>
      <c r="X628" s="46" t="str">
        <f>IF(SUM(AO625:AP625)=0,"",AP625&amp;":"&amp;AO625)</f>
        <v>10:21</v>
      </c>
      <c r="Y628" s="83" t="str">
        <f>IF(SUM(AO626:AP626)=0,"",AP626&amp;":"&amp;AO626)</f>
        <v>2:21</v>
      </c>
      <c r="Z628" s="84"/>
      <c r="AA628" s="247" t="str">
        <f>IF(SUM(AW627:AZ627)=0,"",BE627&amp;":"&amp;BF627)</f>
        <v>23:84</v>
      </c>
      <c r="AB628" s="250" t="str">
        <f>IF(SUM(AW627:AZ627)=0,"",BG627&amp;":"&amp;BH627)</f>
        <v>0:4</v>
      </c>
      <c r="AC628" s="250" t="str">
        <f>IF(SUM(AW627:AZ627)=0,"",BI627&amp;":"&amp;BJ627)</f>
        <v>0:2</v>
      </c>
      <c r="AD628" s="253">
        <f>IF(SUM(BI625:BI627)&gt;0,BK627,"")</f>
        <v>3</v>
      </c>
      <c r="AE628" s="2"/>
      <c r="AF628" s="12"/>
      <c r="AG628" s="12"/>
      <c r="BE628" s="19">
        <f>SUM(BE625:BE627)</f>
        <v>181</v>
      </c>
      <c r="BF628" s="19">
        <f>SUM(BF625:BF627)</f>
        <v>181</v>
      </c>
      <c r="BG628" s="19">
        <f>SUM(BG625:BG627)</f>
        <v>6</v>
      </c>
      <c r="BH628" s="19">
        <f>SUM(BH625:BH627)</f>
        <v>6</v>
      </c>
      <c r="BK628" s="19"/>
      <c r="BL628" s="20"/>
    </row>
    <row r="629" spans="1:64" ht="11.45" customHeight="1" x14ac:dyDescent="0.2">
      <c r="A629" s="19"/>
      <c r="J629" s="19"/>
      <c r="K629" s="19"/>
      <c r="L629" s="19"/>
      <c r="N629" s="33" t="s">
        <v>327</v>
      </c>
      <c r="O629" s="34">
        <f>IF(O621&gt;0,(O621&amp;3)*1,"")</f>
        <v>63</v>
      </c>
      <c r="Q629" s="85"/>
      <c r="R629" s="85"/>
      <c r="S629" s="85"/>
      <c r="T629" s="242"/>
      <c r="U629" s="244" t="str">
        <f>IF(AND(N629&lt;&gt;"",N630=""),CONCATENATE(VLOOKUP(N629,[1]zawodnicy!$A$1:$E$65536,1,FALSE)," ",VLOOKUP(N629,[1]zawodnicy!$A$1:$E$65536,2,FALSE)," ",VLOOKUP(N629,[1]zawodnicy!$A$1:$E$65536,3,FALSE)," - ",VLOOKUP(N629,[1]zawodnicy!$A$1:$E$65536,4,FALSE)),"")</f>
        <v/>
      </c>
      <c r="V629" s="245"/>
      <c r="W629" s="246"/>
      <c r="X629" s="61" t="str">
        <f>IF(SUM(AQ625:AR625)=0,"",AR625&amp;":"&amp;AQ625)</f>
        <v>5:21</v>
      </c>
      <c r="Y629" s="36" t="str">
        <f>IF(SUM(AQ626:AR626)=0,"",AR626&amp;":"&amp;AQ626)</f>
        <v>6:21</v>
      </c>
      <c r="Z629" s="86"/>
      <c r="AA629" s="248"/>
      <c r="AB629" s="251"/>
      <c r="AC629" s="251"/>
      <c r="AD629" s="254"/>
      <c r="AE629" s="2"/>
      <c r="AF629" s="12"/>
      <c r="AG629" s="1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row>
    <row r="630" spans="1:64" ht="11.45" customHeight="1" thickBot="1" x14ac:dyDescent="0.25">
      <c r="A630" s="2"/>
      <c r="J630" s="28"/>
      <c r="K630" s="28"/>
      <c r="L630" s="28"/>
      <c r="N630" s="38" t="s">
        <v>328</v>
      </c>
      <c r="O630" s="28"/>
      <c r="P630" s="28"/>
      <c r="Q630" s="2"/>
      <c r="R630" s="2"/>
      <c r="S630" s="2"/>
      <c r="T630" s="243"/>
      <c r="U630" s="256" t="str">
        <f>IF(N630&lt;&gt;"",CONCATENATE(VLOOKUP(N630,[1]zawodnicy!$A$1:$E$65536,1,FALSE)," ",VLOOKUP(N630,[1]zawodnicy!$A$1:$E$65536,2,FALSE)," ",VLOOKUP(N630,[1]zawodnicy!$A$1:$E$65536,3,FALSE)," - ",VLOOKUP(N630,[1]zawodnicy!$A$1:$E$65536,4,FALSE)),"")</f>
        <v>X36 Aliaksndra PILIPTSEVICH - Białoruś</v>
      </c>
      <c r="V630" s="257"/>
      <c r="W630" s="258"/>
      <c r="X630" s="87" t="str">
        <f>IF(SUM(AS625:AT625)=0,"",AT625&amp;":"&amp;AS625)</f>
        <v/>
      </c>
      <c r="Y630" s="88" t="str">
        <f>IF(SUM(AS626:AT626)=0,"",AT626&amp;":"&amp;AS626)</f>
        <v/>
      </c>
      <c r="Z630" s="89"/>
      <c r="AA630" s="249"/>
      <c r="AB630" s="252"/>
      <c r="AC630" s="252"/>
      <c r="AD630" s="255"/>
      <c r="AE630" s="10"/>
      <c r="AF630" s="12"/>
      <c r="AG630" s="1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row>
    <row r="631" spans="1:64" ht="3" customHeight="1" x14ac:dyDescent="0.2"/>
    <row r="633" spans="1:64" ht="12.75" x14ac:dyDescent="0.2">
      <c r="J633" s="2"/>
      <c r="K633" s="2"/>
      <c r="L633" s="2"/>
      <c r="M633" s="95"/>
      <c r="N633" s="96">
        <v>1</v>
      </c>
      <c r="O633" s="97">
        <v>6</v>
      </c>
      <c r="P633" s="98"/>
      <c r="Q633" s="1"/>
      <c r="R633" s="1"/>
      <c r="S633" s="1"/>
      <c r="T633" s="229"/>
      <c r="U633" s="229"/>
      <c r="V633" s="229"/>
      <c r="W633" s="229"/>
      <c r="X633" s="229"/>
      <c r="Y633" s="229"/>
      <c r="Z633" s="229"/>
      <c r="AA633" s="229"/>
      <c r="AB633" s="229"/>
      <c r="AC633" s="229"/>
      <c r="AD633" s="229"/>
      <c r="AE633" s="229"/>
      <c r="AF633" s="229"/>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row>
    <row r="634" spans="1:64" ht="12.75" x14ac:dyDescent="0.2">
      <c r="J634" s="2"/>
      <c r="K634" s="2"/>
      <c r="L634" s="2"/>
      <c r="N634" s="99" t="s">
        <v>321</v>
      </c>
      <c r="P634" s="98"/>
      <c r="Q634" s="1"/>
      <c r="R634" s="1"/>
      <c r="S634" s="1"/>
      <c r="T634" s="1"/>
      <c r="U634" s="1"/>
      <c r="V634" s="101"/>
      <c r="W634" s="101"/>
      <c r="X634" s="101"/>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row>
    <row r="635" spans="1:64" ht="12.75" x14ac:dyDescent="0.2">
      <c r="J635" s="2"/>
      <c r="K635" s="2"/>
      <c r="L635" s="2"/>
      <c r="M635" s="95"/>
      <c r="N635" s="119"/>
      <c r="O635" s="120">
        <f>IF(P635="","",1)</f>
        <v>1</v>
      </c>
      <c r="P635" s="121">
        <f>IF(O633&gt;4,1,"")</f>
        <v>1</v>
      </c>
      <c r="Q635" s="113">
        <f>O635</f>
        <v>1</v>
      </c>
      <c r="R635" s="113"/>
      <c r="S635" s="113"/>
      <c r="T635" s="234" t="str">
        <f>UPPER(IF(O635="","",IF(ISTEXT(N635),N635,IF(AND(N633&gt;0,O635&gt;0),VLOOKUP(N633&amp;O635&amp;N634,I:K,2,FALSE),""))))</f>
        <v>X30</v>
      </c>
      <c r="U635" s="235"/>
      <c r="V635" s="122" t="str">
        <f>IF(T635&lt;&gt;"",CONCATENATE(VLOOKUP(T635,[1]zawodnicy!$A$1:$E$65536,2,FALSE)," ",VLOOKUP(T635,[1]zawodnicy!$A$1:$E$65536,3,FALSE)," - ",VLOOKUP(T635,[1]zawodnicy!$A$1:$E$65536,4,FALSE)),"")</f>
        <v>Lizaveta BAYAROUSKAYA - Białoruś</v>
      </c>
      <c r="W635" s="123"/>
      <c r="X635" s="228" t="str">
        <f>IF(ISBLANK(W636),IF(AND(LEN(T635)&gt;0,LEN(T637)=0),VLOOKUP(T635,[1]zawodnicy!$A$1:$E$65536,3,FALSE),IF(AND(LEN(T637)&gt;0,LEN(T635)=0),VLOOKUP(T637,[1]zawodnicy!$A$1:$E$65536,3,FALSE),"")),IF((VLOOKUP(W636,'[1]plan gier'!$X$1:$AF$65536,7,FALSE))="","",VLOOKUP(VLOOKUP(W636,'[1]plan gier'!$X$1:$AF$65536,7,FALSE),[1]zawodnicy!$A$1:$E$65536,3,FALSE)))</f>
        <v>BAYAROUSKAYA</v>
      </c>
      <c r="Y635" s="229"/>
      <c r="Z635" s="229"/>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row>
    <row r="636" spans="1:64" ht="12.75" x14ac:dyDescent="0.2">
      <c r="A636" s="102">
        <f>W636</f>
        <v>0</v>
      </c>
      <c r="B636" s="2" t="str">
        <f>IF(TYPE(T635)=16,"",T635)</f>
        <v>X30</v>
      </c>
      <c r="C636" s="2" t="str">
        <f>IF(TYPE(T636)=16,"",T636)</f>
        <v>X29</v>
      </c>
      <c r="D636" s="2" t="str">
        <f>IF(TYPE(T637)=16,"",T637)</f>
        <v/>
      </c>
      <c r="E636" s="2" t="str">
        <f>IF(TYPE(T638)=16,"",T638)</f>
        <v/>
      </c>
      <c r="F636" s="2" t="str">
        <f>IF(A636=0,IF(AND(LEN(B636)&gt;1,LEN(D636)=0),VLOOKUP(B636,[1]zawodnicy!$A$1:$E$65536,1,FALSE),IF(AND(LEN(D636)&gt;1,LEN(B636)=0),VLOOKUP(D636,[1]zawodnicy!$A$1:$E$65536,1,FALSE),"")),IF((VLOOKUP(A636,'[1]plan gier'!$X$1:$AF$65536,7,FALSE))="","",VLOOKUP(VLOOKUP(A636,'[1]plan gier'!$X$1:$AF$65536,7,FALSE),[1]zawodnicy!$A$1:$E$65536,1,FALSE)))</f>
        <v>X30</v>
      </c>
      <c r="G636" s="2" t="str">
        <f>IF(A636=0,IF(AND(LEN(C636)&gt;1,LEN(E636)=0),VLOOKUP(C636,[1]zawodnicy!$A$1:$E$65536,1,FALSE),IF(AND(LEN(E636)&gt;1,LEN(C636)=0),VLOOKUP(E636,[1]zawodnicy!$A$1:$E$65536,1,FALSE),"")),IF((VLOOKUP(A636,'[1]plan gier'!$X$1:$AF$65536,8,FALSE))="","",VLOOKUP(VLOOKUP(A636,'[1]plan gier'!$X$1:$AF$65536,8,FALSE),[1]zawodnicy!$A$1:$E$65536,1,FALSE)))</f>
        <v>X29</v>
      </c>
      <c r="H636" s="2" t="str">
        <f>IF(A636=0,"",IF((VLOOKUP(A636,'[1]plan gier'!$X$1:$AF$65536,7,FALSE))="","",VLOOKUP(A636,'[1]plan gier'!$X$1:$AF$65536,9,FALSE)))</f>
        <v/>
      </c>
      <c r="L636" s="124" t="str">
        <f>IF(A636=0,"",IF(VLOOKUP(A636,'[1]plan gier'!A$1:S$65536,19,FALSE)="","",VLOOKUP(A636,'[1]plan gier'!A$1:S$65536,19,FALSE)))</f>
        <v/>
      </c>
      <c r="M636" s="2" t="str">
        <f>N634</f>
        <v>podwójna dziewcząt MM</v>
      </c>
      <c r="N636" s="125"/>
      <c r="O636" s="121"/>
      <c r="P636" s="121"/>
      <c r="Q636" s="114"/>
      <c r="R636" s="114"/>
      <c r="S636" s="114"/>
      <c r="T636" s="224" t="str">
        <f>UPPER(IF(O635="","",IF(ISTEXT(N636),N636,IF(AND(N633&gt;0,O635&gt;0),VLOOKUP(N633&amp;O635&amp;N634,I:K,3,FALSE),""))))</f>
        <v>X29</v>
      </c>
      <c r="U636" s="225"/>
      <c r="V636" s="126" t="str">
        <f>IF(T636&lt;&gt;"",CONCATENATE(VLOOKUP(T636,[1]zawodnicy!$A$1:$E$65536,2,FALSE)," ",VLOOKUP(T636,[1]zawodnicy!$A$1:$E$65536,3,FALSE)," - ",VLOOKUP(T636,[1]zawodnicy!$A$1:$E$65536,4,FALSE)),"")</f>
        <v>Anastasiya KHOMICH - Białoruś</v>
      </c>
      <c r="W636" s="127"/>
      <c r="X636" s="231" t="str">
        <f>IF(ISBLANK(W636),IF(AND(LEN(T636)&gt;0,LEN(T638)=0),VLOOKUP(T636,[1]zawodnicy!$A$1:$E$65536,3,FALSE),IF(AND(LEN(T638)&gt;0,LEN(T636)=0),VLOOKUP(T638,[1]zawodnicy!$A$1:$E$65536,3,FALSE),"")),IF((VLOOKUP(W636,'[1]plan gier'!$X$1:$AF$65536,8,FALSE))="","",VLOOKUP(VLOOKUP(W636,'[1]plan gier'!$X$1:$AF$65536,8,FALSE),[1]zawodnicy!$A$1:$E$65536,3,FALSE)))</f>
        <v>KHOMICH</v>
      </c>
      <c r="Y636" s="232"/>
      <c r="Z636" s="23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row>
    <row r="637" spans="1:64" ht="12.75" x14ac:dyDescent="0.2">
      <c r="J637" s="2"/>
      <c r="K637" s="2"/>
      <c r="L637" s="2"/>
      <c r="M637" s="95"/>
      <c r="N637" s="125"/>
      <c r="O637" s="120" t="str">
        <f>IF(P637="","",MAX(O635:O636)+1)</f>
        <v/>
      </c>
      <c r="P637" s="121" t="str">
        <f>IF(O633&gt;7,5,"")</f>
        <v/>
      </c>
      <c r="Q637" s="113" t="str">
        <f>O637</f>
        <v/>
      </c>
      <c r="R637" s="113"/>
      <c r="S637" s="113"/>
      <c r="T637" s="234" t="str">
        <f>UPPER(IF(O637="","",IF(ISTEXT(N637),N637,IF(AND(N633&gt;0,O637&gt;0),VLOOKUP(N633&amp;O637&amp;N634,I:K,2,FALSE),""))))</f>
        <v/>
      </c>
      <c r="U637" s="235"/>
      <c r="V637" s="122" t="str">
        <f>IF(T637&lt;&gt;"",CONCATENATE(VLOOKUP(T637,[1]zawodnicy!$A$1:$E$65536,2,FALSE)," ",VLOOKUP(T637,[1]zawodnicy!$A$1:$E$65536,3,FALSE)," - ",VLOOKUP(T637,[1]zawodnicy!$A$1:$E$65536,4,FALSE)),"")</f>
        <v/>
      </c>
      <c r="W637" s="128"/>
      <c r="X637" s="237" t="str">
        <f>IF(ISBLANK(W636),"",IF((VLOOKUP(W636,'[1]plan gier'!$X$1:$AF$65536,7,FALSE))="",L636,VLOOKUP(W636,'[1]plan gier'!$X$1:$AF$65536,9,FALSE)))</f>
        <v/>
      </c>
      <c r="Y637" s="237"/>
      <c r="Z637" s="240"/>
      <c r="AA637" s="229" t="str">
        <f>IF(ISBLANK(Z638),IF(AND(LEN(X635)&gt;0,LEN(X639)=0),X635,IF(AND(LEN(X639)&gt;0,LEN(X635)=0),X639,"")),IF((VLOOKUP(Z638,'[1]plan gier'!$X$1:$AF$65536,7,FALSE))="","",VLOOKUP(VLOOKUP(Z638,'[1]plan gier'!$X$1:$AF$65536,7,FALSE),[1]zawodnicy!$A$1:$E$65536,3,FALSE)))</f>
        <v>KAMINSKAYA</v>
      </c>
      <c r="AB637" s="229"/>
      <c r="AC637" s="229"/>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row>
    <row r="638" spans="1:64" ht="13.5" thickBot="1" x14ac:dyDescent="0.25">
      <c r="A638" s="111">
        <f>Z638</f>
        <v>402</v>
      </c>
      <c r="B638" s="2" t="str">
        <f>F636</f>
        <v>X30</v>
      </c>
      <c r="C638" s="2" t="str">
        <f>G636</f>
        <v>X29</v>
      </c>
      <c r="D638" s="2" t="str">
        <f>F640</f>
        <v>X16</v>
      </c>
      <c r="E638" s="2" t="str">
        <f>G640</f>
        <v>X18</v>
      </c>
      <c r="F638" s="2" t="str">
        <f>IF(A638=0,IF(AND(LEN(B638)&gt;0,LEN(D638)=0),B638,IF(AND(LEN(D638)&gt;0,LEN(B638)=0),D638,"")),IF((VLOOKUP(A638,'[1]plan gier'!$X$1:$AF$65536,7,FALSE))="","",VLOOKUP(VLOOKUP(A638,'[1]plan gier'!$X$1:$AF$65536,7,FALSE),[1]zawodnicy!$A$1:$E$65536,1,FALSE)))</f>
        <v>X16</v>
      </c>
      <c r="G638" s="2" t="str">
        <f>IF(A638=0,IF(AND(LEN(C638)&gt;0,LEN(E638)=0),C638,IF(AND(LEN(E638)&gt;0,LEN(C638)=0),E638,"")),IF((VLOOKUP(A638,'[1]plan gier'!$X$1:$AF$65536,8,FALSE))="","",VLOOKUP(VLOOKUP(A638,'[1]plan gier'!$X$1:$AF$65536,8,FALSE),[1]zawodnicy!$A$1:$E$65536,1,FALSE)))</f>
        <v>X18</v>
      </c>
      <c r="H638" s="2" t="str">
        <f>IF(A638=0,"",IF((VLOOKUP(A638,'[1]plan gier'!$X$1:$AF$65536,7,FALSE))="","",VLOOKUP(A638,'[1]plan gier'!$X$1:$AF$65536,9,FALSE)))</f>
        <v>21:0,21:0</v>
      </c>
      <c r="L638" s="124" t="str">
        <f>IF(A638=0,"",IF(VLOOKUP(A638,'[1]plan gier'!A$1:S$65536,19,FALSE)="","",VLOOKUP(A638,'[1]plan gier'!A$1:S$65536,19,FALSE)))</f>
        <v>sob 19:45</v>
      </c>
      <c r="M638" s="2" t="str">
        <f>N634</f>
        <v>podwójna dziewcząt MM</v>
      </c>
      <c r="N638" s="129"/>
      <c r="O638" s="121"/>
      <c r="P638" s="121"/>
      <c r="Q638" s="114"/>
      <c r="R638" s="114"/>
      <c r="S638" s="114"/>
      <c r="T638" s="238" t="str">
        <f>UPPER(IF(O637="","",IF(ISTEXT(N638),N638,IF(AND(N633&gt;0,O637&gt;0),VLOOKUP(N633&amp;O637&amp;N634,I:K,3,FALSE),""))))</f>
        <v/>
      </c>
      <c r="U638" s="239"/>
      <c r="V638" s="130" t="str">
        <f>IF(T638&lt;&gt;"",CONCATENATE(VLOOKUP(T638,[1]zawodnicy!$A$1:$E$65536,2,FALSE)," ",VLOOKUP(T638,[1]zawodnicy!$A$1:$E$65536,3,FALSE)," - ",VLOOKUP(T638,[1]zawodnicy!$A$1:$E$65536,4,FALSE)),"")</f>
        <v/>
      </c>
      <c r="W638" s="131"/>
      <c r="X638" s="114"/>
      <c r="Y638" s="10"/>
      <c r="Z638" s="115">
        <v>402</v>
      </c>
      <c r="AA638" s="231" t="str">
        <f>IF(ISBLANK(Z638),IF(AND(LEN(X636)&gt;0,LEN(X640)=0),X636,IF(AND(LEN(X640)&gt;0,LEN(X636)=0),X640,"")),IF((VLOOKUP(Z638,'[1]plan gier'!$X$1:$AF$65536,8,FALSE))="","",VLOOKUP(VLOOKUP(Z638,'[1]plan gier'!$X$1:$AF$65536,8,FALSE),[1]zawodnicy!$A$1:$E$65536,3,FALSE)))</f>
        <v>TARUSAVA</v>
      </c>
      <c r="AB638" s="232"/>
      <c r="AC638" s="23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row>
    <row r="639" spans="1:64" ht="13.5" thickTop="1" x14ac:dyDescent="0.2">
      <c r="J639" s="2"/>
      <c r="K639" s="2"/>
      <c r="L639" s="2"/>
      <c r="M639" s="95"/>
      <c r="N639" s="132"/>
      <c r="O639" s="120">
        <f>IF(P639="","",MAX(O635:O638)+1)</f>
        <v>2</v>
      </c>
      <c r="P639" s="121">
        <f>IF(O633&gt;4,9,"")</f>
        <v>9</v>
      </c>
      <c r="Q639" s="113">
        <f>O639</f>
        <v>2</v>
      </c>
      <c r="R639" s="113"/>
      <c r="S639" s="113"/>
      <c r="T639" s="226" t="str">
        <f>UPPER(IF(O639="","",IF(ISTEXT(N639),N639,IF(AND(N633&gt;0,O639&gt;0),VLOOKUP(N633&amp;O639&amp;N634,I:K,2,FALSE),""))))</f>
        <v>J5024</v>
      </c>
      <c r="U639" s="227"/>
      <c r="V639" s="133" t="str">
        <f>IF(T639&lt;&gt;"",CONCATENATE(VLOOKUP(T639,[1]zawodnicy!$A$1:$E$65536,2,FALSE)," ",VLOOKUP(T639,[1]zawodnicy!$A$1:$E$65536,3,FALSE)," - ",VLOOKUP(T639,[1]zawodnicy!$A$1:$E$65536,4,FALSE)),"")</f>
        <v>Zuzanna JANKOWSKA - MKS Strzelce Opolskie</v>
      </c>
      <c r="W639" s="134"/>
      <c r="X639" s="228" t="str">
        <f>IF(ISBLANK(W640),IF(AND(LEN(T639)&gt;0,LEN(T641)=0),VLOOKUP(T639,[1]zawodnicy!$A$1:$E$65536,3,FALSE),IF(AND(LEN(T641)&gt;0,LEN(T639)=0),VLOOKUP(T641,[1]zawodnicy!$A$1:$E$65536,3,FALSE),"")),IF((VLOOKUP(W640,'[1]plan gier'!$X$1:$AF$65536,7,FALSE))="","",VLOOKUP(VLOOKUP(W640,'[1]plan gier'!$X$1:$AF$65536,7,FALSE),[1]zawodnicy!$A$1:$E$65536,3,FALSE)))</f>
        <v>KAMINSKAYA</v>
      </c>
      <c r="Y639" s="229"/>
      <c r="Z639" s="230"/>
      <c r="AA639" s="229" t="str">
        <f>IF(ISBLANK(Z638),"",IF((VLOOKUP(Z638,'[1]plan gier'!$X$1:$AF$65536,7,FALSE))="",L638,VLOOKUP(Z638,'[1]plan gier'!$X$1:$AF$65536,9,FALSE)))</f>
        <v>21:0,21:0</v>
      </c>
      <c r="AB639" s="229"/>
      <c r="AC639" s="230"/>
      <c r="AD639" s="16"/>
      <c r="AE639" s="16"/>
      <c r="AF639" s="16"/>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row>
    <row r="640" spans="1:64" ht="12.75" x14ac:dyDescent="0.2">
      <c r="A640" s="102">
        <f>W640</f>
        <v>392</v>
      </c>
      <c r="B640" s="2" t="str">
        <f>IF(TYPE(T639)=16,"",T639)</f>
        <v>J5024</v>
      </c>
      <c r="C640" s="2" t="str">
        <f>IF(TYPE(T640)=16,"",T640)</f>
        <v>K5208</v>
      </c>
      <c r="D640" s="2" t="str">
        <f>IF(TYPE(T641)=16,"",T641)</f>
        <v>X16</v>
      </c>
      <c r="E640" s="2" t="str">
        <f>IF(TYPE(T642)=16,"",T642)</f>
        <v>X18</v>
      </c>
      <c r="F640" s="2" t="str">
        <f>IF(A640=0,IF(AND(LEN(B640)&gt;1,LEN(D640)=0),VLOOKUP(B640,[1]zawodnicy!$A$1:$E$65536,1,FALSE),IF(AND(LEN(D640)&gt;1,LEN(B640)=0),VLOOKUP(D640,[1]zawodnicy!$A$1:$E$65536,1,FALSE),"")),IF((VLOOKUP(A640,'[1]plan gier'!$X$1:$AF$65536,7,FALSE))="","",VLOOKUP(VLOOKUP(A640,'[1]plan gier'!$X$1:$AF$65536,7,FALSE),[1]zawodnicy!$A$1:$E$65536,1,FALSE)))</f>
        <v>X16</v>
      </c>
      <c r="G640" s="2" t="str">
        <f>IF(A640=0,IF(AND(LEN(C640)&gt;1,LEN(E640)=0),VLOOKUP(C640,[1]zawodnicy!$A$1:$E$65536,1,FALSE),IF(AND(LEN(E640)&gt;1,LEN(C640)=0),VLOOKUP(E640,[1]zawodnicy!$A$1:$E$65536,1,FALSE),"")),IF((VLOOKUP(A640,'[1]plan gier'!$X$1:$AF$65536,8,FALSE))="","",VLOOKUP(VLOOKUP(A640,'[1]plan gier'!$X$1:$AF$65536,8,FALSE),[1]zawodnicy!$A$1:$E$65536,1,FALSE)))</f>
        <v>X18</v>
      </c>
      <c r="H640" s="2" t="str">
        <f>IF(A640=0,"",IF((VLOOKUP(A640,'[1]plan gier'!$X$1:$AF$65536,7,FALSE))="","",VLOOKUP(A640,'[1]plan gier'!$X$1:$AF$65536,9,FALSE)))</f>
        <v>21:13,12:21,21:18</v>
      </c>
      <c r="L640" s="124" t="str">
        <f>IF(A640=0,"",IF(VLOOKUP(A640,'[1]plan gier'!A$1:S$65536,19,FALSE)="","",VLOOKUP(A640,'[1]plan gier'!A$1:S$65536,19,FALSE)))</f>
        <v>sob 18:50</v>
      </c>
      <c r="M640" s="2" t="str">
        <f>N634</f>
        <v>podwójna dziewcząt MM</v>
      </c>
      <c r="N640" s="125"/>
      <c r="O640" s="121"/>
      <c r="P640" s="121"/>
      <c r="Q640" s="114"/>
      <c r="R640" s="114"/>
      <c r="S640" s="114"/>
      <c r="T640" s="224" t="str">
        <f>UPPER(IF(O639="","",IF(ISTEXT(N640),N640,IF(AND(N633&gt;0,O639&gt;0),VLOOKUP(N633&amp;O639&amp;N634,I:K,3,FALSE),""))))</f>
        <v>K5208</v>
      </c>
      <c r="U640" s="225"/>
      <c r="V640" s="126" t="str">
        <f>IF(T640&lt;&gt;"",CONCATENATE(VLOOKUP(T640,[1]zawodnicy!$A$1:$E$65536,2,FALSE)," ",VLOOKUP(T640,[1]zawodnicy!$A$1:$E$65536,3,FALSE)," - ",VLOOKUP(T640,[1]zawodnicy!$A$1:$E$65536,4,FALSE)),"")</f>
        <v>Dominika KWAŚNIK - UKS Feniks Kędzierzyn-Koźle</v>
      </c>
      <c r="W640" s="127">
        <v>392</v>
      </c>
      <c r="X640" s="231" t="str">
        <f>IF(ISBLANK(W640),IF(AND(LEN(T640)&gt;0,LEN(T642)=0),VLOOKUP(T640,[1]zawodnicy!$A$1:$E$65536,3,FALSE),IF(AND(LEN(T642)&gt;0,LEN(T640)=0),VLOOKUP(T642,[1]zawodnicy!$A$1:$E$65536,3,FALSE),"")),IF((VLOOKUP(W640,'[1]plan gier'!$X$1:$AF$65536,8,FALSE))="","",VLOOKUP(VLOOKUP(W640,'[1]plan gier'!$X$1:$AF$65536,8,FALSE),[1]zawodnicy!$A$1:$E$65536,3,FALSE)))</f>
        <v>TARUSAVA</v>
      </c>
      <c r="Y640" s="232"/>
      <c r="Z640" s="233"/>
      <c r="AA640" s="10"/>
      <c r="AB640" s="10"/>
      <c r="AC640" s="117"/>
      <c r="AD640" s="16"/>
      <c r="AE640" s="16"/>
      <c r="AF640" s="16"/>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row>
    <row r="641" spans="1:64" ht="12.75" x14ac:dyDescent="0.2">
      <c r="J641" s="2"/>
      <c r="K641" s="2"/>
      <c r="L641" s="2"/>
      <c r="M641" s="95"/>
      <c r="N641" s="125"/>
      <c r="O641" s="120">
        <f>IF(P641="","",MAX(O635:O640)+1)</f>
        <v>3</v>
      </c>
      <c r="P641" s="121">
        <f>IF(O633&gt;5,13,"")</f>
        <v>13</v>
      </c>
      <c r="Q641" s="113">
        <f>O641</f>
        <v>3</v>
      </c>
      <c r="R641" s="113"/>
      <c r="S641" s="113"/>
      <c r="T641" s="234" t="str">
        <f>UPPER(IF(O641="","",IF(ISTEXT(N641),N641,IF(AND(N633&gt;0,O641&gt;0),VLOOKUP(N633&amp;O641&amp;N634,I:K,2,FALSE),""))))</f>
        <v>X16</v>
      </c>
      <c r="U641" s="235"/>
      <c r="V641" s="122" t="str">
        <f>IF(T641&lt;&gt;"",CONCATENATE(VLOOKUP(T641,[1]zawodnicy!$A$1:$E$65536,2,FALSE)," ",VLOOKUP(T641,[1]zawodnicy!$A$1:$E$65536,3,FALSE)," - ",VLOOKUP(T641,[1]zawodnicy!$A$1:$E$65536,4,FALSE)),"")</f>
        <v>Yelizaveta KAMINSKAYA - Mińsk Białoruś</v>
      </c>
      <c r="W641" s="128"/>
      <c r="X641" s="236" t="str">
        <f>IF(ISBLANK(W640),"",IF((VLOOKUP(W640,'[1]plan gier'!$X$1:$AF$65536,7,FALSE))="",L640,VLOOKUP(W640,'[1]plan gier'!$X$1:$AF$65536,9,FALSE)))</f>
        <v>21:13,12:21,21:18</v>
      </c>
      <c r="Y641" s="237"/>
      <c r="Z641" s="237"/>
      <c r="AA641" s="10"/>
      <c r="AB641" s="10"/>
      <c r="AC641" s="116"/>
      <c r="AD641" s="292" t="str">
        <f>IF(ISBLANK(AC642),IF(AND(LEN(AA637)&gt;0,LEN(AA645)=0),AA637,IF(AND(LEN(AA645)&gt;0,LEN(AA637)=0),AA645,"")),IF((VLOOKUP(AC642,'[1]plan gier'!$X$1:$AF$65536,7,FALSE))="","",VLOOKUP(VLOOKUP(AC642,'[1]plan gier'!$X$1:$AF$65536,7,FALSE),[1]zawodnicy!$A$1:$E$65536,3,FALSE)))</f>
        <v>KAMINSKAYA</v>
      </c>
      <c r="AE641" s="292"/>
      <c r="AF641" s="29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row>
    <row r="642" spans="1:64" ht="13.5" thickBot="1" x14ac:dyDescent="0.25">
      <c r="A642" s="171">
        <f>AC642</f>
        <v>413</v>
      </c>
      <c r="B642" s="2" t="str">
        <f>F638</f>
        <v>X16</v>
      </c>
      <c r="C642" s="2" t="str">
        <f>G638</f>
        <v>X18</v>
      </c>
      <c r="D642" s="2" t="str">
        <f>F646</f>
        <v>K5262</v>
      </c>
      <c r="E642" s="2" t="str">
        <f>G646</f>
        <v>L5359</v>
      </c>
      <c r="F642" s="2" t="str">
        <f>IF(A642=0,IF(AND(LEN(B642)&gt;0,LEN(D642)=0),B642,IF(AND(LEN(D642)&gt;0,LEN(B642)=0),D642,"")),IF((VLOOKUP(A642,'[1]plan gier'!$X$1:$AF$65536,7,FALSE))="","",VLOOKUP(VLOOKUP(A642,'[1]plan gier'!$X$1:$AF$65536,7,FALSE),[1]zawodnicy!$A$1:$E$65536,1,FALSE)))</f>
        <v>X16</v>
      </c>
      <c r="G642" s="2" t="str">
        <f>IF(A642=0,IF(AND(LEN(C642)&gt;0,LEN(E642)=0),C642,IF(AND(LEN(E642)&gt;0,LEN(C642)=0),E642,"")),IF((VLOOKUP(A642,'[1]plan gier'!$X$1:$AF$65536,8,FALSE))="","",VLOOKUP(VLOOKUP(A642,'[1]plan gier'!$X$1:$AF$65536,8,FALSE),[1]zawodnicy!$A$1:$E$65536,1,FALSE)))</f>
        <v>X18</v>
      </c>
      <c r="H642" s="2" t="str">
        <f>IF(A642=0,"",IF((VLOOKUP(A642,'[1]plan gier'!$X$1:$AF$65536,7,FALSE))="","",VLOOKUP(A642,'[1]plan gier'!$X$1:$AF$65536,9,FALSE)))</f>
        <v>21:13,10:21,21:17</v>
      </c>
      <c r="L642" s="124" t="str">
        <f>IF(A642=0,"",IF(VLOOKUP(A642,'[1]plan gier'!A$1:S$65536,19,FALSE)="","",VLOOKUP(A642,'[1]plan gier'!A$1:S$65536,19,FALSE)))</f>
        <v>sob 20:15</v>
      </c>
      <c r="M642" s="2" t="str">
        <f>N634</f>
        <v>podwójna dziewcząt MM</v>
      </c>
      <c r="N642" s="129"/>
      <c r="O642" s="121"/>
      <c r="P642" s="121"/>
      <c r="Q642" s="114"/>
      <c r="R642" s="114"/>
      <c r="S642" s="114"/>
      <c r="T642" s="238" t="str">
        <f>UPPER(IF(O641="","",IF(ISTEXT(N642),N642,IF(AND(N633&gt;0,O641&gt;0),VLOOKUP(N633&amp;O641&amp;N634,I:K,3,FALSE),""))))</f>
        <v>X18</v>
      </c>
      <c r="U642" s="239"/>
      <c r="V642" s="130" t="str">
        <f>IF(T642&lt;&gt;"",CONCATENATE(VLOOKUP(T642,[1]zawodnicy!$A$1:$E$65536,2,FALSE)," ",VLOOKUP(T642,[1]zawodnicy!$A$1:$E$65536,3,FALSE)," - ",VLOOKUP(T642,[1]zawodnicy!$A$1:$E$65536,4,FALSE)),"")</f>
        <v>Veranika TARUSAVA - Mińsk Białoruś</v>
      </c>
      <c r="W642" s="131"/>
      <c r="X642" s="10"/>
      <c r="Y642" s="10"/>
      <c r="Z642" s="10"/>
      <c r="AA642" s="10"/>
      <c r="AB642" s="10"/>
      <c r="AC642" s="115">
        <v>413</v>
      </c>
      <c r="AD642" s="293" t="str">
        <f>IF(ISBLANK(AC642),IF(AND(LEN(AA638)&gt;0,LEN(AA646)=0),AA638,IF(AND(LEN(AA646)&gt;0,LEN(AA638)=0),AA646,"")),IF((VLOOKUP(AC642,'[1]plan gier'!$X$1:$AF$65536,8,FALSE))="","",VLOOKUP(VLOOKUP(AC642,'[1]plan gier'!$X$1:$AF$65536,8,FALSE),[1]zawodnicy!$A$1:$E$65536,3,FALSE)))</f>
        <v>TARUSAVA</v>
      </c>
      <c r="AE642" s="290"/>
      <c r="AF642" s="290"/>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row>
    <row r="643" spans="1:64" ht="13.5" thickTop="1" x14ac:dyDescent="0.2">
      <c r="J643" s="2"/>
      <c r="K643" s="2"/>
      <c r="L643" s="2"/>
      <c r="M643" s="95"/>
      <c r="N643" s="132"/>
      <c r="O643" s="120">
        <f>IF(P643="","",MAX(O635:O642)+1)</f>
        <v>4</v>
      </c>
      <c r="P643" s="121">
        <f>IF(O633&gt;4,20,"")</f>
        <v>20</v>
      </c>
      <c r="Q643" s="113">
        <f>O643</f>
        <v>4</v>
      </c>
      <c r="R643" s="113"/>
      <c r="S643" s="113"/>
      <c r="T643" s="226" t="str">
        <f>UPPER(IF(O643="","",IF(ISTEXT(N643),N643,IF(AND(N633&gt;0,O643&gt;0),VLOOKUP(N633&amp;O643&amp;N634,I:K,2,FALSE),""))))</f>
        <v>K5262</v>
      </c>
      <c r="U643" s="227"/>
      <c r="V643" s="133" t="str">
        <f>IF(T643&lt;&gt;"",CONCATENATE(VLOOKUP(T643,[1]zawodnicy!$A$1:$E$65536,2,FALSE)," ",VLOOKUP(T643,[1]zawodnicy!$A$1:$E$65536,3,FALSE)," - ",VLOOKUP(T643,[1]zawodnicy!$A$1:$E$65536,4,FALSE)),"")</f>
        <v>Wiktoria KASPRZAK - UKS Kiko Zamość</v>
      </c>
      <c r="W643" s="134"/>
      <c r="X643" s="228" t="str">
        <f>IF(ISBLANK(W644),IF(AND(LEN(T643)&gt;0,LEN(T645)=0),VLOOKUP(T643,[1]zawodnicy!$A$1:$E$65536,3,FALSE),IF(AND(LEN(T645)&gt;0,LEN(T643)=0),VLOOKUP(T645,[1]zawodnicy!$A$1:$E$65536,3,FALSE),"")),IF((VLOOKUP(W644,'[1]plan gier'!$X$1:$AF$65536,7,FALSE))="","",VLOOKUP(VLOOKUP(W644,'[1]plan gier'!$X$1:$AF$65536,7,FALSE),[1]zawodnicy!$A$1:$E$65536,3,FALSE)))</f>
        <v>KASPRZAK</v>
      </c>
      <c r="Y643" s="229"/>
      <c r="Z643" s="229"/>
      <c r="AA643" s="10"/>
      <c r="AB643" s="10"/>
      <c r="AC643" s="116"/>
      <c r="AD643" s="292" t="str">
        <f>IF(ISBLANK(AC642),"",IF((VLOOKUP(AC642,'[1]plan gier'!$X$1:$AF$65536,7,FALSE))="",L642,VLOOKUP(AC642,'[1]plan gier'!$X$1:$AF$65536,9,FALSE)))</f>
        <v>21:13,10:21,21:17</v>
      </c>
      <c r="AE643" s="292"/>
      <c r="AF643" s="29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row>
    <row r="644" spans="1:64" ht="12.75" x14ac:dyDescent="0.2">
      <c r="A644" s="102">
        <f>W644</f>
        <v>393</v>
      </c>
      <c r="B644" s="2" t="str">
        <f>IF(TYPE(T643)=16,"",T643)</f>
        <v>K5262</v>
      </c>
      <c r="C644" s="2" t="str">
        <f>IF(TYPE(T644)=16,"",T644)</f>
        <v>L5359</v>
      </c>
      <c r="D644" s="2" t="str">
        <f>IF(TYPE(T645)=16,"",T645)</f>
        <v>M4792</v>
      </c>
      <c r="E644" s="2" t="str">
        <f>IF(TYPE(T646)=16,"",T646)</f>
        <v>O5218</v>
      </c>
      <c r="F644" s="2" t="str">
        <f>IF(A644=0,IF(AND(LEN(B644)&gt;1,LEN(D644)=0),VLOOKUP(B644,[1]zawodnicy!$A$1:$E$65536,1,FALSE),IF(AND(LEN(D644)&gt;1,LEN(B644)=0),VLOOKUP(D644,[1]zawodnicy!$A$1:$E$65536,1,FALSE),"")),IF((VLOOKUP(A644,'[1]plan gier'!$X$1:$AF$65536,7,FALSE))="","",VLOOKUP(VLOOKUP(A644,'[1]plan gier'!$X$1:$AF$65536,7,FALSE),[1]zawodnicy!$A$1:$E$65536,1,FALSE)))</f>
        <v>K5262</v>
      </c>
      <c r="G644" s="2" t="str">
        <f>IF(A644=0,IF(AND(LEN(C644)&gt;1,LEN(E644)=0),VLOOKUP(C644,[1]zawodnicy!$A$1:$E$65536,1,FALSE),IF(AND(LEN(E644)&gt;1,LEN(C644)=0),VLOOKUP(E644,[1]zawodnicy!$A$1:$E$65536,1,FALSE),"")),IF((VLOOKUP(A644,'[1]plan gier'!$X$1:$AF$65536,8,FALSE))="","",VLOOKUP(VLOOKUP(A644,'[1]plan gier'!$X$1:$AF$65536,8,FALSE),[1]zawodnicy!$A$1:$E$65536,1,FALSE)))</f>
        <v>L5359</v>
      </c>
      <c r="H644" s="2" t="str">
        <f>IF(A644=0,"",IF((VLOOKUP(A644,'[1]plan gier'!$X$1:$AF$65536,7,FALSE))="","",VLOOKUP(A644,'[1]plan gier'!$X$1:$AF$65536,9,FALSE)))</f>
        <v>21:12,21:9</v>
      </c>
      <c r="L644" s="124" t="str">
        <f>IF(A644=0,"",IF(VLOOKUP(A644,'[1]plan gier'!A$1:S$65536,19,FALSE)="","",VLOOKUP(A644,'[1]plan gier'!A$1:S$65536,19,FALSE)))</f>
        <v>sob 18:50</v>
      </c>
      <c r="M644" s="2" t="str">
        <f>N634</f>
        <v>podwójna dziewcząt MM</v>
      </c>
      <c r="N644" s="125"/>
      <c r="O644" s="121"/>
      <c r="P644" s="121"/>
      <c r="Q644" s="114"/>
      <c r="R644" s="114"/>
      <c r="S644" s="114"/>
      <c r="T644" s="224" t="str">
        <f>UPPER(IF(O643="","",IF(ISTEXT(N644),N644,IF(AND(N633&gt;0,O643&gt;0),VLOOKUP(N633&amp;O643&amp;N634,I:K,3,FALSE),""))))</f>
        <v>L5359</v>
      </c>
      <c r="U644" s="225"/>
      <c r="V644" s="126" t="str">
        <f>IF(T644&lt;&gt;"",CONCATENATE(VLOOKUP(T644,[1]zawodnicy!$A$1:$E$65536,2,FALSE)," ",VLOOKUP(T644,[1]zawodnicy!$A$1:$E$65536,3,FALSE)," - ",VLOOKUP(T644,[1]zawodnicy!$A$1:$E$65536,4,FALSE)),"")</f>
        <v>Aleksandra LASKOWSKA - UKS Kiko Zamość</v>
      </c>
      <c r="W644" s="127">
        <v>393</v>
      </c>
      <c r="X644" s="231" t="str">
        <f>IF(ISBLANK(W644),IF(AND(LEN(T644)&gt;0,LEN(T646)=0),VLOOKUP(T644,[1]zawodnicy!$A$1:$E$65536,3,FALSE),IF(AND(LEN(T646)&gt;0,LEN(T644)=0),VLOOKUP(T646,[1]zawodnicy!$A$1:$E$65536,3,FALSE),"")),IF((VLOOKUP(W644,'[1]plan gier'!$X$1:$AF$65536,8,FALSE))="","",VLOOKUP(VLOOKUP(W644,'[1]plan gier'!$X$1:$AF$65536,8,FALSE),[1]zawodnicy!$A$1:$E$65536,3,FALSE)))</f>
        <v>LASKOWSKA</v>
      </c>
      <c r="Y644" s="232"/>
      <c r="Z644" s="232"/>
      <c r="AA644" s="10"/>
      <c r="AB644" s="10"/>
      <c r="AC644" s="117"/>
      <c r="AD644" s="169"/>
      <c r="AE644" s="169"/>
      <c r="AF644" s="169"/>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row>
    <row r="645" spans="1:64" ht="12.75" x14ac:dyDescent="0.2">
      <c r="J645" s="2"/>
      <c r="K645" s="2"/>
      <c r="L645" s="2"/>
      <c r="M645" s="95"/>
      <c r="N645" s="125"/>
      <c r="O645" s="120">
        <f>IF(P645="","",MAX(O635:O644)+1)</f>
        <v>5</v>
      </c>
      <c r="P645" s="121">
        <f>IF(O633&gt;4,24,"")</f>
        <v>24</v>
      </c>
      <c r="Q645" s="113">
        <f>O645</f>
        <v>5</v>
      </c>
      <c r="R645" s="113"/>
      <c r="S645" s="113"/>
      <c r="T645" s="234" t="str">
        <f>UPPER(IF(O645="","",IF(ISTEXT(N645),N645,IF(AND(N633&gt;0,O645&gt;0),VLOOKUP(N633&amp;O645&amp;N634,I:K,2,FALSE),""))))</f>
        <v>M4792</v>
      </c>
      <c r="U645" s="235"/>
      <c r="V645" s="122" t="str">
        <f>IF(T645&lt;&gt;"",CONCATENATE(VLOOKUP(T645,[1]zawodnicy!$A$1:$E$65536,2,FALSE)," ",VLOOKUP(T645,[1]zawodnicy!$A$1:$E$65536,3,FALSE)," - ",VLOOKUP(T645,[1]zawodnicy!$A$1:$E$65536,4,FALSE)),"")</f>
        <v>Urszula MISZKIEL - SKB Suwałki</v>
      </c>
      <c r="W645" s="128"/>
      <c r="X645" s="237" t="str">
        <f>IF(ISBLANK(W644),"",IF((VLOOKUP(W644,'[1]plan gier'!$X$1:$AF$65536,7,FALSE))="",L644,VLOOKUP(W644,'[1]plan gier'!$X$1:$AF$65536,9,FALSE)))</f>
        <v>21:12,21:9</v>
      </c>
      <c r="Y645" s="237"/>
      <c r="Z645" s="240"/>
      <c r="AA645" s="229" t="str">
        <f>IF(ISBLANK(Z646),IF(AND(LEN(X643)&gt;0,LEN(X647)=0),X643,IF(AND(LEN(X647)&gt;0,LEN(X643)=0),X647,"")),IF((VLOOKUP(Z646,'[1]plan gier'!$X$1:$AF$65536,7,FALSE))="","",VLOOKUP(VLOOKUP(Z646,'[1]plan gier'!$X$1:$AF$65536,7,FALSE),[1]zawodnicy!$A$1:$E$65536,3,FALSE)))</f>
        <v>KASPRZAK</v>
      </c>
      <c r="AB645" s="229"/>
      <c r="AC645" s="230"/>
      <c r="AD645" s="10"/>
      <c r="AE645" s="10"/>
      <c r="AF645" s="10"/>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row>
    <row r="646" spans="1:64" ht="13.5" thickBot="1" x14ac:dyDescent="0.25">
      <c r="A646" s="111">
        <f>Z646</f>
        <v>403</v>
      </c>
      <c r="B646" s="2" t="str">
        <f>F644</f>
        <v>K5262</v>
      </c>
      <c r="C646" s="2" t="str">
        <f>G644</f>
        <v>L5359</v>
      </c>
      <c r="D646" s="2" t="str">
        <f>F648</f>
        <v>F4870</v>
      </c>
      <c r="E646" s="2" t="str">
        <f>G648</f>
        <v>S4730</v>
      </c>
      <c r="F646" s="2" t="str">
        <f>IF(A646=0,IF(AND(LEN(B646)&gt;0,LEN(D646)=0),B646,IF(AND(LEN(D646)&gt;0,LEN(B646)=0),D646,"")),IF((VLOOKUP(A646,'[1]plan gier'!$X$1:$AF$65536,7,FALSE))="","",VLOOKUP(VLOOKUP(A646,'[1]plan gier'!$X$1:$AF$65536,7,FALSE),[1]zawodnicy!$A$1:$E$65536,1,FALSE)))</f>
        <v>K5262</v>
      </c>
      <c r="G646" s="2" t="str">
        <f>IF(A646=0,IF(AND(LEN(C646)&gt;0,LEN(E646)=0),C646,IF(AND(LEN(E646)&gt;0,LEN(C646)=0),E646,"")),IF((VLOOKUP(A646,'[1]plan gier'!$X$1:$AF$65536,8,FALSE))="","",VLOOKUP(VLOOKUP(A646,'[1]plan gier'!$X$1:$AF$65536,8,FALSE),[1]zawodnicy!$A$1:$E$65536,1,FALSE)))</f>
        <v>L5359</v>
      </c>
      <c r="H646" s="2" t="str">
        <f>IF(A646=0,"",IF((VLOOKUP(A646,'[1]plan gier'!$X$1:$AF$65536,7,FALSE))="","",VLOOKUP(A646,'[1]plan gier'!$X$1:$AF$65536,9,FALSE)))</f>
        <v>24:22,18:21,21:12</v>
      </c>
      <c r="L646" s="124" t="str">
        <f>IF(A646=0,"",IF(VLOOKUP(A646,'[1]plan gier'!A$1:S$65536,19,FALSE)="","",VLOOKUP(A646,'[1]plan gier'!A$1:S$65536,19,FALSE)))</f>
        <v>sob 19:45</v>
      </c>
      <c r="M646" s="2" t="str">
        <f>N634</f>
        <v>podwójna dziewcząt MM</v>
      </c>
      <c r="N646" s="129"/>
      <c r="O646" s="121"/>
      <c r="P646" s="121"/>
      <c r="Q646" s="114"/>
      <c r="R646" s="114"/>
      <c r="S646" s="114"/>
      <c r="T646" s="238" t="str">
        <f>UPPER(IF(O645="","",IF(ISTEXT(N646),N646,IF(AND(N633&gt;0,O645&gt;0),VLOOKUP(N633&amp;O645&amp;N634,I:K,3,FALSE),""))))</f>
        <v>O5218</v>
      </c>
      <c r="U646" s="239"/>
      <c r="V646" s="130" t="str">
        <f>IF(T646&lt;&gt;"",CONCATENATE(VLOOKUP(T646,[1]zawodnicy!$A$1:$E$65536,2,FALSE)," ",VLOOKUP(T646,[1]zawodnicy!$A$1:$E$65536,3,FALSE)," - ",VLOOKUP(T646,[1]zawodnicy!$A$1:$E$65536,4,FALSE)),"")</f>
        <v>Natalia OWSIEJEW - SKB Suwałki</v>
      </c>
      <c r="W646" s="131"/>
      <c r="X646" s="114"/>
      <c r="Y646" s="10"/>
      <c r="Z646" s="115">
        <v>403</v>
      </c>
      <c r="AA646" s="231" t="str">
        <f>IF(ISBLANK(Z646),IF(AND(LEN(X644)&gt;0,LEN(X648)=0),X644,IF(AND(LEN(X648)&gt;0,LEN(X644)=0),X648,"")),IF((VLOOKUP(Z646,'[1]plan gier'!$X$1:$AF$65536,8,FALSE))="","",VLOOKUP(VLOOKUP(Z646,'[1]plan gier'!$X$1:$AF$65536,8,FALSE),[1]zawodnicy!$A$1:$E$65536,3,FALSE)))</f>
        <v>LASKOWSKA</v>
      </c>
      <c r="AB646" s="232"/>
      <c r="AC646" s="233"/>
      <c r="AD646" s="10"/>
      <c r="AE646" s="10"/>
      <c r="AF646" s="10"/>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row>
    <row r="647" spans="1:64" ht="13.5" thickTop="1" x14ac:dyDescent="0.2">
      <c r="J647" s="2"/>
      <c r="K647" s="2"/>
      <c r="L647" s="2"/>
      <c r="M647" s="95"/>
      <c r="N647" s="132"/>
      <c r="O647" s="120" t="str">
        <f>IF(P647="","",MAX(O635:O646)+1)</f>
        <v/>
      </c>
      <c r="P647" s="121" t="str">
        <f>IF(O633&gt;6,28,"")</f>
        <v/>
      </c>
      <c r="Q647" s="113" t="str">
        <f>O647</f>
        <v/>
      </c>
      <c r="R647" s="113"/>
      <c r="S647" s="113"/>
      <c r="T647" s="226" t="str">
        <f>UPPER(IF(O647="","",IF(ISTEXT(N647),N647,IF(AND(N633&gt;0,O647&gt;0),VLOOKUP(N633&amp;O647&amp;N634,I:K,2,FALSE),""))))</f>
        <v/>
      </c>
      <c r="U647" s="227"/>
      <c r="V647" s="133" t="str">
        <f>IF(T647&lt;&gt;"",CONCATENATE(VLOOKUP(T647,[1]zawodnicy!$A$1:$E$65536,2,FALSE)," ",VLOOKUP(T647,[1]zawodnicy!$A$1:$E$65536,3,FALSE)," - ",VLOOKUP(T647,[1]zawodnicy!$A$1:$E$65536,4,FALSE)),"")</f>
        <v/>
      </c>
      <c r="W647" s="134"/>
      <c r="X647" s="228" t="str">
        <f>IF(ISBLANK(W648),IF(AND(LEN(T647)&gt;0,LEN(T649)=0),VLOOKUP(T647,[1]zawodnicy!$A$1:$E$65536,3,FALSE),IF(AND(LEN(T649)&gt;0,LEN(T647)=0),VLOOKUP(T649,[1]zawodnicy!$A$1:$E$65536,3,FALSE),"")),IF((VLOOKUP(W648,'[1]plan gier'!$X$1:$AF$65536,7,FALSE))="","",VLOOKUP(VLOOKUP(W648,'[1]plan gier'!$X$1:$AF$65536,7,FALSE),[1]zawodnicy!$A$1:$E$65536,3,FALSE)))</f>
        <v>FRANCZUK</v>
      </c>
      <c r="Y647" s="229"/>
      <c r="Z647" s="230"/>
      <c r="AA647" s="229" t="str">
        <f>IF(ISBLANK(Z646),"",IF((VLOOKUP(Z646,'[1]plan gier'!$X$1:$AF$65536,7,FALSE))="",L646,VLOOKUP(Z646,'[1]plan gier'!$X$1:$AF$65536,9,FALSE)))</f>
        <v>24:22,18:21,21:12</v>
      </c>
      <c r="AB647" s="229"/>
      <c r="AC647" s="229"/>
      <c r="AD647" s="114"/>
      <c r="AE647" s="114"/>
      <c r="AF647" s="114"/>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row>
    <row r="648" spans="1:64" ht="12.75" x14ac:dyDescent="0.2">
      <c r="A648" s="102">
        <f>W648</f>
        <v>0</v>
      </c>
      <c r="B648" s="2" t="str">
        <f>IF(TYPE(T647)=16,"",T647)</f>
        <v/>
      </c>
      <c r="C648" s="2" t="str">
        <f>IF(TYPE(T648)=16,"",T648)</f>
        <v/>
      </c>
      <c r="D648" s="2" t="str">
        <f>IF(TYPE(T649)=16,"",T649)</f>
        <v>F4870</v>
      </c>
      <c r="E648" s="2" t="str">
        <f>IF(TYPE(T650)=16,"",T650)</f>
        <v>S4730</v>
      </c>
      <c r="F648" s="2" t="str">
        <f>IF(A648=0,IF(AND(LEN(B648)&gt;1,LEN(D648)=0),VLOOKUP(B648,[1]zawodnicy!$A$1:$E$65536,1,FALSE),IF(AND(LEN(D648)&gt;1,LEN(B648)=0),VLOOKUP(D648,[1]zawodnicy!$A$1:$E$65536,1,FALSE),"")),IF((VLOOKUP(A648,'[1]plan gier'!$X$1:$AF$65536,7,FALSE))="","",VLOOKUP(VLOOKUP(A648,'[1]plan gier'!$X$1:$AF$65536,7,FALSE),[1]zawodnicy!$A$1:$E$65536,1,FALSE)))</f>
        <v>F4870</v>
      </c>
      <c r="G648" s="2" t="str">
        <f>IF(A648=0,IF(AND(LEN(C648)&gt;1,LEN(E648)=0),VLOOKUP(C648,[1]zawodnicy!$A$1:$E$65536,1,FALSE),IF(AND(LEN(E648)&gt;1,LEN(C648)=0),VLOOKUP(E648,[1]zawodnicy!$A$1:$E$65536,1,FALSE),"")),IF((VLOOKUP(A648,'[1]plan gier'!$X$1:$AF$65536,8,FALSE))="","",VLOOKUP(VLOOKUP(A648,'[1]plan gier'!$X$1:$AF$65536,8,FALSE),[1]zawodnicy!$A$1:$E$65536,1,FALSE)))</f>
        <v>S4730</v>
      </c>
      <c r="H648" s="2" t="str">
        <f>IF(A648=0,"",IF((VLOOKUP(A648,'[1]plan gier'!$X$1:$AF$65536,7,FALSE))="","",VLOOKUP(A648,'[1]plan gier'!$X$1:$AF$65536,9,FALSE)))</f>
        <v/>
      </c>
      <c r="L648" s="124" t="str">
        <f>IF(A648=0,"",IF(VLOOKUP(A648,'[1]plan gier'!A$1:S$65536,19,FALSE)="","",VLOOKUP(A648,'[1]plan gier'!A$1:S$65536,19,FALSE)))</f>
        <v/>
      </c>
      <c r="M648" s="2" t="str">
        <f>N634</f>
        <v>podwójna dziewcząt MM</v>
      </c>
      <c r="N648" s="125"/>
      <c r="O648" s="121"/>
      <c r="P648" s="121"/>
      <c r="Q648" s="114"/>
      <c r="R648" s="114"/>
      <c r="S648" s="114"/>
      <c r="T648" s="224" t="str">
        <f>UPPER(IF(O647="","",IF(ISTEXT(N648),N648,IF(AND(N633&gt;0,O647&gt;0),VLOOKUP(N633&amp;O647&amp;N634,I:K,3,FALSE),""))))</f>
        <v/>
      </c>
      <c r="U648" s="225"/>
      <c r="V648" s="126" t="str">
        <f>IF(T648&lt;&gt;"",CONCATENATE(VLOOKUP(T648,[1]zawodnicy!$A$1:$E$65536,2,FALSE)," ",VLOOKUP(T648,[1]zawodnicy!$A$1:$E$65536,3,FALSE)," - ",VLOOKUP(T648,[1]zawodnicy!$A$1:$E$65536,4,FALSE)),"")</f>
        <v/>
      </c>
      <c r="W648" s="127"/>
      <c r="X648" s="231" t="str">
        <f>IF(ISBLANK(W648),IF(AND(LEN(T648)&gt;0,LEN(T650)=0),VLOOKUP(T648,[1]zawodnicy!$A$1:$E$65536,3,FALSE),IF(AND(LEN(T650)&gt;0,LEN(T648)=0),VLOOKUP(T650,[1]zawodnicy!$A$1:$E$65536,3,FALSE),"")),IF((VLOOKUP(W648,'[1]plan gier'!$X$1:$AF$65536,8,FALSE))="","",VLOOKUP(VLOOKUP(W648,'[1]plan gier'!$X$1:$AF$65536,8,FALSE),[1]zawodnicy!$A$1:$E$65536,3,FALSE)))</f>
        <v>SZUBERT</v>
      </c>
      <c r="Y648" s="232"/>
      <c r="Z648" s="233"/>
      <c r="AA648" s="2"/>
      <c r="AB648" s="2"/>
      <c r="AC648" s="2"/>
      <c r="AD648" s="10"/>
      <c r="AE648" s="10"/>
      <c r="AF648" s="10"/>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row>
    <row r="649" spans="1:64" ht="12.75" x14ac:dyDescent="0.2">
      <c r="J649" s="2"/>
      <c r="K649" s="2"/>
      <c r="L649" s="2"/>
      <c r="M649" s="95"/>
      <c r="N649" s="125"/>
      <c r="O649" s="120">
        <f>IF(P649="","",MAX(O635:O648)+1)</f>
        <v>6</v>
      </c>
      <c r="P649" s="121">
        <f>IF(O633&gt;4,32,"")</f>
        <v>32</v>
      </c>
      <c r="Q649" s="113">
        <f>O649</f>
        <v>6</v>
      </c>
      <c r="R649" s="113"/>
      <c r="S649" s="113"/>
      <c r="T649" s="234" t="str">
        <f>UPPER(IF(O649="","",IF(ISTEXT(N649),N649,IF(AND(N633&gt;0,O649&gt;0),VLOOKUP(N633&amp;O649&amp;N634,I:K,2,FALSE),""))))</f>
        <v>F4870</v>
      </c>
      <c r="U649" s="235"/>
      <c r="V649" s="122" t="str">
        <f>IF(T649&lt;&gt;"",CONCATENATE(VLOOKUP(T649,[1]zawodnicy!$A$1:$E$65536,2,FALSE)," ",VLOOKUP(T649,[1]zawodnicy!$A$1:$E$65536,3,FALSE)," - ",VLOOKUP(T649,[1]zawodnicy!$A$1:$E$65536,4,FALSE)),"")</f>
        <v>Marcelina FRANCZUK - MMKS Gdańsk</v>
      </c>
      <c r="W649" s="128"/>
      <c r="X649" s="236" t="str">
        <f>IF(ISBLANK(W648),"",IF((VLOOKUP(W648,'[1]plan gier'!$X$1:$AF$65536,7,FALSE))="",L648,VLOOKUP(W648,'[1]plan gier'!$X$1:$AF$65536,9,FALSE)))</f>
        <v/>
      </c>
      <c r="Y649" s="237"/>
      <c r="Z649" s="237"/>
      <c r="AA649" s="2"/>
      <c r="AB649" s="2"/>
      <c r="AC649" s="114"/>
      <c r="AD649" s="114"/>
      <c r="AE649" s="114"/>
      <c r="AF649" s="114"/>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row>
    <row r="650" spans="1:64" ht="12.75" x14ac:dyDescent="0.2">
      <c r="A650" s="135"/>
      <c r="B650" s="16"/>
      <c r="C650" s="16"/>
      <c r="D650" s="16"/>
      <c r="E650" s="16"/>
      <c r="F650" s="16"/>
      <c r="G650" s="16"/>
      <c r="H650" s="16"/>
      <c r="I650" s="16"/>
      <c r="M650" s="16"/>
      <c r="N650" s="125"/>
      <c r="O650" s="121"/>
      <c r="P650" s="121"/>
      <c r="Q650" s="114"/>
      <c r="R650" s="114"/>
      <c r="S650" s="114"/>
      <c r="T650" s="224" t="str">
        <f>UPPER(IF(O649="","",IF(ISTEXT(N650),N650,IF(AND(N633&gt;0,O649&gt;0),VLOOKUP(N633&amp;O649&amp;N634,I:K,3,FALSE),""))))</f>
        <v>S4730</v>
      </c>
      <c r="U650" s="225"/>
      <c r="V650" s="126" t="str">
        <f>IF(T650&lt;&gt;"",CONCATENATE(VLOOKUP(T650,[1]zawodnicy!$A$1:$E$65536,2,FALSE)," ",VLOOKUP(T650,[1]zawodnicy!$A$1:$E$65536,3,FALSE)," - ",VLOOKUP(T650,[1]zawodnicy!$A$1:$E$65536,4,FALSE)),"")</f>
        <v>Karolina SZUBERT - KS Match Point Ślęza</v>
      </c>
      <c r="W650" s="136"/>
      <c r="X650" s="10"/>
      <c r="Y650" s="10"/>
      <c r="Z650" s="10"/>
      <c r="AA650" s="2"/>
      <c r="AB650" s="2"/>
      <c r="AC650" s="137"/>
      <c r="AD650" s="114"/>
      <c r="AE650" s="114"/>
      <c r="AF650" s="114"/>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row>
    <row r="652" spans="1:64" ht="11.45" customHeight="1" x14ac:dyDescent="0.2">
      <c r="M652" s="16"/>
      <c r="N652" s="17" t="s">
        <v>329</v>
      </c>
      <c r="R652" s="18"/>
      <c r="S652" s="18"/>
      <c r="T652" s="277" t="str">
        <f>"Gra "&amp;N652</f>
        <v>Gra podwójna chłopców MM</v>
      </c>
      <c r="U652" s="277"/>
      <c r="V652" s="277"/>
      <c r="W652" s="277"/>
      <c r="X652" s="277"/>
      <c r="Y652" s="277"/>
      <c r="Z652" s="277"/>
      <c r="AA652" s="277"/>
      <c r="AB652" s="277"/>
      <c r="AC652" s="277"/>
      <c r="AD652" s="277"/>
      <c r="AE652" s="18"/>
    </row>
    <row r="653" spans="1:64" ht="11.45" customHeight="1" thickBot="1" x14ac:dyDescent="0.25"/>
    <row r="654" spans="1:64" ht="11.45" customHeight="1" thickBot="1" x14ac:dyDescent="0.25">
      <c r="B654" s="2" t="s">
        <v>63</v>
      </c>
      <c r="N654" s="138"/>
      <c r="O654" s="21">
        <v>1</v>
      </c>
      <c r="Q654" s="277" t="str">
        <f>"Grupa "&amp;O654&amp;"."</f>
        <v>Grupa 1.</v>
      </c>
      <c r="R654" s="277"/>
      <c r="S654" s="277"/>
      <c r="T654" s="22" t="s">
        <v>1</v>
      </c>
      <c r="U654" s="278" t="s">
        <v>2</v>
      </c>
      <c r="V654" s="279"/>
      <c r="W654" s="280"/>
      <c r="X654" s="22">
        <v>1</v>
      </c>
      <c r="Y654" s="139">
        <v>2</v>
      </c>
      <c r="Z654" s="23">
        <v>3</v>
      </c>
      <c r="AA654" s="140">
        <v>4</v>
      </c>
      <c r="AB654" s="141" t="s">
        <v>3</v>
      </c>
      <c r="AC654" s="142" t="s">
        <v>4</v>
      </c>
      <c r="AD654" s="26" t="s">
        <v>5</v>
      </c>
      <c r="AE654" s="143" t="s">
        <v>6</v>
      </c>
      <c r="AF654" s="12"/>
      <c r="AG654" s="12"/>
      <c r="AI654" s="273" t="s">
        <v>9</v>
      </c>
      <c r="AJ654" s="273"/>
      <c r="AK654" s="273"/>
      <c r="AL654" s="273"/>
      <c r="AM654" s="273"/>
      <c r="AN654" s="273"/>
      <c r="AO654" s="273" t="s">
        <v>10</v>
      </c>
      <c r="AP654" s="273"/>
      <c r="AQ654" s="273"/>
      <c r="AR654" s="273"/>
      <c r="AS654" s="273"/>
      <c r="AT654" s="273"/>
      <c r="BK654" s="19"/>
      <c r="BL654" s="20"/>
    </row>
    <row r="655" spans="1:64" ht="11.45" customHeight="1" x14ac:dyDescent="0.2">
      <c r="N655" s="29" t="s">
        <v>329</v>
      </c>
      <c r="Q655" s="274" t="s">
        <v>7</v>
      </c>
      <c r="R655" s="274"/>
      <c r="S655" s="275" t="s">
        <v>8</v>
      </c>
      <c r="T655" s="242">
        <v>1</v>
      </c>
      <c r="U655" s="244" t="str">
        <f>IF(AND(N656&lt;&gt;"",N657&lt;&gt;""),CONCATENATE(VLOOKUP(N656,[1]zawodnicy!$A$1:$E$65536,1,FALSE)," ",VLOOKUP(N656,[1]zawodnicy!$A$1:$E$65536,2,FALSE)," ",VLOOKUP(N656,[1]zawodnicy!$A$1:$E$65536,3,FALSE)," - ",VLOOKUP(N656,[1]zawodnicy!$A$1:$E$65536,4,FALSE)),"")</f>
        <v>C4406 Łukasz CIMOSZ - KS Chojnik Jelenia Góra</v>
      </c>
      <c r="V655" s="245"/>
      <c r="W655" s="246"/>
      <c r="X655" s="35"/>
      <c r="Y655" s="36" t="str">
        <f>IF(SUM(AO663:AP663)=0,"",AO663&amp;":"&amp;AP663)</f>
        <v>21:7</v>
      </c>
      <c r="Z655" s="36" t="str">
        <f>IF(SUM(AO658:AP658)=0,"",AO658&amp;":"&amp;AP658)</f>
        <v>21:10</v>
      </c>
      <c r="AA655" s="144" t="str">
        <f>IF(SUM(AO660:AP660)=0,"",AO660&amp;":"&amp;AP660)</f>
        <v>23:21</v>
      </c>
      <c r="AB655" s="242" t="str">
        <f>IF(SUM(AY658:BD658)=0,"",BE658&amp;":"&amp;BF658)</f>
        <v>128:74</v>
      </c>
      <c r="AC655" s="251" t="str">
        <f>IF(SUM(AY658:BD658)=0,"",BG658&amp;":"&amp;BH658)</f>
        <v>6:0</v>
      </c>
      <c r="AD655" s="251" t="str">
        <f>IF(SUM(AY658:BD658)=0,"",BI658&amp;":"&amp;BJ658)</f>
        <v>3:0</v>
      </c>
      <c r="AE655" s="254">
        <f>IF(SUM(BI658:BI661)&gt;0,BK658,"")</f>
        <v>1</v>
      </c>
      <c r="AF655" s="12"/>
      <c r="AG655" s="12"/>
      <c r="BK655" s="19"/>
      <c r="BL655" s="20"/>
    </row>
    <row r="656" spans="1:64" ht="11.45" customHeight="1" thickBot="1" x14ac:dyDescent="0.25">
      <c r="H656" s="10"/>
      <c r="I656" s="2" t="str">
        <f>"1"&amp;O654&amp;N655</f>
        <v>11podwójna chłopców MM</v>
      </c>
      <c r="J656" s="10" t="str">
        <f>IF(AE655="","",IF(AE655=1,N656,IF(AE658=1,N659,IF(AE661=1,N662,IF(AE664=1,N665,"")))))</f>
        <v>C4406</v>
      </c>
      <c r="K656" s="10" t="str">
        <f>IF(AE655="","",IF(AE655=1,N657,IF(AE658=1,N660,IF(AE661=1,N663,IF(AE664=1,N666,"")))))</f>
        <v>C4264</v>
      </c>
      <c r="L656" s="10"/>
      <c r="N656" s="33" t="s">
        <v>330</v>
      </c>
      <c r="O656" s="34">
        <f>IF(O654&gt;0,(O654&amp;1)*1,"")</f>
        <v>11</v>
      </c>
      <c r="Q656" s="274"/>
      <c r="R656" s="274"/>
      <c r="S656" s="275"/>
      <c r="T656" s="242"/>
      <c r="U656" s="244" t="str">
        <f>IF(AND(N656&lt;&gt;"",N657=""),CONCATENATE(VLOOKUP(N656,[1]zawodnicy!$A$1:$E$65536,1,FALSE)," ",VLOOKUP(N656,[1]zawodnicy!$A$1:$E$65536,2,FALSE)," ",VLOOKUP(N656,[1]zawodnicy!$A$1:$E$65536,3,FALSE)," - ",VLOOKUP(N656,[1]zawodnicy!$A$1:$E$65536,4,FALSE)),"")</f>
        <v/>
      </c>
      <c r="V656" s="245"/>
      <c r="W656" s="246"/>
      <c r="X656" s="35"/>
      <c r="Y656" s="36" t="str">
        <f>IF(SUM(AQ663:AR663)=0,"",AQ663&amp;":"&amp;AR663)</f>
        <v>21:13</v>
      </c>
      <c r="Z656" s="36" t="str">
        <f>IF(SUM(AQ658:AR658)=0,"",AQ658&amp;":"&amp;AR658)</f>
        <v>21:14</v>
      </c>
      <c r="AA656" s="144" t="str">
        <f>IF(SUM(AQ660:AR660)=0,"",AQ660&amp;":"&amp;AR660)</f>
        <v>21:9</v>
      </c>
      <c r="AB656" s="242"/>
      <c r="AC656" s="251"/>
      <c r="AD656" s="251"/>
      <c r="AE656" s="254"/>
      <c r="AF656" s="12"/>
      <c r="AG656" s="12"/>
      <c r="BK656" s="19"/>
      <c r="BL656" s="20"/>
    </row>
    <row r="657" spans="1:64" ht="11.45" customHeight="1" thickBot="1" x14ac:dyDescent="0.25">
      <c r="J657" s="10"/>
      <c r="K657" s="28"/>
      <c r="L657" s="28"/>
      <c r="N657" s="38" t="s">
        <v>331</v>
      </c>
      <c r="O657" s="28"/>
      <c r="P657" s="28"/>
      <c r="Q657" s="274"/>
      <c r="R657" s="274"/>
      <c r="S657" s="275"/>
      <c r="T657" s="261"/>
      <c r="U657" s="265" t="str">
        <f>IF(N657&lt;&gt;"",CONCATENATE(VLOOKUP(N657,[1]zawodnicy!$A$1:$E$65536,1,FALSE)," ",VLOOKUP(N657,[1]zawodnicy!$A$1:$E$65536,2,FALSE)," ",VLOOKUP(N657,[1]zawodnicy!$A$1:$E$65536,3,FALSE)," - ",VLOOKUP(N657,[1]zawodnicy!$A$1:$E$65536,4,FALSE)),"")</f>
        <v>C4264 Szymon CYBULSKI - MKB Lednik Miastko</v>
      </c>
      <c r="V657" s="266"/>
      <c r="W657" s="267"/>
      <c r="X657" s="35"/>
      <c r="Y657" s="39" t="str">
        <f>IF(SUM(AS663:AT663)=0,"",AS663&amp;":"&amp;AT663)</f>
        <v/>
      </c>
      <c r="Z657" s="39" t="str">
        <f>IF(SUM(AS658:AT658)=0,"",AS658&amp;":"&amp;AT658)</f>
        <v/>
      </c>
      <c r="AA657" s="145" t="str">
        <f>IF(SUM(AS660:AT660)=0,"",AS660&amp;":"&amp;AT660)</f>
        <v/>
      </c>
      <c r="AB657" s="242"/>
      <c r="AC657" s="251"/>
      <c r="AD657" s="251"/>
      <c r="AE657" s="254"/>
      <c r="AF657" s="12"/>
      <c r="AG657" s="12"/>
      <c r="AI657" s="283" t="s">
        <v>12</v>
      </c>
      <c r="AJ657" s="281"/>
      <c r="AK657" s="281" t="s">
        <v>13</v>
      </c>
      <c r="AL657" s="281"/>
      <c r="AM657" s="281" t="s">
        <v>14</v>
      </c>
      <c r="AN657" s="281"/>
      <c r="AO657" s="283" t="s">
        <v>12</v>
      </c>
      <c r="AP657" s="281"/>
      <c r="AQ657" s="281" t="s">
        <v>13</v>
      </c>
      <c r="AR657" s="281"/>
      <c r="AS657" s="281" t="s">
        <v>14</v>
      </c>
      <c r="AT657" s="282"/>
      <c r="AW657" s="283">
        <v>1</v>
      </c>
      <c r="AX657" s="281"/>
      <c r="AY657" s="281">
        <v>2</v>
      </c>
      <c r="AZ657" s="281"/>
      <c r="BA657" s="281">
        <v>3</v>
      </c>
      <c r="BB657" s="281"/>
      <c r="BC657" s="281">
        <v>4</v>
      </c>
      <c r="BD657" s="282"/>
      <c r="BE657" s="283" t="s">
        <v>3</v>
      </c>
      <c r="BF657" s="282"/>
      <c r="BG657" s="283" t="s">
        <v>4</v>
      </c>
      <c r="BH657" s="282"/>
      <c r="BI657" s="283" t="s">
        <v>5</v>
      </c>
      <c r="BJ657" s="268"/>
      <c r="BK657" s="41" t="s">
        <v>6</v>
      </c>
      <c r="BL657" s="20"/>
    </row>
    <row r="658" spans="1:64" ht="11.45" customHeight="1" x14ac:dyDescent="0.2">
      <c r="A658" s="19">
        <f t="shared" ref="A658:A663" si="60">S658</f>
        <v>92</v>
      </c>
      <c r="B658" s="19" t="str">
        <f>IF(N656="","",N656)</f>
        <v>C4406</v>
      </c>
      <c r="C658" s="19" t="str">
        <f>IF(N657="","",N657)</f>
        <v>C4264</v>
      </c>
      <c r="D658" s="19" t="str">
        <f>IF(N662="","",N662)</f>
        <v>B4655</v>
      </c>
      <c r="E658" s="19" t="str">
        <f>IF(N663="","",N663)</f>
        <v>G5536</v>
      </c>
      <c r="H658" s="10"/>
      <c r="I658" s="2" t="str">
        <f>"2"&amp;O654&amp;N655</f>
        <v>21podwójna chłopców MM</v>
      </c>
      <c r="J658" s="10" t="str">
        <f>IF(AE658="","",IF(AE655=2,N656,IF(AE658=2,N659,IF(AE661=2,N662,IF(AE664=2,N665,"")))))</f>
        <v>G5128</v>
      </c>
      <c r="K658" s="10" t="str">
        <f>IF(AE658="","",IF(AE655=2,N657,IF(AE658=2,N660,IF(AE661=2,N663,IF(AE664=2,N666,"")))))</f>
        <v>H5129</v>
      </c>
      <c r="L658" s="10"/>
      <c r="M658" s="42" t="str">
        <f>N655</f>
        <v>podwójna chłopców MM</v>
      </c>
      <c r="O658" s="28"/>
      <c r="P658" s="28"/>
      <c r="Q658" s="43" t="str">
        <f>IF(AU658&gt;0,"",IF(A658=0,"",IF(VLOOKUP(A658,'[1]plan gier'!A$1:S$65536,19,FALSE)="","",VLOOKUP(A658,'[1]plan gier'!A$1:S$65536,19,FALSE))))</f>
        <v/>
      </c>
      <c r="R658" s="44" t="s">
        <v>15</v>
      </c>
      <c r="S658" s="146">
        <v>92</v>
      </c>
      <c r="T658" s="241">
        <v>2</v>
      </c>
      <c r="U658" s="244" t="str">
        <f>IF(AND(N659&lt;&gt;"",N660&lt;&gt;""),CONCATENATE(VLOOKUP(N659,[1]zawodnicy!$A$1:$E$65536,1,FALSE)," ",VLOOKUP(N659,[1]zawodnicy!$A$1:$E$65536,2,FALSE)," ",VLOOKUP(N659,[1]zawodnicy!$A$1:$E$65536,3,FALSE)," - ",VLOOKUP(N659,[1]zawodnicy!$A$1:$E$65536,4,FALSE)),"")</f>
        <v>P5629 Konrad PIECH - UKS Hubal Białystok</v>
      </c>
      <c r="V658" s="245"/>
      <c r="W658" s="246"/>
      <c r="X658" s="46" t="str">
        <f>IF(SUM(AO663:AP663)=0,"",AP663&amp;":"&amp;AO663)</f>
        <v>7:21</v>
      </c>
      <c r="Y658" s="147"/>
      <c r="Z658" s="83" t="str">
        <f>IF(SUM(AO661:AP661)=0,"",AO661&amp;":"&amp;AP661)</f>
        <v>13:21</v>
      </c>
      <c r="AA658" s="48" t="str">
        <f>IF(SUM(AO659:AP659)=0,"",AO659&amp;":"&amp;AP659)</f>
        <v>15:21</v>
      </c>
      <c r="AB658" s="241" t="str">
        <f>IF(SUM(AW659:AX659,BA659:BD659)=0,"",BE659&amp;":"&amp;BF659)</f>
        <v>69:126</v>
      </c>
      <c r="AC658" s="250" t="str">
        <f>IF(SUM(AW659:AX659,BA659:BD659)=0,"",BG659&amp;":"&amp;BH659)</f>
        <v>0:6</v>
      </c>
      <c r="AD658" s="250" t="str">
        <f>IF(SUM(AW659:AX659,BA659:BD659)=0,"",BI659&amp;":"&amp;BJ659)</f>
        <v>0:3</v>
      </c>
      <c r="AE658" s="253">
        <f>IF(SUM(BI658:BI661)&gt;0,BK659,"")</f>
        <v>4</v>
      </c>
      <c r="AF658" s="12"/>
      <c r="AG658" s="12"/>
      <c r="AH658" s="44" t="s">
        <v>15</v>
      </c>
      <c r="AI658" s="148">
        <f>IF(ISBLANK(S658),"",VLOOKUP(S658,'[1]plan gier'!$X$1:$AN$65536,12,FALSE))</f>
        <v>21</v>
      </c>
      <c r="AJ658" s="52">
        <f>IF(ISBLANK(S658),"",VLOOKUP(S658,'[1]plan gier'!$X$1:$AN$65536,13,FALSE))</f>
        <v>10</v>
      </c>
      <c r="AK658" s="52">
        <f>IF(ISBLANK(S658),"",VLOOKUP(S658,'[1]plan gier'!$X$1:$AN$65536,14,FALSE))</f>
        <v>21</v>
      </c>
      <c r="AL658" s="52">
        <f>IF(ISBLANK(S658),"",VLOOKUP(S658,'[1]plan gier'!$X$1:$AN$65536,15,FALSE))</f>
        <v>14</v>
      </c>
      <c r="AM658" s="52">
        <f>IF(ISBLANK(S658),"",VLOOKUP(S658,'[1]plan gier'!$X$1:$AN$65536,16,FALSE))</f>
        <v>0</v>
      </c>
      <c r="AN658" s="52">
        <f>IF(ISBLANK(S658),"",VLOOKUP(S658,'[1]plan gier'!$X$1:$AN$65536,17,FALSE))</f>
        <v>0</v>
      </c>
      <c r="AO658" s="49">
        <f t="shared" ref="AO658:AT663" si="61">IF(AI658="",0,AI658)</f>
        <v>21</v>
      </c>
      <c r="AP658" s="50">
        <f t="shared" si="61"/>
        <v>10</v>
      </c>
      <c r="AQ658" s="50">
        <f t="shared" si="61"/>
        <v>21</v>
      </c>
      <c r="AR658" s="50">
        <f t="shared" si="61"/>
        <v>14</v>
      </c>
      <c r="AS658" s="50">
        <f t="shared" si="61"/>
        <v>0</v>
      </c>
      <c r="AT658" s="57">
        <f t="shared" si="61"/>
        <v>0</v>
      </c>
      <c r="AU658" s="149">
        <f t="shared" ref="AU658:AU663" si="62">SUM(AO658:AT658)</f>
        <v>66</v>
      </c>
      <c r="AV658" s="5">
        <v>1</v>
      </c>
      <c r="AW658" s="284"/>
      <c r="AX658" s="285"/>
      <c r="AY658" s="50">
        <f>IF(AI663&gt;AJ663,1,0)+IF(AK663&gt;AL663,1,0)+IF(AM663&gt;AN663,1,0)</f>
        <v>2</v>
      </c>
      <c r="AZ658" s="50">
        <f>AW659</f>
        <v>0</v>
      </c>
      <c r="BA658" s="50">
        <f>IF(AI658&gt;AJ658,1,0)+IF(AK658&gt;AL658,1,0)+IF(AM658&gt;AN658,1,0)</f>
        <v>2</v>
      </c>
      <c r="BB658" s="52">
        <f>AW660</f>
        <v>0</v>
      </c>
      <c r="BC658" s="150">
        <f>IF(AI660&gt;AJ660,1,0)+IF(AK660&gt;AL660,1,0)+IF(AM660&gt;AN660,1,0)</f>
        <v>2</v>
      </c>
      <c r="BD658" s="58">
        <f>AW661</f>
        <v>0</v>
      </c>
      <c r="BE658" s="148">
        <f>AO658+AQ658+AS658+AO660+AQ660+AS660+AO663+AQ663+AS663</f>
        <v>128</v>
      </c>
      <c r="BF658" s="151">
        <f>AP658+AR658+AT658+AP660+AR660+AT660+AP663+AR663+AT663</f>
        <v>74</v>
      </c>
      <c r="BG658" s="148">
        <f>AY658+BA658+BC658</f>
        <v>6</v>
      </c>
      <c r="BH658" s="152">
        <f>AZ658+BB658+BD658</f>
        <v>0</v>
      </c>
      <c r="BI658" s="148">
        <f>IF(AY658&gt;AZ658,1,0)+IF(BA658&gt;BB658,1,0)+IF(BC658&gt;BD658,1,0)</f>
        <v>3</v>
      </c>
      <c r="BJ658" s="152">
        <f>IF(AZ658&gt;AY658,1,0)+IF(BB658&gt;BA658,1,0)+IF(BD658&gt;BC658,1,0)</f>
        <v>0</v>
      </c>
      <c r="BK658" s="153">
        <f>IF(BI658+BJ658=0,"",IF(BL658=MAX(BL658:BL661),1,IF(BL658=LARGE(BL658:BL661,2),2,IF(BL658=MIN(BL658:BL661),4,3))))</f>
        <v>1</v>
      </c>
      <c r="BL658" s="60">
        <f>IF(BI658+BJ658&lt;&gt;0,BI658+1+(BG658-BH658)/100+(BE658-BF658)/100000+(BE658/BF658)/1000000,0)</f>
        <v>4.0605417297297297</v>
      </c>
    </row>
    <row r="659" spans="1:64" ht="11.45" customHeight="1" x14ac:dyDescent="0.2">
      <c r="A659" s="19">
        <f t="shared" si="60"/>
        <v>93</v>
      </c>
      <c r="B659" s="19" t="str">
        <f>IF(N659="","",N659)</f>
        <v>P5629</v>
      </c>
      <c r="C659" s="19" t="str">
        <f>IF(N660="","",N660)</f>
        <v>P5601</v>
      </c>
      <c r="D659" s="19" t="str">
        <f>IF(N665="","",N665)</f>
        <v>G5128</v>
      </c>
      <c r="E659" s="19" t="str">
        <f>IF(N666="","",N666)</f>
        <v>H5129</v>
      </c>
      <c r="J659" s="10"/>
      <c r="K659" s="19"/>
      <c r="L659" s="19"/>
      <c r="M659" s="42" t="str">
        <f>N655</f>
        <v>podwójna chłopców MM</v>
      </c>
      <c r="N659" s="33" t="s">
        <v>332</v>
      </c>
      <c r="O659" s="34">
        <f>IF(O654&gt;0,(O654&amp;2)*1,"")</f>
        <v>12</v>
      </c>
      <c r="Q659" s="43" t="str">
        <f>IF(AU659&gt;0,"",IF(A659=0,"",IF(VLOOKUP(A659,'[1]plan gier'!A$1:S$65536,19,FALSE)="","",VLOOKUP(A659,'[1]plan gier'!A$1:S$65536,19,FALSE))))</f>
        <v/>
      </c>
      <c r="R659" s="44" t="s">
        <v>66</v>
      </c>
      <c r="S659" s="146">
        <v>93</v>
      </c>
      <c r="T659" s="242"/>
      <c r="U659" s="244" t="str">
        <f>IF(AND(N659&lt;&gt;"",N660=""),CONCATENATE(VLOOKUP(N659,[1]zawodnicy!$A$1:$E$65536,1,FALSE)," ",VLOOKUP(N659,[1]zawodnicy!$A$1:$E$65536,2,FALSE)," ",VLOOKUP(N659,[1]zawodnicy!$A$1:$E$65536,3,FALSE)," - ",VLOOKUP(N659,[1]zawodnicy!$A$1:$E$65536,4,FALSE)),"")</f>
        <v/>
      </c>
      <c r="V659" s="245"/>
      <c r="W659" s="246"/>
      <c r="X659" s="61" t="str">
        <f>IF(SUM(AQ663:AR663)=0,"",AR663&amp;":"&amp;AQ663)</f>
        <v>13:21</v>
      </c>
      <c r="Y659" s="154"/>
      <c r="Z659" s="36" t="str">
        <f>IF(SUM(AQ661:AR661)=0,"",AQ661&amp;":"&amp;AR661)</f>
        <v>18:21</v>
      </c>
      <c r="AA659" s="37" t="str">
        <f>IF(SUM(AQ659:AR659)=0,"",AQ659&amp;":"&amp;AR659)</f>
        <v>3:21</v>
      </c>
      <c r="AB659" s="242"/>
      <c r="AC659" s="251"/>
      <c r="AD659" s="251"/>
      <c r="AE659" s="254"/>
      <c r="AF659" s="12"/>
      <c r="AG659" s="12"/>
      <c r="AH659" s="44" t="s">
        <v>66</v>
      </c>
      <c r="AI659" s="49">
        <f>IF(ISBLANK(S659),"",VLOOKUP(S659,'[1]plan gier'!$X$1:$AN$65536,12,FALSE))</f>
        <v>15</v>
      </c>
      <c r="AJ659" s="50">
        <f>IF(ISBLANK(S659),"",VLOOKUP(S659,'[1]plan gier'!$X$1:$AN$65536,13,FALSE))</f>
        <v>21</v>
      </c>
      <c r="AK659" s="50">
        <f>IF(ISBLANK(S659),"",VLOOKUP(S659,'[1]plan gier'!$X$1:$AN$65536,14,FALSE))</f>
        <v>3</v>
      </c>
      <c r="AL659" s="50">
        <f>IF(ISBLANK(S659),"",VLOOKUP(S659,'[1]plan gier'!$X$1:$AN$65536,15,FALSE))</f>
        <v>21</v>
      </c>
      <c r="AM659" s="50">
        <f>IF(ISBLANK(S659),"",VLOOKUP(S659,'[1]plan gier'!$X$1:$AN$65536,16,FALSE))</f>
        <v>0</v>
      </c>
      <c r="AN659" s="50">
        <f>IF(ISBLANK(S659),"",VLOOKUP(S659,'[1]plan gier'!$X$1:$AN$65536,17,FALSE))</f>
        <v>0</v>
      </c>
      <c r="AO659" s="63">
        <f t="shared" si="61"/>
        <v>15</v>
      </c>
      <c r="AP659" s="64">
        <f t="shared" si="61"/>
        <v>21</v>
      </c>
      <c r="AQ659" s="64">
        <f t="shared" si="61"/>
        <v>3</v>
      </c>
      <c r="AR659" s="64">
        <f t="shared" si="61"/>
        <v>21</v>
      </c>
      <c r="AS659" s="64">
        <f t="shared" si="61"/>
        <v>0</v>
      </c>
      <c r="AT659" s="69">
        <f t="shared" si="61"/>
        <v>0</v>
      </c>
      <c r="AU659" s="149">
        <f t="shared" si="62"/>
        <v>60</v>
      </c>
      <c r="AV659" s="5">
        <v>2</v>
      </c>
      <c r="AW659" s="63">
        <f>IF(AI663&lt;AJ663,1,0)+IF(AK663&lt;AL663,1,0)+IF(AM663&lt;AN663,1,0)</f>
        <v>0</v>
      </c>
      <c r="AX659" s="64">
        <f>AY658</f>
        <v>2</v>
      </c>
      <c r="AY659" s="155"/>
      <c r="AZ659" s="156"/>
      <c r="BA659" s="64">
        <f>IF(AI661&gt;AJ661,1,0)+IF(AK661&gt;AL661,1,0)+IF(AM661&gt;AN661,1,0)</f>
        <v>0</v>
      </c>
      <c r="BB659" s="64">
        <f>AY660</f>
        <v>2</v>
      </c>
      <c r="BC659" s="157">
        <f>IF(AI659&gt;AJ659,1,0)+IF(AK659&gt;AL659,1,0)+IF(AM659&gt;AN659,1,0)</f>
        <v>0</v>
      </c>
      <c r="BD659" s="70">
        <f>AY661</f>
        <v>2</v>
      </c>
      <c r="BE659" s="63">
        <f>AO659+AQ659+AS659+AO661+AQ661+AS661+AP663+AR663+AT663</f>
        <v>69</v>
      </c>
      <c r="BF659" s="70">
        <f>AP659+AR659+AT659+AP661+AR661+AT661+AO663+AQ663+AS663</f>
        <v>126</v>
      </c>
      <c r="BG659" s="63">
        <f>AW659+BA659+BC659</f>
        <v>0</v>
      </c>
      <c r="BH659" s="69">
        <f>AX659+BB659+BD659</f>
        <v>6</v>
      </c>
      <c r="BI659" s="63">
        <f>IF(AW659&gt;AX659,1,0)+IF(BA659&gt;BB659,1,0)+IF(BC659&gt;BD659,1,0)</f>
        <v>0</v>
      </c>
      <c r="BJ659" s="69">
        <f>IF(AX659&gt;AW659,1,0)+IF(BB659&gt;BA659,1,0)+IF(BD659&gt;BC659,1,0)</f>
        <v>3</v>
      </c>
      <c r="BK659" s="71">
        <f>IF(BI659+BJ659=0,"",IF(BL659=MAX(BL658:BL661),1,IF(BL659=LARGE(BL658:BL661,2),2,IF(BL659=MIN(BL658:BL661),4,3))))</f>
        <v>4</v>
      </c>
      <c r="BL659" s="60">
        <f>IF(BI659+BJ659&lt;&gt;0,BI659+1+(BG659-BH659)/100+(BE659-BF659)/100000+(BE659/BF659)/1000000,0)</f>
        <v>0.93943054761904765</v>
      </c>
    </row>
    <row r="660" spans="1:64" ht="11.45" customHeight="1" x14ac:dyDescent="0.2">
      <c r="A660" s="19">
        <f t="shared" si="60"/>
        <v>158</v>
      </c>
      <c r="B660" s="19" t="str">
        <f>IF(N656="","",N656)</f>
        <v>C4406</v>
      </c>
      <c r="C660" s="19" t="str">
        <f>IF(N657="","",N657)</f>
        <v>C4264</v>
      </c>
      <c r="D660" s="19" t="str">
        <f>IF(N665="","",N665)</f>
        <v>G5128</v>
      </c>
      <c r="E660" s="19" t="str">
        <f>IF(N666="","",N666)</f>
        <v>H5129</v>
      </c>
      <c r="H660" s="10"/>
      <c r="I660" s="2" t="str">
        <f>"3"&amp;O654&amp;N655</f>
        <v>31podwójna chłopców MM</v>
      </c>
      <c r="J660" s="10" t="str">
        <f>IF(AE661="","",IF(AE655=3,N656,IF(AE658=3,N659,IF(AE661=3,N662,IF(AE664=3,N665,"")))))</f>
        <v>B4655</v>
      </c>
      <c r="K660" s="10" t="str">
        <f>IF(AE661="","",IF(AE655=3,N657,IF(AE658=3,N660,IF(AE661=3,N663,IF(AE664=3,N666,"")))))</f>
        <v>G5536</v>
      </c>
      <c r="L660" s="10"/>
      <c r="M660" s="42" t="str">
        <f>N655</f>
        <v>podwójna chłopców MM</v>
      </c>
      <c r="N660" s="38" t="s">
        <v>333</v>
      </c>
      <c r="O660" s="28"/>
      <c r="P660" s="28"/>
      <c r="Q660" s="43" t="str">
        <f>IF(AU660&gt;0,"",IF(A660=0,"",IF(VLOOKUP(A660,'[1]plan gier'!A$1:S$65536,19,FALSE)="","",VLOOKUP(A660,'[1]plan gier'!A$1:S$65536,19,FALSE))))</f>
        <v/>
      </c>
      <c r="R660" s="44" t="s">
        <v>68</v>
      </c>
      <c r="S660" s="146">
        <v>158</v>
      </c>
      <c r="T660" s="261"/>
      <c r="U660" s="265" t="str">
        <f>IF(N660&lt;&gt;"",CONCATENATE(VLOOKUP(N660,[1]zawodnicy!$A$1:$E$65536,1,FALSE)," ",VLOOKUP(N660,[1]zawodnicy!$A$1:$E$65536,2,FALSE)," ",VLOOKUP(N660,[1]zawodnicy!$A$1:$E$65536,3,FALSE)," - ",VLOOKUP(N660,[1]zawodnicy!$A$1:$E$65536,4,FALSE)),"")</f>
        <v>P5601 Hubert PUCIŁOWSKI - UKS Hubal Białystok</v>
      </c>
      <c r="V660" s="266"/>
      <c r="W660" s="267"/>
      <c r="X660" s="73" t="str">
        <f>IF(SUM(AS663:AT663)=0,"",AT663&amp;":"&amp;AS663)</f>
        <v/>
      </c>
      <c r="Y660" s="154"/>
      <c r="Z660" s="39" t="str">
        <f>IF(SUM(AS661:AT661)=0,"",AS661&amp;":"&amp;AT661)</f>
        <v/>
      </c>
      <c r="AA660" s="40" t="str">
        <f>IF(SUM(AS659:AT659)=0,"",AS659&amp;":"&amp;AT659)</f>
        <v/>
      </c>
      <c r="AB660" s="242"/>
      <c r="AC660" s="251"/>
      <c r="AD660" s="251"/>
      <c r="AE660" s="254"/>
      <c r="AF660" s="12"/>
      <c r="AG660" s="12"/>
      <c r="AH660" s="44" t="s">
        <v>68</v>
      </c>
      <c r="AI660" s="49">
        <f>IF(ISBLANK(S660),"",VLOOKUP(S660,'[1]plan gier'!$X$1:$AN$65536,12,FALSE))</f>
        <v>23</v>
      </c>
      <c r="AJ660" s="50">
        <f>IF(ISBLANK(S660),"",VLOOKUP(S660,'[1]plan gier'!$X$1:$AN$65536,13,FALSE))</f>
        <v>21</v>
      </c>
      <c r="AK660" s="50">
        <f>IF(ISBLANK(S660),"",VLOOKUP(S660,'[1]plan gier'!$X$1:$AN$65536,14,FALSE))</f>
        <v>21</v>
      </c>
      <c r="AL660" s="50">
        <f>IF(ISBLANK(S660),"",VLOOKUP(S660,'[1]plan gier'!$X$1:$AN$65536,15,FALSE))</f>
        <v>9</v>
      </c>
      <c r="AM660" s="50">
        <f>IF(ISBLANK(S660),"",VLOOKUP(S660,'[1]plan gier'!$X$1:$AN$65536,16,FALSE))</f>
        <v>0</v>
      </c>
      <c r="AN660" s="50">
        <f>IF(ISBLANK(S660),"",VLOOKUP(S660,'[1]plan gier'!$X$1:$AN$65536,17,FALSE))</f>
        <v>0</v>
      </c>
      <c r="AO660" s="63">
        <f t="shared" si="61"/>
        <v>23</v>
      </c>
      <c r="AP660" s="64">
        <f t="shared" si="61"/>
        <v>21</v>
      </c>
      <c r="AQ660" s="64">
        <f t="shared" si="61"/>
        <v>21</v>
      </c>
      <c r="AR660" s="64">
        <f t="shared" si="61"/>
        <v>9</v>
      </c>
      <c r="AS660" s="64">
        <f t="shared" si="61"/>
        <v>0</v>
      </c>
      <c r="AT660" s="69">
        <f t="shared" si="61"/>
        <v>0</v>
      </c>
      <c r="AU660" s="149">
        <f t="shared" si="62"/>
        <v>74</v>
      </c>
      <c r="AV660" s="5">
        <v>3</v>
      </c>
      <c r="AW660" s="63">
        <f>IF(AI658&lt;AJ658,1,0)+IF(AK658&lt;AL658,1,0)+IF(AM658&lt;AN658,1,0)</f>
        <v>0</v>
      </c>
      <c r="AX660" s="64">
        <f>BA658</f>
        <v>2</v>
      </c>
      <c r="AY660" s="64">
        <f>IF(AI661&lt;AJ661,1,0)+IF(AK661&lt;AL661,1,0)+IF(AM661&lt;AN661,1,0)</f>
        <v>2</v>
      </c>
      <c r="AZ660" s="64">
        <f>BA659</f>
        <v>0</v>
      </c>
      <c r="BA660" s="155"/>
      <c r="BB660" s="156"/>
      <c r="BC660" s="64">
        <f>IF(AI662&gt;AJ662,1,0)+IF(AK662&gt;AL662,1,0)+IF(AM662&gt;AN662,1,0)</f>
        <v>1</v>
      </c>
      <c r="BD660" s="70">
        <f>BA661</f>
        <v>2</v>
      </c>
      <c r="BE660" s="158">
        <f>AP658+AR658+AT658+AP661+AR661+AT661+AO662+AQ662+AS662</f>
        <v>120</v>
      </c>
      <c r="BF660" s="159">
        <f>AO658+AQ658+AS658+AO661+AQ661+AS661+AP662+AR662+AT662</f>
        <v>128</v>
      </c>
      <c r="BG660" s="158">
        <f>AW660+AY660+BC660</f>
        <v>3</v>
      </c>
      <c r="BH660" s="160">
        <f>AX660+AZ660+BD660</f>
        <v>4</v>
      </c>
      <c r="BI660" s="63">
        <f>IF(AW660&gt;AX660,1,0)+IF(AY660&gt;AZ660,1,0)+IF(BC660&gt;BD660,1,0)</f>
        <v>1</v>
      </c>
      <c r="BJ660" s="69">
        <f>IF(AX660&gt;AW660,1,0)+IF(AZ660&gt;AY660,1,0)+IF(BD660&gt;BC660,1,0)</f>
        <v>2</v>
      </c>
      <c r="BK660" s="71">
        <f>IF(BI660+BJ660=0,"",IF(BL660=MAX(BL658:BL661),1,IF(BL660=LARGE(BL658:BL661,2),2,IF(BL660=MIN(BL658:BL661),4,3))))</f>
        <v>3</v>
      </c>
      <c r="BL660" s="60">
        <f>IF(BI660+BJ660&lt;&gt;0,BI660+1+(BG660-BH660)/100+(BE660-BF660)/100000+(BE660/BF660)/1000000,0)</f>
        <v>1.9899209375</v>
      </c>
    </row>
    <row r="661" spans="1:64" ht="11.45" customHeight="1" thickBot="1" x14ac:dyDescent="0.25">
      <c r="A661" s="19">
        <f t="shared" si="60"/>
        <v>159</v>
      </c>
      <c r="B661" s="19" t="str">
        <f>IF(N659="","",N659)</f>
        <v>P5629</v>
      </c>
      <c r="C661" s="19" t="str">
        <f>IF(N660="","",N660)</f>
        <v>P5601</v>
      </c>
      <c r="D661" s="19" t="str">
        <f>IF(N662="","",N662)</f>
        <v>B4655</v>
      </c>
      <c r="E661" s="19" t="str">
        <f>IF(N663="","",N663)</f>
        <v>G5536</v>
      </c>
      <c r="J661" s="10"/>
      <c r="K661" s="28"/>
      <c r="L661" s="28"/>
      <c r="M661" s="42" t="str">
        <f>N655</f>
        <v>podwójna chłopców MM</v>
      </c>
      <c r="O661" s="28"/>
      <c r="P661" s="28"/>
      <c r="Q661" s="43" t="str">
        <f>IF(AU661&gt;0,"",IF(A661=0,"",IF(VLOOKUP(A661,'[1]plan gier'!A$1:S$65536,19,FALSE)="","",VLOOKUP(A661,'[1]plan gier'!A$1:S$65536,19,FALSE))))</f>
        <v/>
      </c>
      <c r="R661" s="44" t="s">
        <v>17</v>
      </c>
      <c r="S661" s="146">
        <v>159</v>
      </c>
      <c r="T661" s="241">
        <v>3</v>
      </c>
      <c r="U661" s="244" t="str">
        <f>IF(AND(N662&lt;&gt;"",N663&lt;&gt;""),CONCATENATE(VLOOKUP(N662,[1]zawodnicy!$A$1:$E$65536,1,FALSE)," ",VLOOKUP(N662,[1]zawodnicy!$A$1:$E$65536,2,FALSE)," ",VLOOKUP(N662,[1]zawodnicy!$A$1:$E$65536,3,FALSE)," - ",VLOOKUP(N662,[1]zawodnicy!$A$1:$E$65536,4,FALSE)),"")</f>
        <v>B4655 Sebastian BILBIN - SKB Suwałki</v>
      </c>
      <c r="V661" s="245"/>
      <c r="W661" s="246"/>
      <c r="X661" s="46" t="str">
        <f>IF(SUM(AO658:AP658)=0,"",AP658&amp;":"&amp;AO658)</f>
        <v>10:21</v>
      </c>
      <c r="Y661" s="83" t="str">
        <f>IF(SUM(AO661:AP661)=0,"",AP661&amp;":"&amp;AO661)</f>
        <v>21:13</v>
      </c>
      <c r="Z661" s="47"/>
      <c r="AA661" s="48" t="str">
        <f>IF(SUM(AO662:AP662)=0,"",AO662&amp;":"&amp;AP662)</f>
        <v>16:21</v>
      </c>
      <c r="AB661" s="241" t="str">
        <f>IF(SUM(AW660:AZ660,BC660:BD660)=0,"",BE660&amp;":"&amp;BF660)</f>
        <v>120:128</v>
      </c>
      <c r="AC661" s="250" t="str">
        <f>IF(SUM(AW660:AZ660,BC660:BD660)=0,"",BG660&amp;":"&amp;BH660)</f>
        <v>3:4</v>
      </c>
      <c r="AD661" s="250" t="str">
        <f>IF(SUM(AW660:AZ660,BC660:BD660)=0,"",BI660&amp;":"&amp;BJ660)</f>
        <v>1:2</v>
      </c>
      <c r="AE661" s="253">
        <f>IF(SUM(BI658:BI661)&gt;0,BK660,"")</f>
        <v>3</v>
      </c>
      <c r="AF661" s="12"/>
      <c r="AG661" s="12"/>
      <c r="AH661" s="44" t="s">
        <v>17</v>
      </c>
      <c r="AI661" s="49">
        <f>IF(ISBLANK(S661),"",VLOOKUP(S661,'[1]plan gier'!$X$1:$AN$65536,12,FALSE))</f>
        <v>13</v>
      </c>
      <c r="AJ661" s="50">
        <f>IF(ISBLANK(S661),"",VLOOKUP(S661,'[1]plan gier'!$X$1:$AN$65536,13,FALSE))</f>
        <v>21</v>
      </c>
      <c r="AK661" s="50">
        <f>IF(ISBLANK(S661),"",VLOOKUP(S661,'[1]plan gier'!$X$1:$AN$65536,14,FALSE))</f>
        <v>18</v>
      </c>
      <c r="AL661" s="50">
        <f>IF(ISBLANK(S661),"",VLOOKUP(S661,'[1]plan gier'!$X$1:$AN$65536,15,FALSE))</f>
        <v>21</v>
      </c>
      <c r="AM661" s="50">
        <f>IF(ISBLANK(S661),"",VLOOKUP(S661,'[1]plan gier'!$X$1:$AN$65536,16,FALSE))</f>
        <v>0</v>
      </c>
      <c r="AN661" s="50">
        <f>IF(ISBLANK(S661),"",VLOOKUP(S661,'[1]plan gier'!$X$1:$AN$65536,17,FALSE))</f>
        <v>0</v>
      </c>
      <c r="AO661" s="63">
        <f t="shared" si="61"/>
        <v>13</v>
      </c>
      <c r="AP661" s="64">
        <f t="shared" si="61"/>
        <v>21</v>
      </c>
      <c r="AQ661" s="64">
        <f t="shared" si="61"/>
        <v>18</v>
      </c>
      <c r="AR661" s="64">
        <f t="shared" si="61"/>
        <v>21</v>
      </c>
      <c r="AS661" s="64">
        <f t="shared" si="61"/>
        <v>0</v>
      </c>
      <c r="AT661" s="69">
        <f t="shared" si="61"/>
        <v>0</v>
      </c>
      <c r="AU661" s="149">
        <f t="shared" si="62"/>
        <v>73</v>
      </c>
      <c r="AV661" s="5">
        <v>4</v>
      </c>
      <c r="AW661" s="161">
        <f>IF(AI660&lt;AJ660,1,0)+IF(AK660&lt;AL660,1,0)+IF(AM660&lt;AN660,1,0)</f>
        <v>0</v>
      </c>
      <c r="AX661" s="162">
        <f>BC658</f>
        <v>2</v>
      </c>
      <c r="AY661" s="162">
        <f>IF(AI659&lt;AJ659,1,0)+IF(AK659&lt;AL659,1,0)+IF(AM659&lt;AN659,1,0)</f>
        <v>2</v>
      </c>
      <c r="AZ661" s="162">
        <f>BC659</f>
        <v>0</v>
      </c>
      <c r="BA661" s="75">
        <f>IF(AI662&lt;AJ662,1,0)+IF(AK662&lt;AL662,1,0)+IF(AM662&lt;AN662,1,0)</f>
        <v>2</v>
      </c>
      <c r="BB661" s="75">
        <f>BC660</f>
        <v>1</v>
      </c>
      <c r="BC661" s="163"/>
      <c r="BD661" s="164"/>
      <c r="BE661" s="74">
        <f>AP659+AR659+AT659+AP660+AR660+AT660+AP662+AR662+AT662</f>
        <v>127</v>
      </c>
      <c r="BF661" s="81">
        <f>AO659+AQ659+AS659+AO660+AQ660+AS660+AO662+AQ662+AS662</f>
        <v>116</v>
      </c>
      <c r="BG661" s="74">
        <f>AW661+AY661+BA661</f>
        <v>4</v>
      </c>
      <c r="BH661" s="80">
        <f>AX661+AZ661+BB661</f>
        <v>3</v>
      </c>
      <c r="BI661" s="74">
        <f>IF(AW661&gt;AX661,1,0)+IF(AY661&gt;AZ661,1,0)+IF(BA661&gt;BB661,1,0)</f>
        <v>2</v>
      </c>
      <c r="BJ661" s="80">
        <f>IF(AX661&gt;AW661,1,0)+IF(AZ661&gt;AY661,1,0)+IF(BB661&gt;BA661,1,0)</f>
        <v>1</v>
      </c>
      <c r="BK661" s="82">
        <f>IF(BI661+BJ661=0,"",IF(BL661=MAX(BL658:BL661),1,IF(BL661=LARGE(BL658:BL661,2),2,IF(BL661=MIN(BL658:BL661),4,3))))</f>
        <v>2</v>
      </c>
      <c r="BL661" s="60">
        <f>IF(BI661+BJ661&lt;&gt;0,BI661+1+(BG661-BH661)/100+(BE661-BF661)/100000+(BE661/BF661)/1000000,0)</f>
        <v>3.010111094827586</v>
      </c>
    </row>
    <row r="662" spans="1:64" ht="11.45" customHeight="1" x14ac:dyDescent="0.2">
      <c r="A662" s="19">
        <f t="shared" si="60"/>
        <v>211</v>
      </c>
      <c r="B662" s="19" t="str">
        <f>IF(N662="","",N662)</f>
        <v>B4655</v>
      </c>
      <c r="C662" s="19" t="str">
        <f>IF(N663="","",N663)</f>
        <v>G5536</v>
      </c>
      <c r="D662" s="19" t="str">
        <f>IF(N665="","",N665)</f>
        <v>G5128</v>
      </c>
      <c r="E662" s="19" t="str">
        <f>IF(N666="","",N666)</f>
        <v>H5129</v>
      </c>
      <c r="H662" s="10"/>
      <c r="I662" s="2" t="str">
        <f>"4"&amp;O654&amp;N655</f>
        <v>41podwójna chłopców MM</v>
      </c>
      <c r="J662" s="10" t="str">
        <f>IF(AE664="","",IF(AE655=4,N656,IF(AE658=4,N659,IF(AE661=4,N662,IF(AE664=4,N665,"")))))</f>
        <v>P5629</v>
      </c>
      <c r="K662" s="10" t="str">
        <f>IF(AE664="","",IF(AE655=4,N657,IF(AE658=4,N660,IF(AE661=4,N663,IF(AE664=4,N666,"")))))</f>
        <v>P5601</v>
      </c>
      <c r="L662" s="10"/>
      <c r="M662" s="42" t="str">
        <f>N655</f>
        <v>podwójna chłopców MM</v>
      </c>
      <c r="N662" s="33" t="s">
        <v>334</v>
      </c>
      <c r="O662" s="34">
        <f>IF(O654&gt;0,(O654&amp;3)*1,"")</f>
        <v>13</v>
      </c>
      <c r="Q662" s="43" t="str">
        <f>IF(AU662&gt;0,"",IF(A662=0,"",IF(VLOOKUP(A662,'[1]plan gier'!A$1:S$65536,19,FALSE)="","",VLOOKUP(A662,'[1]plan gier'!A$1:S$65536,19,FALSE))))</f>
        <v/>
      </c>
      <c r="R662" s="44" t="s">
        <v>69</v>
      </c>
      <c r="S662" s="146">
        <v>211</v>
      </c>
      <c r="T662" s="242"/>
      <c r="U662" s="244" t="str">
        <f>IF(AND(N662&lt;&gt;"",N663=""),CONCATENATE(VLOOKUP(N662,[1]zawodnicy!$A$1:$E$65536,1,FALSE)," ",VLOOKUP(N662,[1]zawodnicy!$A$1:$E$65536,2,FALSE)," ",VLOOKUP(N662,[1]zawodnicy!$A$1:$E$65536,3,FALSE)," - ",VLOOKUP(N662,[1]zawodnicy!$A$1:$E$65536,4,FALSE)),"")</f>
        <v/>
      </c>
      <c r="V662" s="245"/>
      <c r="W662" s="246"/>
      <c r="X662" s="61" t="str">
        <f>IF(SUM(AQ658:AR658)=0,"",AR658&amp;":"&amp;AQ658)</f>
        <v>14:21</v>
      </c>
      <c r="Y662" s="36" t="str">
        <f>IF(SUM(AQ661:AR661)=0,"",AR661&amp;":"&amp;AQ661)</f>
        <v>21:18</v>
      </c>
      <c r="Z662" s="62"/>
      <c r="AA662" s="37" t="str">
        <f>IF(SUM(AQ662:AR662)=0,"",AQ662&amp;":"&amp;AR662)</f>
        <v>21:13</v>
      </c>
      <c r="AB662" s="242"/>
      <c r="AC662" s="251"/>
      <c r="AD662" s="251"/>
      <c r="AE662" s="254"/>
      <c r="AF662" s="12"/>
      <c r="AG662" s="12"/>
      <c r="AH662" s="44" t="s">
        <v>69</v>
      </c>
      <c r="AI662" s="49">
        <f>IF(ISBLANK(S662),"",VLOOKUP(S662,'[1]plan gier'!$X$1:$AN$65536,12,FALSE))</f>
        <v>16</v>
      </c>
      <c r="AJ662" s="50">
        <f>IF(ISBLANK(S662),"",VLOOKUP(S662,'[1]plan gier'!$X$1:$AN$65536,13,FALSE))</f>
        <v>21</v>
      </c>
      <c r="AK662" s="50">
        <f>IF(ISBLANK(S662),"",VLOOKUP(S662,'[1]plan gier'!$X$1:$AN$65536,14,FALSE))</f>
        <v>21</v>
      </c>
      <c r="AL662" s="50">
        <f>IF(ISBLANK(S662),"",VLOOKUP(S662,'[1]plan gier'!$X$1:$AN$65536,15,FALSE))</f>
        <v>13</v>
      </c>
      <c r="AM662" s="50">
        <f>IF(ISBLANK(S662),"",VLOOKUP(S662,'[1]plan gier'!$X$1:$AN$65536,16,FALSE))</f>
        <v>17</v>
      </c>
      <c r="AN662" s="50">
        <f>IF(ISBLANK(S662),"",VLOOKUP(S662,'[1]plan gier'!$X$1:$AN$65536,17,FALSE))</f>
        <v>21</v>
      </c>
      <c r="AO662" s="63">
        <f t="shared" si="61"/>
        <v>16</v>
      </c>
      <c r="AP662" s="64">
        <f t="shared" si="61"/>
        <v>21</v>
      </c>
      <c r="AQ662" s="64">
        <f t="shared" si="61"/>
        <v>21</v>
      </c>
      <c r="AR662" s="64">
        <f t="shared" si="61"/>
        <v>13</v>
      </c>
      <c r="AS662" s="64">
        <f t="shared" si="61"/>
        <v>17</v>
      </c>
      <c r="AT662" s="69">
        <f t="shared" si="61"/>
        <v>21</v>
      </c>
      <c r="AU662" s="149">
        <f t="shared" si="62"/>
        <v>109</v>
      </c>
      <c r="BE662" s="19">
        <f t="shared" ref="BE662:BJ662" si="63">SUM(BE658:BE661)</f>
        <v>444</v>
      </c>
      <c r="BF662" s="19">
        <f t="shared" si="63"/>
        <v>444</v>
      </c>
      <c r="BG662" s="19">
        <f t="shared" si="63"/>
        <v>13</v>
      </c>
      <c r="BH662" s="19">
        <f t="shared" si="63"/>
        <v>13</v>
      </c>
      <c r="BI662" s="19">
        <f t="shared" si="63"/>
        <v>6</v>
      </c>
      <c r="BJ662" s="19">
        <f t="shared" si="63"/>
        <v>6</v>
      </c>
      <c r="BK662" s="19"/>
      <c r="BL662" s="20"/>
    </row>
    <row r="663" spans="1:64" ht="11.45" customHeight="1" thickBot="1" x14ac:dyDescent="0.25">
      <c r="A663" s="19">
        <f t="shared" si="60"/>
        <v>212</v>
      </c>
      <c r="B663" s="19" t="str">
        <f>IF(N656="","",N656)</f>
        <v>C4406</v>
      </c>
      <c r="C663" s="19" t="str">
        <f>IF(N657="","",N657)</f>
        <v>C4264</v>
      </c>
      <c r="D663" s="19" t="str">
        <f>IF(N659="","",N659)</f>
        <v>P5629</v>
      </c>
      <c r="E663" s="19" t="str">
        <f>IF(N660="","",N660)</f>
        <v>P5601</v>
      </c>
      <c r="J663" s="28"/>
      <c r="K663" s="28"/>
      <c r="L663" s="28"/>
      <c r="M663" s="42" t="str">
        <f>N655</f>
        <v>podwójna chłopców MM</v>
      </c>
      <c r="N663" s="38" t="s">
        <v>335</v>
      </c>
      <c r="O663" s="28"/>
      <c r="P663" s="28"/>
      <c r="Q663" s="43" t="str">
        <f>IF(AU663&gt;0,"",IF(A663=0,"",IF(VLOOKUP(A663,'[1]plan gier'!A$1:S$65536,19,FALSE)="","",VLOOKUP(A663,'[1]plan gier'!A$1:S$65536,19,FALSE))))</f>
        <v/>
      </c>
      <c r="R663" s="44" t="s">
        <v>18</v>
      </c>
      <c r="S663" s="146">
        <v>212</v>
      </c>
      <c r="T663" s="261"/>
      <c r="U663" s="265" t="str">
        <f>IF(N663&lt;&gt;"",CONCATENATE(VLOOKUP(N663,[1]zawodnicy!$A$1:$E$65536,1,FALSE)," ",VLOOKUP(N663,[1]zawodnicy!$A$1:$E$65536,2,FALSE)," ",VLOOKUP(N663,[1]zawodnicy!$A$1:$E$65536,3,FALSE)," - ",VLOOKUP(N663,[1]zawodnicy!$A$1:$E$65536,4,FALSE)),"")</f>
        <v>G5536 Filip GRABOWSKI - SKB Suwałki</v>
      </c>
      <c r="V663" s="266"/>
      <c r="W663" s="267"/>
      <c r="X663" s="73" t="str">
        <f>IF(SUM(AS658:AT658)=0,"",AT658&amp;":"&amp;AS658)</f>
        <v/>
      </c>
      <c r="Y663" s="39" t="str">
        <f>IF(SUM(AS661:AT661)=0,"",AT661&amp;":"&amp;AS661)</f>
        <v/>
      </c>
      <c r="Z663" s="62"/>
      <c r="AA663" s="40" t="str">
        <f>IF(SUM(AS662:AT662)=0,"",AS662&amp;":"&amp;AT662)</f>
        <v>17:21</v>
      </c>
      <c r="AB663" s="242"/>
      <c r="AC663" s="251"/>
      <c r="AD663" s="251"/>
      <c r="AE663" s="254"/>
      <c r="AF663" s="12"/>
      <c r="AG663" s="12"/>
      <c r="AH663" s="44" t="s">
        <v>18</v>
      </c>
      <c r="AI663" s="161">
        <f>IF(ISBLANK(S663),"",VLOOKUP(S663,'[1]plan gier'!$X$1:$AN$65536,12,FALSE))</f>
        <v>21</v>
      </c>
      <c r="AJ663" s="162">
        <f>IF(ISBLANK(S663),"",VLOOKUP(S663,'[1]plan gier'!$X$1:$AN$65536,13,FALSE))</f>
        <v>7</v>
      </c>
      <c r="AK663" s="162">
        <f>IF(ISBLANK(S663),"",VLOOKUP(S663,'[1]plan gier'!$X$1:$AN$65536,14,FALSE))</f>
        <v>21</v>
      </c>
      <c r="AL663" s="162">
        <f>IF(ISBLANK(S663),"",VLOOKUP(S663,'[1]plan gier'!$X$1:$AN$65536,15,FALSE))</f>
        <v>13</v>
      </c>
      <c r="AM663" s="162">
        <f>IF(ISBLANK(S663),"",VLOOKUP(S663,'[1]plan gier'!$X$1:$AN$65536,16,FALSE))</f>
        <v>0</v>
      </c>
      <c r="AN663" s="162">
        <f>IF(ISBLANK(S663),"",VLOOKUP(S663,'[1]plan gier'!$X$1:$AN$65536,17,FALSE))</f>
        <v>0</v>
      </c>
      <c r="AO663" s="74">
        <f t="shared" si="61"/>
        <v>21</v>
      </c>
      <c r="AP663" s="75">
        <f t="shared" si="61"/>
        <v>7</v>
      </c>
      <c r="AQ663" s="75">
        <f t="shared" si="61"/>
        <v>21</v>
      </c>
      <c r="AR663" s="75">
        <f t="shared" si="61"/>
        <v>13</v>
      </c>
      <c r="AS663" s="75">
        <f t="shared" si="61"/>
        <v>0</v>
      </c>
      <c r="AT663" s="80">
        <f t="shared" si="61"/>
        <v>0</v>
      </c>
      <c r="AU663" s="149">
        <f t="shared" si="62"/>
        <v>62</v>
      </c>
      <c r="BK663" s="19"/>
      <c r="BL663" s="20"/>
    </row>
    <row r="664" spans="1:64" ht="11.45" customHeight="1" x14ac:dyDescent="0.2">
      <c r="A664" s="2"/>
      <c r="J664" s="28"/>
      <c r="K664" s="28"/>
      <c r="L664" s="28"/>
      <c r="O664" s="28"/>
      <c r="P664" s="28"/>
      <c r="Q664" s="2"/>
      <c r="R664" s="2"/>
      <c r="S664" s="2"/>
      <c r="T664" s="241">
        <v>4</v>
      </c>
      <c r="U664" s="244" t="str">
        <f>IF(AND(N665&lt;&gt;"",N666&lt;&gt;""),CONCATENATE(VLOOKUP(N665,[1]zawodnicy!$A$1:$E$65536,1,FALSE)," ",VLOOKUP(N665,[1]zawodnicy!$A$1:$E$65536,2,FALSE)," ",VLOOKUP(N665,[1]zawodnicy!$A$1:$E$65536,3,FALSE)," - ",VLOOKUP(N665,[1]zawodnicy!$A$1:$E$65536,4,FALSE)),"")</f>
        <v>G5128 Artur GWIAZDOWSKI - UKS Korona Pabianice</v>
      </c>
      <c r="V664" s="245"/>
      <c r="W664" s="246"/>
      <c r="X664" s="46" t="str">
        <f>IF(SUM(AO660:AP660)=0,"",AP660&amp;":"&amp;AO660)</f>
        <v>21:23</v>
      </c>
      <c r="Y664" s="83" t="str">
        <f>IF(SUM(AO659:AP659)=0,"",AP659&amp;":"&amp;AO659)</f>
        <v>21:15</v>
      </c>
      <c r="Z664" s="83" t="str">
        <f>IF(SUM(AO662:AP662)=0,"",AP662&amp;":"&amp;AO662)</f>
        <v>21:16</v>
      </c>
      <c r="AA664" s="165"/>
      <c r="AB664" s="241" t="str">
        <f>IF(SUM(AW661:BB661)=0,"",BE661&amp;":"&amp;BF661)</f>
        <v>127:116</v>
      </c>
      <c r="AC664" s="250" t="str">
        <f>IF(SUM(AW661:BB661)=0,"",BG661&amp;":"&amp;BH661)</f>
        <v>4:3</v>
      </c>
      <c r="AD664" s="250" t="str">
        <f>IF(SUM(AW661:BB661)=0,"",BI661&amp;":"&amp;BJ661)</f>
        <v>2:1</v>
      </c>
      <c r="AE664" s="253">
        <f>IF(SUM(BI658:BI661)&gt;0,BK661,"")</f>
        <v>2</v>
      </c>
      <c r="AF664" s="12"/>
      <c r="AG664" s="12"/>
      <c r="AH664" s="2"/>
      <c r="AI664" s="2"/>
      <c r="AJ664" s="2"/>
      <c r="AK664" s="2"/>
      <c r="AL664" s="2"/>
      <c r="AM664" s="2"/>
      <c r="AN664" s="2"/>
      <c r="AO664" s="2"/>
      <c r="AP664" s="2"/>
      <c r="AQ664" s="2"/>
      <c r="AR664" s="2"/>
      <c r="AS664" s="2"/>
      <c r="AT664" s="2"/>
      <c r="AU664" s="2"/>
      <c r="BK664" s="19"/>
      <c r="BL664" s="20"/>
    </row>
    <row r="665" spans="1:64" ht="11.45" customHeight="1" x14ac:dyDescent="0.2">
      <c r="A665" s="19"/>
      <c r="B665" s="19"/>
      <c r="C665" s="19"/>
      <c r="D665" s="19"/>
      <c r="E665" s="19"/>
      <c r="H665" s="10"/>
      <c r="J665" s="19"/>
      <c r="K665" s="19"/>
      <c r="L665" s="19"/>
      <c r="N665" s="33" t="s">
        <v>336</v>
      </c>
      <c r="O665" s="34">
        <f>IF(O654&gt;0,(O654&amp;4)*1,"")</f>
        <v>14</v>
      </c>
      <c r="Q665" s="85"/>
      <c r="R665" s="85"/>
      <c r="S665" s="85"/>
      <c r="T665" s="242"/>
      <c r="U665" s="244" t="str">
        <f>IF(AND(N665&lt;&gt;"",N666=""),CONCATENATE(VLOOKUP(N665,[1]zawodnicy!$A$1:$E$65536,1,FALSE)," ",VLOOKUP(N665,[1]zawodnicy!$A$1:$E$65536,2,FALSE)," ",VLOOKUP(N665,[1]zawodnicy!$A$1:$E$65536,3,FALSE)," - ",VLOOKUP(N665,[1]zawodnicy!$A$1:$E$65536,4,FALSE)),"")</f>
        <v/>
      </c>
      <c r="V665" s="245"/>
      <c r="W665" s="246"/>
      <c r="X665" s="61" t="str">
        <f>IF(SUM(AQ660:AR660)=0,"",AR660&amp;":"&amp;AQ660)</f>
        <v>9:21</v>
      </c>
      <c r="Y665" s="36" t="str">
        <f>IF(SUM(AQ659:AR659)=0,"",AR659&amp;":"&amp;AQ659)</f>
        <v>21:3</v>
      </c>
      <c r="Z665" s="36" t="str">
        <f>IF(SUM(AQ662:AR662)=0,"",AR662&amp;":"&amp;AQ662)</f>
        <v>13:21</v>
      </c>
      <c r="AA665" s="166"/>
      <c r="AB665" s="242"/>
      <c r="AC665" s="251"/>
      <c r="AD665" s="251"/>
      <c r="AE665" s="254"/>
      <c r="AF665" s="12"/>
      <c r="AG665" s="1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row>
    <row r="666" spans="1:64" ht="11.45" customHeight="1" thickBot="1" x14ac:dyDescent="0.25">
      <c r="A666" s="2"/>
      <c r="J666" s="28"/>
      <c r="K666" s="28"/>
      <c r="L666" s="28"/>
      <c r="N666" s="38" t="s">
        <v>337</v>
      </c>
      <c r="O666" s="28"/>
      <c r="P666" s="28"/>
      <c r="Q666" s="2"/>
      <c r="R666" s="2"/>
      <c r="S666" s="2"/>
      <c r="T666" s="243"/>
      <c r="U666" s="256" t="str">
        <f>IF(N666&lt;&gt;"",CONCATENATE(VLOOKUP(N666,[1]zawodnicy!$A$1:$E$65536,1,FALSE)," ",VLOOKUP(N666,[1]zawodnicy!$A$1:$E$65536,2,FALSE)," ",VLOOKUP(N666,[1]zawodnicy!$A$1:$E$65536,3,FALSE)," - ",VLOOKUP(N666,[1]zawodnicy!$A$1:$E$65536,4,FALSE)),"")</f>
        <v>H5129 Natan HEMER - UKS Korona Pabianice</v>
      </c>
      <c r="V666" s="257"/>
      <c r="W666" s="258"/>
      <c r="X666" s="87" t="str">
        <f>IF(SUM(AS660:AT660)=0,"",AT660&amp;":"&amp;AS660)</f>
        <v/>
      </c>
      <c r="Y666" s="88" t="str">
        <f>IF(SUM(AS659:AT659)=0,"",AT659&amp;":"&amp;AS659)</f>
        <v/>
      </c>
      <c r="Z666" s="88" t="str">
        <f>IF(SUM(AS662:AT662)=0,"",AT662&amp;":"&amp;AS662)</f>
        <v>21:17</v>
      </c>
      <c r="AA666" s="89"/>
      <c r="AB666" s="243"/>
      <c r="AC666" s="252"/>
      <c r="AD666" s="252"/>
      <c r="AE666" s="255"/>
      <c r="AF666" s="12"/>
      <c r="AG666" s="1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row>
    <row r="667" spans="1:64" ht="5.0999999999999996" customHeight="1" thickBot="1" x14ac:dyDescent="0.25">
      <c r="BK667" s="19"/>
      <c r="BL667" s="20"/>
    </row>
    <row r="668" spans="1:64" ht="11.45" customHeight="1" thickBot="1" x14ac:dyDescent="0.25">
      <c r="N668" s="11"/>
      <c r="O668" s="21">
        <v>2</v>
      </c>
      <c r="Q668" s="277" t="str">
        <f>"Grupa "&amp;O668&amp;"."</f>
        <v>Grupa 2.</v>
      </c>
      <c r="R668" s="277"/>
      <c r="S668" s="277"/>
      <c r="T668" s="22" t="s">
        <v>1</v>
      </c>
      <c r="U668" s="278" t="s">
        <v>2</v>
      </c>
      <c r="V668" s="279"/>
      <c r="W668" s="280"/>
      <c r="X668" s="22">
        <v>1</v>
      </c>
      <c r="Y668" s="23">
        <v>2</v>
      </c>
      <c r="Z668" s="24">
        <v>3</v>
      </c>
      <c r="AA668" s="25" t="s">
        <v>3</v>
      </c>
      <c r="AB668" s="26" t="s">
        <v>4</v>
      </c>
      <c r="AC668" s="26" t="s">
        <v>5</v>
      </c>
      <c r="AD668" s="27" t="s">
        <v>6</v>
      </c>
      <c r="AE668" s="2"/>
      <c r="AF668" s="12"/>
      <c r="AG668" s="12"/>
      <c r="BK668" s="19"/>
      <c r="BL668" s="20"/>
    </row>
    <row r="669" spans="1:64" ht="11.45" customHeight="1" x14ac:dyDescent="0.2">
      <c r="J669" s="28"/>
      <c r="K669" s="28"/>
      <c r="L669" s="28"/>
      <c r="N669" s="29" t="s">
        <v>329</v>
      </c>
      <c r="Q669" s="274" t="s">
        <v>7</v>
      </c>
      <c r="R669" s="274"/>
      <c r="S669" s="275" t="s">
        <v>8</v>
      </c>
      <c r="T669" s="276">
        <v>1</v>
      </c>
      <c r="U669" s="244" t="str">
        <f>IF(AND(N670&lt;&gt;"",N671&lt;&gt;""),CONCATENATE(VLOOKUP(N670,[1]zawodnicy!$A$1:$E$65536,1,FALSE)," ",VLOOKUP(N670,[1]zawodnicy!$A$1:$E$65536,2,FALSE)," ",VLOOKUP(N670,[1]zawodnicy!$A$1:$E$65536,3,FALSE)," - ",VLOOKUP(N670,[1]zawodnicy!$A$1:$E$65536,4,FALSE)),"")</f>
        <v>M5584 Jakub MAZUR - LKS Technik Głubczyce</v>
      </c>
      <c r="V669" s="245"/>
      <c r="W669" s="246"/>
      <c r="X669" s="30"/>
      <c r="Y669" s="31" t="str">
        <f>IF(SUM(AO674:AP674)=0,"",AO674&amp;":"&amp;AP674)</f>
        <v>21:7</v>
      </c>
      <c r="Z669" s="32" t="str">
        <f>IF(SUM(AO672:AP672)=0,"",AO672&amp;":"&amp;AP672)</f>
        <v>21:0</v>
      </c>
      <c r="AA669" s="270" t="str">
        <f>IF(SUM(AY672:BB672)=0,"",BE672&amp;":"&amp;BF672)</f>
        <v>84:21</v>
      </c>
      <c r="AB669" s="271" t="str">
        <f>IF(SUM(AY672:BB672)=0,"",BG672&amp;":"&amp;BH672)</f>
        <v>4:0</v>
      </c>
      <c r="AC669" s="271" t="str">
        <f>IF(SUM(AY672:BB672)=0,"",BI672&amp;":"&amp;BJ672)</f>
        <v>2:0</v>
      </c>
      <c r="AD669" s="272">
        <f>IF(SUM(BI672:BI674)&gt;0,BK672,"")</f>
        <v>1</v>
      </c>
      <c r="AE669" s="2"/>
      <c r="AF669" s="12"/>
      <c r="AG669" s="12"/>
      <c r="AH669" s="14"/>
      <c r="AI669" s="273" t="s">
        <v>9</v>
      </c>
      <c r="AJ669" s="273"/>
      <c r="AK669" s="273"/>
      <c r="AL669" s="273"/>
      <c r="AM669" s="273"/>
      <c r="AN669" s="273"/>
      <c r="AO669" s="273" t="s">
        <v>10</v>
      </c>
      <c r="AP669" s="273"/>
      <c r="AQ669" s="273"/>
      <c r="AR669" s="273"/>
      <c r="AS669" s="273"/>
      <c r="AT669" s="273"/>
      <c r="BK669" s="19"/>
      <c r="BL669" s="20"/>
    </row>
    <row r="670" spans="1:64" ht="11.45" customHeight="1" thickBot="1" x14ac:dyDescent="0.25">
      <c r="I670" s="2" t="str">
        <f>"1"&amp;O668&amp;N669</f>
        <v>12podwójna chłopców MM</v>
      </c>
      <c r="J670" s="10" t="str">
        <f>IF(AD669="","",IF(AD669=1,N670,IF(AD672=1,N673,IF(AD675=1,N676,""))))</f>
        <v>M5584</v>
      </c>
      <c r="K670" s="10" t="str">
        <f>IF(AD669="","",IF(AD669=1,N671,IF(AD672=1,N674,IF(AD675=1,N677,""))))</f>
        <v>Ś5585</v>
      </c>
      <c r="L670" s="10"/>
      <c r="N670" s="33" t="s">
        <v>338</v>
      </c>
      <c r="O670" s="34">
        <f>IF(O668&gt;0,(O668&amp;1)*1,"")</f>
        <v>21</v>
      </c>
      <c r="Q670" s="274"/>
      <c r="R670" s="274"/>
      <c r="S670" s="275"/>
      <c r="T670" s="242"/>
      <c r="U670" s="244" t="str">
        <f>IF(AND(N670&lt;&gt;"",N671=""),CONCATENATE(VLOOKUP(N670,[1]zawodnicy!$A$1:$E$65536,1,FALSE)," ",VLOOKUP(N670,[1]zawodnicy!$A$1:$E$65536,2,FALSE)," ",VLOOKUP(N670,[1]zawodnicy!$A$1:$E$65536,3,FALSE)," - ",VLOOKUP(N670,[1]zawodnicy!$A$1:$E$65536,4,FALSE)),"")</f>
        <v/>
      </c>
      <c r="V670" s="245"/>
      <c r="W670" s="246"/>
      <c r="X670" s="35"/>
      <c r="Y670" s="36" t="str">
        <f>IF(SUM(AQ674:AR674)=0,"",AQ674&amp;":"&amp;AR674)</f>
        <v>21:14</v>
      </c>
      <c r="Z670" s="37" t="str">
        <f>IF(SUM(AQ672:AR672)=0,"",AQ672&amp;":"&amp;AR672)</f>
        <v>21:0</v>
      </c>
      <c r="AA670" s="248"/>
      <c r="AB670" s="251"/>
      <c r="AC670" s="251"/>
      <c r="AD670" s="254"/>
      <c r="AE670" s="2"/>
      <c r="AF670" s="12"/>
      <c r="AG670" s="12"/>
      <c r="AH670" s="14"/>
      <c r="BE670" s="19">
        <f>SUM(BE672:BE674)</f>
        <v>147</v>
      </c>
      <c r="BF670" s="19">
        <f>SUM(BF672:BF674)</f>
        <v>147</v>
      </c>
      <c r="BG670" s="19">
        <f>SUM(BG672:BG674)</f>
        <v>6</v>
      </c>
      <c r="BH670" s="19">
        <f>SUM(BH672:BH674)</f>
        <v>6</v>
      </c>
      <c r="BK670" s="19"/>
      <c r="BL670" s="20"/>
    </row>
    <row r="671" spans="1:64" ht="11.45" customHeight="1" thickBot="1" x14ac:dyDescent="0.25">
      <c r="J671" s="10"/>
      <c r="K671" s="28"/>
      <c r="L671" s="28"/>
      <c r="N671" s="38" t="s">
        <v>339</v>
      </c>
      <c r="O671" s="28"/>
      <c r="P671" s="28"/>
      <c r="Q671" s="274"/>
      <c r="R671" s="274"/>
      <c r="S671" s="275"/>
      <c r="T671" s="261"/>
      <c r="U671" s="265" t="str">
        <f>IF(N671&lt;&gt;"",CONCATENATE(VLOOKUP(N671,[1]zawodnicy!$A$1:$E$65536,1,FALSE)," ",VLOOKUP(N671,[1]zawodnicy!$A$1:$E$65536,2,FALSE)," ",VLOOKUP(N671,[1]zawodnicy!$A$1:$E$65536,3,FALSE)," - ",VLOOKUP(N671,[1]zawodnicy!$A$1:$E$65536,4,FALSE)),"")</f>
        <v>Ś5585 Szymon ŚLEPECKI - LKS Technik Głubczyce</v>
      </c>
      <c r="V671" s="266"/>
      <c r="W671" s="267"/>
      <c r="X671" s="35"/>
      <c r="Y671" s="39" t="str">
        <f>IF(SUM(AS674:AT674)=0,"",AS674&amp;":"&amp;AT674)</f>
        <v/>
      </c>
      <c r="Z671" s="40" t="str">
        <f>IF(SUM(AS672:AT672)=0,"",AS672&amp;":"&amp;AT672)</f>
        <v/>
      </c>
      <c r="AA671" s="262"/>
      <c r="AB671" s="263"/>
      <c r="AC671" s="263"/>
      <c r="AD671" s="264"/>
      <c r="AE671" s="2"/>
      <c r="AF671" s="12"/>
      <c r="AG671" s="12"/>
      <c r="AH671" s="14"/>
      <c r="AI671" s="259" t="s">
        <v>12</v>
      </c>
      <c r="AJ671" s="269"/>
      <c r="AK671" s="268" t="s">
        <v>13</v>
      </c>
      <c r="AL671" s="269"/>
      <c r="AM671" s="268" t="s">
        <v>14</v>
      </c>
      <c r="AN671" s="260"/>
      <c r="AO671" s="259" t="s">
        <v>12</v>
      </c>
      <c r="AP671" s="269"/>
      <c r="AQ671" s="268" t="s">
        <v>13</v>
      </c>
      <c r="AR671" s="269"/>
      <c r="AS671" s="268" t="s">
        <v>14</v>
      </c>
      <c r="AT671" s="269"/>
      <c r="AU671" s="12"/>
      <c r="AV671" s="12"/>
      <c r="AW671" s="259">
        <v>1</v>
      </c>
      <c r="AX671" s="269"/>
      <c r="AY671" s="268">
        <v>2</v>
      </c>
      <c r="AZ671" s="269"/>
      <c r="BA671" s="268">
        <v>3</v>
      </c>
      <c r="BB671" s="260"/>
      <c r="BE671" s="259" t="s">
        <v>3</v>
      </c>
      <c r="BF671" s="260"/>
      <c r="BG671" s="259" t="s">
        <v>4</v>
      </c>
      <c r="BH671" s="260"/>
      <c r="BI671" s="259" t="s">
        <v>5</v>
      </c>
      <c r="BJ671" s="260"/>
      <c r="BK671" s="41" t="s">
        <v>6</v>
      </c>
      <c r="BL671" s="20"/>
    </row>
    <row r="672" spans="1:64" ht="11.45" customHeight="1" x14ac:dyDescent="0.2">
      <c r="A672" s="19">
        <f>S672</f>
        <v>94</v>
      </c>
      <c r="B672" s="2" t="str">
        <f>IF(N670="","",N670)</f>
        <v>M5584</v>
      </c>
      <c r="C672" s="2" t="str">
        <f>IF(N671="","",N671)</f>
        <v>Ś5585</v>
      </c>
      <c r="D672" s="2" t="str">
        <f>IF(N676="","",N676)</f>
        <v>X47</v>
      </c>
      <c r="E672" s="2" t="str">
        <f>IF(N677="","",N677)</f>
        <v>X48</v>
      </c>
      <c r="I672" s="2" t="str">
        <f>"2"&amp;O668&amp;N669</f>
        <v>22podwójna chłopców MM</v>
      </c>
      <c r="J672" s="10" t="str">
        <f>IF(AD672="","",IF(AD669=2,N670,IF(AD672=2,N673,IF(AD675=2,N676,""))))</f>
        <v>X26</v>
      </c>
      <c r="K672" s="10" t="str">
        <f>IF(AD672="","",IF(AD669=2,N671,IF(AD672=2,N674,IF(AD675=2,N677,""))))</f>
        <v>S5068</v>
      </c>
      <c r="M672" s="42" t="str">
        <f>N669</f>
        <v>podwójna chłopców MM</v>
      </c>
      <c r="O672" s="28"/>
      <c r="P672" s="28"/>
      <c r="Q672" s="43" t="str">
        <f>IF(AU672&gt;0,"",IF(A672=0,"",IF(VLOOKUP(A672,'[1]plan gier'!A$1:S$65536,19,FALSE)="","",VLOOKUP(A672,'[1]plan gier'!A$1:S$65536,19,FALSE))))</f>
        <v/>
      </c>
      <c r="R672" s="44" t="s">
        <v>15</v>
      </c>
      <c r="S672" s="45">
        <v>94</v>
      </c>
      <c r="T672" s="241">
        <v>2</v>
      </c>
      <c r="U672" s="244" t="str">
        <f>IF(AND(N673&lt;&gt;"",N674&lt;&gt;""),CONCATENATE(VLOOKUP(N673,[1]zawodnicy!$A$1:$E$65536,1,FALSE)," ",VLOOKUP(N673,[1]zawodnicy!$A$1:$E$65536,2,FALSE)," ",VLOOKUP(N673,[1]zawodnicy!$A$1:$E$65536,3,FALSE)," - ",VLOOKUP(N673,[1]zawodnicy!$A$1:$E$65536,4,FALSE)),"")</f>
        <v>X26 Igor SENICHKYN - Vinnica Ukraina</v>
      </c>
      <c r="V672" s="245"/>
      <c r="W672" s="246"/>
      <c r="X672" s="46" t="str">
        <f>IF(SUM(AO674:AP674)=0,"",AP674&amp;":"&amp;AO674)</f>
        <v>7:21</v>
      </c>
      <c r="Y672" s="47"/>
      <c r="Z672" s="48" t="str">
        <f>IF(SUM(AO673:AP673)=0,"",AO673&amp;":"&amp;AP673)</f>
        <v>21:0</v>
      </c>
      <c r="AA672" s="247" t="str">
        <f>IF(SUM(AW673:AX673,BA673:BB673)=0,"",BE673&amp;":"&amp;BF673)</f>
        <v>63:42</v>
      </c>
      <c r="AB672" s="250" t="str">
        <f>IF(SUM(AW673:AX673,BA673:BB673)=0,"",BG673&amp;":"&amp;BH673)</f>
        <v>2:2</v>
      </c>
      <c r="AC672" s="250" t="str">
        <f>IF(SUM(AW673:AX673,BA673:BB673)=0,"",BI673&amp;":"&amp;BJ673)</f>
        <v>1:1</v>
      </c>
      <c r="AD672" s="253">
        <f>IF(SUM(BI672:BI674)&gt;0,BK673,"")</f>
        <v>2</v>
      </c>
      <c r="AE672" s="2"/>
      <c r="AF672" s="12"/>
      <c r="AG672" s="12"/>
      <c r="AH672" s="44" t="s">
        <v>15</v>
      </c>
      <c r="AI672" s="49">
        <f>IF(ISBLANK(S672),"",VLOOKUP(S672,'[1]plan gier'!$X$1:$AN$65536,12,FALSE))</f>
        <v>21</v>
      </c>
      <c r="AJ672" s="50">
        <f>IF(ISBLANK(S672),"",VLOOKUP(S672,'[1]plan gier'!$X$1:$AN$65536,13,FALSE))</f>
        <v>0</v>
      </c>
      <c r="AK672" s="50">
        <f>IF(ISBLANK(S672),"",VLOOKUP(S672,'[1]plan gier'!$X$1:$AN$65536,14,FALSE))</f>
        <v>21</v>
      </c>
      <c r="AL672" s="50">
        <f>IF(ISBLANK(S672),"",VLOOKUP(S672,'[1]plan gier'!$X$1:$AN$65536,15,FALSE))</f>
        <v>0</v>
      </c>
      <c r="AM672" s="50">
        <f>IF(ISBLANK(S672),"",VLOOKUP(S672,'[1]plan gier'!$X$1:$AN$65536,16,FALSE))</f>
        <v>0</v>
      </c>
      <c r="AN672" s="50">
        <f>IF(ISBLANK(S672),"",VLOOKUP(S672,'[1]plan gier'!$X$1:$AN$65536,17,FALSE))</f>
        <v>0</v>
      </c>
      <c r="AO672" s="51">
        <f t="shared" ref="AO672:AT674" si="64">IF(AI672="",0,AI672)</f>
        <v>21</v>
      </c>
      <c r="AP672" s="52">
        <f t="shared" si="64"/>
        <v>0</v>
      </c>
      <c r="AQ672" s="53">
        <f t="shared" si="64"/>
        <v>21</v>
      </c>
      <c r="AR672" s="52">
        <f t="shared" si="64"/>
        <v>0</v>
      </c>
      <c r="AS672" s="53">
        <f t="shared" si="64"/>
        <v>0</v>
      </c>
      <c r="AT672" s="52">
        <f t="shared" si="64"/>
        <v>0</v>
      </c>
      <c r="AU672" s="54">
        <f>SUM(AO672:AT672)</f>
        <v>42</v>
      </c>
      <c r="AV672" s="13">
        <v>1</v>
      </c>
      <c r="AW672" s="55"/>
      <c r="AX672" s="56"/>
      <c r="AY672" s="50">
        <f>IF(AI674&gt;AJ674,1,0)+IF(AK674&gt;AL674,1,0)+IF(AM674&gt;AN674,1,0)</f>
        <v>2</v>
      </c>
      <c r="AZ672" s="50">
        <f>AW673</f>
        <v>0</v>
      </c>
      <c r="BA672" s="50">
        <f>IF(AI672&gt;AJ672,1,0)+IF(AK672&gt;AL672,1,0)+IF(AM672&gt;AN672,1,0)</f>
        <v>2</v>
      </c>
      <c r="BB672" s="57">
        <f>AW674</f>
        <v>0</v>
      </c>
      <c r="BE672" s="49">
        <f>AO672+AQ672+AS672+AO674+AQ674+AS674</f>
        <v>84</v>
      </c>
      <c r="BF672" s="57">
        <f>AP672+AR672+AT672+AP674+AR674+AT674</f>
        <v>21</v>
      </c>
      <c r="BG672" s="49">
        <f>AY672+BA672</f>
        <v>4</v>
      </c>
      <c r="BH672" s="57">
        <f>AZ672+BB672</f>
        <v>0</v>
      </c>
      <c r="BI672" s="49">
        <f>IF(AY672&gt;AZ672,1,0)+IF(BA672&gt;BB672,1,0)</f>
        <v>2</v>
      </c>
      <c r="BJ672" s="58">
        <f>IF(AZ672&gt;AY672,1,0)+IF(BB672&gt;BA672,1,0)</f>
        <v>0</v>
      </c>
      <c r="BK672" s="59">
        <f>IF(BI672+BJ672=0,"",IF(BL672=MAX(BL672:BL674),1,IF(BL672=MIN(BL672:BL674),3,2)))</f>
        <v>1</v>
      </c>
      <c r="BL672" s="60">
        <f>IF(BI672+BJ672&lt;&gt;0,BI672+1+(BG672-BH672)/100+(BE672-BF672)/100000+(BE672/BF672)/1000000,0)</f>
        <v>3.0406340000000003</v>
      </c>
    </row>
    <row r="673" spans="1:64" ht="11.45" customHeight="1" x14ac:dyDescent="0.2">
      <c r="A673" s="19">
        <f>S673</f>
        <v>160</v>
      </c>
      <c r="B673" s="2" t="str">
        <f>IF(N673="","",N673)</f>
        <v>X26</v>
      </c>
      <c r="C673" s="2" t="str">
        <f>IF(N674="","",N674)</f>
        <v>S5068</v>
      </c>
      <c r="D673" s="2" t="str">
        <f>IF(N676="","",N676)</f>
        <v>X47</v>
      </c>
      <c r="E673" s="2" t="str">
        <f>IF(N677="","",N677)</f>
        <v>X48</v>
      </c>
      <c r="J673" s="10"/>
      <c r="K673" s="19"/>
      <c r="M673" s="42" t="str">
        <f>N669</f>
        <v>podwójna chłopców MM</v>
      </c>
      <c r="N673" s="33" t="s">
        <v>340</v>
      </c>
      <c r="O673" s="34">
        <f>IF(O668&gt;0,(O668&amp;2)*1,"")</f>
        <v>22</v>
      </c>
      <c r="Q673" s="43" t="str">
        <f>IF(AU673&gt;0,"",IF(A673=0,"",IF(VLOOKUP(A673,'[1]plan gier'!A$1:S$65536,19,FALSE)="","",VLOOKUP(A673,'[1]plan gier'!A$1:S$65536,19,FALSE))))</f>
        <v/>
      </c>
      <c r="R673" s="44" t="s">
        <v>17</v>
      </c>
      <c r="S673" s="45">
        <v>160</v>
      </c>
      <c r="T673" s="242"/>
      <c r="U673" s="244" t="str">
        <f>IF(AND(N673&lt;&gt;"",N674=""),CONCATENATE(VLOOKUP(N673,[1]zawodnicy!$A$1:$E$65536,1,FALSE)," ",VLOOKUP(N673,[1]zawodnicy!$A$1:$E$65536,2,FALSE)," ",VLOOKUP(N673,[1]zawodnicy!$A$1:$E$65536,3,FALSE)," - ",VLOOKUP(N673,[1]zawodnicy!$A$1:$E$65536,4,FALSE)),"")</f>
        <v/>
      </c>
      <c r="V673" s="245"/>
      <c r="W673" s="246"/>
      <c r="X673" s="61" t="str">
        <f>IF(SUM(AQ674:AR674)=0,"",AR674&amp;":"&amp;AQ674)</f>
        <v>14:21</v>
      </c>
      <c r="Y673" s="62"/>
      <c r="Z673" s="37" t="str">
        <f>IF(SUM(AQ673:AR673)=0,"",AQ673&amp;":"&amp;AR673)</f>
        <v>21:0</v>
      </c>
      <c r="AA673" s="248"/>
      <c r="AB673" s="251"/>
      <c r="AC673" s="251"/>
      <c r="AD673" s="254"/>
      <c r="AE673" s="2"/>
      <c r="AF673" s="12"/>
      <c r="AG673" s="12"/>
      <c r="AH673" s="44" t="s">
        <v>17</v>
      </c>
      <c r="AI673" s="63">
        <f>IF(ISBLANK(S673),"",VLOOKUP(S673,'[1]plan gier'!$X$1:$AN$65536,12,FALSE))</f>
        <v>21</v>
      </c>
      <c r="AJ673" s="64">
        <f>IF(ISBLANK(S673),"",VLOOKUP(S673,'[1]plan gier'!$X$1:$AN$65536,13,FALSE))</f>
        <v>0</v>
      </c>
      <c r="AK673" s="64">
        <f>IF(ISBLANK(S673),"",VLOOKUP(S673,'[1]plan gier'!$X$1:$AN$65536,14,FALSE))</f>
        <v>21</v>
      </c>
      <c r="AL673" s="64">
        <f>IF(ISBLANK(S673),"",VLOOKUP(S673,'[1]plan gier'!$X$1:$AN$65536,15,FALSE))</f>
        <v>0</v>
      </c>
      <c r="AM673" s="64">
        <f>IF(ISBLANK(S673),"",VLOOKUP(S673,'[1]plan gier'!$X$1:$AN$65536,16,FALSE))</f>
        <v>0</v>
      </c>
      <c r="AN673" s="64">
        <f>IF(ISBLANK(S673),"",VLOOKUP(S673,'[1]plan gier'!$X$1:$AN$65536,17,FALSE))</f>
        <v>0</v>
      </c>
      <c r="AO673" s="65">
        <f t="shared" si="64"/>
        <v>21</v>
      </c>
      <c r="AP673" s="64">
        <f t="shared" si="64"/>
        <v>0</v>
      </c>
      <c r="AQ673" s="66">
        <f t="shared" si="64"/>
        <v>21</v>
      </c>
      <c r="AR673" s="64">
        <f t="shared" si="64"/>
        <v>0</v>
      </c>
      <c r="AS673" s="66">
        <f t="shared" si="64"/>
        <v>0</v>
      </c>
      <c r="AT673" s="64">
        <f t="shared" si="64"/>
        <v>0</v>
      </c>
      <c r="AU673" s="54">
        <f>SUM(AO673:AT673)</f>
        <v>42</v>
      </c>
      <c r="AV673" s="13">
        <v>2</v>
      </c>
      <c r="AW673" s="63">
        <f>IF(AI674&lt;AJ674,1,0)+IF(AK674&lt;AL674,1,0)+IF(AM674&lt;AN674,1,0)</f>
        <v>0</v>
      </c>
      <c r="AX673" s="64">
        <f>AY672</f>
        <v>2</v>
      </c>
      <c r="AY673" s="67"/>
      <c r="AZ673" s="68"/>
      <c r="BA673" s="64">
        <f>IF(AI673&gt;AJ673,1,0)+IF(AK673&gt;AL673,1,0)+IF(AM673&gt;AN673,1,0)</f>
        <v>2</v>
      </c>
      <c r="BB673" s="69">
        <f>AY674</f>
        <v>0</v>
      </c>
      <c r="BE673" s="63">
        <f>AO673+AQ673+AS673+AP674+AR674+AT674</f>
        <v>63</v>
      </c>
      <c r="BF673" s="69">
        <f>AP673+AR673+AT673+AO674+AQ674+AS674</f>
        <v>42</v>
      </c>
      <c r="BG673" s="63">
        <f>AW673+BA673</f>
        <v>2</v>
      </c>
      <c r="BH673" s="69">
        <f>AX673+BB673</f>
        <v>2</v>
      </c>
      <c r="BI673" s="63">
        <f>IF(AW673&gt;AX673,1,0)+IF(BA673&gt;BB673,1,0)</f>
        <v>1</v>
      </c>
      <c r="BJ673" s="70">
        <f>IF(AX673&gt;AW673,1,0)+IF(BB673&gt;BA673,1,0)</f>
        <v>1</v>
      </c>
      <c r="BK673" s="71">
        <f>IF(BI673+BJ673=0,"",IF(BL673=MAX(BL672:BL674),1,IF(BL673=MIN(BL672:BL674),3,2)))</f>
        <v>2</v>
      </c>
      <c r="BL673" s="60">
        <f>IF(BI673+BJ673&lt;&gt;0,BI673+1+(BG673-BH673)/100+(BE673-BF673)/100000+(BE673/BF673)/1000000,0)</f>
        <v>2.0002115000000003</v>
      </c>
    </row>
    <row r="674" spans="1:64" ht="11.45" customHeight="1" thickBot="1" x14ac:dyDescent="0.25">
      <c r="A674" s="19">
        <f>S674</f>
        <v>213</v>
      </c>
      <c r="B674" s="2" t="str">
        <f>IF(N670="","",N670)</f>
        <v>M5584</v>
      </c>
      <c r="C674" s="2" t="str">
        <f>IF(N671="","",N671)</f>
        <v>Ś5585</v>
      </c>
      <c r="D674" s="2" t="str">
        <f>IF(N673="","",N673)</f>
        <v>X26</v>
      </c>
      <c r="E674" s="2" t="str">
        <f>IF(N674="","",N674)</f>
        <v>S5068</v>
      </c>
      <c r="I674" s="2" t="str">
        <f>"3"&amp;O668&amp;N669</f>
        <v>32podwójna chłopców MM</v>
      </c>
      <c r="J674" s="10" t="str">
        <f>IF(AD675="","",IF(AD669=3,N670,IF(AD672=3,N673,IF(AD675=3,N676,""))))</f>
        <v>X47</v>
      </c>
      <c r="K674" s="10" t="str">
        <f>IF(AD675="","",IF(AD669=3,N671,IF(AD672=3,N674,IF(AD675=3,N677,""))))</f>
        <v>X48</v>
      </c>
      <c r="M674" s="42" t="str">
        <f>N669</f>
        <v>podwójna chłopców MM</v>
      </c>
      <c r="N674" s="38" t="s">
        <v>341</v>
      </c>
      <c r="O674" s="28"/>
      <c r="P674" s="28"/>
      <c r="Q674" s="43" t="str">
        <f>IF(AU674&gt;0,"",IF(A674=0,"",IF(VLOOKUP(A674,'[1]plan gier'!A$1:S$65536,19,FALSE)="","",VLOOKUP(A674,'[1]plan gier'!A$1:S$65536,19,FALSE))))</f>
        <v/>
      </c>
      <c r="R674" s="72" t="s">
        <v>18</v>
      </c>
      <c r="S674" s="45">
        <v>213</v>
      </c>
      <c r="T674" s="261"/>
      <c r="U674" s="265" t="str">
        <f>IF(N674&lt;&gt;"",CONCATENATE(VLOOKUP(N674,[1]zawodnicy!$A$1:$E$65536,1,FALSE)," ",VLOOKUP(N674,[1]zawodnicy!$A$1:$E$65536,2,FALSE)," ",VLOOKUP(N674,[1]zawodnicy!$A$1:$E$65536,3,FALSE)," - ",VLOOKUP(N674,[1]zawodnicy!$A$1:$E$65536,4,FALSE)),"")</f>
        <v>S5068 Stanisław SIERZPUTOWSKI - AZSUW Warszawa</v>
      </c>
      <c r="V674" s="266"/>
      <c r="W674" s="267"/>
      <c r="X674" s="73" t="str">
        <f>IF(SUM(AS674:AT674)=0,"",AT674&amp;":"&amp;AS674)</f>
        <v/>
      </c>
      <c r="Y674" s="62"/>
      <c r="Z674" s="40" t="str">
        <f>IF(SUM(AS673:AT673)=0,"",AS673&amp;":"&amp;AT673)</f>
        <v/>
      </c>
      <c r="AA674" s="262"/>
      <c r="AB674" s="263"/>
      <c r="AC674" s="263"/>
      <c r="AD674" s="264"/>
      <c r="AE674" s="2"/>
      <c r="AF674" s="12"/>
      <c r="AG674" s="12"/>
      <c r="AH674" s="72" t="s">
        <v>18</v>
      </c>
      <c r="AI674" s="74">
        <f>IF(ISBLANK(S674),"",VLOOKUP(S674,'[1]plan gier'!$X$1:$AN$65536,12,FALSE))</f>
        <v>21</v>
      </c>
      <c r="AJ674" s="75">
        <f>IF(ISBLANK(S674),"",VLOOKUP(S674,'[1]plan gier'!$X$1:$AN$65536,13,FALSE))</f>
        <v>7</v>
      </c>
      <c r="AK674" s="75">
        <f>IF(ISBLANK(S674),"",VLOOKUP(S674,'[1]plan gier'!$X$1:$AN$65536,14,FALSE))</f>
        <v>21</v>
      </c>
      <c r="AL674" s="75">
        <f>IF(ISBLANK(S674),"",VLOOKUP(S674,'[1]plan gier'!$X$1:$AN$65536,15,FALSE))</f>
        <v>14</v>
      </c>
      <c r="AM674" s="75">
        <f>IF(ISBLANK(S674),"",VLOOKUP(S674,'[1]plan gier'!$X$1:$AN$65536,16,FALSE))</f>
        <v>0</v>
      </c>
      <c r="AN674" s="75">
        <f>IF(ISBLANK(S674),"",VLOOKUP(S674,'[1]plan gier'!$X$1:$AN$65536,17,FALSE))</f>
        <v>0</v>
      </c>
      <c r="AO674" s="76">
        <f t="shared" si="64"/>
        <v>21</v>
      </c>
      <c r="AP674" s="75">
        <f t="shared" si="64"/>
        <v>7</v>
      </c>
      <c r="AQ674" s="77">
        <f t="shared" si="64"/>
        <v>21</v>
      </c>
      <c r="AR674" s="75">
        <f t="shared" si="64"/>
        <v>14</v>
      </c>
      <c r="AS674" s="77">
        <f t="shared" si="64"/>
        <v>0</v>
      </c>
      <c r="AT674" s="75">
        <f t="shared" si="64"/>
        <v>0</v>
      </c>
      <c r="AU674" s="54">
        <f>SUM(AO674:AT674)</f>
        <v>63</v>
      </c>
      <c r="AV674" s="13">
        <v>3</v>
      </c>
      <c r="AW674" s="74">
        <f>IF(AI672&lt;AJ672,1,0)+IF(AK672&lt;AL672,1,0)+IF(AM672&lt;AN672,1,0)</f>
        <v>0</v>
      </c>
      <c r="AX674" s="75">
        <f>BA672</f>
        <v>2</v>
      </c>
      <c r="AY674" s="75">
        <f>IF(AI673&lt;AJ673,1,0)+IF(AK673&lt;AL673,1,0)+IF(AM673&lt;AN673,1,0)</f>
        <v>0</v>
      </c>
      <c r="AZ674" s="75">
        <f>BA673</f>
        <v>2</v>
      </c>
      <c r="BA674" s="78"/>
      <c r="BB674" s="79"/>
      <c r="BE674" s="74">
        <f>AP672+AR672+AT672+AP673+AR673+AT673</f>
        <v>0</v>
      </c>
      <c r="BF674" s="80">
        <f>AO672+AQ672+AS672+AO673+AQ673+AS673</f>
        <v>84</v>
      </c>
      <c r="BG674" s="74">
        <f>AW674+AY674</f>
        <v>0</v>
      </c>
      <c r="BH674" s="80">
        <f>AX674+AZ674</f>
        <v>4</v>
      </c>
      <c r="BI674" s="74">
        <f>IF(AW674&gt;AX674,1,0)+IF(AY674&gt;AZ674,1,0)</f>
        <v>0</v>
      </c>
      <c r="BJ674" s="81">
        <f>IF(AX674&gt;AW674,1,0)+IF(AZ674&gt;AY674,1,0)</f>
        <v>2</v>
      </c>
      <c r="BK674" s="82">
        <f>IF(BI674+BJ674=0,"",IF(BL674=MAX(BL672:BL674),1,IF(BL674=MIN(BL672:BL674),3,2)))</f>
        <v>3</v>
      </c>
      <c r="BL674" s="60">
        <f>IF(BI674+BJ674&lt;&gt;0,BI674+1+(BG674-BH674)/100+(BE674-BF674)/100000+(BE674/BF674)/1000000,0)</f>
        <v>0.95916000000000001</v>
      </c>
    </row>
    <row r="675" spans="1:64" ht="11.45" customHeight="1" x14ac:dyDescent="0.2">
      <c r="A675" s="2"/>
      <c r="J675" s="28"/>
      <c r="K675" s="28"/>
      <c r="L675" s="28"/>
      <c r="O675" s="28"/>
      <c r="P675" s="28"/>
      <c r="Q675" s="2"/>
      <c r="R675" s="2"/>
      <c r="S675" s="2"/>
      <c r="T675" s="241">
        <v>3</v>
      </c>
      <c r="U675" s="244" t="str">
        <f>IF(AND(N676&lt;&gt;"",N677&lt;&gt;""),CONCATENATE(VLOOKUP(N676,[1]zawodnicy!$A$1:$E$65536,1,FALSE)," ",VLOOKUP(N676,[1]zawodnicy!$A$1:$E$65536,2,FALSE)," ",VLOOKUP(N676,[1]zawodnicy!$A$1:$E$65536,3,FALSE)," - ",VLOOKUP(N676,[1]zawodnicy!$A$1:$E$65536,4,FALSE)),"")</f>
        <v>X47 Jan Hrabiec - Slavoj Cesky Tesin</v>
      </c>
      <c r="V675" s="245"/>
      <c r="W675" s="246"/>
      <c r="X675" s="46" t="str">
        <f>IF(SUM(AO672:AP672)=0,"",AP672&amp;":"&amp;AO672)</f>
        <v>0:21</v>
      </c>
      <c r="Y675" s="83" t="str">
        <f>IF(SUM(AO673:AP673)=0,"",AP673&amp;":"&amp;AO673)</f>
        <v>0:21</v>
      </c>
      <c r="Z675" s="84"/>
      <c r="AA675" s="247" t="str">
        <f>IF(SUM(AW674:AZ674)=0,"",BE674&amp;":"&amp;BF674)</f>
        <v>0:84</v>
      </c>
      <c r="AB675" s="250" t="str">
        <f>IF(SUM(AW674:AZ674)=0,"",BG674&amp;":"&amp;BH674)</f>
        <v>0:4</v>
      </c>
      <c r="AC675" s="250" t="str">
        <f>IF(SUM(AW674:AZ674)=0,"",BI674&amp;":"&amp;BJ674)</f>
        <v>0:2</v>
      </c>
      <c r="AD675" s="253">
        <f>IF(SUM(BI672:BI674)&gt;0,BK674,"")</f>
        <v>3</v>
      </c>
      <c r="AE675" s="2"/>
      <c r="AF675" s="12"/>
      <c r="AG675" s="12"/>
      <c r="BE675" s="19">
        <f>SUM(BE672:BE674)</f>
        <v>147</v>
      </c>
      <c r="BF675" s="19">
        <f>SUM(BF672:BF674)</f>
        <v>147</v>
      </c>
      <c r="BG675" s="19">
        <f>SUM(BG672:BG674)</f>
        <v>6</v>
      </c>
      <c r="BH675" s="19">
        <f>SUM(BH672:BH674)</f>
        <v>6</v>
      </c>
      <c r="BK675" s="19"/>
      <c r="BL675" s="20"/>
    </row>
    <row r="676" spans="1:64" ht="11.45" customHeight="1" x14ac:dyDescent="0.2">
      <c r="A676" s="19"/>
      <c r="J676" s="19"/>
      <c r="K676" s="19"/>
      <c r="L676" s="19"/>
      <c r="N676" s="33" t="s">
        <v>342</v>
      </c>
      <c r="O676" s="34">
        <f>IF(O668&gt;0,(O668&amp;3)*1,"")</f>
        <v>23</v>
      </c>
      <c r="Q676" s="85"/>
      <c r="R676" s="85"/>
      <c r="S676" s="85"/>
      <c r="T676" s="242"/>
      <c r="U676" s="244" t="str">
        <f>IF(AND(N676&lt;&gt;"",N677=""),CONCATENATE(VLOOKUP(N676,[1]zawodnicy!$A$1:$E$65536,1,FALSE)," ",VLOOKUP(N676,[1]zawodnicy!$A$1:$E$65536,2,FALSE)," ",VLOOKUP(N676,[1]zawodnicy!$A$1:$E$65536,3,FALSE)," - ",VLOOKUP(N676,[1]zawodnicy!$A$1:$E$65536,4,FALSE)),"")</f>
        <v/>
      </c>
      <c r="V676" s="245"/>
      <c r="W676" s="246"/>
      <c r="X676" s="61" t="str">
        <f>IF(SUM(AQ672:AR672)=0,"",AR672&amp;":"&amp;AQ672)</f>
        <v>0:21</v>
      </c>
      <c r="Y676" s="36" t="str">
        <f>IF(SUM(AQ673:AR673)=0,"",AR673&amp;":"&amp;AQ673)</f>
        <v>0:21</v>
      </c>
      <c r="Z676" s="86"/>
      <c r="AA676" s="248"/>
      <c r="AB676" s="251"/>
      <c r="AC676" s="251"/>
      <c r="AD676" s="254"/>
      <c r="AE676" s="2"/>
      <c r="AF676" s="12"/>
      <c r="AG676" s="1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row>
    <row r="677" spans="1:64" ht="11.45" customHeight="1" thickBot="1" x14ac:dyDescent="0.25">
      <c r="A677" s="2"/>
      <c r="J677" s="28"/>
      <c r="K677" s="28"/>
      <c r="L677" s="28"/>
      <c r="N677" s="38" t="s">
        <v>343</v>
      </c>
      <c r="O677" s="28"/>
      <c r="P677" s="28"/>
      <c r="Q677" s="2"/>
      <c r="R677" s="2"/>
      <c r="S677" s="2"/>
      <c r="T677" s="243"/>
      <c r="U677" s="256" t="str">
        <f>IF(N677&lt;&gt;"",CONCATENATE(VLOOKUP(N677,[1]zawodnicy!$A$1:$E$65536,1,FALSE)," ",VLOOKUP(N677,[1]zawodnicy!$A$1:$E$65536,2,FALSE)," ",VLOOKUP(N677,[1]zawodnicy!$A$1:$E$65536,3,FALSE)," - ",VLOOKUP(N677,[1]zawodnicy!$A$1:$E$65536,4,FALSE)),"")</f>
        <v>X48 Tom Kůr  - Slavoj Cesky Tesin</v>
      </c>
      <c r="V677" s="257"/>
      <c r="W677" s="258"/>
      <c r="X677" s="87" t="str">
        <f>IF(SUM(AS672:AT672)=0,"",AT672&amp;":"&amp;AS672)</f>
        <v/>
      </c>
      <c r="Y677" s="88" t="str">
        <f>IF(SUM(AS673:AT673)=0,"",AT673&amp;":"&amp;AS673)</f>
        <v/>
      </c>
      <c r="Z677" s="89"/>
      <c r="AA677" s="249"/>
      <c r="AB677" s="252"/>
      <c r="AC677" s="252"/>
      <c r="AD677" s="255"/>
      <c r="AE677" s="10"/>
      <c r="AF677" s="12"/>
      <c r="AG677" s="1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row>
    <row r="678" spans="1:64" s="19" customFormat="1" ht="5.0999999999999996" customHeight="1" thickBot="1" x14ac:dyDescent="0.25">
      <c r="M678" s="90"/>
      <c r="O678" s="90"/>
      <c r="P678" s="90"/>
      <c r="Q678" s="91"/>
      <c r="R678" s="91"/>
      <c r="S678" s="91"/>
      <c r="T678" s="91"/>
      <c r="U678" s="5"/>
      <c r="V678" s="5"/>
      <c r="W678" s="5"/>
      <c r="AA678" s="92"/>
      <c r="AB678" s="91"/>
      <c r="AC678" s="91"/>
      <c r="AD678" s="91"/>
      <c r="AE678" s="91"/>
      <c r="AF678" s="91"/>
      <c r="AI678" s="93"/>
      <c r="AJ678" s="94"/>
      <c r="AK678" s="94"/>
    </row>
    <row r="679" spans="1:64" ht="11.45" customHeight="1" thickBot="1" x14ac:dyDescent="0.25">
      <c r="N679" s="11"/>
      <c r="O679" s="21">
        <v>3</v>
      </c>
      <c r="Q679" s="277" t="str">
        <f>"Grupa "&amp;O679&amp;"."</f>
        <v>Grupa 3.</v>
      </c>
      <c r="R679" s="277"/>
      <c r="S679" s="277"/>
      <c r="T679" s="22" t="s">
        <v>1</v>
      </c>
      <c r="U679" s="278" t="s">
        <v>2</v>
      </c>
      <c r="V679" s="279"/>
      <c r="W679" s="280"/>
      <c r="X679" s="22">
        <v>1</v>
      </c>
      <c r="Y679" s="23">
        <v>2</v>
      </c>
      <c r="Z679" s="24">
        <v>3</v>
      </c>
      <c r="AA679" s="25" t="s">
        <v>3</v>
      </c>
      <c r="AB679" s="26" t="s">
        <v>4</v>
      </c>
      <c r="AC679" s="26" t="s">
        <v>5</v>
      </c>
      <c r="AD679" s="27" t="s">
        <v>6</v>
      </c>
      <c r="AE679" s="2"/>
      <c r="AF679" s="12"/>
      <c r="AG679" s="12"/>
      <c r="BK679" s="19"/>
      <c r="BL679" s="20"/>
    </row>
    <row r="680" spans="1:64" ht="11.45" customHeight="1" x14ac:dyDescent="0.2">
      <c r="J680" s="28"/>
      <c r="K680" s="28"/>
      <c r="L680" s="28"/>
      <c r="N680" s="29" t="s">
        <v>329</v>
      </c>
      <c r="Q680" s="274" t="s">
        <v>7</v>
      </c>
      <c r="R680" s="274"/>
      <c r="S680" s="275" t="s">
        <v>8</v>
      </c>
      <c r="T680" s="276">
        <v>1</v>
      </c>
      <c r="U680" s="244" t="str">
        <f>IF(AND(N681&lt;&gt;"",N682&lt;&gt;""),CONCATENATE(VLOOKUP(N681,[1]zawodnicy!$A$1:$E$65536,1,FALSE)," ",VLOOKUP(N681,[1]zawodnicy!$A$1:$E$65536,2,FALSE)," ",VLOOKUP(N681,[1]zawodnicy!$A$1:$E$65536,3,FALSE)," - ",VLOOKUP(N681,[1]zawodnicy!$A$1:$E$65536,4,FALSE)),"")</f>
        <v>K4239 Paweł KAŹMIERCZYK - UKSB Milenium Warszawa</v>
      </c>
      <c r="V680" s="245"/>
      <c r="W680" s="246"/>
      <c r="X680" s="30"/>
      <c r="Y680" s="31" t="str">
        <f>IF(SUM(AO685:AP685)=0,"",AO685&amp;":"&amp;AP685)</f>
        <v>18:21</v>
      </c>
      <c r="Z680" s="32" t="str">
        <f>IF(SUM(AO683:AP683)=0,"",AO683&amp;":"&amp;AP683)</f>
        <v>19:21</v>
      </c>
      <c r="AA680" s="270" t="str">
        <f>IF(SUM(AY683:BB683)=0,"",BE683&amp;":"&amp;BF683)</f>
        <v>91:103</v>
      </c>
      <c r="AB680" s="271" t="str">
        <f>IF(SUM(AY683:BB683)=0,"",BG683&amp;":"&amp;BH683)</f>
        <v>1:4</v>
      </c>
      <c r="AC680" s="271" t="str">
        <f>IF(SUM(AY683:BB683)=0,"",BI683&amp;":"&amp;BJ683)</f>
        <v>0:2</v>
      </c>
      <c r="AD680" s="272">
        <f>IF(SUM(BI683:BI685)&gt;0,BK683,"")</f>
        <v>3</v>
      </c>
      <c r="AE680" s="2"/>
      <c r="AF680" s="12"/>
      <c r="AG680" s="12"/>
      <c r="AH680" s="14"/>
      <c r="AI680" s="273" t="s">
        <v>9</v>
      </c>
      <c r="AJ680" s="273"/>
      <c r="AK680" s="273"/>
      <c r="AL680" s="273"/>
      <c r="AM680" s="273"/>
      <c r="AN680" s="273"/>
      <c r="AO680" s="273" t="s">
        <v>10</v>
      </c>
      <c r="AP680" s="273"/>
      <c r="AQ680" s="273"/>
      <c r="AR680" s="273"/>
      <c r="AS680" s="273"/>
      <c r="AT680" s="273"/>
      <c r="BK680" s="19"/>
      <c r="BL680" s="20"/>
    </row>
    <row r="681" spans="1:64" ht="11.45" customHeight="1" thickBot="1" x14ac:dyDescent="0.25">
      <c r="I681" s="2" t="str">
        <f>"1"&amp;O679&amp;N680</f>
        <v>13podwójna chłopców MM</v>
      </c>
      <c r="J681" s="10" t="str">
        <f>IF(AD680="","",IF(AD680=1,N681,IF(AD683=1,N684,IF(AD686=1,N687,""))))</f>
        <v>H5344</v>
      </c>
      <c r="K681" s="10" t="str">
        <f>IF(AD680="","",IF(AD680=1,N682,IF(AD683=1,N685,IF(AD686=1,N688,""))))</f>
        <v>P5351</v>
      </c>
      <c r="L681" s="10"/>
      <c r="N681" s="33" t="s">
        <v>344</v>
      </c>
      <c r="O681" s="34">
        <f>IF(O679&gt;0,(O679&amp;1)*1,"")</f>
        <v>31</v>
      </c>
      <c r="Q681" s="274"/>
      <c r="R681" s="274"/>
      <c r="S681" s="275"/>
      <c r="T681" s="242"/>
      <c r="U681" s="244" t="str">
        <f>IF(AND(N681&lt;&gt;"",N682=""),CONCATENATE(VLOOKUP(N681,[1]zawodnicy!$A$1:$E$65536,1,FALSE)," ",VLOOKUP(N681,[1]zawodnicy!$A$1:$E$65536,2,FALSE)," ",VLOOKUP(N681,[1]zawodnicy!$A$1:$E$65536,3,FALSE)," - ",VLOOKUP(N681,[1]zawodnicy!$A$1:$E$65536,4,FALSE)),"")</f>
        <v/>
      </c>
      <c r="V681" s="245"/>
      <c r="W681" s="246"/>
      <c r="X681" s="35"/>
      <c r="Y681" s="36" t="str">
        <f>IF(SUM(AQ685:AR685)=0,"",AQ685&amp;":"&amp;AR685)</f>
        <v>21:19</v>
      </c>
      <c r="Z681" s="37" t="str">
        <f>IF(SUM(AQ683:AR683)=0,"",AQ683&amp;":"&amp;AR683)</f>
        <v>18:21</v>
      </c>
      <c r="AA681" s="248"/>
      <c r="AB681" s="251"/>
      <c r="AC681" s="251"/>
      <c r="AD681" s="254"/>
      <c r="AE681" s="2"/>
      <c r="AF681" s="12"/>
      <c r="AG681" s="12"/>
      <c r="AH681" s="14"/>
      <c r="BE681" s="19">
        <f>SUM(BE683:BE685)</f>
        <v>305</v>
      </c>
      <c r="BF681" s="19">
        <f>SUM(BF683:BF685)</f>
        <v>305</v>
      </c>
      <c r="BG681" s="19">
        <f>SUM(BG683:BG685)</f>
        <v>8</v>
      </c>
      <c r="BH681" s="19">
        <f>SUM(BH683:BH685)</f>
        <v>8</v>
      </c>
      <c r="BK681" s="19"/>
      <c r="BL681" s="20"/>
    </row>
    <row r="682" spans="1:64" ht="11.45" customHeight="1" thickBot="1" x14ac:dyDescent="0.25">
      <c r="J682" s="10"/>
      <c r="K682" s="28"/>
      <c r="L682" s="28"/>
      <c r="N682" s="38" t="s">
        <v>345</v>
      </c>
      <c r="O682" s="28"/>
      <c r="P682" s="28"/>
      <c r="Q682" s="274"/>
      <c r="R682" s="274"/>
      <c r="S682" s="275"/>
      <c r="T682" s="261"/>
      <c r="U682" s="265" t="str">
        <f>IF(N682&lt;&gt;"",CONCATENATE(VLOOKUP(N682,[1]zawodnicy!$A$1:$E$65536,1,FALSE)," ",VLOOKUP(N682,[1]zawodnicy!$A$1:$E$65536,2,FALSE)," ",VLOOKUP(N682,[1]zawodnicy!$A$1:$E$65536,3,FALSE)," - ",VLOOKUP(N682,[1]zawodnicy!$A$1:$E$65536,4,FALSE)),"")</f>
        <v>M4698 Norbert MARKOWSKI - UKS Kometa Sianów</v>
      </c>
      <c r="V682" s="266"/>
      <c r="W682" s="267"/>
      <c r="X682" s="35"/>
      <c r="Y682" s="39" t="str">
        <f>IF(SUM(AS685:AT685)=0,"",AS685&amp;":"&amp;AT685)</f>
        <v>15:21</v>
      </c>
      <c r="Z682" s="40" t="str">
        <f>IF(SUM(AS683:AT683)=0,"",AS683&amp;":"&amp;AT683)</f>
        <v/>
      </c>
      <c r="AA682" s="262"/>
      <c r="AB682" s="263"/>
      <c r="AC682" s="263"/>
      <c r="AD682" s="264"/>
      <c r="AE682" s="2"/>
      <c r="AF682" s="12"/>
      <c r="AG682" s="12"/>
      <c r="AH682" s="14"/>
      <c r="AI682" s="259" t="s">
        <v>12</v>
      </c>
      <c r="AJ682" s="269"/>
      <c r="AK682" s="268" t="s">
        <v>13</v>
      </c>
      <c r="AL682" s="269"/>
      <c r="AM682" s="268" t="s">
        <v>14</v>
      </c>
      <c r="AN682" s="260"/>
      <c r="AO682" s="259" t="s">
        <v>12</v>
      </c>
      <c r="AP682" s="269"/>
      <c r="AQ682" s="268" t="s">
        <v>13</v>
      </c>
      <c r="AR682" s="269"/>
      <c r="AS682" s="268" t="s">
        <v>14</v>
      </c>
      <c r="AT682" s="269"/>
      <c r="AU682" s="12"/>
      <c r="AV682" s="12"/>
      <c r="AW682" s="259">
        <v>1</v>
      </c>
      <c r="AX682" s="269"/>
      <c r="AY682" s="268">
        <v>2</v>
      </c>
      <c r="AZ682" s="269"/>
      <c r="BA682" s="268">
        <v>3</v>
      </c>
      <c r="BB682" s="260"/>
      <c r="BE682" s="259" t="s">
        <v>3</v>
      </c>
      <c r="BF682" s="260"/>
      <c r="BG682" s="259" t="s">
        <v>4</v>
      </c>
      <c r="BH682" s="260"/>
      <c r="BI682" s="259" t="s">
        <v>5</v>
      </c>
      <c r="BJ682" s="260"/>
      <c r="BK682" s="41" t="s">
        <v>6</v>
      </c>
      <c r="BL682" s="20"/>
    </row>
    <row r="683" spans="1:64" ht="11.45" customHeight="1" x14ac:dyDescent="0.2">
      <c r="A683" s="19">
        <f>S683</f>
        <v>95</v>
      </c>
      <c r="B683" s="2" t="str">
        <f>IF(N681="","",N681)</f>
        <v>K4239</v>
      </c>
      <c r="C683" s="2" t="str">
        <f>IF(N682="","",N682)</f>
        <v>M4698</v>
      </c>
      <c r="D683" s="2" t="str">
        <f>IF(N687="","",N687)</f>
        <v>F4888</v>
      </c>
      <c r="E683" s="2" t="str">
        <f>IF(N688="","",N688)</f>
        <v>Z4312</v>
      </c>
      <c r="I683" s="2" t="str">
        <f>"2"&amp;O679&amp;N680</f>
        <v>23podwójna chłopców MM</v>
      </c>
      <c r="J683" s="10" t="str">
        <f>IF(AD683="","",IF(AD680=2,N681,IF(AD683=2,N684,IF(AD686=2,N687,""))))</f>
        <v>F4888</v>
      </c>
      <c r="K683" s="10" t="str">
        <f>IF(AD683="","",IF(AD680=2,N682,IF(AD683=2,N685,IF(AD686=2,N688,""))))</f>
        <v>Z4312</v>
      </c>
      <c r="M683" s="42" t="str">
        <f>N680</f>
        <v>podwójna chłopców MM</v>
      </c>
      <c r="O683" s="28"/>
      <c r="P683" s="28"/>
      <c r="Q683" s="43" t="str">
        <f>IF(AU683&gt;0,"",IF(A683=0,"",IF(VLOOKUP(A683,'[1]plan gier'!A$1:S$65536,19,FALSE)="","",VLOOKUP(A683,'[1]plan gier'!A$1:S$65536,19,FALSE))))</f>
        <v/>
      </c>
      <c r="R683" s="44" t="s">
        <v>15</v>
      </c>
      <c r="S683" s="45">
        <v>95</v>
      </c>
      <c r="T683" s="241">
        <v>2</v>
      </c>
      <c r="U683" s="244" t="str">
        <f>IF(AND(N684&lt;&gt;"",N685&lt;&gt;""),CONCATENATE(VLOOKUP(N684,[1]zawodnicy!$A$1:$E$65536,1,FALSE)," ",VLOOKUP(N684,[1]zawodnicy!$A$1:$E$65536,2,FALSE)," ",VLOOKUP(N684,[1]zawodnicy!$A$1:$E$65536,3,FALSE)," - ",VLOOKUP(N684,[1]zawodnicy!$A$1:$E$65536,4,FALSE)),"")</f>
        <v>H5344 Mateusz HAŁASA - UKS Kiko Zamość</v>
      </c>
      <c r="V683" s="245"/>
      <c r="W683" s="246"/>
      <c r="X683" s="46" t="str">
        <f>IF(SUM(AO685:AP685)=0,"",AP685&amp;":"&amp;AO685)</f>
        <v>21:18</v>
      </c>
      <c r="Y683" s="47"/>
      <c r="Z683" s="48" t="str">
        <f>IF(SUM(AO684:AP684)=0,"",AO684&amp;":"&amp;AP684)</f>
        <v>16:21</v>
      </c>
      <c r="AA683" s="247" t="str">
        <f>IF(SUM(AW684:AX684,BA684:BB684)=0,"",BE684&amp;":"&amp;BF684)</f>
        <v>119:107</v>
      </c>
      <c r="AB683" s="250" t="str">
        <f>IF(SUM(AW684:AX684,BA684:BB684)=0,"",BG684&amp;":"&amp;BH684)</f>
        <v>4:2</v>
      </c>
      <c r="AC683" s="250" t="str">
        <f>IF(SUM(AW684:AX684,BA684:BB684)=0,"",BI684&amp;":"&amp;BJ684)</f>
        <v>2:0</v>
      </c>
      <c r="AD683" s="253">
        <f>IF(SUM(BI683:BI685)&gt;0,BK684,"")</f>
        <v>1</v>
      </c>
      <c r="AE683" s="2"/>
      <c r="AF683" s="12"/>
      <c r="AG683" s="12"/>
      <c r="AH683" s="44" t="s">
        <v>15</v>
      </c>
      <c r="AI683" s="49">
        <f>IF(ISBLANK(S683),"",VLOOKUP(S683,'[1]plan gier'!$X$1:$AN$65536,12,FALSE))</f>
        <v>19</v>
      </c>
      <c r="AJ683" s="50">
        <f>IF(ISBLANK(S683),"",VLOOKUP(S683,'[1]plan gier'!$X$1:$AN$65536,13,FALSE))</f>
        <v>21</v>
      </c>
      <c r="AK683" s="50">
        <f>IF(ISBLANK(S683),"",VLOOKUP(S683,'[1]plan gier'!$X$1:$AN$65536,14,FALSE))</f>
        <v>18</v>
      </c>
      <c r="AL683" s="50">
        <f>IF(ISBLANK(S683),"",VLOOKUP(S683,'[1]plan gier'!$X$1:$AN$65536,15,FALSE))</f>
        <v>21</v>
      </c>
      <c r="AM683" s="50">
        <f>IF(ISBLANK(S683),"",VLOOKUP(S683,'[1]plan gier'!$X$1:$AN$65536,16,FALSE))</f>
        <v>0</v>
      </c>
      <c r="AN683" s="50">
        <f>IF(ISBLANK(S683),"",VLOOKUP(S683,'[1]plan gier'!$X$1:$AN$65536,17,FALSE))</f>
        <v>0</v>
      </c>
      <c r="AO683" s="51">
        <f t="shared" ref="AO683:AT685" si="65">IF(AI683="",0,AI683)</f>
        <v>19</v>
      </c>
      <c r="AP683" s="52">
        <f t="shared" si="65"/>
        <v>21</v>
      </c>
      <c r="AQ683" s="53">
        <f t="shared" si="65"/>
        <v>18</v>
      </c>
      <c r="AR683" s="52">
        <f t="shared" si="65"/>
        <v>21</v>
      </c>
      <c r="AS683" s="53">
        <f t="shared" si="65"/>
        <v>0</v>
      </c>
      <c r="AT683" s="52">
        <f t="shared" si="65"/>
        <v>0</v>
      </c>
      <c r="AU683" s="54">
        <f>SUM(AO683:AT683)</f>
        <v>79</v>
      </c>
      <c r="AV683" s="13">
        <v>1</v>
      </c>
      <c r="AW683" s="55"/>
      <c r="AX683" s="56"/>
      <c r="AY683" s="50">
        <f>IF(AI685&gt;AJ685,1,0)+IF(AK685&gt;AL685,1,0)+IF(AM685&gt;AN685,1,0)</f>
        <v>1</v>
      </c>
      <c r="AZ683" s="50">
        <f>AW684</f>
        <v>2</v>
      </c>
      <c r="BA683" s="50">
        <f>IF(AI683&gt;AJ683,1,0)+IF(AK683&gt;AL683,1,0)+IF(AM683&gt;AN683,1,0)</f>
        <v>0</v>
      </c>
      <c r="BB683" s="57">
        <f>AW685</f>
        <v>2</v>
      </c>
      <c r="BE683" s="49">
        <f>AO683+AQ683+AS683+AO685+AQ685+AS685</f>
        <v>91</v>
      </c>
      <c r="BF683" s="57">
        <f>AP683+AR683+AT683+AP685+AR685+AT685</f>
        <v>103</v>
      </c>
      <c r="BG683" s="49">
        <f>AY683+BA683</f>
        <v>1</v>
      </c>
      <c r="BH683" s="57">
        <f>AZ683+BB683</f>
        <v>4</v>
      </c>
      <c r="BI683" s="49">
        <f>IF(AY683&gt;AZ683,1,0)+IF(BA683&gt;BB683,1,0)</f>
        <v>0</v>
      </c>
      <c r="BJ683" s="58">
        <f>IF(AZ683&gt;AY683,1,0)+IF(BB683&gt;BA683,1,0)</f>
        <v>2</v>
      </c>
      <c r="BK683" s="59">
        <f>IF(BI683+BJ683=0,"",IF(BL683=MAX(BL683:BL685),1,IF(BL683=MIN(BL683:BL685),3,2)))</f>
        <v>3</v>
      </c>
      <c r="BL683" s="60">
        <f>IF(BI683+BJ683&lt;&gt;0,BI683+1+(BG683-BH683)/100+(BE683-BF683)/100000+(BE683/BF683)/1000000,0)</f>
        <v>0.96988088349514556</v>
      </c>
    </row>
    <row r="684" spans="1:64" ht="11.45" customHeight="1" x14ac:dyDescent="0.2">
      <c r="A684" s="19">
        <f>S684</f>
        <v>161</v>
      </c>
      <c r="B684" s="2" t="str">
        <f>IF(N684="","",N684)</f>
        <v>H5344</v>
      </c>
      <c r="C684" s="2" t="str">
        <f>IF(N685="","",N685)</f>
        <v>P5351</v>
      </c>
      <c r="D684" s="2" t="str">
        <f>IF(N687="","",N687)</f>
        <v>F4888</v>
      </c>
      <c r="E684" s="2" t="str">
        <f>IF(N688="","",N688)</f>
        <v>Z4312</v>
      </c>
      <c r="J684" s="10"/>
      <c r="K684" s="19"/>
      <c r="M684" s="42" t="str">
        <f>N680</f>
        <v>podwójna chłopców MM</v>
      </c>
      <c r="N684" s="33" t="s">
        <v>346</v>
      </c>
      <c r="O684" s="34">
        <f>IF(O679&gt;0,(O679&amp;2)*1,"")</f>
        <v>32</v>
      </c>
      <c r="Q684" s="43" t="str">
        <f>IF(AU684&gt;0,"",IF(A684=0,"",IF(VLOOKUP(A684,'[1]plan gier'!A$1:S$65536,19,FALSE)="","",VLOOKUP(A684,'[1]plan gier'!A$1:S$65536,19,FALSE))))</f>
        <v/>
      </c>
      <c r="R684" s="44" t="s">
        <v>17</v>
      </c>
      <c r="S684" s="45">
        <v>161</v>
      </c>
      <c r="T684" s="242"/>
      <c r="U684" s="244" t="str">
        <f>IF(AND(N684&lt;&gt;"",N685=""),CONCATENATE(VLOOKUP(N684,[1]zawodnicy!$A$1:$E$65536,1,FALSE)," ",VLOOKUP(N684,[1]zawodnicy!$A$1:$E$65536,2,FALSE)," ",VLOOKUP(N684,[1]zawodnicy!$A$1:$E$65536,3,FALSE)," - ",VLOOKUP(N684,[1]zawodnicy!$A$1:$E$65536,4,FALSE)),"")</f>
        <v/>
      </c>
      <c r="V684" s="245"/>
      <c r="W684" s="246"/>
      <c r="X684" s="61" t="str">
        <f>IF(SUM(AQ685:AR685)=0,"",AR685&amp;":"&amp;AQ685)</f>
        <v>19:21</v>
      </c>
      <c r="Y684" s="62"/>
      <c r="Z684" s="37" t="str">
        <f>IF(SUM(AQ684:AR684)=0,"",AQ684&amp;":"&amp;AR684)</f>
        <v>21:13</v>
      </c>
      <c r="AA684" s="248"/>
      <c r="AB684" s="251"/>
      <c r="AC684" s="251"/>
      <c r="AD684" s="254"/>
      <c r="AE684" s="2"/>
      <c r="AF684" s="12"/>
      <c r="AG684" s="12"/>
      <c r="AH684" s="44" t="s">
        <v>17</v>
      </c>
      <c r="AI684" s="63">
        <f>IF(ISBLANK(S684),"",VLOOKUP(S684,'[1]plan gier'!$X$1:$AN$65536,12,FALSE))</f>
        <v>16</v>
      </c>
      <c r="AJ684" s="64">
        <f>IF(ISBLANK(S684),"",VLOOKUP(S684,'[1]plan gier'!$X$1:$AN$65536,13,FALSE))</f>
        <v>21</v>
      </c>
      <c r="AK684" s="64">
        <f>IF(ISBLANK(S684),"",VLOOKUP(S684,'[1]plan gier'!$X$1:$AN$65536,14,FALSE))</f>
        <v>21</v>
      </c>
      <c r="AL684" s="64">
        <f>IF(ISBLANK(S684),"",VLOOKUP(S684,'[1]plan gier'!$X$1:$AN$65536,15,FALSE))</f>
        <v>13</v>
      </c>
      <c r="AM684" s="64">
        <f>IF(ISBLANK(S684),"",VLOOKUP(S684,'[1]plan gier'!$X$1:$AN$65536,16,FALSE))</f>
        <v>21</v>
      </c>
      <c r="AN684" s="64">
        <f>IF(ISBLANK(S684),"",VLOOKUP(S684,'[1]plan gier'!$X$1:$AN$65536,17,FALSE))</f>
        <v>19</v>
      </c>
      <c r="AO684" s="65">
        <f t="shared" si="65"/>
        <v>16</v>
      </c>
      <c r="AP684" s="64">
        <f t="shared" si="65"/>
        <v>21</v>
      </c>
      <c r="AQ684" s="66">
        <f t="shared" si="65"/>
        <v>21</v>
      </c>
      <c r="AR684" s="64">
        <f t="shared" si="65"/>
        <v>13</v>
      </c>
      <c r="AS684" s="66">
        <f t="shared" si="65"/>
        <v>21</v>
      </c>
      <c r="AT684" s="64">
        <f t="shared" si="65"/>
        <v>19</v>
      </c>
      <c r="AU684" s="54">
        <f>SUM(AO684:AT684)</f>
        <v>111</v>
      </c>
      <c r="AV684" s="13">
        <v>2</v>
      </c>
      <c r="AW684" s="63">
        <f>IF(AI685&lt;AJ685,1,0)+IF(AK685&lt;AL685,1,0)+IF(AM685&lt;AN685,1,0)</f>
        <v>2</v>
      </c>
      <c r="AX684" s="64">
        <f>AY683</f>
        <v>1</v>
      </c>
      <c r="AY684" s="67"/>
      <c r="AZ684" s="68"/>
      <c r="BA684" s="64">
        <f>IF(AI684&gt;AJ684,1,0)+IF(AK684&gt;AL684,1,0)+IF(AM684&gt;AN684,1,0)</f>
        <v>2</v>
      </c>
      <c r="BB684" s="69">
        <f>AY685</f>
        <v>1</v>
      </c>
      <c r="BE684" s="63">
        <f>AO684+AQ684+AS684+AP685+AR685+AT685</f>
        <v>119</v>
      </c>
      <c r="BF684" s="69">
        <f>AP684+AR684+AT684+AO685+AQ685+AS685</f>
        <v>107</v>
      </c>
      <c r="BG684" s="63">
        <f>AW684+BA684</f>
        <v>4</v>
      </c>
      <c r="BH684" s="69">
        <f>AX684+BB684</f>
        <v>2</v>
      </c>
      <c r="BI684" s="63">
        <f>IF(AW684&gt;AX684,1,0)+IF(BA684&gt;BB684,1,0)</f>
        <v>2</v>
      </c>
      <c r="BJ684" s="70">
        <f>IF(AX684&gt;AW684,1,0)+IF(BB684&gt;BA684,1,0)</f>
        <v>0</v>
      </c>
      <c r="BK684" s="71">
        <f>IF(BI684+BJ684=0,"",IF(BL684=MAX(BL683:BL685),1,IF(BL684=MIN(BL683:BL685),3,2)))</f>
        <v>1</v>
      </c>
      <c r="BL684" s="60">
        <f>IF(BI684+BJ684&lt;&gt;0,BI684+1+(BG684-BH684)/100+(BE684-BF684)/100000+(BE684/BF684)/1000000,0)</f>
        <v>3.0201211121495328</v>
      </c>
    </row>
    <row r="685" spans="1:64" ht="11.45" customHeight="1" thickBot="1" x14ac:dyDescent="0.25">
      <c r="A685" s="19">
        <f>S685</f>
        <v>214</v>
      </c>
      <c r="B685" s="2" t="str">
        <f>IF(N681="","",N681)</f>
        <v>K4239</v>
      </c>
      <c r="C685" s="2" t="str">
        <f>IF(N682="","",N682)</f>
        <v>M4698</v>
      </c>
      <c r="D685" s="2" t="str">
        <f>IF(N684="","",N684)</f>
        <v>H5344</v>
      </c>
      <c r="E685" s="2" t="str">
        <f>IF(N685="","",N685)</f>
        <v>P5351</v>
      </c>
      <c r="I685" s="2" t="str">
        <f>"3"&amp;O679&amp;N680</f>
        <v>33podwójna chłopców MM</v>
      </c>
      <c r="J685" s="10" t="str">
        <f>IF(AD686="","",IF(AD680=3,N681,IF(AD683=3,N684,IF(AD686=3,N687,""))))</f>
        <v>K4239</v>
      </c>
      <c r="K685" s="10" t="str">
        <f>IF(AD686="","",IF(AD680=3,N682,IF(AD683=3,N685,IF(AD686=3,N688,""))))</f>
        <v>M4698</v>
      </c>
      <c r="M685" s="42" t="str">
        <f>N680</f>
        <v>podwójna chłopców MM</v>
      </c>
      <c r="N685" s="38" t="s">
        <v>347</v>
      </c>
      <c r="O685" s="28"/>
      <c r="P685" s="28"/>
      <c r="Q685" s="43" t="str">
        <f>IF(AU685&gt;0,"",IF(A685=0,"",IF(VLOOKUP(A685,'[1]plan gier'!A$1:S$65536,19,FALSE)="","",VLOOKUP(A685,'[1]plan gier'!A$1:S$65536,19,FALSE))))</f>
        <v/>
      </c>
      <c r="R685" s="72" t="s">
        <v>18</v>
      </c>
      <c r="S685" s="45">
        <v>214</v>
      </c>
      <c r="T685" s="261"/>
      <c r="U685" s="265" t="str">
        <f>IF(N685&lt;&gt;"",CONCATENATE(VLOOKUP(N685,[1]zawodnicy!$A$1:$E$65536,1,FALSE)," ",VLOOKUP(N685,[1]zawodnicy!$A$1:$E$65536,2,FALSE)," ",VLOOKUP(N685,[1]zawodnicy!$A$1:$E$65536,3,FALSE)," - ",VLOOKUP(N685,[1]zawodnicy!$A$1:$E$65536,4,FALSE)),"")</f>
        <v>P5351 Norbert POŹDZIK - UKS Kiko Zamość</v>
      </c>
      <c r="V685" s="266"/>
      <c r="W685" s="267"/>
      <c r="X685" s="73" t="str">
        <f>IF(SUM(AS685:AT685)=0,"",AT685&amp;":"&amp;AS685)</f>
        <v>21:15</v>
      </c>
      <c r="Y685" s="62"/>
      <c r="Z685" s="40" t="str">
        <f>IF(SUM(AS684:AT684)=0,"",AS684&amp;":"&amp;AT684)</f>
        <v>21:19</v>
      </c>
      <c r="AA685" s="262"/>
      <c r="AB685" s="263"/>
      <c r="AC685" s="263"/>
      <c r="AD685" s="264"/>
      <c r="AE685" s="2"/>
      <c r="AF685" s="12"/>
      <c r="AG685" s="12"/>
      <c r="AH685" s="72" t="s">
        <v>18</v>
      </c>
      <c r="AI685" s="74">
        <f>IF(ISBLANK(S685),"",VLOOKUP(S685,'[1]plan gier'!$X$1:$AN$65536,12,FALSE))</f>
        <v>18</v>
      </c>
      <c r="AJ685" s="75">
        <f>IF(ISBLANK(S685),"",VLOOKUP(S685,'[1]plan gier'!$X$1:$AN$65536,13,FALSE))</f>
        <v>21</v>
      </c>
      <c r="AK685" s="75">
        <f>IF(ISBLANK(S685),"",VLOOKUP(S685,'[1]plan gier'!$X$1:$AN$65536,14,FALSE))</f>
        <v>21</v>
      </c>
      <c r="AL685" s="75">
        <f>IF(ISBLANK(S685),"",VLOOKUP(S685,'[1]plan gier'!$X$1:$AN$65536,15,FALSE))</f>
        <v>19</v>
      </c>
      <c r="AM685" s="75">
        <f>IF(ISBLANK(S685),"",VLOOKUP(S685,'[1]plan gier'!$X$1:$AN$65536,16,FALSE))</f>
        <v>15</v>
      </c>
      <c r="AN685" s="75">
        <f>IF(ISBLANK(S685),"",VLOOKUP(S685,'[1]plan gier'!$X$1:$AN$65536,17,FALSE))</f>
        <v>21</v>
      </c>
      <c r="AO685" s="76">
        <f t="shared" si="65"/>
        <v>18</v>
      </c>
      <c r="AP685" s="75">
        <f t="shared" si="65"/>
        <v>21</v>
      </c>
      <c r="AQ685" s="77">
        <f t="shared" si="65"/>
        <v>21</v>
      </c>
      <c r="AR685" s="75">
        <f t="shared" si="65"/>
        <v>19</v>
      </c>
      <c r="AS685" s="77">
        <f t="shared" si="65"/>
        <v>15</v>
      </c>
      <c r="AT685" s="75">
        <f t="shared" si="65"/>
        <v>21</v>
      </c>
      <c r="AU685" s="54">
        <f>SUM(AO685:AT685)</f>
        <v>115</v>
      </c>
      <c r="AV685" s="13">
        <v>3</v>
      </c>
      <c r="AW685" s="74">
        <f>IF(AI683&lt;AJ683,1,0)+IF(AK683&lt;AL683,1,0)+IF(AM683&lt;AN683,1,0)</f>
        <v>2</v>
      </c>
      <c r="AX685" s="75">
        <f>BA683</f>
        <v>0</v>
      </c>
      <c r="AY685" s="75">
        <f>IF(AI684&lt;AJ684,1,0)+IF(AK684&lt;AL684,1,0)+IF(AM684&lt;AN684,1,0)</f>
        <v>1</v>
      </c>
      <c r="AZ685" s="75">
        <f>BA684</f>
        <v>2</v>
      </c>
      <c r="BA685" s="78"/>
      <c r="BB685" s="79"/>
      <c r="BE685" s="74">
        <f>AP683+AR683+AT683+AP684+AR684+AT684</f>
        <v>95</v>
      </c>
      <c r="BF685" s="80">
        <f>AO683+AQ683+AS683+AO684+AQ684+AS684</f>
        <v>95</v>
      </c>
      <c r="BG685" s="74">
        <f>AW685+AY685</f>
        <v>3</v>
      </c>
      <c r="BH685" s="80">
        <f>AX685+AZ685</f>
        <v>2</v>
      </c>
      <c r="BI685" s="74">
        <f>IF(AW685&gt;AX685,1,0)+IF(AY685&gt;AZ685,1,0)</f>
        <v>1</v>
      </c>
      <c r="BJ685" s="81">
        <f>IF(AX685&gt;AW685,1,0)+IF(AZ685&gt;AY685,1,0)</f>
        <v>1</v>
      </c>
      <c r="BK685" s="82">
        <f>IF(BI685+BJ685=0,"",IF(BL685=MAX(BL683:BL685),1,IF(BL685=MIN(BL683:BL685),3,2)))</f>
        <v>2</v>
      </c>
      <c r="BL685" s="60">
        <f>IF(BI685+BJ685&lt;&gt;0,BI685+1+(BG685-BH685)/100+(BE685-BF685)/100000+(BE685/BF685)/1000000,0)</f>
        <v>2.0100009999999999</v>
      </c>
    </row>
    <row r="686" spans="1:64" ht="11.45" customHeight="1" x14ac:dyDescent="0.2">
      <c r="A686" s="2"/>
      <c r="J686" s="28"/>
      <c r="K686" s="28"/>
      <c r="L686" s="28"/>
      <c r="O686" s="28"/>
      <c r="P686" s="28"/>
      <c r="Q686" s="2"/>
      <c r="R686" s="2"/>
      <c r="S686" s="2"/>
      <c r="T686" s="241">
        <v>3</v>
      </c>
      <c r="U686" s="244" t="str">
        <f>IF(AND(N687&lt;&gt;"",N688&lt;&gt;""),CONCATENATE(VLOOKUP(N687,[1]zawodnicy!$A$1:$E$65536,1,FALSE)," ",VLOOKUP(N687,[1]zawodnicy!$A$1:$E$65536,2,FALSE)," ",VLOOKUP(N687,[1]zawodnicy!$A$1:$E$65536,3,FALSE)," - ",VLOOKUP(N687,[1]zawodnicy!$A$1:$E$65536,4,FALSE)),"")</f>
        <v>F4888 Jarosław FIJAŁKOWSKI - UKSB Milenium Warszawa</v>
      </c>
      <c r="V686" s="245"/>
      <c r="W686" s="246"/>
      <c r="X686" s="46" t="str">
        <f>IF(SUM(AO683:AP683)=0,"",AP683&amp;":"&amp;AO683)</f>
        <v>21:19</v>
      </c>
      <c r="Y686" s="83" t="str">
        <f>IF(SUM(AO684:AP684)=0,"",AP684&amp;":"&amp;AO684)</f>
        <v>21:16</v>
      </c>
      <c r="Z686" s="84"/>
      <c r="AA686" s="247" t="str">
        <f>IF(SUM(AW685:AZ685)=0,"",BE685&amp;":"&amp;BF685)</f>
        <v>95:95</v>
      </c>
      <c r="AB686" s="250" t="str">
        <f>IF(SUM(AW685:AZ685)=0,"",BG685&amp;":"&amp;BH685)</f>
        <v>3:2</v>
      </c>
      <c r="AC686" s="250" t="str">
        <f>IF(SUM(AW685:AZ685)=0,"",BI685&amp;":"&amp;BJ685)</f>
        <v>1:1</v>
      </c>
      <c r="AD686" s="253">
        <f>IF(SUM(BI683:BI685)&gt;0,BK685,"")</f>
        <v>2</v>
      </c>
      <c r="AE686" s="2"/>
      <c r="AF686" s="12"/>
      <c r="AG686" s="12"/>
      <c r="BE686" s="19">
        <f>SUM(BE683:BE685)</f>
        <v>305</v>
      </c>
      <c r="BF686" s="19">
        <f>SUM(BF683:BF685)</f>
        <v>305</v>
      </c>
      <c r="BG686" s="19">
        <f>SUM(BG683:BG685)</f>
        <v>8</v>
      </c>
      <c r="BH686" s="19">
        <f>SUM(BH683:BH685)</f>
        <v>8</v>
      </c>
      <c r="BK686" s="19"/>
      <c r="BL686" s="20"/>
    </row>
    <row r="687" spans="1:64" ht="11.45" customHeight="1" x14ac:dyDescent="0.2">
      <c r="A687" s="19"/>
      <c r="J687" s="19"/>
      <c r="K687" s="19"/>
      <c r="L687" s="19"/>
      <c r="N687" s="33" t="s">
        <v>348</v>
      </c>
      <c r="O687" s="34">
        <f>IF(O679&gt;0,(O679&amp;3)*1,"")</f>
        <v>33</v>
      </c>
      <c r="Q687" s="85"/>
      <c r="R687" s="85"/>
      <c r="S687" s="85"/>
      <c r="T687" s="242"/>
      <c r="U687" s="244" t="str">
        <f>IF(AND(N687&lt;&gt;"",N688=""),CONCATENATE(VLOOKUP(N687,[1]zawodnicy!$A$1:$E$65536,1,FALSE)," ",VLOOKUP(N687,[1]zawodnicy!$A$1:$E$65536,2,FALSE)," ",VLOOKUP(N687,[1]zawodnicy!$A$1:$E$65536,3,FALSE)," - ",VLOOKUP(N687,[1]zawodnicy!$A$1:$E$65536,4,FALSE)),"")</f>
        <v/>
      </c>
      <c r="V687" s="245"/>
      <c r="W687" s="246"/>
      <c r="X687" s="61" t="str">
        <f>IF(SUM(AQ683:AR683)=0,"",AR683&amp;":"&amp;AQ683)</f>
        <v>21:18</v>
      </c>
      <c r="Y687" s="36" t="str">
        <f>IF(SUM(AQ684:AR684)=0,"",AR684&amp;":"&amp;AQ684)</f>
        <v>13:21</v>
      </c>
      <c r="Z687" s="86"/>
      <c r="AA687" s="248"/>
      <c r="AB687" s="251"/>
      <c r="AC687" s="251"/>
      <c r="AD687" s="254"/>
      <c r="AE687" s="2"/>
      <c r="AF687" s="12"/>
      <c r="AG687" s="1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row>
    <row r="688" spans="1:64" ht="11.45" customHeight="1" thickBot="1" x14ac:dyDescent="0.25">
      <c r="A688" s="2"/>
      <c r="J688" s="28"/>
      <c r="K688" s="28"/>
      <c r="L688" s="28"/>
      <c r="N688" s="38" t="s">
        <v>349</v>
      </c>
      <c r="O688" s="28"/>
      <c r="P688" s="28"/>
      <c r="Q688" s="2"/>
      <c r="R688" s="2"/>
      <c r="S688" s="2"/>
      <c r="T688" s="243"/>
      <c r="U688" s="256" t="str">
        <f>IF(N688&lt;&gt;"",CONCATENATE(VLOOKUP(N688,[1]zawodnicy!$A$1:$E$65536,1,FALSE)," ",VLOOKUP(N688,[1]zawodnicy!$A$1:$E$65536,2,FALSE)," ",VLOOKUP(N688,[1]zawodnicy!$A$1:$E$65536,3,FALSE)," - ",VLOOKUP(N688,[1]zawodnicy!$A$1:$E$65536,4,FALSE)),"")</f>
        <v>Z4312 Łukasz ZWIERZCHOWSKI - UKSB Milenium Warszawa</v>
      </c>
      <c r="V688" s="257"/>
      <c r="W688" s="258"/>
      <c r="X688" s="87" t="str">
        <f>IF(SUM(AS683:AT683)=0,"",AT683&amp;":"&amp;AS683)</f>
        <v/>
      </c>
      <c r="Y688" s="88" t="str">
        <f>IF(SUM(AS684:AT684)=0,"",AT684&amp;":"&amp;AS684)</f>
        <v>19:21</v>
      </c>
      <c r="Z688" s="89"/>
      <c r="AA688" s="249"/>
      <c r="AB688" s="252"/>
      <c r="AC688" s="252"/>
      <c r="AD688" s="255"/>
      <c r="AE688" s="10"/>
      <c r="AF688" s="12"/>
      <c r="AG688" s="1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row>
    <row r="689" spans="1:64" s="19" customFormat="1" ht="5.0999999999999996" customHeight="1" thickBot="1" x14ac:dyDescent="0.25">
      <c r="M689" s="90"/>
      <c r="O689" s="90"/>
      <c r="P689" s="90"/>
      <c r="Q689" s="91"/>
      <c r="R689" s="91"/>
      <c r="S689" s="91"/>
      <c r="T689" s="91"/>
      <c r="U689" s="5"/>
      <c r="V689" s="5"/>
      <c r="W689" s="5"/>
      <c r="AA689" s="92"/>
      <c r="AB689" s="91"/>
      <c r="AC689" s="91"/>
      <c r="AD689" s="91"/>
      <c r="AE689" s="91"/>
      <c r="AF689" s="91"/>
      <c r="AI689" s="93"/>
      <c r="AJ689" s="94"/>
      <c r="AK689" s="94"/>
    </row>
    <row r="690" spans="1:64" ht="11.45" customHeight="1" thickBot="1" x14ac:dyDescent="0.25">
      <c r="N690" s="11"/>
      <c r="O690" s="21">
        <v>4</v>
      </c>
      <c r="Q690" s="277" t="str">
        <f>"Grupa "&amp;O690&amp;"."</f>
        <v>Grupa 4.</v>
      </c>
      <c r="R690" s="277"/>
      <c r="S690" s="277"/>
      <c r="T690" s="22" t="s">
        <v>1</v>
      </c>
      <c r="U690" s="278" t="s">
        <v>2</v>
      </c>
      <c r="V690" s="279"/>
      <c r="W690" s="280"/>
      <c r="X690" s="22">
        <v>1</v>
      </c>
      <c r="Y690" s="23">
        <v>2</v>
      </c>
      <c r="Z690" s="24">
        <v>3</v>
      </c>
      <c r="AA690" s="25" t="s">
        <v>3</v>
      </c>
      <c r="AB690" s="26" t="s">
        <v>4</v>
      </c>
      <c r="AC690" s="26" t="s">
        <v>5</v>
      </c>
      <c r="AD690" s="27" t="s">
        <v>6</v>
      </c>
      <c r="AE690" s="2"/>
      <c r="AF690" s="12"/>
      <c r="AG690" s="12"/>
      <c r="BK690" s="19"/>
      <c r="BL690" s="20"/>
    </row>
    <row r="691" spans="1:64" ht="11.45" customHeight="1" x14ac:dyDescent="0.2">
      <c r="J691" s="28"/>
      <c r="K691" s="28"/>
      <c r="L691" s="28"/>
      <c r="N691" s="29" t="s">
        <v>329</v>
      </c>
      <c r="Q691" s="274" t="s">
        <v>7</v>
      </c>
      <c r="R691" s="274"/>
      <c r="S691" s="275" t="s">
        <v>8</v>
      </c>
      <c r="T691" s="276">
        <v>1</v>
      </c>
      <c r="U691" s="244" t="str">
        <f>IF(AND(N692&lt;&gt;"",N693&lt;&gt;""),CONCATENATE(VLOOKUP(N692,[1]zawodnicy!$A$1:$E$65536,1,FALSE)," ",VLOOKUP(N692,[1]zawodnicy!$A$1:$E$65536,2,FALSE)," ",VLOOKUP(N692,[1]zawodnicy!$A$1:$E$65536,3,FALSE)," - ",VLOOKUP(N692,[1]zawodnicy!$A$1:$E$65536,4,FALSE)),"")</f>
        <v>G4725 Bartosz GAŁĄZKA - LKS Technik Głubczyce</v>
      </c>
      <c r="V691" s="245"/>
      <c r="W691" s="246"/>
      <c r="X691" s="30"/>
      <c r="Y691" s="31" t="str">
        <f>IF(SUM(AO696:AP696)=0,"",AO696&amp;":"&amp;AP696)</f>
        <v>21:7</v>
      </c>
      <c r="Z691" s="32" t="str">
        <f>IF(SUM(AO694:AP694)=0,"",AO694&amp;":"&amp;AP694)</f>
        <v>21:11</v>
      </c>
      <c r="AA691" s="270" t="str">
        <f>IF(SUM(AY694:BB694)=0,"",BE694&amp;":"&amp;BF694)</f>
        <v>84:39</v>
      </c>
      <c r="AB691" s="271" t="str">
        <f>IF(SUM(AY694:BB694)=0,"",BG694&amp;":"&amp;BH694)</f>
        <v>4:0</v>
      </c>
      <c r="AC691" s="271" t="str">
        <f>IF(SUM(AY694:BB694)=0,"",BI694&amp;":"&amp;BJ694)</f>
        <v>2:0</v>
      </c>
      <c r="AD691" s="272">
        <f>IF(SUM(BI694:BI696)&gt;0,BK694,"")</f>
        <v>1</v>
      </c>
      <c r="AE691" s="2"/>
      <c r="AF691" s="12"/>
      <c r="AG691" s="12"/>
      <c r="AH691" s="14"/>
      <c r="AI691" s="273" t="s">
        <v>9</v>
      </c>
      <c r="AJ691" s="273"/>
      <c r="AK691" s="273"/>
      <c r="AL691" s="273"/>
      <c r="AM691" s="273"/>
      <c r="AN691" s="273"/>
      <c r="AO691" s="273" t="s">
        <v>10</v>
      </c>
      <c r="AP691" s="273"/>
      <c r="AQ691" s="273"/>
      <c r="AR691" s="273"/>
      <c r="AS691" s="273"/>
      <c r="AT691" s="273"/>
      <c r="BK691" s="19"/>
      <c r="BL691" s="20"/>
    </row>
    <row r="692" spans="1:64" ht="11.45" customHeight="1" thickBot="1" x14ac:dyDescent="0.25">
      <c r="I692" s="2" t="str">
        <f>"1"&amp;O690&amp;N691</f>
        <v>14podwójna chłopców MM</v>
      </c>
      <c r="J692" s="10" t="str">
        <f>IF(AD691="","",IF(AD691=1,N692,IF(AD694=1,N695,IF(AD697=1,N698,""))))</f>
        <v>G4725</v>
      </c>
      <c r="K692" s="10" t="str">
        <f>IF(AD691="","",IF(AD691=1,N693,IF(AD694=1,N696,IF(AD697=1,N699,""))))</f>
        <v>M4565</v>
      </c>
      <c r="L692" s="10"/>
      <c r="N692" s="33" t="s">
        <v>350</v>
      </c>
      <c r="O692" s="34">
        <f>IF(O690&gt;0,(O690&amp;1)*1,"")</f>
        <v>41</v>
      </c>
      <c r="Q692" s="274"/>
      <c r="R692" s="274"/>
      <c r="S692" s="275"/>
      <c r="T692" s="242"/>
      <c r="U692" s="244" t="str">
        <f>IF(AND(N692&lt;&gt;"",N693=""),CONCATENATE(VLOOKUP(N692,[1]zawodnicy!$A$1:$E$65536,1,FALSE)," ",VLOOKUP(N692,[1]zawodnicy!$A$1:$E$65536,2,FALSE)," ",VLOOKUP(N692,[1]zawodnicy!$A$1:$E$65536,3,FALSE)," - ",VLOOKUP(N692,[1]zawodnicy!$A$1:$E$65536,4,FALSE)),"")</f>
        <v/>
      </c>
      <c r="V692" s="245"/>
      <c r="W692" s="246"/>
      <c r="X692" s="35"/>
      <c r="Y692" s="36" t="str">
        <f>IF(SUM(AQ696:AR696)=0,"",AQ696&amp;":"&amp;AR696)</f>
        <v>21:8</v>
      </c>
      <c r="Z692" s="37" t="str">
        <f>IF(SUM(AQ694:AR694)=0,"",AQ694&amp;":"&amp;AR694)</f>
        <v>21:13</v>
      </c>
      <c r="AA692" s="248"/>
      <c r="AB692" s="251"/>
      <c r="AC692" s="251"/>
      <c r="AD692" s="254"/>
      <c r="AE692" s="2"/>
      <c r="AF692" s="12"/>
      <c r="AG692" s="12"/>
      <c r="AH692" s="14"/>
      <c r="BE692" s="19">
        <f>SUM(BE694:BE696)</f>
        <v>240</v>
      </c>
      <c r="BF692" s="19">
        <f>SUM(BF694:BF696)</f>
        <v>240</v>
      </c>
      <c r="BG692" s="19">
        <f>SUM(BG694:BG696)</f>
        <v>7</v>
      </c>
      <c r="BH692" s="19">
        <f>SUM(BH694:BH696)</f>
        <v>7</v>
      </c>
      <c r="BK692" s="19"/>
      <c r="BL692" s="20"/>
    </row>
    <row r="693" spans="1:64" ht="11.45" customHeight="1" thickBot="1" x14ac:dyDescent="0.25">
      <c r="J693" s="10"/>
      <c r="K693" s="28"/>
      <c r="L693" s="28"/>
      <c r="N693" s="38" t="s">
        <v>351</v>
      </c>
      <c r="O693" s="28"/>
      <c r="P693" s="28"/>
      <c r="Q693" s="274"/>
      <c r="R693" s="274"/>
      <c r="S693" s="275"/>
      <c r="T693" s="261"/>
      <c r="U693" s="265" t="str">
        <f>IF(N693&lt;&gt;"",CONCATENATE(VLOOKUP(N693,[1]zawodnicy!$A$1:$E$65536,1,FALSE)," ",VLOOKUP(N693,[1]zawodnicy!$A$1:$E$65536,2,FALSE)," ",VLOOKUP(N693,[1]zawodnicy!$A$1:$E$65536,3,FALSE)," - ",VLOOKUP(N693,[1]zawodnicy!$A$1:$E$65536,4,FALSE)),"")</f>
        <v>M4565 Maciej MATUSZ - LKS Technik Głubczyce</v>
      </c>
      <c r="V693" s="266"/>
      <c r="W693" s="267"/>
      <c r="X693" s="35"/>
      <c r="Y693" s="39" t="str">
        <f>IF(SUM(AS696:AT696)=0,"",AS696&amp;":"&amp;AT696)</f>
        <v/>
      </c>
      <c r="Z693" s="40" t="str">
        <f>IF(SUM(AS694:AT694)=0,"",AS694&amp;":"&amp;AT694)</f>
        <v/>
      </c>
      <c r="AA693" s="262"/>
      <c r="AB693" s="263"/>
      <c r="AC693" s="263"/>
      <c r="AD693" s="264"/>
      <c r="AE693" s="2"/>
      <c r="AF693" s="12"/>
      <c r="AG693" s="12"/>
      <c r="AH693" s="14"/>
      <c r="AI693" s="259" t="s">
        <v>12</v>
      </c>
      <c r="AJ693" s="269"/>
      <c r="AK693" s="268" t="s">
        <v>13</v>
      </c>
      <c r="AL693" s="269"/>
      <c r="AM693" s="268" t="s">
        <v>14</v>
      </c>
      <c r="AN693" s="260"/>
      <c r="AO693" s="259" t="s">
        <v>12</v>
      </c>
      <c r="AP693" s="269"/>
      <c r="AQ693" s="268" t="s">
        <v>13</v>
      </c>
      <c r="AR693" s="269"/>
      <c r="AS693" s="268" t="s">
        <v>14</v>
      </c>
      <c r="AT693" s="269"/>
      <c r="AU693" s="12"/>
      <c r="AV693" s="12"/>
      <c r="AW693" s="259">
        <v>1</v>
      </c>
      <c r="AX693" s="269"/>
      <c r="AY693" s="268">
        <v>2</v>
      </c>
      <c r="AZ693" s="269"/>
      <c r="BA693" s="268">
        <v>3</v>
      </c>
      <c r="BB693" s="260"/>
      <c r="BE693" s="259" t="s">
        <v>3</v>
      </c>
      <c r="BF693" s="260"/>
      <c r="BG693" s="259" t="s">
        <v>4</v>
      </c>
      <c r="BH693" s="260"/>
      <c r="BI693" s="259" t="s">
        <v>5</v>
      </c>
      <c r="BJ693" s="260"/>
      <c r="BK693" s="41" t="s">
        <v>6</v>
      </c>
      <c r="BL693" s="20"/>
    </row>
    <row r="694" spans="1:64" ht="11.45" customHeight="1" x14ac:dyDescent="0.2">
      <c r="A694" s="19">
        <f>S694</f>
        <v>96</v>
      </c>
      <c r="B694" s="2" t="str">
        <f>IF(N692="","",N692)</f>
        <v>G4725</v>
      </c>
      <c r="C694" s="2" t="str">
        <f>IF(N693="","",N693)</f>
        <v>M4565</v>
      </c>
      <c r="D694" s="2" t="str">
        <f>IF(N698="","",N698)</f>
        <v>K4670</v>
      </c>
      <c r="E694" s="2" t="str">
        <f>IF(N699="","",N699)</f>
        <v>U5145</v>
      </c>
      <c r="I694" s="2" t="str">
        <f>"2"&amp;O690&amp;N691</f>
        <v>24podwójna chłopców MM</v>
      </c>
      <c r="J694" s="10" t="str">
        <f>IF(AD694="","",IF(AD691=2,N692,IF(AD694=2,N695,IF(AD697=2,N698,""))))</f>
        <v>K4670</v>
      </c>
      <c r="K694" s="10" t="str">
        <f>IF(AD694="","",IF(AD691=2,N693,IF(AD694=2,N696,IF(AD697=2,N699,""))))</f>
        <v>U5145</v>
      </c>
      <c r="M694" s="42" t="str">
        <f>N691</f>
        <v>podwójna chłopców MM</v>
      </c>
      <c r="O694" s="28"/>
      <c r="P694" s="28"/>
      <c r="Q694" s="43" t="str">
        <f>IF(AU694&gt;0,"",IF(A694=0,"",IF(VLOOKUP(A694,'[1]plan gier'!A$1:S$65536,19,FALSE)="","",VLOOKUP(A694,'[1]plan gier'!A$1:S$65536,19,FALSE))))</f>
        <v/>
      </c>
      <c r="R694" s="44" t="s">
        <v>15</v>
      </c>
      <c r="S694" s="45">
        <v>96</v>
      </c>
      <c r="T694" s="241">
        <v>2</v>
      </c>
      <c r="U694" s="244" t="str">
        <f>IF(AND(N695&lt;&gt;"",N696&lt;&gt;""),CONCATENATE(VLOOKUP(N695,[1]zawodnicy!$A$1:$E$65536,1,FALSE)," ",VLOOKUP(N695,[1]zawodnicy!$A$1:$E$65536,2,FALSE)," ",VLOOKUP(N695,[1]zawodnicy!$A$1:$E$65536,3,FALSE)," - ",VLOOKUP(N695,[1]zawodnicy!$A$1:$E$65536,4,FALSE)),"")</f>
        <v>P5350 Miłosz PIOTROWSKI - UKS Kiko Zamość</v>
      </c>
      <c r="V694" s="245"/>
      <c r="W694" s="246"/>
      <c r="X694" s="46" t="str">
        <f>IF(SUM(AO696:AP696)=0,"",AP696&amp;":"&amp;AO696)</f>
        <v>7:21</v>
      </c>
      <c r="Y694" s="47"/>
      <c r="Z694" s="48" t="str">
        <f>IF(SUM(AO695:AP695)=0,"",AO695&amp;":"&amp;AP695)</f>
        <v>18:21</v>
      </c>
      <c r="AA694" s="247" t="str">
        <f>IF(SUM(AW695:AX695,BA695:BB695)=0,"",BE695&amp;":"&amp;BF695)</f>
        <v>72:102</v>
      </c>
      <c r="AB694" s="250" t="str">
        <f>IF(SUM(AW695:AX695,BA695:BB695)=0,"",BG695&amp;":"&amp;BH695)</f>
        <v>1:4</v>
      </c>
      <c r="AC694" s="250" t="str">
        <f>IF(SUM(AW695:AX695,BA695:BB695)=0,"",BI695&amp;":"&amp;BJ695)</f>
        <v>0:2</v>
      </c>
      <c r="AD694" s="253">
        <f>IF(SUM(BI694:BI696)&gt;0,BK695,"")</f>
        <v>3</v>
      </c>
      <c r="AE694" s="2"/>
      <c r="AF694" s="12"/>
      <c r="AG694" s="12"/>
      <c r="AH694" s="44" t="s">
        <v>15</v>
      </c>
      <c r="AI694" s="49">
        <f>IF(ISBLANK(S694),"",VLOOKUP(S694,'[1]plan gier'!$X$1:$AN$65536,12,FALSE))</f>
        <v>21</v>
      </c>
      <c r="AJ694" s="50">
        <f>IF(ISBLANK(S694),"",VLOOKUP(S694,'[1]plan gier'!$X$1:$AN$65536,13,FALSE))</f>
        <v>11</v>
      </c>
      <c r="AK694" s="50">
        <f>IF(ISBLANK(S694),"",VLOOKUP(S694,'[1]plan gier'!$X$1:$AN$65536,14,FALSE))</f>
        <v>21</v>
      </c>
      <c r="AL694" s="50">
        <f>IF(ISBLANK(S694),"",VLOOKUP(S694,'[1]plan gier'!$X$1:$AN$65536,15,FALSE))</f>
        <v>13</v>
      </c>
      <c r="AM694" s="50">
        <f>IF(ISBLANK(S694),"",VLOOKUP(S694,'[1]plan gier'!$X$1:$AN$65536,16,FALSE))</f>
        <v>0</v>
      </c>
      <c r="AN694" s="50">
        <f>IF(ISBLANK(S694),"",VLOOKUP(S694,'[1]plan gier'!$X$1:$AN$65536,17,FALSE))</f>
        <v>0</v>
      </c>
      <c r="AO694" s="51">
        <f t="shared" ref="AO694:AT696" si="66">IF(AI694="",0,AI694)</f>
        <v>21</v>
      </c>
      <c r="AP694" s="52">
        <f t="shared" si="66"/>
        <v>11</v>
      </c>
      <c r="AQ694" s="53">
        <f t="shared" si="66"/>
        <v>21</v>
      </c>
      <c r="AR694" s="52">
        <f t="shared" si="66"/>
        <v>13</v>
      </c>
      <c r="AS694" s="53">
        <f t="shared" si="66"/>
        <v>0</v>
      </c>
      <c r="AT694" s="52">
        <f t="shared" si="66"/>
        <v>0</v>
      </c>
      <c r="AU694" s="54">
        <f>SUM(AO694:AT694)</f>
        <v>66</v>
      </c>
      <c r="AV694" s="13">
        <v>1</v>
      </c>
      <c r="AW694" s="55"/>
      <c r="AX694" s="56"/>
      <c r="AY694" s="50">
        <f>IF(AI696&gt;AJ696,1,0)+IF(AK696&gt;AL696,1,0)+IF(AM696&gt;AN696,1,0)</f>
        <v>2</v>
      </c>
      <c r="AZ694" s="50">
        <f>AW695</f>
        <v>0</v>
      </c>
      <c r="BA694" s="50">
        <f>IF(AI694&gt;AJ694,1,0)+IF(AK694&gt;AL694,1,0)+IF(AM694&gt;AN694,1,0)</f>
        <v>2</v>
      </c>
      <c r="BB694" s="57">
        <f>AW696</f>
        <v>0</v>
      </c>
      <c r="BE694" s="49">
        <f>AO694+AQ694+AS694+AO696+AQ696+AS696</f>
        <v>84</v>
      </c>
      <c r="BF694" s="57">
        <f>AP694+AR694+AT694+AP696+AR696+AT696</f>
        <v>39</v>
      </c>
      <c r="BG694" s="49">
        <f>AY694+BA694</f>
        <v>4</v>
      </c>
      <c r="BH694" s="57">
        <f>AZ694+BB694</f>
        <v>0</v>
      </c>
      <c r="BI694" s="49">
        <f>IF(AY694&gt;AZ694,1,0)+IF(BA694&gt;BB694,1,0)</f>
        <v>2</v>
      </c>
      <c r="BJ694" s="58">
        <f>IF(AZ694&gt;AY694,1,0)+IF(BB694&gt;BA694,1,0)</f>
        <v>0</v>
      </c>
      <c r="BK694" s="59">
        <f>IF(BI694+BJ694=0,"",IF(BL694=MAX(BL694:BL696),1,IF(BL694=MIN(BL694:BL696),3,2)))</f>
        <v>1</v>
      </c>
      <c r="BL694" s="60">
        <f>IF(BI694+BJ694&lt;&gt;0,BI694+1+(BG694-BH694)/100+(BE694-BF694)/100000+(BE694/BF694)/1000000,0)</f>
        <v>3.0404521538461537</v>
      </c>
    </row>
    <row r="695" spans="1:64" ht="11.45" customHeight="1" x14ac:dyDescent="0.2">
      <c r="A695" s="19">
        <f>S695</f>
        <v>162</v>
      </c>
      <c r="B695" s="2" t="str">
        <f>IF(N695="","",N695)</f>
        <v>P5350</v>
      </c>
      <c r="C695" s="2" t="str">
        <f>IF(N696="","",N696)</f>
        <v>Ś5353</v>
      </c>
      <c r="D695" s="2" t="str">
        <f>IF(N698="","",N698)</f>
        <v>K4670</v>
      </c>
      <c r="E695" s="2" t="str">
        <f>IF(N699="","",N699)</f>
        <v>U5145</v>
      </c>
      <c r="J695" s="10"/>
      <c r="K695" s="19"/>
      <c r="M695" s="42" t="str">
        <f>N691</f>
        <v>podwójna chłopców MM</v>
      </c>
      <c r="N695" s="33" t="s">
        <v>352</v>
      </c>
      <c r="O695" s="34">
        <f>IF(O690&gt;0,(O690&amp;2)*1,"")</f>
        <v>42</v>
      </c>
      <c r="Q695" s="43" t="str">
        <f>IF(AU695&gt;0,"",IF(A695=0,"",IF(VLOOKUP(A695,'[1]plan gier'!A$1:S$65536,19,FALSE)="","",VLOOKUP(A695,'[1]plan gier'!A$1:S$65536,19,FALSE))))</f>
        <v/>
      </c>
      <c r="R695" s="44" t="s">
        <v>17</v>
      </c>
      <c r="S695" s="45">
        <v>162</v>
      </c>
      <c r="T695" s="242"/>
      <c r="U695" s="244" t="str">
        <f>IF(AND(N695&lt;&gt;"",N696=""),CONCATENATE(VLOOKUP(N695,[1]zawodnicy!$A$1:$E$65536,1,FALSE)," ",VLOOKUP(N695,[1]zawodnicy!$A$1:$E$65536,2,FALSE)," ",VLOOKUP(N695,[1]zawodnicy!$A$1:$E$65536,3,FALSE)," - ",VLOOKUP(N695,[1]zawodnicy!$A$1:$E$65536,4,FALSE)),"")</f>
        <v/>
      </c>
      <c r="V695" s="245"/>
      <c r="W695" s="246"/>
      <c r="X695" s="61" t="str">
        <f>IF(SUM(AQ696:AR696)=0,"",AR696&amp;":"&amp;AQ696)</f>
        <v>8:21</v>
      </c>
      <c r="Y695" s="62"/>
      <c r="Z695" s="37" t="str">
        <f>IF(SUM(AQ695:AR695)=0,"",AQ695&amp;":"&amp;AR695)</f>
        <v>21:18</v>
      </c>
      <c r="AA695" s="248"/>
      <c r="AB695" s="251"/>
      <c r="AC695" s="251"/>
      <c r="AD695" s="254"/>
      <c r="AE695" s="2"/>
      <c r="AF695" s="12"/>
      <c r="AG695" s="12"/>
      <c r="AH695" s="44" t="s">
        <v>17</v>
      </c>
      <c r="AI695" s="63">
        <f>IF(ISBLANK(S695),"",VLOOKUP(S695,'[1]plan gier'!$X$1:$AN$65536,12,FALSE))</f>
        <v>18</v>
      </c>
      <c r="AJ695" s="64">
        <f>IF(ISBLANK(S695),"",VLOOKUP(S695,'[1]plan gier'!$X$1:$AN$65536,13,FALSE))</f>
        <v>21</v>
      </c>
      <c r="AK695" s="64">
        <f>IF(ISBLANK(S695),"",VLOOKUP(S695,'[1]plan gier'!$X$1:$AN$65536,14,FALSE))</f>
        <v>21</v>
      </c>
      <c r="AL695" s="64">
        <f>IF(ISBLANK(S695),"",VLOOKUP(S695,'[1]plan gier'!$X$1:$AN$65536,15,FALSE))</f>
        <v>18</v>
      </c>
      <c r="AM695" s="64">
        <f>IF(ISBLANK(S695),"",VLOOKUP(S695,'[1]plan gier'!$X$1:$AN$65536,16,FALSE))</f>
        <v>18</v>
      </c>
      <c r="AN695" s="64">
        <f>IF(ISBLANK(S695),"",VLOOKUP(S695,'[1]plan gier'!$X$1:$AN$65536,17,FALSE))</f>
        <v>21</v>
      </c>
      <c r="AO695" s="65">
        <f t="shared" si="66"/>
        <v>18</v>
      </c>
      <c r="AP695" s="64">
        <f t="shared" si="66"/>
        <v>21</v>
      </c>
      <c r="AQ695" s="66">
        <f t="shared" si="66"/>
        <v>21</v>
      </c>
      <c r="AR695" s="64">
        <f t="shared" si="66"/>
        <v>18</v>
      </c>
      <c r="AS695" s="66">
        <f t="shared" si="66"/>
        <v>18</v>
      </c>
      <c r="AT695" s="64">
        <f t="shared" si="66"/>
        <v>21</v>
      </c>
      <c r="AU695" s="54">
        <f>SUM(AO695:AT695)</f>
        <v>117</v>
      </c>
      <c r="AV695" s="13">
        <v>2</v>
      </c>
      <c r="AW695" s="63">
        <f>IF(AI696&lt;AJ696,1,0)+IF(AK696&lt;AL696,1,0)+IF(AM696&lt;AN696,1,0)</f>
        <v>0</v>
      </c>
      <c r="AX695" s="64">
        <f>AY694</f>
        <v>2</v>
      </c>
      <c r="AY695" s="67"/>
      <c r="AZ695" s="68"/>
      <c r="BA695" s="64">
        <f>IF(AI695&gt;AJ695,1,0)+IF(AK695&gt;AL695,1,0)+IF(AM695&gt;AN695,1,0)</f>
        <v>1</v>
      </c>
      <c r="BB695" s="69">
        <f>AY696</f>
        <v>2</v>
      </c>
      <c r="BE695" s="63">
        <f>AO695+AQ695+AS695+AP696+AR696+AT696</f>
        <v>72</v>
      </c>
      <c r="BF695" s="69">
        <f>AP695+AR695+AT695+AO696+AQ696+AS696</f>
        <v>102</v>
      </c>
      <c r="BG695" s="63">
        <f>AW695+BA695</f>
        <v>1</v>
      </c>
      <c r="BH695" s="69">
        <f>AX695+BB695</f>
        <v>4</v>
      </c>
      <c r="BI695" s="63">
        <f>IF(AW695&gt;AX695,1,0)+IF(BA695&gt;BB695,1,0)</f>
        <v>0</v>
      </c>
      <c r="BJ695" s="70">
        <f>IF(AX695&gt;AW695,1,0)+IF(BB695&gt;BA695,1,0)</f>
        <v>2</v>
      </c>
      <c r="BK695" s="71">
        <f>IF(BI695+BJ695=0,"",IF(BL695=MAX(BL694:BL696),1,IF(BL695=MIN(BL694:BL696),3,2)))</f>
        <v>3</v>
      </c>
      <c r="BL695" s="60">
        <f>IF(BI695+BJ695&lt;&gt;0,BI695+1+(BG695-BH695)/100+(BE695-BF695)/100000+(BE695/BF695)/1000000,0)</f>
        <v>0.96970070588235291</v>
      </c>
    </row>
    <row r="696" spans="1:64" ht="11.45" customHeight="1" thickBot="1" x14ac:dyDescent="0.25">
      <c r="A696" s="19">
        <f>S696</f>
        <v>215</v>
      </c>
      <c r="B696" s="2" t="str">
        <f>IF(N692="","",N692)</f>
        <v>G4725</v>
      </c>
      <c r="C696" s="2" t="str">
        <f>IF(N693="","",N693)</f>
        <v>M4565</v>
      </c>
      <c r="D696" s="2" t="str">
        <f>IF(N695="","",N695)</f>
        <v>P5350</v>
      </c>
      <c r="E696" s="2" t="str">
        <f>IF(N696="","",N696)</f>
        <v>Ś5353</v>
      </c>
      <c r="I696" s="2" t="str">
        <f>"3"&amp;O690&amp;N691</f>
        <v>34podwójna chłopców MM</v>
      </c>
      <c r="J696" s="10" t="str">
        <f>IF(AD697="","",IF(AD691=3,N692,IF(AD694=3,N695,IF(AD697=3,N698,""))))</f>
        <v>P5350</v>
      </c>
      <c r="K696" s="10" t="str">
        <f>IF(AD697="","",IF(AD691=3,N693,IF(AD694=3,N696,IF(AD697=3,N699,""))))</f>
        <v>Ś5353</v>
      </c>
      <c r="M696" s="42" t="str">
        <f>N691</f>
        <v>podwójna chłopców MM</v>
      </c>
      <c r="N696" s="38" t="s">
        <v>353</v>
      </c>
      <c r="O696" s="28"/>
      <c r="P696" s="28"/>
      <c r="Q696" s="43" t="str">
        <f>IF(AU696&gt;0,"",IF(A696=0,"",IF(VLOOKUP(A696,'[1]plan gier'!A$1:S$65536,19,FALSE)="","",VLOOKUP(A696,'[1]plan gier'!A$1:S$65536,19,FALSE))))</f>
        <v/>
      </c>
      <c r="R696" s="72" t="s">
        <v>18</v>
      </c>
      <c r="S696" s="45">
        <v>215</v>
      </c>
      <c r="T696" s="261"/>
      <c r="U696" s="265" t="str">
        <f>IF(N696&lt;&gt;"",CONCATENATE(VLOOKUP(N696,[1]zawodnicy!$A$1:$E$65536,1,FALSE)," ",VLOOKUP(N696,[1]zawodnicy!$A$1:$E$65536,2,FALSE)," ",VLOOKUP(N696,[1]zawodnicy!$A$1:$E$65536,3,FALSE)," - ",VLOOKUP(N696,[1]zawodnicy!$A$1:$E$65536,4,FALSE)),"")</f>
        <v>Ś5353 Maciej ŚWISZCZ - UKS Kiko Zamość</v>
      </c>
      <c r="V696" s="266"/>
      <c r="W696" s="267"/>
      <c r="X696" s="73" t="str">
        <f>IF(SUM(AS696:AT696)=0,"",AT696&amp;":"&amp;AS696)</f>
        <v/>
      </c>
      <c r="Y696" s="62"/>
      <c r="Z696" s="40" t="str">
        <f>IF(SUM(AS695:AT695)=0,"",AS695&amp;":"&amp;AT695)</f>
        <v>18:21</v>
      </c>
      <c r="AA696" s="262"/>
      <c r="AB696" s="263"/>
      <c r="AC696" s="263"/>
      <c r="AD696" s="264"/>
      <c r="AE696" s="2"/>
      <c r="AF696" s="12"/>
      <c r="AG696" s="12"/>
      <c r="AH696" s="72" t="s">
        <v>18</v>
      </c>
      <c r="AI696" s="74">
        <f>IF(ISBLANK(S696),"",VLOOKUP(S696,'[1]plan gier'!$X$1:$AN$65536,12,FALSE))</f>
        <v>21</v>
      </c>
      <c r="AJ696" s="75">
        <f>IF(ISBLANK(S696),"",VLOOKUP(S696,'[1]plan gier'!$X$1:$AN$65536,13,FALSE))</f>
        <v>7</v>
      </c>
      <c r="AK696" s="75">
        <f>IF(ISBLANK(S696),"",VLOOKUP(S696,'[1]plan gier'!$X$1:$AN$65536,14,FALSE))</f>
        <v>21</v>
      </c>
      <c r="AL696" s="75">
        <f>IF(ISBLANK(S696),"",VLOOKUP(S696,'[1]plan gier'!$X$1:$AN$65536,15,FALSE))</f>
        <v>8</v>
      </c>
      <c r="AM696" s="75">
        <f>IF(ISBLANK(S696),"",VLOOKUP(S696,'[1]plan gier'!$X$1:$AN$65536,16,FALSE))</f>
        <v>0</v>
      </c>
      <c r="AN696" s="75">
        <f>IF(ISBLANK(S696),"",VLOOKUP(S696,'[1]plan gier'!$X$1:$AN$65536,17,FALSE))</f>
        <v>0</v>
      </c>
      <c r="AO696" s="76">
        <f t="shared" si="66"/>
        <v>21</v>
      </c>
      <c r="AP696" s="75">
        <f t="shared" si="66"/>
        <v>7</v>
      </c>
      <c r="AQ696" s="77">
        <f t="shared" si="66"/>
        <v>21</v>
      </c>
      <c r="AR696" s="75">
        <f t="shared" si="66"/>
        <v>8</v>
      </c>
      <c r="AS696" s="77">
        <f t="shared" si="66"/>
        <v>0</v>
      </c>
      <c r="AT696" s="75">
        <f t="shared" si="66"/>
        <v>0</v>
      </c>
      <c r="AU696" s="54">
        <f>SUM(AO696:AT696)</f>
        <v>57</v>
      </c>
      <c r="AV696" s="13">
        <v>3</v>
      </c>
      <c r="AW696" s="74">
        <f>IF(AI694&lt;AJ694,1,0)+IF(AK694&lt;AL694,1,0)+IF(AM694&lt;AN694,1,0)</f>
        <v>0</v>
      </c>
      <c r="AX696" s="75">
        <f>BA694</f>
        <v>2</v>
      </c>
      <c r="AY696" s="75">
        <f>IF(AI695&lt;AJ695,1,0)+IF(AK695&lt;AL695,1,0)+IF(AM695&lt;AN695,1,0)</f>
        <v>2</v>
      </c>
      <c r="AZ696" s="75">
        <f>BA695</f>
        <v>1</v>
      </c>
      <c r="BA696" s="78"/>
      <c r="BB696" s="79"/>
      <c r="BE696" s="74">
        <f>AP694+AR694+AT694+AP695+AR695+AT695</f>
        <v>84</v>
      </c>
      <c r="BF696" s="80">
        <f>AO694+AQ694+AS694+AO695+AQ695+AS695</f>
        <v>99</v>
      </c>
      <c r="BG696" s="74">
        <f>AW696+AY696</f>
        <v>2</v>
      </c>
      <c r="BH696" s="80">
        <f>AX696+AZ696</f>
        <v>3</v>
      </c>
      <c r="BI696" s="74">
        <f>IF(AW696&gt;AX696,1,0)+IF(AY696&gt;AZ696,1,0)</f>
        <v>1</v>
      </c>
      <c r="BJ696" s="81">
        <f>IF(AX696&gt;AW696,1,0)+IF(AZ696&gt;AY696,1,0)</f>
        <v>1</v>
      </c>
      <c r="BK696" s="82">
        <f>IF(BI696+BJ696=0,"",IF(BL696=MAX(BL694:BL696),1,IF(BL696=MIN(BL694:BL696),3,2)))</f>
        <v>2</v>
      </c>
      <c r="BL696" s="60">
        <f>IF(BI696+BJ696&lt;&gt;0,BI696+1+(BG696-BH696)/100+(BE696-BF696)/100000+(BE696/BF696)/1000000,0)</f>
        <v>1.9898508484848483</v>
      </c>
    </row>
    <row r="697" spans="1:64" ht="11.45" customHeight="1" x14ac:dyDescent="0.2">
      <c r="A697" s="2"/>
      <c r="J697" s="28"/>
      <c r="K697" s="28"/>
      <c r="L697" s="28"/>
      <c r="O697" s="28"/>
      <c r="P697" s="28"/>
      <c r="Q697" s="2"/>
      <c r="R697" s="2"/>
      <c r="S697" s="2"/>
      <c r="T697" s="241">
        <v>3</v>
      </c>
      <c r="U697" s="244" t="str">
        <f>IF(AND(N698&lt;&gt;"",N699&lt;&gt;""),CONCATENATE(VLOOKUP(N698,[1]zawodnicy!$A$1:$E$65536,1,FALSE)," ",VLOOKUP(N698,[1]zawodnicy!$A$1:$E$65536,2,FALSE)," ",VLOOKUP(N698,[1]zawodnicy!$A$1:$E$65536,3,FALSE)," - ",VLOOKUP(N698,[1]zawodnicy!$A$1:$E$65536,4,FALSE)),"")</f>
        <v>K4670 Kamil KOZERA - UKSMTB Smecz Konin</v>
      </c>
      <c r="V697" s="245"/>
      <c r="W697" s="246"/>
      <c r="X697" s="46" t="str">
        <f>IF(SUM(AO694:AP694)=0,"",AP694&amp;":"&amp;AO694)</f>
        <v>11:21</v>
      </c>
      <c r="Y697" s="83" t="str">
        <f>IF(SUM(AO695:AP695)=0,"",AP695&amp;":"&amp;AO695)</f>
        <v>21:18</v>
      </c>
      <c r="Z697" s="84"/>
      <c r="AA697" s="247" t="str">
        <f>IF(SUM(AW696:AZ696)=0,"",BE696&amp;":"&amp;BF696)</f>
        <v>84:99</v>
      </c>
      <c r="AB697" s="250" t="str">
        <f>IF(SUM(AW696:AZ696)=0,"",BG696&amp;":"&amp;BH696)</f>
        <v>2:3</v>
      </c>
      <c r="AC697" s="250" t="str">
        <f>IF(SUM(AW696:AZ696)=0,"",BI696&amp;":"&amp;BJ696)</f>
        <v>1:1</v>
      </c>
      <c r="AD697" s="253">
        <f>IF(SUM(BI694:BI696)&gt;0,BK696,"")</f>
        <v>2</v>
      </c>
      <c r="AE697" s="2"/>
      <c r="AF697" s="12"/>
      <c r="AG697" s="12"/>
      <c r="BE697" s="19">
        <f>SUM(BE694:BE696)</f>
        <v>240</v>
      </c>
      <c r="BF697" s="19">
        <f>SUM(BF694:BF696)</f>
        <v>240</v>
      </c>
      <c r="BG697" s="19">
        <f>SUM(BG694:BG696)</f>
        <v>7</v>
      </c>
      <c r="BH697" s="19">
        <f>SUM(BH694:BH696)</f>
        <v>7</v>
      </c>
      <c r="BK697" s="19"/>
      <c r="BL697" s="20"/>
    </row>
    <row r="698" spans="1:64" ht="11.45" customHeight="1" x14ac:dyDescent="0.2">
      <c r="A698" s="19"/>
      <c r="J698" s="19"/>
      <c r="K698" s="19"/>
      <c r="L698" s="19"/>
      <c r="N698" s="33" t="s">
        <v>354</v>
      </c>
      <c r="O698" s="34">
        <f>IF(O690&gt;0,(O690&amp;3)*1,"")</f>
        <v>43</v>
      </c>
      <c r="Q698" s="85"/>
      <c r="R698" s="85"/>
      <c r="S698" s="85"/>
      <c r="T698" s="242"/>
      <c r="U698" s="244" t="str">
        <f>IF(AND(N698&lt;&gt;"",N699=""),CONCATENATE(VLOOKUP(N698,[1]zawodnicy!$A$1:$E$65536,1,FALSE)," ",VLOOKUP(N698,[1]zawodnicy!$A$1:$E$65536,2,FALSE)," ",VLOOKUP(N698,[1]zawodnicy!$A$1:$E$65536,3,FALSE)," - ",VLOOKUP(N698,[1]zawodnicy!$A$1:$E$65536,4,FALSE)),"")</f>
        <v/>
      </c>
      <c r="V698" s="245"/>
      <c r="W698" s="246"/>
      <c r="X698" s="61" t="str">
        <f>IF(SUM(AQ694:AR694)=0,"",AR694&amp;":"&amp;AQ694)</f>
        <v>13:21</v>
      </c>
      <c r="Y698" s="36" t="str">
        <f>IF(SUM(AQ695:AR695)=0,"",AR695&amp;":"&amp;AQ695)</f>
        <v>18:21</v>
      </c>
      <c r="Z698" s="86"/>
      <c r="AA698" s="248"/>
      <c r="AB698" s="251"/>
      <c r="AC698" s="251"/>
      <c r="AD698" s="254"/>
      <c r="AE698" s="2"/>
      <c r="AF698" s="12"/>
      <c r="AG698" s="1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row>
    <row r="699" spans="1:64" ht="11.45" customHeight="1" thickBot="1" x14ac:dyDescent="0.25">
      <c r="A699" s="2"/>
      <c r="J699" s="28"/>
      <c r="K699" s="28"/>
      <c r="L699" s="28"/>
      <c r="N699" s="38" t="s">
        <v>355</v>
      </c>
      <c r="O699" s="28"/>
      <c r="P699" s="28"/>
      <c r="Q699" s="2"/>
      <c r="R699" s="2"/>
      <c r="S699" s="2"/>
      <c r="T699" s="243"/>
      <c r="U699" s="256" t="str">
        <f>IF(N699&lt;&gt;"",CONCATENATE(VLOOKUP(N699,[1]zawodnicy!$A$1:$E$65536,1,FALSE)," ",VLOOKUP(N699,[1]zawodnicy!$A$1:$E$65536,2,FALSE)," ",VLOOKUP(N699,[1]zawodnicy!$A$1:$E$65536,3,FALSE)," - ",VLOOKUP(N699,[1]zawodnicy!$A$1:$E$65536,4,FALSE)),"")</f>
        <v>U5145 Maciej URBANIAK - UKS Kopernik Słupca</v>
      </c>
      <c r="V699" s="257"/>
      <c r="W699" s="258"/>
      <c r="X699" s="87" t="str">
        <f>IF(SUM(AS694:AT694)=0,"",AT694&amp;":"&amp;AS694)</f>
        <v/>
      </c>
      <c r="Y699" s="88" t="str">
        <f>IF(SUM(AS695:AT695)=0,"",AT695&amp;":"&amp;AS695)</f>
        <v>21:18</v>
      </c>
      <c r="Z699" s="89"/>
      <c r="AA699" s="249"/>
      <c r="AB699" s="252"/>
      <c r="AC699" s="252"/>
      <c r="AD699" s="255"/>
      <c r="AE699" s="10"/>
      <c r="AF699" s="12"/>
      <c r="AG699" s="1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row>
    <row r="700" spans="1:64" s="19" customFormat="1" ht="5.0999999999999996" customHeight="1" thickBot="1" x14ac:dyDescent="0.25">
      <c r="M700" s="90"/>
      <c r="O700" s="90"/>
      <c r="P700" s="90"/>
      <c r="Q700" s="91"/>
      <c r="R700" s="91"/>
      <c r="S700" s="91"/>
      <c r="T700" s="91"/>
      <c r="U700" s="5"/>
      <c r="V700" s="5"/>
      <c r="W700" s="5"/>
      <c r="AA700" s="92"/>
      <c r="AB700" s="91"/>
      <c r="AC700" s="91"/>
      <c r="AD700" s="91"/>
      <c r="AE700" s="91"/>
      <c r="AF700" s="91"/>
      <c r="AI700" s="93"/>
      <c r="AJ700" s="94"/>
      <c r="AK700" s="94"/>
    </row>
    <row r="701" spans="1:64" ht="11.45" customHeight="1" thickBot="1" x14ac:dyDescent="0.25">
      <c r="N701" s="11"/>
      <c r="O701" s="21">
        <v>5</v>
      </c>
      <c r="Q701" s="277" t="str">
        <f>"Grupa "&amp;O701&amp;"."</f>
        <v>Grupa 5.</v>
      </c>
      <c r="R701" s="277"/>
      <c r="S701" s="277"/>
      <c r="T701" s="22" t="s">
        <v>1</v>
      </c>
      <c r="U701" s="278" t="s">
        <v>2</v>
      </c>
      <c r="V701" s="279"/>
      <c r="W701" s="280"/>
      <c r="X701" s="22">
        <v>1</v>
      </c>
      <c r="Y701" s="23">
        <v>2</v>
      </c>
      <c r="Z701" s="24">
        <v>3</v>
      </c>
      <c r="AA701" s="25" t="s">
        <v>3</v>
      </c>
      <c r="AB701" s="26" t="s">
        <v>4</v>
      </c>
      <c r="AC701" s="26" t="s">
        <v>5</v>
      </c>
      <c r="AD701" s="27" t="s">
        <v>6</v>
      </c>
      <c r="AE701" s="2"/>
      <c r="AF701" s="12"/>
      <c r="AG701" s="12"/>
      <c r="BK701" s="19"/>
      <c r="BL701" s="20"/>
    </row>
    <row r="702" spans="1:64" ht="11.45" customHeight="1" x14ac:dyDescent="0.2">
      <c r="J702" s="28"/>
      <c r="K702" s="28"/>
      <c r="L702" s="28"/>
      <c r="N702" s="29" t="s">
        <v>329</v>
      </c>
      <c r="Q702" s="274" t="s">
        <v>7</v>
      </c>
      <c r="R702" s="274"/>
      <c r="S702" s="275" t="s">
        <v>8</v>
      </c>
      <c r="T702" s="276">
        <v>1</v>
      </c>
      <c r="U702" s="244" t="str">
        <f>IF(AND(N703&lt;&gt;"",N704&lt;&gt;""),CONCATENATE(VLOOKUP(N703,[1]zawodnicy!$A$1:$E$65536,1,FALSE)," ",VLOOKUP(N703,[1]zawodnicy!$A$1:$E$65536,2,FALSE)," ",VLOOKUP(N703,[1]zawodnicy!$A$1:$E$65536,3,FALSE)," - ",VLOOKUP(N703,[1]zawodnicy!$A$1:$E$65536,4,FALSE)),"")</f>
        <v>G5058 Wiktor GRZYB - UKS Orbitek Straszęcin</v>
      </c>
      <c r="V702" s="245"/>
      <c r="W702" s="246"/>
      <c r="X702" s="30"/>
      <c r="Y702" s="31" t="str">
        <f>IF(SUM(AO707:AP707)=0,"",AO707&amp;":"&amp;AP707)</f>
        <v>21:9</v>
      </c>
      <c r="Z702" s="32" t="str">
        <f>IF(SUM(AO705:AP705)=0,"",AO705&amp;":"&amp;AP705)</f>
        <v>21:7</v>
      </c>
      <c r="AA702" s="270" t="str">
        <f>IF(SUM(AY705:BB705)=0,"",BE705&amp;":"&amp;BF705)</f>
        <v>84:41</v>
      </c>
      <c r="AB702" s="271" t="str">
        <f>IF(SUM(AY705:BB705)=0,"",BG705&amp;":"&amp;BH705)</f>
        <v>4:0</v>
      </c>
      <c r="AC702" s="271" t="str">
        <f>IF(SUM(AY705:BB705)=0,"",BI705&amp;":"&amp;BJ705)</f>
        <v>2:0</v>
      </c>
      <c r="AD702" s="272">
        <f>IF(SUM(BI705:BI707)&gt;0,BK705,"")</f>
        <v>1</v>
      </c>
      <c r="AE702" s="2"/>
      <c r="AF702" s="12"/>
      <c r="AG702" s="12"/>
      <c r="AH702" s="14"/>
      <c r="AI702" s="273" t="s">
        <v>9</v>
      </c>
      <c r="AJ702" s="273"/>
      <c r="AK702" s="273"/>
      <c r="AL702" s="273"/>
      <c r="AM702" s="273"/>
      <c r="AN702" s="273"/>
      <c r="AO702" s="273" t="s">
        <v>10</v>
      </c>
      <c r="AP702" s="273"/>
      <c r="AQ702" s="273"/>
      <c r="AR702" s="273"/>
      <c r="AS702" s="273"/>
      <c r="AT702" s="273"/>
      <c r="BK702" s="19"/>
      <c r="BL702" s="20"/>
    </row>
    <row r="703" spans="1:64" ht="11.45" customHeight="1" thickBot="1" x14ac:dyDescent="0.25">
      <c r="I703" s="2" t="str">
        <f>"1"&amp;O701&amp;N702</f>
        <v>15podwójna chłopców MM</v>
      </c>
      <c r="J703" s="10" t="str">
        <f>IF(AD702="","",IF(AD702=1,N703,IF(AD705=1,N706,IF(AD708=1,N709,""))))</f>
        <v>G5058</v>
      </c>
      <c r="K703" s="10" t="str">
        <f>IF(AD702="","",IF(AD702=1,N704,IF(AD705=1,N707,IF(AD708=1,N710,""))))</f>
        <v>K4981</v>
      </c>
      <c r="L703" s="10"/>
      <c r="N703" s="33" t="s">
        <v>356</v>
      </c>
      <c r="O703" s="34">
        <f>IF(O701&gt;0,(O701&amp;1)*1,"")</f>
        <v>51</v>
      </c>
      <c r="Q703" s="274"/>
      <c r="R703" s="274"/>
      <c r="S703" s="275"/>
      <c r="T703" s="242"/>
      <c r="U703" s="244" t="str">
        <f>IF(AND(N703&lt;&gt;"",N704=""),CONCATENATE(VLOOKUP(N703,[1]zawodnicy!$A$1:$E$65536,1,FALSE)," ",VLOOKUP(N703,[1]zawodnicy!$A$1:$E$65536,2,FALSE)," ",VLOOKUP(N703,[1]zawodnicy!$A$1:$E$65536,3,FALSE)," - ",VLOOKUP(N703,[1]zawodnicy!$A$1:$E$65536,4,FALSE)),"")</f>
        <v/>
      </c>
      <c r="V703" s="245"/>
      <c r="W703" s="246"/>
      <c r="X703" s="35"/>
      <c r="Y703" s="36" t="str">
        <f>IF(SUM(AQ707:AR707)=0,"",AQ707&amp;":"&amp;AR707)</f>
        <v>21:6</v>
      </c>
      <c r="Z703" s="37" t="str">
        <f>IF(SUM(AQ705:AR705)=0,"",AQ705&amp;":"&amp;AR705)</f>
        <v>21:19</v>
      </c>
      <c r="AA703" s="248"/>
      <c r="AB703" s="251"/>
      <c r="AC703" s="251"/>
      <c r="AD703" s="254"/>
      <c r="AE703" s="2"/>
      <c r="AF703" s="12"/>
      <c r="AG703" s="12"/>
      <c r="AH703" s="14"/>
      <c r="BE703" s="19">
        <f>SUM(BE705:BE707)</f>
        <v>193</v>
      </c>
      <c r="BF703" s="19">
        <f>SUM(BF705:BF707)</f>
        <v>193</v>
      </c>
      <c r="BG703" s="19">
        <f>SUM(BG705:BG707)</f>
        <v>6</v>
      </c>
      <c r="BH703" s="19">
        <f>SUM(BH705:BH707)</f>
        <v>6</v>
      </c>
      <c r="BK703" s="19"/>
      <c r="BL703" s="20"/>
    </row>
    <row r="704" spans="1:64" ht="11.45" customHeight="1" thickBot="1" x14ac:dyDescent="0.25">
      <c r="J704" s="10"/>
      <c r="K704" s="28"/>
      <c r="L704" s="28"/>
      <c r="N704" s="38" t="s">
        <v>357</v>
      </c>
      <c r="O704" s="28"/>
      <c r="P704" s="28"/>
      <c r="Q704" s="274"/>
      <c r="R704" s="274"/>
      <c r="S704" s="275"/>
      <c r="T704" s="261"/>
      <c r="U704" s="265" t="str">
        <f>IF(N704&lt;&gt;"",CONCATENATE(VLOOKUP(N704,[1]zawodnicy!$A$1:$E$65536,1,FALSE)," ",VLOOKUP(N704,[1]zawodnicy!$A$1:$E$65536,2,FALSE)," ",VLOOKUP(N704,[1]zawodnicy!$A$1:$E$65536,3,FALSE)," - ",VLOOKUP(N704,[1]zawodnicy!$A$1:$E$65536,4,FALSE)),"")</f>
        <v>K4981 Michał KOSZTYŁO - UKS Orbitek Straszęcin</v>
      </c>
      <c r="V704" s="266"/>
      <c r="W704" s="267"/>
      <c r="X704" s="35"/>
      <c r="Y704" s="39" t="str">
        <f>IF(SUM(AS707:AT707)=0,"",AS707&amp;":"&amp;AT707)</f>
        <v/>
      </c>
      <c r="Z704" s="40" t="str">
        <f>IF(SUM(AS705:AT705)=0,"",AS705&amp;":"&amp;AT705)</f>
        <v/>
      </c>
      <c r="AA704" s="262"/>
      <c r="AB704" s="263"/>
      <c r="AC704" s="263"/>
      <c r="AD704" s="264"/>
      <c r="AE704" s="2"/>
      <c r="AF704" s="12"/>
      <c r="AG704" s="12"/>
      <c r="AH704" s="14"/>
      <c r="AI704" s="259" t="s">
        <v>12</v>
      </c>
      <c r="AJ704" s="269"/>
      <c r="AK704" s="268" t="s">
        <v>13</v>
      </c>
      <c r="AL704" s="269"/>
      <c r="AM704" s="268" t="s">
        <v>14</v>
      </c>
      <c r="AN704" s="260"/>
      <c r="AO704" s="259" t="s">
        <v>12</v>
      </c>
      <c r="AP704" s="269"/>
      <c r="AQ704" s="268" t="s">
        <v>13</v>
      </c>
      <c r="AR704" s="269"/>
      <c r="AS704" s="268" t="s">
        <v>14</v>
      </c>
      <c r="AT704" s="269"/>
      <c r="AU704" s="12"/>
      <c r="AV704" s="12"/>
      <c r="AW704" s="259">
        <v>1</v>
      </c>
      <c r="AX704" s="269"/>
      <c r="AY704" s="268">
        <v>2</v>
      </c>
      <c r="AZ704" s="269"/>
      <c r="BA704" s="268">
        <v>3</v>
      </c>
      <c r="BB704" s="260"/>
      <c r="BE704" s="259" t="s">
        <v>3</v>
      </c>
      <c r="BF704" s="260"/>
      <c r="BG704" s="259" t="s">
        <v>4</v>
      </c>
      <c r="BH704" s="260"/>
      <c r="BI704" s="259" t="s">
        <v>5</v>
      </c>
      <c r="BJ704" s="260"/>
      <c r="BK704" s="41" t="s">
        <v>6</v>
      </c>
      <c r="BL704" s="20"/>
    </row>
    <row r="705" spans="1:64" ht="11.45" customHeight="1" x14ac:dyDescent="0.2">
      <c r="A705" s="19">
        <f>S705</f>
        <v>97</v>
      </c>
      <c r="B705" s="2" t="str">
        <f>IF(N703="","",N703)</f>
        <v>G5058</v>
      </c>
      <c r="C705" s="2" t="str">
        <f>IF(N704="","",N704)</f>
        <v>K4981</v>
      </c>
      <c r="D705" s="2" t="str">
        <f>IF(N709="","",N709)</f>
        <v>K5476</v>
      </c>
      <c r="E705" s="2" t="str">
        <f>IF(N710="","",N710)</f>
        <v>M5475</v>
      </c>
      <c r="I705" s="2" t="str">
        <f>"2"&amp;O701&amp;N702</f>
        <v>25podwójna chłopców MM</v>
      </c>
      <c r="J705" s="10" t="str">
        <f>IF(AD705="","",IF(AD702=2,N703,IF(AD705=2,N706,IF(AD708=2,N709,""))))</f>
        <v>K5476</v>
      </c>
      <c r="K705" s="10" t="str">
        <f>IF(AD705="","",IF(AD702=2,N704,IF(AD705=2,N707,IF(AD708=2,N710,""))))</f>
        <v>M5475</v>
      </c>
      <c r="M705" s="42" t="str">
        <f>N702</f>
        <v>podwójna chłopców MM</v>
      </c>
      <c r="O705" s="28"/>
      <c r="P705" s="28"/>
      <c r="Q705" s="43" t="str">
        <f>IF(AU705&gt;0,"",IF(A705=0,"",IF(VLOOKUP(A705,'[1]plan gier'!A$1:S$65536,19,FALSE)="","",VLOOKUP(A705,'[1]plan gier'!A$1:S$65536,19,FALSE))))</f>
        <v/>
      </c>
      <c r="R705" s="44" t="s">
        <v>15</v>
      </c>
      <c r="S705" s="45">
        <v>97</v>
      </c>
      <c r="T705" s="241">
        <v>2</v>
      </c>
      <c r="U705" s="244" t="str">
        <f>IF(AND(N706&lt;&gt;"",N707&lt;&gt;""),CONCATENATE(VLOOKUP(N706,[1]zawodnicy!$A$1:$E$65536,1,FALSE)," ",VLOOKUP(N706,[1]zawodnicy!$A$1:$E$65536,2,FALSE)," ",VLOOKUP(N706,[1]zawodnicy!$A$1:$E$65536,3,FALSE)," - ",VLOOKUP(N706,[1]zawodnicy!$A$1:$E$65536,4,FALSE)),"")</f>
        <v>J5015 Jakub JAGODZIŃSKI - UKSB Milenium Warszawa</v>
      </c>
      <c r="V705" s="245"/>
      <c r="W705" s="246"/>
      <c r="X705" s="46" t="str">
        <f>IF(SUM(AO707:AP707)=0,"",AP707&amp;":"&amp;AO707)</f>
        <v>9:21</v>
      </c>
      <c r="Y705" s="47"/>
      <c r="Z705" s="48" t="str">
        <f>IF(SUM(AO706:AP706)=0,"",AO706&amp;":"&amp;AP706)</f>
        <v>13:21</v>
      </c>
      <c r="AA705" s="247" t="str">
        <f>IF(SUM(AW706:AX706,BA706:BB706)=0,"",BE706&amp;":"&amp;BF706)</f>
        <v>41:84</v>
      </c>
      <c r="AB705" s="250" t="str">
        <f>IF(SUM(AW706:AX706,BA706:BB706)=0,"",BG706&amp;":"&amp;BH706)</f>
        <v>0:4</v>
      </c>
      <c r="AC705" s="250" t="str">
        <f>IF(SUM(AW706:AX706,BA706:BB706)=0,"",BI706&amp;":"&amp;BJ706)</f>
        <v>0:2</v>
      </c>
      <c r="AD705" s="253">
        <f>IF(SUM(BI705:BI707)&gt;0,BK706,"")</f>
        <v>3</v>
      </c>
      <c r="AE705" s="2"/>
      <c r="AF705" s="12"/>
      <c r="AG705" s="12"/>
      <c r="AH705" s="44" t="s">
        <v>15</v>
      </c>
      <c r="AI705" s="49">
        <f>IF(ISBLANK(S705),"",VLOOKUP(S705,'[1]plan gier'!$X$1:$AN$65536,12,FALSE))</f>
        <v>21</v>
      </c>
      <c r="AJ705" s="50">
        <f>IF(ISBLANK(S705),"",VLOOKUP(S705,'[1]plan gier'!$X$1:$AN$65536,13,FALSE))</f>
        <v>7</v>
      </c>
      <c r="AK705" s="50">
        <f>IF(ISBLANK(S705),"",VLOOKUP(S705,'[1]plan gier'!$X$1:$AN$65536,14,FALSE))</f>
        <v>21</v>
      </c>
      <c r="AL705" s="50">
        <f>IF(ISBLANK(S705),"",VLOOKUP(S705,'[1]plan gier'!$X$1:$AN$65536,15,FALSE))</f>
        <v>19</v>
      </c>
      <c r="AM705" s="50">
        <f>IF(ISBLANK(S705),"",VLOOKUP(S705,'[1]plan gier'!$X$1:$AN$65536,16,FALSE))</f>
        <v>0</v>
      </c>
      <c r="AN705" s="50">
        <f>IF(ISBLANK(S705),"",VLOOKUP(S705,'[1]plan gier'!$X$1:$AN$65536,17,FALSE))</f>
        <v>0</v>
      </c>
      <c r="AO705" s="51">
        <f t="shared" ref="AO705:AT707" si="67">IF(AI705="",0,AI705)</f>
        <v>21</v>
      </c>
      <c r="AP705" s="52">
        <f t="shared" si="67"/>
        <v>7</v>
      </c>
      <c r="AQ705" s="53">
        <f t="shared" si="67"/>
        <v>21</v>
      </c>
      <c r="AR705" s="52">
        <f t="shared" si="67"/>
        <v>19</v>
      </c>
      <c r="AS705" s="53">
        <f t="shared" si="67"/>
        <v>0</v>
      </c>
      <c r="AT705" s="52">
        <f t="shared" si="67"/>
        <v>0</v>
      </c>
      <c r="AU705" s="54">
        <f>SUM(AO705:AT705)</f>
        <v>68</v>
      </c>
      <c r="AV705" s="13">
        <v>1</v>
      </c>
      <c r="AW705" s="55"/>
      <c r="AX705" s="56"/>
      <c r="AY705" s="50">
        <f>IF(AI707&gt;AJ707,1,0)+IF(AK707&gt;AL707,1,0)+IF(AM707&gt;AN707,1,0)</f>
        <v>2</v>
      </c>
      <c r="AZ705" s="50">
        <f>AW706</f>
        <v>0</v>
      </c>
      <c r="BA705" s="50">
        <f>IF(AI705&gt;AJ705,1,0)+IF(AK705&gt;AL705,1,0)+IF(AM705&gt;AN705,1,0)</f>
        <v>2</v>
      </c>
      <c r="BB705" s="57">
        <f>AW707</f>
        <v>0</v>
      </c>
      <c r="BE705" s="49">
        <f>AO705+AQ705+AS705+AO707+AQ707+AS707</f>
        <v>84</v>
      </c>
      <c r="BF705" s="57">
        <f>AP705+AR705+AT705+AP707+AR707+AT707</f>
        <v>41</v>
      </c>
      <c r="BG705" s="49">
        <f>AY705+BA705</f>
        <v>4</v>
      </c>
      <c r="BH705" s="57">
        <f>AZ705+BB705</f>
        <v>0</v>
      </c>
      <c r="BI705" s="49">
        <f>IF(AY705&gt;AZ705,1,0)+IF(BA705&gt;BB705,1,0)</f>
        <v>2</v>
      </c>
      <c r="BJ705" s="58">
        <f>IF(AZ705&gt;AY705,1,0)+IF(BB705&gt;BA705,1,0)</f>
        <v>0</v>
      </c>
      <c r="BK705" s="59">
        <f>IF(BI705+BJ705=0,"",IF(BL705=MAX(BL705:BL707),1,IF(BL705=MIN(BL705:BL707),3,2)))</f>
        <v>1</v>
      </c>
      <c r="BL705" s="60">
        <f>IF(BI705+BJ705&lt;&gt;0,BI705+1+(BG705-BH705)/100+(BE705-BF705)/100000+(BE705/BF705)/1000000,0)</f>
        <v>3.0404320487804881</v>
      </c>
    </row>
    <row r="706" spans="1:64" ht="11.45" customHeight="1" x14ac:dyDescent="0.2">
      <c r="A706" s="19">
        <f>S706</f>
        <v>163</v>
      </c>
      <c r="B706" s="2" t="str">
        <f>IF(N706="","",N706)</f>
        <v>J5015</v>
      </c>
      <c r="C706" s="2" t="str">
        <f>IF(N707="","",N707)</f>
        <v>M5942</v>
      </c>
      <c r="D706" s="2" t="str">
        <f>IF(N709="","",N709)</f>
        <v>K5476</v>
      </c>
      <c r="E706" s="2" t="str">
        <f>IF(N710="","",N710)</f>
        <v>M5475</v>
      </c>
      <c r="J706" s="10"/>
      <c r="K706" s="19"/>
      <c r="M706" s="42" t="str">
        <f>N702</f>
        <v>podwójna chłopców MM</v>
      </c>
      <c r="N706" s="33" t="s">
        <v>358</v>
      </c>
      <c r="O706" s="34">
        <f>IF(O701&gt;0,(O701&amp;2)*1,"")</f>
        <v>52</v>
      </c>
      <c r="Q706" s="43" t="str">
        <f>IF(AU706&gt;0,"",IF(A706=0,"",IF(VLOOKUP(A706,'[1]plan gier'!A$1:S$65536,19,FALSE)="","",VLOOKUP(A706,'[1]plan gier'!A$1:S$65536,19,FALSE))))</f>
        <v/>
      </c>
      <c r="R706" s="44" t="s">
        <v>17</v>
      </c>
      <c r="S706" s="45">
        <v>163</v>
      </c>
      <c r="T706" s="242"/>
      <c r="U706" s="244" t="str">
        <f>IF(AND(N706&lt;&gt;"",N707=""),CONCATENATE(VLOOKUP(N706,[1]zawodnicy!$A$1:$E$65536,1,FALSE)," ",VLOOKUP(N706,[1]zawodnicy!$A$1:$E$65536,2,FALSE)," ",VLOOKUP(N706,[1]zawodnicy!$A$1:$E$65536,3,FALSE)," - ",VLOOKUP(N706,[1]zawodnicy!$A$1:$E$65536,4,FALSE)),"")</f>
        <v/>
      </c>
      <c r="V706" s="245"/>
      <c r="W706" s="246"/>
      <c r="X706" s="61" t="str">
        <f>IF(SUM(AQ707:AR707)=0,"",AR707&amp;":"&amp;AQ707)</f>
        <v>6:21</v>
      </c>
      <c r="Y706" s="62"/>
      <c r="Z706" s="37" t="str">
        <f>IF(SUM(AQ706:AR706)=0,"",AQ706&amp;":"&amp;AR706)</f>
        <v>13:21</v>
      </c>
      <c r="AA706" s="248"/>
      <c r="AB706" s="251"/>
      <c r="AC706" s="251"/>
      <c r="AD706" s="254"/>
      <c r="AE706" s="2"/>
      <c r="AF706" s="12"/>
      <c r="AG706" s="12"/>
      <c r="AH706" s="44" t="s">
        <v>17</v>
      </c>
      <c r="AI706" s="63">
        <f>IF(ISBLANK(S706),"",VLOOKUP(S706,'[1]plan gier'!$X$1:$AN$65536,12,FALSE))</f>
        <v>13</v>
      </c>
      <c r="AJ706" s="64">
        <f>IF(ISBLANK(S706),"",VLOOKUP(S706,'[1]plan gier'!$X$1:$AN$65536,13,FALSE))</f>
        <v>21</v>
      </c>
      <c r="AK706" s="64">
        <f>IF(ISBLANK(S706),"",VLOOKUP(S706,'[1]plan gier'!$X$1:$AN$65536,14,FALSE))</f>
        <v>13</v>
      </c>
      <c r="AL706" s="64">
        <f>IF(ISBLANK(S706),"",VLOOKUP(S706,'[1]plan gier'!$X$1:$AN$65536,15,FALSE))</f>
        <v>21</v>
      </c>
      <c r="AM706" s="64">
        <f>IF(ISBLANK(S706),"",VLOOKUP(S706,'[1]plan gier'!$X$1:$AN$65536,16,FALSE))</f>
        <v>0</v>
      </c>
      <c r="AN706" s="64">
        <f>IF(ISBLANK(S706),"",VLOOKUP(S706,'[1]plan gier'!$X$1:$AN$65536,17,FALSE))</f>
        <v>0</v>
      </c>
      <c r="AO706" s="65">
        <f t="shared" si="67"/>
        <v>13</v>
      </c>
      <c r="AP706" s="64">
        <f t="shared" si="67"/>
        <v>21</v>
      </c>
      <c r="AQ706" s="66">
        <f t="shared" si="67"/>
        <v>13</v>
      </c>
      <c r="AR706" s="64">
        <f t="shared" si="67"/>
        <v>21</v>
      </c>
      <c r="AS706" s="66">
        <f t="shared" si="67"/>
        <v>0</v>
      </c>
      <c r="AT706" s="64">
        <f t="shared" si="67"/>
        <v>0</v>
      </c>
      <c r="AU706" s="54">
        <f>SUM(AO706:AT706)</f>
        <v>68</v>
      </c>
      <c r="AV706" s="13">
        <v>2</v>
      </c>
      <c r="AW706" s="63">
        <f>IF(AI707&lt;AJ707,1,0)+IF(AK707&lt;AL707,1,0)+IF(AM707&lt;AN707,1,0)</f>
        <v>0</v>
      </c>
      <c r="AX706" s="64">
        <f>AY705</f>
        <v>2</v>
      </c>
      <c r="AY706" s="67"/>
      <c r="AZ706" s="68"/>
      <c r="BA706" s="64">
        <f>IF(AI706&gt;AJ706,1,0)+IF(AK706&gt;AL706,1,0)+IF(AM706&gt;AN706,1,0)</f>
        <v>0</v>
      </c>
      <c r="BB706" s="69">
        <f>AY707</f>
        <v>2</v>
      </c>
      <c r="BE706" s="63">
        <f>AO706+AQ706+AS706+AP707+AR707+AT707</f>
        <v>41</v>
      </c>
      <c r="BF706" s="69">
        <f>AP706+AR706+AT706+AO707+AQ707+AS707</f>
        <v>84</v>
      </c>
      <c r="BG706" s="63">
        <f>AW706+BA706</f>
        <v>0</v>
      </c>
      <c r="BH706" s="69">
        <f>AX706+BB706</f>
        <v>4</v>
      </c>
      <c r="BI706" s="63">
        <f>IF(AW706&gt;AX706,1,0)+IF(BA706&gt;BB706,1,0)</f>
        <v>0</v>
      </c>
      <c r="BJ706" s="70">
        <f>IF(AX706&gt;AW706,1,0)+IF(BB706&gt;BA706,1,0)</f>
        <v>2</v>
      </c>
      <c r="BK706" s="71">
        <f>IF(BI706+BJ706=0,"",IF(BL706=MAX(BL705:BL707),1,IF(BL706=MIN(BL705:BL707),3,2)))</f>
        <v>3</v>
      </c>
      <c r="BL706" s="60">
        <f>IF(BI706+BJ706&lt;&gt;0,BI706+1+(BG706-BH706)/100+(BE706-BF706)/100000+(BE706/BF706)/1000000,0)</f>
        <v>0.95957048809523804</v>
      </c>
    </row>
    <row r="707" spans="1:64" ht="11.45" customHeight="1" thickBot="1" x14ac:dyDescent="0.25">
      <c r="A707" s="19">
        <f>S707</f>
        <v>216</v>
      </c>
      <c r="B707" s="2" t="str">
        <f>IF(N703="","",N703)</f>
        <v>G5058</v>
      </c>
      <c r="C707" s="2" t="str">
        <f>IF(N704="","",N704)</f>
        <v>K4981</v>
      </c>
      <c r="D707" s="2" t="str">
        <f>IF(N706="","",N706)</f>
        <v>J5015</v>
      </c>
      <c r="E707" s="2" t="str">
        <f>IF(N707="","",N707)</f>
        <v>M5942</v>
      </c>
      <c r="I707" s="2" t="str">
        <f>"3"&amp;O701&amp;N702</f>
        <v>35podwójna chłopców MM</v>
      </c>
      <c r="J707" s="10" t="str">
        <f>IF(AD708="","",IF(AD702=3,N703,IF(AD705=3,N706,IF(AD708=3,N709,""))))</f>
        <v>J5015</v>
      </c>
      <c r="K707" s="10" t="str">
        <f>IF(AD708="","",IF(AD702=3,N704,IF(AD705=3,N707,IF(AD708=3,N710,""))))</f>
        <v>M5942</v>
      </c>
      <c r="M707" s="42" t="str">
        <f>N702</f>
        <v>podwójna chłopców MM</v>
      </c>
      <c r="N707" s="38" t="s">
        <v>359</v>
      </c>
      <c r="O707" s="28"/>
      <c r="P707" s="28"/>
      <c r="Q707" s="43" t="str">
        <f>IF(AU707&gt;0,"",IF(A707=0,"",IF(VLOOKUP(A707,'[1]plan gier'!A$1:S$65536,19,FALSE)="","",VLOOKUP(A707,'[1]plan gier'!A$1:S$65536,19,FALSE))))</f>
        <v/>
      </c>
      <c r="R707" s="72" t="s">
        <v>18</v>
      </c>
      <c r="S707" s="45">
        <v>216</v>
      </c>
      <c r="T707" s="261"/>
      <c r="U707" s="265" t="str">
        <f>IF(N707&lt;&gt;"",CONCATENATE(VLOOKUP(N707,[1]zawodnicy!$A$1:$E$65536,1,FALSE)," ",VLOOKUP(N707,[1]zawodnicy!$A$1:$E$65536,2,FALSE)," ",VLOOKUP(N707,[1]zawodnicy!$A$1:$E$65536,3,FALSE)," - ",VLOOKUP(N707,[1]zawodnicy!$A$1:$E$65536,4,FALSE)),"")</f>
        <v>M5942 Jakub MELANIUK - UKSB Milenium Warszawa</v>
      </c>
      <c r="V707" s="266"/>
      <c r="W707" s="267"/>
      <c r="X707" s="73" t="str">
        <f>IF(SUM(AS707:AT707)=0,"",AT707&amp;":"&amp;AS707)</f>
        <v/>
      </c>
      <c r="Y707" s="62"/>
      <c r="Z707" s="40" t="str">
        <f>IF(SUM(AS706:AT706)=0,"",AS706&amp;":"&amp;AT706)</f>
        <v/>
      </c>
      <c r="AA707" s="262"/>
      <c r="AB707" s="263"/>
      <c r="AC707" s="263"/>
      <c r="AD707" s="264"/>
      <c r="AE707" s="2"/>
      <c r="AF707" s="12"/>
      <c r="AG707" s="12"/>
      <c r="AH707" s="72" t="s">
        <v>18</v>
      </c>
      <c r="AI707" s="74">
        <f>IF(ISBLANK(S707),"",VLOOKUP(S707,'[1]plan gier'!$X$1:$AN$65536,12,FALSE))</f>
        <v>21</v>
      </c>
      <c r="AJ707" s="75">
        <f>IF(ISBLANK(S707),"",VLOOKUP(S707,'[1]plan gier'!$X$1:$AN$65536,13,FALSE))</f>
        <v>9</v>
      </c>
      <c r="AK707" s="75">
        <f>IF(ISBLANK(S707),"",VLOOKUP(S707,'[1]plan gier'!$X$1:$AN$65536,14,FALSE))</f>
        <v>21</v>
      </c>
      <c r="AL707" s="75">
        <f>IF(ISBLANK(S707),"",VLOOKUP(S707,'[1]plan gier'!$X$1:$AN$65536,15,FALSE))</f>
        <v>6</v>
      </c>
      <c r="AM707" s="75">
        <f>IF(ISBLANK(S707),"",VLOOKUP(S707,'[1]plan gier'!$X$1:$AN$65536,16,FALSE))</f>
        <v>0</v>
      </c>
      <c r="AN707" s="75">
        <f>IF(ISBLANK(S707),"",VLOOKUP(S707,'[1]plan gier'!$X$1:$AN$65536,17,FALSE))</f>
        <v>0</v>
      </c>
      <c r="AO707" s="76">
        <f t="shared" si="67"/>
        <v>21</v>
      </c>
      <c r="AP707" s="75">
        <f t="shared" si="67"/>
        <v>9</v>
      </c>
      <c r="AQ707" s="77">
        <f t="shared" si="67"/>
        <v>21</v>
      </c>
      <c r="AR707" s="75">
        <f t="shared" si="67"/>
        <v>6</v>
      </c>
      <c r="AS707" s="77">
        <f t="shared" si="67"/>
        <v>0</v>
      </c>
      <c r="AT707" s="75">
        <f t="shared" si="67"/>
        <v>0</v>
      </c>
      <c r="AU707" s="54">
        <f>SUM(AO707:AT707)</f>
        <v>57</v>
      </c>
      <c r="AV707" s="13">
        <v>3</v>
      </c>
      <c r="AW707" s="74">
        <f>IF(AI705&lt;AJ705,1,0)+IF(AK705&lt;AL705,1,0)+IF(AM705&lt;AN705,1,0)</f>
        <v>0</v>
      </c>
      <c r="AX707" s="75">
        <f>BA705</f>
        <v>2</v>
      </c>
      <c r="AY707" s="75">
        <f>IF(AI706&lt;AJ706,1,0)+IF(AK706&lt;AL706,1,0)+IF(AM706&lt;AN706,1,0)</f>
        <v>2</v>
      </c>
      <c r="AZ707" s="75">
        <f>BA706</f>
        <v>0</v>
      </c>
      <c r="BA707" s="78"/>
      <c r="BB707" s="79"/>
      <c r="BE707" s="74">
        <f>AP705+AR705+AT705+AP706+AR706+AT706</f>
        <v>68</v>
      </c>
      <c r="BF707" s="80">
        <f>AO705+AQ705+AS705+AO706+AQ706+AS706</f>
        <v>68</v>
      </c>
      <c r="BG707" s="74">
        <f>AW707+AY707</f>
        <v>2</v>
      </c>
      <c r="BH707" s="80">
        <f>AX707+AZ707</f>
        <v>2</v>
      </c>
      <c r="BI707" s="74">
        <f>IF(AW707&gt;AX707,1,0)+IF(AY707&gt;AZ707,1,0)</f>
        <v>1</v>
      </c>
      <c r="BJ707" s="81">
        <f>IF(AX707&gt;AW707,1,0)+IF(AZ707&gt;AY707,1,0)</f>
        <v>1</v>
      </c>
      <c r="BK707" s="82">
        <f>IF(BI707+BJ707=0,"",IF(BL707=MAX(BL705:BL707),1,IF(BL707=MIN(BL705:BL707),3,2)))</f>
        <v>2</v>
      </c>
      <c r="BL707" s="60">
        <f>IF(BI707+BJ707&lt;&gt;0,BI707+1+(BG707-BH707)/100+(BE707-BF707)/100000+(BE707/BF707)/1000000,0)</f>
        <v>2.0000010000000001</v>
      </c>
    </row>
    <row r="708" spans="1:64" ht="11.45" customHeight="1" x14ac:dyDescent="0.2">
      <c r="A708" s="2"/>
      <c r="J708" s="28"/>
      <c r="K708" s="28"/>
      <c r="L708" s="28"/>
      <c r="O708" s="28"/>
      <c r="P708" s="28"/>
      <c r="Q708" s="2"/>
      <c r="R708" s="2"/>
      <c r="S708" s="2"/>
      <c r="T708" s="241">
        <v>3</v>
      </c>
      <c r="U708" s="244" t="str">
        <f>IF(AND(N709&lt;&gt;"",N710&lt;&gt;""),CONCATENATE(VLOOKUP(N709,[1]zawodnicy!$A$1:$E$65536,1,FALSE)," ",VLOOKUP(N709,[1]zawodnicy!$A$1:$E$65536,2,FALSE)," ",VLOOKUP(N709,[1]zawodnicy!$A$1:$E$65536,3,FALSE)," - ",VLOOKUP(N709,[1]zawodnicy!$A$1:$E$65536,4,FALSE)),"")</f>
        <v>K5476 Marcin KARBOWY - UKS Iskra Sarbice</v>
      </c>
      <c r="V708" s="245"/>
      <c r="W708" s="246"/>
      <c r="X708" s="46" t="str">
        <f>IF(SUM(AO705:AP705)=0,"",AP705&amp;":"&amp;AO705)</f>
        <v>7:21</v>
      </c>
      <c r="Y708" s="83" t="str">
        <f>IF(SUM(AO706:AP706)=0,"",AP706&amp;":"&amp;AO706)</f>
        <v>21:13</v>
      </c>
      <c r="Z708" s="84"/>
      <c r="AA708" s="247" t="str">
        <f>IF(SUM(AW707:AZ707)=0,"",BE707&amp;":"&amp;BF707)</f>
        <v>68:68</v>
      </c>
      <c r="AB708" s="250" t="str">
        <f>IF(SUM(AW707:AZ707)=0,"",BG707&amp;":"&amp;BH707)</f>
        <v>2:2</v>
      </c>
      <c r="AC708" s="250" t="str">
        <f>IF(SUM(AW707:AZ707)=0,"",BI707&amp;":"&amp;BJ707)</f>
        <v>1:1</v>
      </c>
      <c r="AD708" s="253">
        <f>IF(SUM(BI705:BI707)&gt;0,BK707,"")</f>
        <v>2</v>
      </c>
      <c r="AE708" s="2"/>
      <c r="AF708" s="12"/>
      <c r="AG708" s="12"/>
      <c r="BE708" s="19">
        <f>SUM(BE705:BE707)</f>
        <v>193</v>
      </c>
      <c r="BF708" s="19">
        <f>SUM(BF705:BF707)</f>
        <v>193</v>
      </c>
      <c r="BG708" s="19">
        <f>SUM(BG705:BG707)</f>
        <v>6</v>
      </c>
      <c r="BH708" s="19">
        <f>SUM(BH705:BH707)</f>
        <v>6</v>
      </c>
      <c r="BK708" s="19"/>
      <c r="BL708" s="20"/>
    </row>
    <row r="709" spans="1:64" ht="11.45" customHeight="1" x14ac:dyDescent="0.2">
      <c r="A709" s="19"/>
      <c r="J709" s="19"/>
      <c r="K709" s="19"/>
      <c r="L709" s="19"/>
      <c r="N709" s="33" t="s">
        <v>360</v>
      </c>
      <c r="O709" s="34">
        <f>IF(O701&gt;0,(O701&amp;3)*1,"")</f>
        <v>53</v>
      </c>
      <c r="Q709" s="85"/>
      <c r="R709" s="85"/>
      <c r="S709" s="85"/>
      <c r="T709" s="242"/>
      <c r="U709" s="244" t="str">
        <f>IF(AND(N709&lt;&gt;"",N710=""),CONCATENATE(VLOOKUP(N709,[1]zawodnicy!$A$1:$E$65536,1,FALSE)," ",VLOOKUP(N709,[1]zawodnicy!$A$1:$E$65536,2,FALSE)," ",VLOOKUP(N709,[1]zawodnicy!$A$1:$E$65536,3,FALSE)," - ",VLOOKUP(N709,[1]zawodnicy!$A$1:$E$65536,4,FALSE)),"")</f>
        <v/>
      </c>
      <c r="V709" s="245"/>
      <c r="W709" s="246"/>
      <c r="X709" s="61" t="str">
        <f>IF(SUM(AQ705:AR705)=0,"",AR705&amp;":"&amp;AQ705)</f>
        <v>19:21</v>
      </c>
      <c r="Y709" s="36" t="str">
        <f>IF(SUM(AQ706:AR706)=0,"",AR706&amp;":"&amp;AQ706)</f>
        <v>21:13</v>
      </c>
      <c r="Z709" s="86"/>
      <c r="AA709" s="248"/>
      <c r="AB709" s="251"/>
      <c r="AC709" s="251"/>
      <c r="AD709" s="254"/>
      <c r="AE709" s="2"/>
      <c r="AF709" s="12"/>
      <c r="AG709" s="1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row>
    <row r="710" spans="1:64" ht="11.45" customHeight="1" thickBot="1" x14ac:dyDescent="0.25">
      <c r="A710" s="2"/>
      <c r="J710" s="28"/>
      <c r="K710" s="28"/>
      <c r="L710" s="28"/>
      <c r="N710" s="38" t="s">
        <v>361</v>
      </c>
      <c r="O710" s="28"/>
      <c r="P710" s="28"/>
      <c r="Q710" s="2"/>
      <c r="R710" s="2"/>
      <c r="S710" s="2"/>
      <c r="T710" s="243"/>
      <c r="U710" s="256" t="str">
        <f>IF(N710&lt;&gt;"",CONCATENATE(VLOOKUP(N710,[1]zawodnicy!$A$1:$E$65536,1,FALSE)," ",VLOOKUP(N710,[1]zawodnicy!$A$1:$E$65536,2,FALSE)," ",VLOOKUP(N710,[1]zawodnicy!$A$1:$E$65536,3,FALSE)," - ",VLOOKUP(N710,[1]zawodnicy!$A$1:$E$65536,4,FALSE)),"")</f>
        <v>M5475 Jakub MYSŁOWSKI - UKS Iskra Sarbice</v>
      </c>
      <c r="V710" s="257"/>
      <c r="W710" s="258"/>
      <c r="X710" s="87" t="str">
        <f>IF(SUM(AS705:AT705)=0,"",AT705&amp;":"&amp;AS705)</f>
        <v/>
      </c>
      <c r="Y710" s="88" t="str">
        <f>IF(SUM(AS706:AT706)=0,"",AT706&amp;":"&amp;AS706)</f>
        <v/>
      </c>
      <c r="Z710" s="89"/>
      <c r="AA710" s="249"/>
      <c r="AB710" s="252"/>
      <c r="AC710" s="252"/>
      <c r="AD710" s="255"/>
      <c r="AE710" s="10"/>
      <c r="AF710" s="12"/>
      <c r="AG710" s="1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row>
    <row r="711" spans="1:64" s="19" customFormat="1" ht="5.0999999999999996" customHeight="1" thickBot="1" x14ac:dyDescent="0.25">
      <c r="M711" s="90"/>
      <c r="O711" s="90"/>
      <c r="P711" s="90"/>
      <c r="Q711" s="91"/>
      <c r="R711" s="91"/>
      <c r="S711" s="91"/>
      <c r="T711" s="91"/>
      <c r="U711" s="5"/>
      <c r="V711" s="5"/>
      <c r="W711" s="5"/>
      <c r="AA711" s="92"/>
      <c r="AB711" s="91"/>
      <c r="AC711" s="91"/>
      <c r="AD711" s="91"/>
      <c r="AE711" s="91"/>
      <c r="AF711" s="91"/>
      <c r="AI711" s="93"/>
      <c r="AJ711" s="94"/>
      <c r="AK711" s="94"/>
    </row>
    <row r="712" spans="1:64" ht="11.45" customHeight="1" thickBot="1" x14ac:dyDescent="0.25">
      <c r="B712" s="2" t="s">
        <v>63</v>
      </c>
      <c r="N712" s="138"/>
      <c r="O712" s="21">
        <v>6</v>
      </c>
      <c r="Q712" s="277" t="str">
        <f>"Grupa "&amp;O712&amp;"."</f>
        <v>Grupa 6.</v>
      </c>
      <c r="R712" s="277"/>
      <c r="S712" s="277"/>
      <c r="T712" s="22" t="s">
        <v>1</v>
      </c>
      <c r="U712" s="278" t="s">
        <v>2</v>
      </c>
      <c r="V712" s="279"/>
      <c r="W712" s="280"/>
      <c r="X712" s="22">
        <v>1</v>
      </c>
      <c r="Y712" s="139">
        <v>2</v>
      </c>
      <c r="Z712" s="23">
        <v>3</v>
      </c>
      <c r="AA712" s="140">
        <v>4</v>
      </c>
      <c r="AB712" s="141" t="s">
        <v>3</v>
      </c>
      <c r="AC712" s="142" t="s">
        <v>4</v>
      </c>
      <c r="AD712" s="26" t="s">
        <v>5</v>
      </c>
      <c r="AE712" s="143" t="s">
        <v>6</v>
      </c>
      <c r="AF712" s="12"/>
      <c r="AG712" s="12"/>
      <c r="AI712" s="273" t="s">
        <v>9</v>
      </c>
      <c r="AJ712" s="273"/>
      <c r="AK712" s="273"/>
      <c r="AL712" s="273"/>
      <c r="AM712" s="273"/>
      <c r="AN712" s="273"/>
      <c r="AO712" s="273" t="s">
        <v>10</v>
      </c>
      <c r="AP712" s="273"/>
      <c r="AQ712" s="273"/>
      <c r="AR712" s="273"/>
      <c r="AS712" s="273"/>
      <c r="AT712" s="273"/>
      <c r="BK712" s="19"/>
      <c r="BL712" s="20"/>
    </row>
    <row r="713" spans="1:64" ht="11.45" customHeight="1" x14ac:dyDescent="0.2">
      <c r="N713" s="29" t="s">
        <v>329</v>
      </c>
      <c r="Q713" s="274" t="s">
        <v>7</v>
      </c>
      <c r="R713" s="274"/>
      <c r="S713" s="275" t="s">
        <v>8</v>
      </c>
      <c r="T713" s="242">
        <v>1</v>
      </c>
      <c r="U713" s="244" t="str">
        <f>IF(AND(N714&lt;&gt;"",N715&lt;&gt;""),CONCATENATE(VLOOKUP(N714,[1]zawodnicy!$A$1:$E$65536,1,FALSE)," ",VLOOKUP(N714,[1]zawodnicy!$A$1:$E$65536,2,FALSE)," ",VLOOKUP(N714,[1]zawodnicy!$A$1:$E$65536,3,FALSE)," - ",VLOOKUP(N714,[1]zawodnicy!$A$1:$E$65536,4,FALSE)),"")</f>
        <v>K4702 Kacper KOPACZ - UTS Akro-Bad Warszawa</v>
      </c>
      <c r="V713" s="245"/>
      <c r="W713" s="246"/>
      <c r="X713" s="35"/>
      <c r="Y713" s="36" t="str">
        <f>IF(SUM(AO721:AP721)=0,"",AO721&amp;":"&amp;AP721)</f>
        <v>21:16</v>
      </c>
      <c r="Z713" s="36" t="str">
        <f>IF(SUM(AO716:AP716)=0,"",AO716&amp;":"&amp;AP716)</f>
        <v>8:21</v>
      </c>
      <c r="AA713" s="144" t="str">
        <f>IF(SUM(AO718:AP718)=0,"",AO718&amp;":"&amp;AP718)</f>
        <v>23:25</v>
      </c>
      <c r="AB713" s="242" t="str">
        <f>IF(SUM(AY716:BD716)=0,"",BE716&amp;":"&amp;BF716)</f>
        <v>97:116</v>
      </c>
      <c r="AC713" s="251" t="str">
        <f>IF(SUM(AY716:BD716)=0,"",BG716&amp;":"&amp;BH716)</f>
        <v>2:4</v>
      </c>
      <c r="AD713" s="251" t="str">
        <f>IF(SUM(AY716:BD716)=0,"",BI716&amp;":"&amp;BJ716)</f>
        <v>1:2</v>
      </c>
      <c r="AE713" s="254">
        <f>IF(SUM(BI716:BI719)&gt;0,BK716,"")</f>
        <v>3</v>
      </c>
      <c r="AF713" s="12"/>
      <c r="AG713" s="12"/>
      <c r="BK713" s="19"/>
      <c r="BL713" s="20"/>
    </row>
    <row r="714" spans="1:64" ht="11.45" customHeight="1" thickBot="1" x14ac:dyDescent="0.25">
      <c r="H714" s="10"/>
      <c r="I714" s="2" t="str">
        <f>"1"&amp;O712&amp;N713</f>
        <v>16podwójna chłopców MM</v>
      </c>
      <c r="J714" s="10" t="str">
        <f>IF(AE713="","",IF(AE713=1,N714,IF(AE716=1,N717,IF(AE719=1,N720,IF(AE722=1,N723,"")))))</f>
        <v>K5180</v>
      </c>
      <c r="K714" s="10" t="str">
        <f>IF(AE713="","",IF(AE713=1,N715,IF(AE716=1,N718,IF(AE719=1,N721,IF(AE722=1,N724,"")))))</f>
        <v>M4612</v>
      </c>
      <c r="L714" s="10"/>
      <c r="N714" s="33" t="s">
        <v>362</v>
      </c>
      <c r="O714" s="34">
        <f>IF(O712&gt;0,(O712&amp;1)*1,"")</f>
        <v>61</v>
      </c>
      <c r="Q714" s="274"/>
      <c r="R714" s="274"/>
      <c r="S714" s="275"/>
      <c r="T714" s="242"/>
      <c r="U714" s="244" t="str">
        <f>IF(AND(N714&lt;&gt;"",N715=""),CONCATENATE(VLOOKUP(N714,[1]zawodnicy!$A$1:$E$65536,1,FALSE)," ",VLOOKUP(N714,[1]zawodnicy!$A$1:$E$65536,2,FALSE)," ",VLOOKUP(N714,[1]zawodnicy!$A$1:$E$65536,3,FALSE)," - ",VLOOKUP(N714,[1]zawodnicy!$A$1:$E$65536,4,FALSE)),"")</f>
        <v/>
      </c>
      <c r="V714" s="245"/>
      <c r="W714" s="246"/>
      <c r="X714" s="35"/>
      <c r="Y714" s="36" t="str">
        <f>IF(SUM(AQ721:AR721)=0,"",AQ721&amp;":"&amp;AR721)</f>
        <v>21:12</v>
      </c>
      <c r="Z714" s="36" t="str">
        <f>IF(SUM(AQ716:AR716)=0,"",AQ716&amp;":"&amp;AR716)</f>
        <v>8:21</v>
      </c>
      <c r="AA714" s="144" t="str">
        <f>IF(SUM(AQ718:AR718)=0,"",AQ718&amp;":"&amp;AR718)</f>
        <v>16:21</v>
      </c>
      <c r="AB714" s="242"/>
      <c r="AC714" s="251"/>
      <c r="AD714" s="251"/>
      <c r="AE714" s="254"/>
      <c r="AF714" s="12"/>
      <c r="AG714" s="12"/>
      <c r="BK714" s="19"/>
      <c r="BL714" s="20"/>
    </row>
    <row r="715" spans="1:64" ht="11.45" customHeight="1" thickBot="1" x14ac:dyDescent="0.25">
      <c r="J715" s="10"/>
      <c r="K715" s="28"/>
      <c r="L715" s="28"/>
      <c r="N715" s="38" t="s">
        <v>363</v>
      </c>
      <c r="O715" s="28"/>
      <c r="P715" s="28"/>
      <c r="Q715" s="274"/>
      <c r="R715" s="274"/>
      <c r="S715" s="275"/>
      <c r="T715" s="261"/>
      <c r="U715" s="265" t="str">
        <f>IF(N715&lt;&gt;"",CONCATENATE(VLOOKUP(N715,[1]zawodnicy!$A$1:$E$65536,1,FALSE)," ",VLOOKUP(N715,[1]zawodnicy!$A$1:$E$65536,2,FALSE)," ",VLOOKUP(N715,[1]zawodnicy!$A$1:$E$65536,3,FALSE)," - ",VLOOKUP(N715,[1]zawodnicy!$A$1:$E$65536,4,FALSE)),"")</f>
        <v>L4492 Kacper LINKE - UTS Akro-Bad Warszawa</v>
      </c>
      <c r="V715" s="266"/>
      <c r="W715" s="267"/>
      <c r="X715" s="35"/>
      <c r="Y715" s="39" t="str">
        <f>IF(SUM(AS721:AT721)=0,"",AS721&amp;":"&amp;AT721)</f>
        <v/>
      </c>
      <c r="Z715" s="39" t="str">
        <f>IF(SUM(AS716:AT716)=0,"",AS716&amp;":"&amp;AT716)</f>
        <v/>
      </c>
      <c r="AA715" s="145" t="str">
        <f>IF(SUM(AS718:AT718)=0,"",AS718&amp;":"&amp;AT718)</f>
        <v/>
      </c>
      <c r="AB715" s="242"/>
      <c r="AC715" s="251"/>
      <c r="AD715" s="251"/>
      <c r="AE715" s="254"/>
      <c r="AF715" s="12"/>
      <c r="AG715" s="12"/>
      <c r="AI715" s="283" t="s">
        <v>12</v>
      </c>
      <c r="AJ715" s="281"/>
      <c r="AK715" s="281" t="s">
        <v>13</v>
      </c>
      <c r="AL715" s="281"/>
      <c r="AM715" s="281" t="s">
        <v>14</v>
      </c>
      <c r="AN715" s="281"/>
      <c r="AO715" s="283" t="s">
        <v>12</v>
      </c>
      <c r="AP715" s="281"/>
      <c r="AQ715" s="281" t="s">
        <v>13</v>
      </c>
      <c r="AR715" s="281"/>
      <c r="AS715" s="281" t="s">
        <v>14</v>
      </c>
      <c r="AT715" s="282"/>
      <c r="AW715" s="283">
        <v>1</v>
      </c>
      <c r="AX715" s="281"/>
      <c r="AY715" s="281">
        <v>2</v>
      </c>
      <c r="AZ715" s="281"/>
      <c r="BA715" s="281">
        <v>3</v>
      </c>
      <c r="BB715" s="281"/>
      <c r="BC715" s="281">
        <v>4</v>
      </c>
      <c r="BD715" s="282"/>
      <c r="BE715" s="283" t="s">
        <v>3</v>
      </c>
      <c r="BF715" s="282"/>
      <c r="BG715" s="283" t="s">
        <v>4</v>
      </c>
      <c r="BH715" s="282"/>
      <c r="BI715" s="283" t="s">
        <v>5</v>
      </c>
      <c r="BJ715" s="268"/>
      <c r="BK715" s="41" t="s">
        <v>6</v>
      </c>
      <c r="BL715" s="20"/>
    </row>
    <row r="716" spans="1:64" ht="11.45" customHeight="1" x14ac:dyDescent="0.2">
      <c r="A716" s="19">
        <f t="shared" ref="A716:A721" si="68">S716</f>
        <v>98</v>
      </c>
      <c r="B716" s="19" t="str">
        <f>IF(N714="","",N714)</f>
        <v>K4702</v>
      </c>
      <c r="C716" s="19" t="str">
        <f>IF(N715="","",N715)</f>
        <v>L4492</v>
      </c>
      <c r="D716" s="19" t="str">
        <f>IF(N720="","",N720)</f>
        <v>G5026</v>
      </c>
      <c r="E716" s="19" t="str">
        <f>IF(N721="","",N721)</f>
        <v>P5025</v>
      </c>
      <c r="H716" s="10"/>
      <c r="I716" s="2" t="str">
        <f>"2"&amp;O712&amp;N713</f>
        <v>26podwójna chłopców MM</v>
      </c>
      <c r="J716" s="10" t="str">
        <f>IF(AE716="","",IF(AE713=2,N714,IF(AE716=2,N717,IF(AE719=2,N720,IF(AE722=2,N723,"")))))</f>
        <v>G5026</v>
      </c>
      <c r="K716" s="10" t="str">
        <f>IF(AE716="","",IF(AE713=2,N715,IF(AE716=2,N718,IF(AE719=2,N721,IF(AE722=2,N724,"")))))</f>
        <v>P5025</v>
      </c>
      <c r="L716" s="10"/>
      <c r="M716" s="42" t="str">
        <f>N713</f>
        <v>podwójna chłopców MM</v>
      </c>
      <c r="O716" s="28"/>
      <c r="P716" s="28"/>
      <c r="Q716" s="43" t="str">
        <f>IF(AU716&gt;0,"",IF(A716=0,"",IF(VLOOKUP(A716,'[1]plan gier'!A$1:S$65536,19,FALSE)="","",VLOOKUP(A716,'[1]plan gier'!A$1:S$65536,19,FALSE))))</f>
        <v/>
      </c>
      <c r="R716" s="44" t="s">
        <v>15</v>
      </c>
      <c r="S716" s="146">
        <v>98</v>
      </c>
      <c r="T716" s="241">
        <v>2</v>
      </c>
      <c r="U716" s="244" t="str">
        <f>IF(AND(N717&lt;&gt;"",N718&lt;&gt;""),CONCATENATE(VLOOKUP(N717,[1]zawodnicy!$A$1:$E$65536,1,FALSE)," ",VLOOKUP(N717,[1]zawodnicy!$A$1:$E$65536,2,FALSE)," ",VLOOKUP(N717,[1]zawodnicy!$A$1:$E$65536,3,FALSE)," - ",VLOOKUP(N717,[1]zawodnicy!$A$1:$E$65536,4,FALSE)),"")</f>
        <v>M4933 Kacper MAKAREWICZ - UKS Hubal Białystok</v>
      </c>
      <c r="V716" s="245"/>
      <c r="W716" s="246"/>
      <c r="X716" s="46" t="str">
        <f>IF(SUM(AO721:AP721)=0,"",AP721&amp;":"&amp;AO721)</f>
        <v>16:21</v>
      </c>
      <c r="Y716" s="147"/>
      <c r="Z716" s="83" t="str">
        <f>IF(SUM(AO719:AP719)=0,"",AO719&amp;":"&amp;AP719)</f>
        <v>6:21</v>
      </c>
      <c r="AA716" s="48" t="str">
        <f>IF(SUM(AO717:AP717)=0,"",AO717&amp;":"&amp;AP717)</f>
        <v>13:21</v>
      </c>
      <c r="AB716" s="241" t="str">
        <f>IF(SUM(AW717:AX717,BA717:BD717)=0,"",BE717&amp;":"&amp;BF717)</f>
        <v>73:126</v>
      </c>
      <c r="AC716" s="250" t="str">
        <f>IF(SUM(AW717:AX717,BA717:BD717)=0,"",BG717&amp;":"&amp;BH717)</f>
        <v>0:6</v>
      </c>
      <c r="AD716" s="250" t="str">
        <f>IF(SUM(AW717:AX717,BA717:BD717)=0,"",BI717&amp;":"&amp;BJ717)</f>
        <v>0:3</v>
      </c>
      <c r="AE716" s="253">
        <f>IF(SUM(BI716:BI719)&gt;0,BK717,"")</f>
        <v>4</v>
      </c>
      <c r="AF716" s="12"/>
      <c r="AG716" s="12"/>
      <c r="AH716" s="44" t="s">
        <v>15</v>
      </c>
      <c r="AI716" s="148">
        <f>IF(ISBLANK(S716),"",VLOOKUP(S716,'[1]plan gier'!$X$1:$AN$65536,12,FALSE))</f>
        <v>8</v>
      </c>
      <c r="AJ716" s="52">
        <f>IF(ISBLANK(S716),"",VLOOKUP(S716,'[1]plan gier'!$X$1:$AN$65536,13,FALSE))</f>
        <v>21</v>
      </c>
      <c r="AK716" s="52">
        <f>IF(ISBLANK(S716),"",VLOOKUP(S716,'[1]plan gier'!$X$1:$AN$65536,14,FALSE))</f>
        <v>8</v>
      </c>
      <c r="AL716" s="52">
        <f>IF(ISBLANK(S716),"",VLOOKUP(S716,'[1]plan gier'!$X$1:$AN$65536,15,FALSE))</f>
        <v>21</v>
      </c>
      <c r="AM716" s="52">
        <f>IF(ISBLANK(S716),"",VLOOKUP(S716,'[1]plan gier'!$X$1:$AN$65536,16,FALSE))</f>
        <v>0</v>
      </c>
      <c r="AN716" s="52">
        <f>IF(ISBLANK(S716),"",VLOOKUP(S716,'[1]plan gier'!$X$1:$AN$65536,17,FALSE))</f>
        <v>0</v>
      </c>
      <c r="AO716" s="49">
        <f t="shared" ref="AO716:AT721" si="69">IF(AI716="",0,AI716)</f>
        <v>8</v>
      </c>
      <c r="AP716" s="50">
        <f t="shared" si="69"/>
        <v>21</v>
      </c>
      <c r="AQ716" s="50">
        <f t="shared" si="69"/>
        <v>8</v>
      </c>
      <c r="AR716" s="50">
        <f t="shared" si="69"/>
        <v>21</v>
      </c>
      <c r="AS716" s="50">
        <f t="shared" si="69"/>
        <v>0</v>
      </c>
      <c r="AT716" s="57">
        <f t="shared" si="69"/>
        <v>0</v>
      </c>
      <c r="AU716" s="149">
        <f t="shared" ref="AU716:AU721" si="70">SUM(AO716:AT716)</f>
        <v>58</v>
      </c>
      <c r="AV716" s="5">
        <v>1</v>
      </c>
      <c r="AW716" s="284"/>
      <c r="AX716" s="285"/>
      <c r="AY716" s="50">
        <f>IF(AI721&gt;AJ721,1,0)+IF(AK721&gt;AL721,1,0)+IF(AM721&gt;AN721,1,0)</f>
        <v>2</v>
      </c>
      <c r="AZ716" s="50">
        <f>AW717</f>
        <v>0</v>
      </c>
      <c r="BA716" s="50">
        <f>IF(AI716&gt;AJ716,1,0)+IF(AK716&gt;AL716,1,0)+IF(AM716&gt;AN716,1,0)</f>
        <v>0</v>
      </c>
      <c r="BB716" s="52">
        <f>AW718</f>
        <v>2</v>
      </c>
      <c r="BC716" s="150">
        <f>IF(AI718&gt;AJ718,1,0)+IF(AK718&gt;AL718,1,0)+IF(AM718&gt;AN718,1,0)</f>
        <v>0</v>
      </c>
      <c r="BD716" s="58">
        <f>AW719</f>
        <v>2</v>
      </c>
      <c r="BE716" s="148">
        <f>AO716+AQ716+AS716+AO718+AQ718+AS718+AO721+AQ721+AS721</f>
        <v>97</v>
      </c>
      <c r="BF716" s="151">
        <f>AP716+AR716+AT716+AP718+AR718+AT718+AP721+AR721+AT721</f>
        <v>116</v>
      </c>
      <c r="BG716" s="148">
        <f>AY716+BA716+BC716</f>
        <v>2</v>
      </c>
      <c r="BH716" s="152">
        <f>AZ716+BB716+BD716</f>
        <v>4</v>
      </c>
      <c r="BI716" s="148">
        <f>IF(AY716&gt;AZ716,1,0)+IF(BA716&gt;BB716,1,0)+IF(BC716&gt;BD716,1,0)</f>
        <v>1</v>
      </c>
      <c r="BJ716" s="152">
        <f>IF(AZ716&gt;AY716,1,0)+IF(BB716&gt;BA716,1,0)+IF(BD716&gt;BC716,1,0)</f>
        <v>2</v>
      </c>
      <c r="BK716" s="153">
        <f>IF(BI716+BJ716=0,"",IF(BL716=MAX(BL716:BL719),1,IF(BL716=LARGE(BL716:BL719,2),2,IF(BL716=MIN(BL716:BL719),4,3))))</f>
        <v>3</v>
      </c>
      <c r="BL716" s="60">
        <f>IF(BI716+BJ716&lt;&gt;0,BI716+1+(BG716-BH716)/100+(BE716-BF716)/100000+(BE716/BF716)/1000000,0)</f>
        <v>1.9798108362068967</v>
      </c>
    </row>
    <row r="717" spans="1:64" ht="11.45" customHeight="1" x14ac:dyDescent="0.2">
      <c r="A717" s="19">
        <f t="shared" si="68"/>
        <v>99</v>
      </c>
      <c r="B717" s="19" t="str">
        <f>IF(N717="","",N717)</f>
        <v>M4933</v>
      </c>
      <c r="C717" s="19" t="str">
        <f>IF(N718="","",N718)</f>
        <v>R4700</v>
      </c>
      <c r="D717" s="19" t="str">
        <f>IF(N723="","",N723)</f>
        <v>K5180</v>
      </c>
      <c r="E717" s="19" t="str">
        <f>IF(N724="","",N724)</f>
        <v>M4612</v>
      </c>
      <c r="J717" s="10"/>
      <c r="K717" s="19"/>
      <c r="L717" s="19"/>
      <c r="M717" s="42" t="str">
        <f>N713</f>
        <v>podwójna chłopców MM</v>
      </c>
      <c r="N717" s="33" t="s">
        <v>364</v>
      </c>
      <c r="O717" s="34">
        <f>IF(O712&gt;0,(O712&amp;2)*1,"")</f>
        <v>62</v>
      </c>
      <c r="Q717" s="43" t="str">
        <f>IF(AU717&gt;0,"",IF(A717=0,"",IF(VLOOKUP(A717,'[1]plan gier'!A$1:S$65536,19,FALSE)="","",VLOOKUP(A717,'[1]plan gier'!A$1:S$65536,19,FALSE))))</f>
        <v/>
      </c>
      <c r="R717" s="44" t="s">
        <v>66</v>
      </c>
      <c r="S717" s="146">
        <v>99</v>
      </c>
      <c r="T717" s="242"/>
      <c r="U717" s="244" t="str">
        <f>IF(AND(N717&lt;&gt;"",N718=""),CONCATENATE(VLOOKUP(N717,[1]zawodnicy!$A$1:$E$65536,1,FALSE)," ",VLOOKUP(N717,[1]zawodnicy!$A$1:$E$65536,2,FALSE)," ",VLOOKUP(N717,[1]zawodnicy!$A$1:$E$65536,3,FALSE)," - ",VLOOKUP(N717,[1]zawodnicy!$A$1:$E$65536,4,FALSE)),"")</f>
        <v/>
      </c>
      <c r="V717" s="245"/>
      <c r="W717" s="246"/>
      <c r="X717" s="61" t="str">
        <f>IF(SUM(AQ721:AR721)=0,"",AR721&amp;":"&amp;AQ721)</f>
        <v>12:21</v>
      </c>
      <c r="Y717" s="154"/>
      <c r="Z717" s="36" t="str">
        <f>IF(SUM(AQ719:AR719)=0,"",AQ719&amp;":"&amp;AR719)</f>
        <v>11:21</v>
      </c>
      <c r="AA717" s="37" t="str">
        <f>IF(SUM(AQ717:AR717)=0,"",AQ717&amp;":"&amp;AR717)</f>
        <v>15:21</v>
      </c>
      <c r="AB717" s="242"/>
      <c r="AC717" s="251"/>
      <c r="AD717" s="251"/>
      <c r="AE717" s="254"/>
      <c r="AF717" s="12"/>
      <c r="AG717" s="12"/>
      <c r="AH717" s="44" t="s">
        <v>66</v>
      </c>
      <c r="AI717" s="49">
        <f>IF(ISBLANK(S717),"",VLOOKUP(S717,'[1]plan gier'!$X$1:$AN$65536,12,FALSE))</f>
        <v>13</v>
      </c>
      <c r="AJ717" s="50">
        <f>IF(ISBLANK(S717),"",VLOOKUP(S717,'[1]plan gier'!$X$1:$AN$65536,13,FALSE))</f>
        <v>21</v>
      </c>
      <c r="AK717" s="50">
        <f>IF(ISBLANK(S717),"",VLOOKUP(S717,'[1]plan gier'!$X$1:$AN$65536,14,FALSE))</f>
        <v>15</v>
      </c>
      <c r="AL717" s="50">
        <f>IF(ISBLANK(S717),"",VLOOKUP(S717,'[1]plan gier'!$X$1:$AN$65536,15,FALSE))</f>
        <v>21</v>
      </c>
      <c r="AM717" s="50">
        <f>IF(ISBLANK(S717),"",VLOOKUP(S717,'[1]plan gier'!$X$1:$AN$65536,16,FALSE))</f>
        <v>0</v>
      </c>
      <c r="AN717" s="50">
        <f>IF(ISBLANK(S717),"",VLOOKUP(S717,'[1]plan gier'!$X$1:$AN$65536,17,FALSE))</f>
        <v>0</v>
      </c>
      <c r="AO717" s="63">
        <f t="shared" si="69"/>
        <v>13</v>
      </c>
      <c r="AP717" s="64">
        <f t="shared" si="69"/>
        <v>21</v>
      </c>
      <c r="AQ717" s="64">
        <f t="shared" si="69"/>
        <v>15</v>
      </c>
      <c r="AR717" s="64">
        <f t="shared" si="69"/>
        <v>21</v>
      </c>
      <c r="AS717" s="64">
        <f t="shared" si="69"/>
        <v>0</v>
      </c>
      <c r="AT717" s="69">
        <f t="shared" si="69"/>
        <v>0</v>
      </c>
      <c r="AU717" s="149">
        <f t="shared" si="70"/>
        <v>70</v>
      </c>
      <c r="AV717" s="5">
        <v>2</v>
      </c>
      <c r="AW717" s="63">
        <f>IF(AI721&lt;AJ721,1,0)+IF(AK721&lt;AL721,1,0)+IF(AM721&lt;AN721,1,0)</f>
        <v>0</v>
      </c>
      <c r="AX717" s="64">
        <f>AY716</f>
        <v>2</v>
      </c>
      <c r="AY717" s="155"/>
      <c r="AZ717" s="156"/>
      <c r="BA717" s="64">
        <f>IF(AI719&gt;AJ719,1,0)+IF(AK719&gt;AL719,1,0)+IF(AM719&gt;AN719,1,0)</f>
        <v>0</v>
      </c>
      <c r="BB717" s="64">
        <f>AY718</f>
        <v>2</v>
      </c>
      <c r="BC717" s="157">
        <f>IF(AI717&gt;AJ717,1,0)+IF(AK717&gt;AL717,1,0)+IF(AM717&gt;AN717,1,0)</f>
        <v>0</v>
      </c>
      <c r="BD717" s="70">
        <f>AY719</f>
        <v>2</v>
      </c>
      <c r="BE717" s="63">
        <f>AO717+AQ717+AS717+AO719+AQ719+AS719+AP721+AR721+AT721</f>
        <v>73</v>
      </c>
      <c r="BF717" s="70">
        <f>AP717+AR717+AT717+AP719+AR719+AT719+AO721+AQ721+AS721</f>
        <v>126</v>
      </c>
      <c r="BG717" s="63">
        <f>AW717+BA717+BC717</f>
        <v>0</v>
      </c>
      <c r="BH717" s="69">
        <f>AX717+BB717+BD717</f>
        <v>6</v>
      </c>
      <c r="BI717" s="63">
        <f>IF(AW717&gt;AX717,1,0)+IF(BA717&gt;BB717,1,0)+IF(BC717&gt;BD717,1,0)</f>
        <v>0</v>
      </c>
      <c r="BJ717" s="69">
        <f>IF(AX717&gt;AW717,1,0)+IF(BB717&gt;BA717,1,0)+IF(BD717&gt;BC717,1,0)</f>
        <v>3</v>
      </c>
      <c r="BK717" s="71">
        <f>IF(BI717+BJ717=0,"",IF(BL717=MAX(BL716:BL719),1,IF(BL717=LARGE(BL716:BL719,2),2,IF(BL717=MIN(BL716:BL719),4,3))))</f>
        <v>4</v>
      </c>
      <c r="BL717" s="60">
        <f>IF(BI717+BJ717&lt;&gt;0,BI717+1+(BG717-BH717)/100+(BE717-BF717)/100000+(BE717/BF717)/1000000,0)</f>
        <v>0.93947057936507927</v>
      </c>
    </row>
    <row r="718" spans="1:64" ht="11.45" customHeight="1" x14ac:dyDescent="0.2">
      <c r="A718" s="19">
        <f t="shared" si="68"/>
        <v>164</v>
      </c>
      <c r="B718" s="19" t="str">
        <f>IF(N714="","",N714)</f>
        <v>K4702</v>
      </c>
      <c r="C718" s="19" t="str">
        <f>IF(N715="","",N715)</f>
        <v>L4492</v>
      </c>
      <c r="D718" s="19" t="str">
        <f>IF(N723="","",N723)</f>
        <v>K5180</v>
      </c>
      <c r="E718" s="19" t="str">
        <f>IF(N724="","",N724)</f>
        <v>M4612</v>
      </c>
      <c r="H718" s="10"/>
      <c r="I718" s="2" t="str">
        <f>"3"&amp;O712&amp;N713</f>
        <v>36podwójna chłopców MM</v>
      </c>
      <c r="J718" s="10" t="str">
        <f>IF(AE719="","",IF(AE713=3,N714,IF(AE716=3,N717,IF(AE719=3,N720,IF(AE722=3,N723,"")))))</f>
        <v>K4702</v>
      </c>
      <c r="K718" s="10" t="str">
        <f>IF(AE719="","",IF(AE713=3,N715,IF(AE716=3,N718,IF(AE719=3,N721,IF(AE722=3,N724,"")))))</f>
        <v>L4492</v>
      </c>
      <c r="L718" s="10"/>
      <c r="M718" s="42" t="str">
        <f>N713</f>
        <v>podwójna chłopców MM</v>
      </c>
      <c r="N718" s="38" t="s">
        <v>365</v>
      </c>
      <c r="O718" s="28"/>
      <c r="P718" s="28"/>
      <c r="Q718" s="43" t="str">
        <f>IF(AU718&gt;0,"",IF(A718=0,"",IF(VLOOKUP(A718,'[1]plan gier'!A$1:S$65536,19,FALSE)="","",VLOOKUP(A718,'[1]plan gier'!A$1:S$65536,19,FALSE))))</f>
        <v/>
      </c>
      <c r="R718" s="44" t="s">
        <v>68</v>
      </c>
      <c r="S718" s="146">
        <v>164</v>
      </c>
      <c r="T718" s="261"/>
      <c r="U718" s="265" t="str">
        <f>IF(N718&lt;&gt;"",CONCATENATE(VLOOKUP(N718,[1]zawodnicy!$A$1:$E$65536,1,FALSE)," ",VLOOKUP(N718,[1]zawodnicy!$A$1:$E$65536,2,FALSE)," ",VLOOKUP(N718,[1]zawodnicy!$A$1:$E$65536,3,FALSE)," - ",VLOOKUP(N718,[1]zawodnicy!$A$1:$E$65536,4,FALSE)),"")</f>
        <v>R4700 Paweł RADZIWON - UKS Hubal Białystok</v>
      </c>
      <c r="V718" s="266"/>
      <c r="W718" s="267"/>
      <c r="X718" s="73" t="str">
        <f>IF(SUM(AS721:AT721)=0,"",AT721&amp;":"&amp;AS721)</f>
        <v/>
      </c>
      <c r="Y718" s="154"/>
      <c r="Z718" s="39" t="str">
        <f>IF(SUM(AS719:AT719)=0,"",AS719&amp;":"&amp;AT719)</f>
        <v/>
      </c>
      <c r="AA718" s="40" t="str">
        <f>IF(SUM(AS717:AT717)=0,"",AS717&amp;":"&amp;AT717)</f>
        <v/>
      </c>
      <c r="AB718" s="242"/>
      <c r="AC718" s="251"/>
      <c r="AD718" s="251"/>
      <c r="AE718" s="254"/>
      <c r="AF718" s="12"/>
      <c r="AG718" s="12"/>
      <c r="AH718" s="44" t="s">
        <v>68</v>
      </c>
      <c r="AI718" s="49">
        <f>IF(ISBLANK(S718),"",VLOOKUP(S718,'[1]plan gier'!$X$1:$AN$65536,12,FALSE))</f>
        <v>23</v>
      </c>
      <c r="AJ718" s="50">
        <f>IF(ISBLANK(S718),"",VLOOKUP(S718,'[1]plan gier'!$X$1:$AN$65536,13,FALSE))</f>
        <v>25</v>
      </c>
      <c r="AK718" s="50">
        <f>IF(ISBLANK(S718),"",VLOOKUP(S718,'[1]plan gier'!$X$1:$AN$65536,14,FALSE))</f>
        <v>16</v>
      </c>
      <c r="AL718" s="50">
        <f>IF(ISBLANK(S718),"",VLOOKUP(S718,'[1]plan gier'!$X$1:$AN$65536,15,FALSE))</f>
        <v>21</v>
      </c>
      <c r="AM718" s="50">
        <f>IF(ISBLANK(S718),"",VLOOKUP(S718,'[1]plan gier'!$X$1:$AN$65536,16,FALSE))</f>
        <v>0</v>
      </c>
      <c r="AN718" s="50">
        <f>IF(ISBLANK(S718),"",VLOOKUP(S718,'[1]plan gier'!$X$1:$AN$65536,17,FALSE))</f>
        <v>0</v>
      </c>
      <c r="AO718" s="63">
        <f t="shared" si="69"/>
        <v>23</v>
      </c>
      <c r="AP718" s="64">
        <f t="shared" si="69"/>
        <v>25</v>
      </c>
      <c r="AQ718" s="64">
        <f t="shared" si="69"/>
        <v>16</v>
      </c>
      <c r="AR718" s="64">
        <f t="shared" si="69"/>
        <v>21</v>
      </c>
      <c r="AS718" s="64">
        <f t="shared" si="69"/>
        <v>0</v>
      </c>
      <c r="AT718" s="69">
        <f t="shared" si="69"/>
        <v>0</v>
      </c>
      <c r="AU718" s="149">
        <f t="shared" si="70"/>
        <v>85</v>
      </c>
      <c r="AV718" s="5">
        <v>3</v>
      </c>
      <c r="AW718" s="63">
        <f>IF(AI716&lt;AJ716,1,0)+IF(AK716&lt;AL716,1,0)+IF(AM716&lt;AN716,1,0)</f>
        <v>2</v>
      </c>
      <c r="AX718" s="64">
        <f>BA716</f>
        <v>0</v>
      </c>
      <c r="AY718" s="64">
        <f>IF(AI719&lt;AJ719,1,0)+IF(AK719&lt;AL719,1,0)+IF(AM719&lt;AN719,1,0)</f>
        <v>2</v>
      </c>
      <c r="AZ718" s="64">
        <f>BA717</f>
        <v>0</v>
      </c>
      <c r="BA718" s="155"/>
      <c r="BB718" s="156"/>
      <c r="BC718" s="64">
        <f>IF(AI720&gt;AJ720,1,0)+IF(AK720&gt;AL720,1,0)+IF(AM720&gt;AN720,1,0)</f>
        <v>1</v>
      </c>
      <c r="BD718" s="70">
        <f>BA719</f>
        <v>2</v>
      </c>
      <c r="BE718" s="158">
        <f>AP716+AR716+AT716+AP719+AR719+AT719+AO720+AQ720+AS720</f>
        <v>144</v>
      </c>
      <c r="BF718" s="159">
        <f>AO716+AQ716+AS716+AO719+AQ719+AS719+AP720+AR720+AT720</f>
        <v>95</v>
      </c>
      <c r="BG718" s="158">
        <f>AW718+AY718+BC718</f>
        <v>5</v>
      </c>
      <c r="BH718" s="160">
        <f>AX718+AZ718+BD718</f>
        <v>2</v>
      </c>
      <c r="BI718" s="63">
        <f>IF(AW718&gt;AX718,1,0)+IF(AY718&gt;AZ718,1,0)+IF(BC718&gt;BD718,1,0)</f>
        <v>2</v>
      </c>
      <c r="BJ718" s="69">
        <f>IF(AX718&gt;AW718,1,0)+IF(AZ718&gt;AY718,1,0)+IF(BD718&gt;BC718,1,0)</f>
        <v>1</v>
      </c>
      <c r="BK718" s="71">
        <f>IF(BI718+BJ718=0,"",IF(BL718=MAX(BL716:BL719),1,IF(BL718=LARGE(BL716:BL719,2),2,IF(BL718=MIN(BL716:BL719),4,3))))</f>
        <v>2</v>
      </c>
      <c r="BL718" s="60">
        <f>IF(BI718+BJ718&lt;&gt;0,BI718+1+(BG718-BH718)/100+(BE718-BF718)/100000+(BE718/BF718)/1000000,0)</f>
        <v>3.0304915157894734</v>
      </c>
    </row>
    <row r="719" spans="1:64" ht="11.45" customHeight="1" thickBot="1" x14ac:dyDescent="0.25">
      <c r="A719" s="19">
        <f t="shared" si="68"/>
        <v>165</v>
      </c>
      <c r="B719" s="19" t="str">
        <f>IF(N717="","",N717)</f>
        <v>M4933</v>
      </c>
      <c r="C719" s="19" t="str">
        <f>IF(N718="","",N718)</f>
        <v>R4700</v>
      </c>
      <c r="D719" s="19" t="str">
        <f>IF(N720="","",N720)</f>
        <v>G5026</v>
      </c>
      <c r="E719" s="19" t="str">
        <f>IF(N721="","",N721)</f>
        <v>P5025</v>
      </c>
      <c r="J719" s="10"/>
      <c r="K719" s="28"/>
      <c r="L719" s="28"/>
      <c r="M719" s="42" t="str">
        <f>N713</f>
        <v>podwójna chłopców MM</v>
      </c>
      <c r="O719" s="28"/>
      <c r="P719" s="28"/>
      <c r="Q719" s="43" t="str">
        <f>IF(AU719&gt;0,"",IF(A719=0,"",IF(VLOOKUP(A719,'[1]plan gier'!A$1:S$65536,19,FALSE)="","",VLOOKUP(A719,'[1]plan gier'!A$1:S$65536,19,FALSE))))</f>
        <v/>
      </c>
      <c r="R719" s="44" t="s">
        <v>17</v>
      </c>
      <c r="S719" s="146">
        <v>165</v>
      </c>
      <c r="T719" s="241">
        <v>3</v>
      </c>
      <c r="U719" s="244" t="str">
        <f>IF(AND(N720&lt;&gt;"",N721&lt;&gt;""),CONCATENATE(VLOOKUP(N720,[1]zawodnicy!$A$1:$E$65536,1,FALSE)," ",VLOOKUP(N720,[1]zawodnicy!$A$1:$E$65536,2,FALSE)," ",VLOOKUP(N720,[1]zawodnicy!$A$1:$E$65536,3,FALSE)," - ",VLOOKUP(N720,[1]zawodnicy!$A$1:$E$65536,4,FALSE)),"")</f>
        <v>G5026 Maciej GAJEWSKI - MKS Strzelce Opolskie</v>
      </c>
      <c r="V719" s="245"/>
      <c r="W719" s="246"/>
      <c r="X719" s="46" t="str">
        <f>IF(SUM(AO716:AP716)=0,"",AP716&amp;":"&amp;AO716)</f>
        <v>21:8</v>
      </c>
      <c r="Y719" s="83" t="str">
        <f>IF(SUM(AO719:AP719)=0,"",AP719&amp;":"&amp;AO719)</f>
        <v>21:6</v>
      </c>
      <c r="Z719" s="47"/>
      <c r="AA719" s="48" t="str">
        <f>IF(SUM(AO720:AP720)=0,"",AO720&amp;":"&amp;AP720)</f>
        <v>16:21</v>
      </c>
      <c r="AB719" s="241" t="str">
        <f>IF(SUM(AW718:AZ718,BC718:BD718)=0,"",BE718&amp;":"&amp;BF718)</f>
        <v>144:95</v>
      </c>
      <c r="AC719" s="250" t="str">
        <f>IF(SUM(AW718:AZ718,BC718:BD718)=0,"",BG718&amp;":"&amp;BH718)</f>
        <v>5:2</v>
      </c>
      <c r="AD719" s="250" t="str">
        <f>IF(SUM(AW718:AZ718,BC718:BD718)=0,"",BI718&amp;":"&amp;BJ718)</f>
        <v>2:1</v>
      </c>
      <c r="AE719" s="253">
        <f>IF(SUM(BI716:BI719)&gt;0,BK718,"")</f>
        <v>2</v>
      </c>
      <c r="AF719" s="12"/>
      <c r="AG719" s="12"/>
      <c r="AH719" s="44" t="s">
        <v>17</v>
      </c>
      <c r="AI719" s="49">
        <f>IF(ISBLANK(S719),"",VLOOKUP(S719,'[1]plan gier'!$X$1:$AN$65536,12,FALSE))</f>
        <v>6</v>
      </c>
      <c r="AJ719" s="50">
        <f>IF(ISBLANK(S719),"",VLOOKUP(S719,'[1]plan gier'!$X$1:$AN$65536,13,FALSE))</f>
        <v>21</v>
      </c>
      <c r="AK719" s="50">
        <f>IF(ISBLANK(S719),"",VLOOKUP(S719,'[1]plan gier'!$X$1:$AN$65536,14,FALSE))</f>
        <v>11</v>
      </c>
      <c r="AL719" s="50">
        <f>IF(ISBLANK(S719),"",VLOOKUP(S719,'[1]plan gier'!$X$1:$AN$65536,15,FALSE))</f>
        <v>21</v>
      </c>
      <c r="AM719" s="50">
        <f>IF(ISBLANK(S719),"",VLOOKUP(S719,'[1]plan gier'!$X$1:$AN$65536,16,FALSE))</f>
        <v>0</v>
      </c>
      <c r="AN719" s="50">
        <f>IF(ISBLANK(S719),"",VLOOKUP(S719,'[1]plan gier'!$X$1:$AN$65536,17,FALSE))</f>
        <v>0</v>
      </c>
      <c r="AO719" s="63">
        <f t="shared" si="69"/>
        <v>6</v>
      </c>
      <c r="AP719" s="64">
        <f t="shared" si="69"/>
        <v>21</v>
      </c>
      <c r="AQ719" s="64">
        <f t="shared" si="69"/>
        <v>11</v>
      </c>
      <c r="AR719" s="64">
        <f t="shared" si="69"/>
        <v>21</v>
      </c>
      <c r="AS719" s="64">
        <f t="shared" si="69"/>
        <v>0</v>
      </c>
      <c r="AT719" s="69">
        <f t="shared" si="69"/>
        <v>0</v>
      </c>
      <c r="AU719" s="149">
        <f t="shared" si="70"/>
        <v>59</v>
      </c>
      <c r="AV719" s="5">
        <v>4</v>
      </c>
      <c r="AW719" s="161">
        <f>IF(AI718&lt;AJ718,1,0)+IF(AK718&lt;AL718,1,0)+IF(AM718&lt;AN718,1,0)</f>
        <v>2</v>
      </c>
      <c r="AX719" s="162">
        <f>BC716</f>
        <v>0</v>
      </c>
      <c r="AY719" s="162">
        <f>IF(AI717&lt;AJ717,1,0)+IF(AK717&lt;AL717,1,0)+IF(AM717&lt;AN717,1,0)</f>
        <v>2</v>
      </c>
      <c r="AZ719" s="162">
        <f>BC717</f>
        <v>0</v>
      </c>
      <c r="BA719" s="75">
        <f>IF(AI720&lt;AJ720,1,0)+IF(AK720&lt;AL720,1,0)+IF(AM720&lt;AN720,1,0)</f>
        <v>2</v>
      </c>
      <c r="BB719" s="75">
        <f>BC718</f>
        <v>1</v>
      </c>
      <c r="BC719" s="163"/>
      <c r="BD719" s="164"/>
      <c r="BE719" s="74">
        <f>AP717+AR717+AT717+AP718+AR718+AT718+AP720+AR720+AT720</f>
        <v>150</v>
      </c>
      <c r="BF719" s="81">
        <f>AO717+AQ717+AS717+AO718+AQ718+AS718+AO720+AQ720+AS720</f>
        <v>127</v>
      </c>
      <c r="BG719" s="74">
        <f>AW719+AY719+BA719</f>
        <v>6</v>
      </c>
      <c r="BH719" s="80">
        <f>AX719+AZ719+BB719</f>
        <v>1</v>
      </c>
      <c r="BI719" s="74">
        <f>IF(AW719&gt;AX719,1,0)+IF(AY719&gt;AZ719,1,0)+IF(BA719&gt;BB719,1,0)</f>
        <v>3</v>
      </c>
      <c r="BJ719" s="80">
        <f>IF(AX719&gt;AW719,1,0)+IF(AZ719&gt;AY719,1,0)+IF(BB719&gt;BA719,1,0)</f>
        <v>0</v>
      </c>
      <c r="BK719" s="82">
        <f>IF(BI719+BJ719=0,"",IF(BL719=MAX(BL716:BL719),1,IF(BL719=LARGE(BL716:BL719,2),2,IF(BL719=MIN(BL716:BL719),4,3))))</f>
        <v>1</v>
      </c>
      <c r="BL719" s="60">
        <f>IF(BI719+BJ719&lt;&gt;0,BI719+1+(BG719-BH719)/100+(BE719-BF719)/100000+(BE719/BF719)/1000000,0)</f>
        <v>4.0502311811023626</v>
      </c>
    </row>
    <row r="720" spans="1:64" ht="11.45" customHeight="1" x14ac:dyDescent="0.2">
      <c r="A720" s="19">
        <f t="shared" si="68"/>
        <v>217</v>
      </c>
      <c r="B720" s="19" t="str">
        <f>IF(N720="","",N720)</f>
        <v>G5026</v>
      </c>
      <c r="C720" s="19" t="str">
        <f>IF(N721="","",N721)</f>
        <v>P5025</v>
      </c>
      <c r="D720" s="19" t="str">
        <f>IF(N723="","",N723)</f>
        <v>K5180</v>
      </c>
      <c r="E720" s="19" t="str">
        <f>IF(N724="","",N724)</f>
        <v>M4612</v>
      </c>
      <c r="H720" s="10"/>
      <c r="I720" s="2" t="str">
        <f>"4"&amp;O712&amp;N713</f>
        <v>46podwójna chłopców MM</v>
      </c>
      <c r="J720" s="10" t="str">
        <f>IF(AE722="","",IF(AE713=4,N714,IF(AE716=4,N717,IF(AE719=4,N720,IF(AE722=4,N723,"")))))</f>
        <v>M4933</v>
      </c>
      <c r="K720" s="10" t="str">
        <f>IF(AE722="","",IF(AE713=4,N715,IF(AE716=4,N718,IF(AE719=4,N721,IF(AE722=4,N724,"")))))</f>
        <v>R4700</v>
      </c>
      <c r="L720" s="10"/>
      <c r="M720" s="42" t="str">
        <f>N713</f>
        <v>podwójna chłopców MM</v>
      </c>
      <c r="N720" s="33" t="s">
        <v>366</v>
      </c>
      <c r="O720" s="34">
        <f>IF(O712&gt;0,(O712&amp;3)*1,"")</f>
        <v>63</v>
      </c>
      <c r="Q720" s="43" t="str">
        <f>IF(AU720&gt;0,"",IF(A720=0,"",IF(VLOOKUP(A720,'[1]plan gier'!A$1:S$65536,19,FALSE)="","",VLOOKUP(A720,'[1]plan gier'!A$1:S$65536,19,FALSE))))</f>
        <v/>
      </c>
      <c r="R720" s="44" t="s">
        <v>69</v>
      </c>
      <c r="S720" s="146">
        <v>217</v>
      </c>
      <c r="T720" s="242"/>
      <c r="U720" s="244" t="str">
        <f>IF(AND(N720&lt;&gt;"",N721=""),CONCATENATE(VLOOKUP(N720,[1]zawodnicy!$A$1:$E$65536,1,FALSE)," ",VLOOKUP(N720,[1]zawodnicy!$A$1:$E$65536,2,FALSE)," ",VLOOKUP(N720,[1]zawodnicy!$A$1:$E$65536,3,FALSE)," - ",VLOOKUP(N720,[1]zawodnicy!$A$1:$E$65536,4,FALSE)),"")</f>
        <v/>
      </c>
      <c r="V720" s="245"/>
      <c r="W720" s="246"/>
      <c r="X720" s="61" t="str">
        <f>IF(SUM(AQ716:AR716)=0,"",AR716&amp;":"&amp;AQ716)</f>
        <v>21:8</v>
      </c>
      <c r="Y720" s="36" t="str">
        <f>IF(SUM(AQ719:AR719)=0,"",AR719&amp;":"&amp;AQ719)</f>
        <v>21:11</v>
      </c>
      <c r="Z720" s="62"/>
      <c r="AA720" s="37" t="str">
        <f>IF(SUM(AQ720:AR720)=0,"",AQ720&amp;":"&amp;AR720)</f>
        <v>21:16</v>
      </c>
      <c r="AB720" s="242"/>
      <c r="AC720" s="251"/>
      <c r="AD720" s="251"/>
      <c r="AE720" s="254"/>
      <c r="AF720" s="12"/>
      <c r="AG720" s="12"/>
      <c r="AH720" s="44" t="s">
        <v>69</v>
      </c>
      <c r="AI720" s="49">
        <f>IF(ISBLANK(S720),"",VLOOKUP(S720,'[1]plan gier'!$X$1:$AN$65536,12,FALSE))</f>
        <v>16</v>
      </c>
      <c r="AJ720" s="50">
        <f>IF(ISBLANK(S720),"",VLOOKUP(S720,'[1]plan gier'!$X$1:$AN$65536,13,FALSE))</f>
        <v>21</v>
      </c>
      <c r="AK720" s="50">
        <f>IF(ISBLANK(S720),"",VLOOKUP(S720,'[1]plan gier'!$X$1:$AN$65536,14,FALSE))</f>
        <v>21</v>
      </c>
      <c r="AL720" s="50">
        <f>IF(ISBLANK(S720),"",VLOOKUP(S720,'[1]plan gier'!$X$1:$AN$65536,15,FALSE))</f>
        <v>16</v>
      </c>
      <c r="AM720" s="50">
        <f>IF(ISBLANK(S720),"",VLOOKUP(S720,'[1]plan gier'!$X$1:$AN$65536,16,FALSE))</f>
        <v>23</v>
      </c>
      <c r="AN720" s="50">
        <f>IF(ISBLANK(S720),"",VLOOKUP(S720,'[1]plan gier'!$X$1:$AN$65536,17,FALSE))</f>
        <v>25</v>
      </c>
      <c r="AO720" s="63">
        <f t="shared" si="69"/>
        <v>16</v>
      </c>
      <c r="AP720" s="64">
        <f t="shared" si="69"/>
        <v>21</v>
      </c>
      <c r="AQ720" s="64">
        <f t="shared" si="69"/>
        <v>21</v>
      </c>
      <c r="AR720" s="64">
        <f t="shared" si="69"/>
        <v>16</v>
      </c>
      <c r="AS720" s="64">
        <f t="shared" si="69"/>
        <v>23</v>
      </c>
      <c r="AT720" s="69">
        <f t="shared" si="69"/>
        <v>25</v>
      </c>
      <c r="AU720" s="149">
        <f t="shared" si="70"/>
        <v>122</v>
      </c>
      <c r="BE720" s="19">
        <f t="shared" ref="BE720:BJ720" si="71">SUM(BE716:BE719)</f>
        <v>464</v>
      </c>
      <c r="BF720" s="19">
        <f t="shared" si="71"/>
        <v>464</v>
      </c>
      <c r="BG720" s="19">
        <f t="shared" si="71"/>
        <v>13</v>
      </c>
      <c r="BH720" s="19">
        <f t="shared" si="71"/>
        <v>13</v>
      </c>
      <c r="BI720" s="19">
        <f t="shared" si="71"/>
        <v>6</v>
      </c>
      <c r="BJ720" s="19">
        <f t="shared" si="71"/>
        <v>6</v>
      </c>
      <c r="BK720" s="19"/>
      <c r="BL720" s="20"/>
    </row>
    <row r="721" spans="1:64" ht="11.45" customHeight="1" thickBot="1" x14ac:dyDescent="0.25">
      <c r="A721" s="19">
        <f t="shared" si="68"/>
        <v>218</v>
      </c>
      <c r="B721" s="19" t="str">
        <f>IF(N714="","",N714)</f>
        <v>K4702</v>
      </c>
      <c r="C721" s="19" t="str">
        <f>IF(N715="","",N715)</f>
        <v>L4492</v>
      </c>
      <c r="D721" s="19" t="str">
        <f>IF(N717="","",N717)</f>
        <v>M4933</v>
      </c>
      <c r="E721" s="19" t="str">
        <f>IF(N718="","",N718)</f>
        <v>R4700</v>
      </c>
      <c r="J721" s="28"/>
      <c r="K721" s="28"/>
      <c r="L721" s="28"/>
      <c r="M721" s="42" t="str">
        <f>N713</f>
        <v>podwójna chłopców MM</v>
      </c>
      <c r="N721" s="38" t="s">
        <v>367</v>
      </c>
      <c r="O721" s="28"/>
      <c r="P721" s="28"/>
      <c r="Q721" s="43" t="str">
        <f>IF(AU721&gt;0,"",IF(A721=0,"",IF(VLOOKUP(A721,'[1]plan gier'!A$1:S$65536,19,FALSE)="","",VLOOKUP(A721,'[1]plan gier'!A$1:S$65536,19,FALSE))))</f>
        <v/>
      </c>
      <c r="R721" s="44" t="s">
        <v>18</v>
      </c>
      <c r="S721" s="146">
        <v>218</v>
      </c>
      <c r="T721" s="261"/>
      <c r="U721" s="265" t="str">
        <f>IF(N721&lt;&gt;"",CONCATENATE(VLOOKUP(N721,[1]zawodnicy!$A$1:$E$65536,1,FALSE)," ",VLOOKUP(N721,[1]zawodnicy!$A$1:$E$65536,2,FALSE)," ",VLOOKUP(N721,[1]zawodnicy!$A$1:$E$65536,3,FALSE)," - ",VLOOKUP(N721,[1]zawodnicy!$A$1:$E$65536,4,FALSE)),"")</f>
        <v>P5025 Jakub PLASZCZYK - MKS Strzelce Opolskie</v>
      </c>
      <c r="V721" s="266"/>
      <c r="W721" s="267"/>
      <c r="X721" s="73" t="str">
        <f>IF(SUM(AS716:AT716)=0,"",AT716&amp;":"&amp;AS716)</f>
        <v/>
      </c>
      <c r="Y721" s="39" t="str">
        <f>IF(SUM(AS719:AT719)=0,"",AT719&amp;":"&amp;AS719)</f>
        <v/>
      </c>
      <c r="Z721" s="62"/>
      <c r="AA721" s="40" t="str">
        <f>IF(SUM(AS720:AT720)=0,"",AS720&amp;":"&amp;AT720)</f>
        <v>23:25</v>
      </c>
      <c r="AB721" s="242"/>
      <c r="AC721" s="251"/>
      <c r="AD721" s="251"/>
      <c r="AE721" s="254"/>
      <c r="AF721" s="12"/>
      <c r="AG721" s="12"/>
      <c r="AH721" s="44" t="s">
        <v>18</v>
      </c>
      <c r="AI721" s="161">
        <f>IF(ISBLANK(S721),"",VLOOKUP(S721,'[1]plan gier'!$X$1:$AN$65536,12,FALSE))</f>
        <v>21</v>
      </c>
      <c r="AJ721" s="162">
        <f>IF(ISBLANK(S721),"",VLOOKUP(S721,'[1]plan gier'!$X$1:$AN$65536,13,FALSE))</f>
        <v>16</v>
      </c>
      <c r="AK721" s="162">
        <f>IF(ISBLANK(S721),"",VLOOKUP(S721,'[1]plan gier'!$X$1:$AN$65536,14,FALSE))</f>
        <v>21</v>
      </c>
      <c r="AL721" s="162">
        <f>IF(ISBLANK(S721),"",VLOOKUP(S721,'[1]plan gier'!$X$1:$AN$65536,15,FALSE))</f>
        <v>12</v>
      </c>
      <c r="AM721" s="162">
        <f>IF(ISBLANK(S721),"",VLOOKUP(S721,'[1]plan gier'!$X$1:$AN$65536,16,FALSE))</f>
        <v>0</v>
      </c>
      <c r="AN721" s="162">
        <f>IF(ISBLANK(S721),"",VLOOKUP(S721,'[1]plan gier'!$X$1:$AN$65536,17,FALSE))</f>
        <v>0</v>
      </c>
      <c r="AO721" s="74">
        <f t="shared" si="69"/>
        <v>21</v>
      </c>
      <c r="AP721" s="75">
        <f t="shared" si="69"/>
        <v>16</v>
      </c>
      <c r="AQ721" s="75">
        <f t="shared" si="69"/>
        <v>21</v>
      </c>
      <c r="AR721" s="75">
        <f t="shared" si="69"/>
        <v>12</v>
      </c>
      <c r="AS721" s="75">
        <f t="shared" si="69"/>
        <v>0</v>
      </c>
      <c r="AT721" s="80">
        <f t="shared" si="69"/>
        <v>0</v>
      </c>
      <c r="AU721" s="149">
        <f t="shared" si="70"/>
        <v>70</v>
      </c>
      <c r="BK721" s="19"/>
      <c r="BL721" s="20"/>
    </row>
    <row r="722" spans="1:64" ht="11.45" customHeight="1" x14ac:dyDescent="0.2">
      <c r="A722" s="2"/>
      <c r="J722" s="28"/>
      <c r="K722" s="28"/>
      <c r="L722" s="28"/>
      <c r="N722" s="14" t="s">
        <v>55</v>
      </c>
      <c r="O722" s="28"/>
      <c r="P722" s="28"/>
      <c r="Q722" s="2"/>
      <c r="R722" s="2"/>
      <c r="S722" s="2"/>
      <c r="T722" s="241">
        <v>4</v>
      </c>
      <c r="U722" s="244" t="str">
        <f>IF(AND(N723&lt;&gt;"",N724&lt;&gt;""),CONCATENATE(VLOOKUP(N723,[1]zawodnicy!$A$1:$E$65536,1,FALSE)," ",VLOOKUP(N723,[1]zawodnicy!$A$1:$E$65536,2,FALSE)," ",VLOOKUP(N723,[1]zawodnicy!$A$1:$E$65536,3,FALSE)," - ",VLOOKUP(N723,[1]zawodnicy!$A$1:$E$65536,4,FALSE)),"")</f>
        <v>K5180 Patryk KORDEK - UKS Aktywna Piątka Przemyśl</v>
      </c>
      <c r="V722" s="245"/>
      <c r="W722" s="246"/>
      <c r="X722" s="46" t="str">
        <f>IF(SUM(AO718:AP718)=0,"",AP718&amp;":"&amp;AO718)</f>
        <v>25:23</v>
      </c>
      <c r="Y722" s="83" t="str">
        <f>IF(SUM(AO717:AP717)=0,"",AP717&amp;":"&amp;AO717)</f>
        <v>21:13</v>
      </c>
      <c r="Z722" s="83" t="str">
        <f>IF(SUM(AO720:AP720)=0,"",AP720&amp;":"&amp;AO720)</f>
        <v>21:16</v>
      </c>
      <c r="AA722" s="165"/>
      <c r="AB722" s="241" t="str">
        <f>IF(SUM(AW719:BB719)=0,"",BE719&amp;":"&amp;BF719)</f>
        <v>150:127</v>
      </c>
      <c r="AC722" s="250" t="str">
        <f>IF(SUM(AW719:BB719)=0,"",BG719&amp;":"&amp;BH719)</f>
        <v>6:1</v>
      </c>
      <c r="AD722" s="250" t="str">
        <f>IF(SUM(AW719:BB719)=0,"",BI719&amp;":"&amp;BJ719)</f>
        <v>3:0</v>
      </c>
      <c r="AE722" s="253">
        <f>IF(SUM(BI716:BI719)&gt;0,BK719,"")</f>
        <v>1</v>
      </c>
      <c r="AF722" s="12"/>
      <c r="AG722" s="12"/>
      <c r="AH722" s="2"/>
      <c r="AI722" s="2"/>
      <c r="AJ722" s="2"/>
      <c r="AK722" s="2"/>
      <c r="AL722" s="2"/>
      <c r="AM722" s="2"/>
      <c r="AN722" s="2"/>
      <c r="AO722" s="2"/>
      <c r="AP722" s="2"/>
      <c r="AQ722" s="2"/>
      <c r="AR722" s="2"/>
      <c r="AS722" s="2"/>
      <c r="AT722" s="2"/>
      <c r="AU722" s="2"/>
      <c r="BK722" s="19"/>
      <c r="BL722" s="20"/>
    </row>
    <row r="723" spans="1:64" ht="11.45" customHeight="1" x14ac:dyDescent="0.2">
      <c r="A723" s="19"/>
      <c r="B723" s="19"/>
      <c r="C723" s="19"/>
      <c r="D723" s="19"/>
      <c r="E723" s="19"/>
      <c r="H723" s="10"/>
      <c r="J723" s="19"/>
      <c r="K723" s="19"/>
      <c r="L723" s="19"/>
      <c r="N723" s="33" t="s">
        <v>368</v>
      </c>
      <c r="O723" s="34">
        <f>IF(O712&gt;0,(O712&amp;4)*1,"")</f>
        <v>64</v>
      </c>
      <c r="Q723" s="85"/>
      <c r="R723" s="85"/>
      <c r="S723" s="85"/>
      <c r="T723" s="242"/>
      <c r="U723" s="244" t="str">
        <f>IF(AND(N723&lt;&gt;"",N724=""),CONCATENATE(VLOOKUP(N723,[1]zawodnicy!$A$1:$E$65536,1,FALSE)," ",VLOOKUP(N723,[1]zawodnicy!$A$1:$E$65536,2,FALSE)," ",VLOOKUP(N723,[1]zawodnicy!$A$1:$E$65536,3,FALSE)," - ",VLOOKUP(N723,[1]zawodnicy!$A$1:$E$65536,4,FALSE)),"")</f>
        <v/>
      </c>
      <c r="V723" s="245"/>
      <c r="W723" s="246"/>
      <c r="X723" s="61" t="str">
        <f>IF(SUM(AQ718:AR718)=0,"",AR718&amp;":"&amp;AQ718)</f>
        <v>21:16</v>
      </c>
      <c r="Y723" s="36" t="str">
        <f>IF(SUM(AQ717:AR717)=0,"",AR717&amp;":"&amp;AQ717)</f>
        <v>21:15</v>
      </c>
      <c r="Z723" s="36" t="str">
        <f>IF(SUM(AQ720:AR720)=0,"",AR720&amp;":"&amp;AQ720)</f>
        <v>16:21</v>
      </c>
      <c r="AA723" s="166"/>
      <c r="AB723" s="242"/>
      <c r="AC723" s="251"/>
      <c r="AD723" s="251"/>
      <c r="AE723" s="254"/>
      <c r="AF723" s="12"/>
      <c r="AG723" s="1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row>
    <row r="724" spans="1:64" ht="11.45" customHeight="1" thickBot="1" x14ac:dyDescent="0.25">
      <c r="A724" s="2"/>
      <c r="J724" s="28"/>
      <c r="K724" s="28"/>
      <c r="L724" s="28"/>
      <c r="N724" s="38" t="s">
        <v>369</v>
      </c>
      <c r="O724" s="28"/>
      <c r="P724" s="28"/>
      <c r="Q724" s="2"/>
      <c r="R724" s="2"/>
      <c r="S724" s="2"/>
      <c r="T724" s="243"/>
      <c r="U724" s="256" t="str">
        <f>IF(N724&lt;&gt;"",CONCATENATE(VLOOKUP(N724,[1]zawodnicy!$A$1:$E$65536,1,FALSE)," ",VLOOKUP(N724,[1]zawodnicy!$A$1:$E$65536,2,FALSE)," ",VLOOKUP(N724,[1]zawodnicy!$A$1:$E$65536,3,FALSE)," - ",VLOOKUP(N724,[1]zawodnicy!$A$1:$E$65536,4,FALSE)),"")</f>
        <v>M4612 Patryk MICHAŁEK - UKS Orbitek Straszęcin</v>
      </c>
      <c r="V724" s="257"/>
      <c r="W724" s="258"/>
      <c r="X724" s="87" t="str">
        <f>IF(SUM(AS718:AT718)=0,"",AT718&amp;":"&amp;AS718)</f>
        <v/>
      </c>
      <c r="Y724" s="88" t="str">
        <f>IF(SUM(AS717:AT717)=0,"",AT717&amp;":"&amp;AS717)</f>
        <v/>
      </c>
      <c r="Z724" s="88" t="str">
        <f>IF(SUM(AS720:AT720)=0,"",AT720&amp;":"&amp;AS720)</f>
        <v>25:23</v>
      </c>
      <c r="AA724" s="89"/>
      <c r="AB724" s="243"/>
      <c r="AC724" s="252"/>
      <c r="AD724" s="252"/>
      <c r="AE724" s="255"/>
      <c r="AF724" s="12"/>
      <c r="AG724" s="1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row>
    <row r="725" spans="1:64" ht="5.0999999999999996" customHeight="1" x14ac:dyDescent="0.2">
      <c r="BK725" s="19"/>
      <c r="BL725" s="20"/>
    </row>
    <row r="727" spans="1:64" ht="12.75" x14ac:dyDescent="0.2">
      <c r="J727" s="2"/>
      <c r="K727" s="2"/>
      <c r="L727" s="2"/>
      <c r="M727" s="95"/>
      <c r="N727" s="96">
        <v>1</v>
      </c>
      <c r="O727" s="97">
        <v>6</v>
      </c>
      <c r="P727" s="98"/>
      <c r="Q727" s="1"/>
      <c r="R727" s="1"/>
      <c r="S727" s="1"/>
      <c r="T727" s="229"/>
      <c r="U727" s="229"/>
      <c r="V727" s="229"/>
      <c r="W727" s="229"/>
      <c r="X727" s="229"/>
      <c r="Y727" s="229"/>
      <c r="Z727" s="229"/>
      <c r="AA727" s="229"/>
      <c r="AB727" s="229"/>
      <c r="AC727" s="229"/>
      <c r="AD727" s="229"/>
      <c r="AE727" s="229"/>
      <c r="AF727" s="229"/>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row>
    <row r="728" spans="1:64" ht="12.75" x14ac:dyDescent="0.2">
      <c r="J728" s="2"/>
      <c r="K728" s="2"/>
      <c r="L728" s="2"/>
      <c r="N728" s="99" t="s">
        <v>329</v>
      </c>
      <c r="P728" s="98"/>
      <c r="Q728" s="1"/>
      <c r="R728" s="1"/>
      <c r="S728" s="1"/>
      <c r="T728" s="1"/>
      <c r="U728" s="1"/>
      <c r="V728" s="101"/>
      <c r="W728" s="101"/>
      <c r="X728" s="101"/>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row>
    <row r="729" spans="1:64" ht="12.75" x14ac:dyDescent="0.2">
      <c r="J729" s="2"/>
      <c r="K729" s="2"/>
      <c r="L729" s="2"/>
      <c r="M729" s="95"/>
      <c r="N729" s="119"/>
      <c r="O729" s="120">
        <f>IF(P729="","",1)</f>
        <v>1</v>
      </c>
      <c r="P729" s="121">
        <f>IF(O727&gt;4,1,"")</f>
        <v>1</v>
      </c>
      <c r="Q729" s="113">
        <f>O729</f>
        <v>1</v>
      </c>
      <c r="R729" s="113"/>
      <c r="S729" s="113"/>
      <c r="T729" s="234" t="str">
        <f>UPPER(IF(O729="","",IF(ISTEXT(N729),N729,IF(AND(N727&gt;0,O729&gt;0),VLOOKUP(N727&amp;O729&amp;N728,I:K,2,FALSE),""))))</f>
        <v>C4406</v>
      </c>
      <c r="U729" s="235"/>
      <c r="V729" s="122" t="str">
        <f>IF(T729&lt;&gt;"",CONCATENATE(VLOOKUP(T729,[1]zawodnicy!$A$1:$E$65536,2,FALSE)," ",VLOOKUP(T729,[1]zawodnicy!$A$1:$E$65536,3,FALSE)," - ",VLOOKUP(T729,[1]zawodnicy!$A$1:$E$65536,4,FALSE)),"")</f>
        <v>Łukasz CIMOSZ - KS Chojnik Jelenia Góra</v>
      </c>
      <c r="W729" s="123"/>
      <c r="X729" s="228" t="str">
        <f>IF(ISBLANK(W730),IF(AND(LEN(T729)&gt;0,LEN(T731)=0),VLOOKUP(T729,[1]zawodnicy!$A$1:$E$65536,3,FALSE),IF(AND(LEN(T731)&gt;0,LEN(T729)=0),VLOOKUP(T731,[1]zawodnicy!$A$1:$E$65536,3,FALSE),"")),IF((VLOOKUP(W730,'[1]plan gier'!$X$1:$AF$65536,7,FALSE))="","",VLOOKUP(VLOOKUP(W730,'[1]plan gier'!$X$1:$AF$65536,7,FALSE),[1]zawodnicy!$A$1:$E$65536,3,FALSE)))</f>
        <v>CIMOSZ</v>
      </c>
      <c r="Y729" s="229"/>
      <c r="Z729" s="229"/>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row>
    <row r="730" spans="1:64" ht="12.75" x14ac:dyDescent="0.2">
      <c r="A730" s="102">
        <f>W730</f>
        <v>0</v>
      </c>
      <c r="B730" s="2" t="str">
        <f>IF(TYPE(T729)=16,"",T729)</f>
        <v>C4406</v>
      </c>
      <c r="C730" s="2" t="str">
        <f>IF(TYPE(T730)=16,"",T730)</f>
        <v>C4264</v>
      </c>
      <c r="D730" s="2" t="str">
        <f>IF(TYPE(T731)=16,"",T731)</f>
        <v/>
      </c>
      <c r="E730" s="2" t="str">
        <f>IF(TYPE(T732)=16,"",T732)</f>
        <v/>
      </c>
      <c r="F730" s="2" t="str">
        <f>IF(A730=0,IF(AND(LEN(B730)&gt;1,LEN(D730)=0),VLOOKUP(B730,[1]zawodnicy!$A$1:$E$65536,1,FALSE),IF(AND(LEN(D730)&gt;1,LEN(B730)=0),VLOOKUP(D730,[1]zawodnicy!$A$1:$E$65536,1,FALSE),"")),IF((VLOOKUP(A730,'[1]plan gier'!$X$1:$AF$65536,7,FALSE))="","",VLOOKUP(VLOOKUP(A730,'[1]plan gier'!$X$1:$AF$65536,7,FALSE),[1]zawodnicy!$A$1:$E$65536,1,FALSE)))</f>
        <v>C4406</v>
      </c>
      <c r="G730" s="2" t="str">
        <f>IF(A730=0,IF(AND(LEN(C730)&gt;1,LEN(E730)=0),VLOOKUP(C730,[1]zawodnicy!$A$1:$E$65536,1,FALSE),IF(AND(LEN(E730)&gt;1,LEN(C730)=0),VLOOKUP(E730,[1]zawodnicy!$A$1:$E$65536,1,FALSE),"")),IF((VLOOKUP(A730,'[1]plan gier'!$X$1:$AF$65536,8,FALSE))="","",VLOOKUP(VLOOKUP(A730,'[1]plan gier'!$X$1:$AF$65536,8,FALSE),[1]zawodnicy!$A$1:$E$65536,1,FALSE)))</f>
        <v>C4264</v>
      </c>
      <c r="H730" s="2" t="str">
        <f>IF(A730=0,"",IF((VLOOKUP(A730,'[1]plan gier'!$X$1:$AF$65536,7,FALSE))="","",VLOOKUP(A730,'[1]plan gier'!$X$1:$AF$65536,9,FALSE)))</f>
        <v/>
      </c>
      <c r="L730" s="124" t="str">
        <f>IF(A730=0,"",IF(VLOOKUP(A730,'[1]plan gier'!A$1:S$65536,19,FALSE)="","",VLOOKUP(A730,'[1]plan gier'!A$1:S$65536,19,FALSE)))</f>
        <v/>
      </c>
      <c r="M730" s="2" t="str">
        <f>N728</f>
        <v>podwójna chłopców MM</v>
      </c>
      <c r="N730" s="125"/>
      <c r="O730" s="121"/>
      <c r="P730" s="121"/>
      <c r="Q730" s="114"/>
      <c r="R730" s="114"/>
      <c r="S730" s="114"/>
      <c r="T730" s="224" t="str">
        <f>UPPER(IF(O729="","",IF(ISTEXT(N730),N730,IF(AND(N727&gt;0,O729&gt;0),VLOOKUP(N727&amp;O729&amp;N728,I:K,3,FALSE),""))))</f>
        <v>C4264</v>
      </c>
      <c r="U730" s="225"/>
      <c r="V730" s="126" t="str">
        <f>IF(T730&lt;&gt;"",CONCATENATE(VLOOKUP(T730,[1]zawodnicy!$A$1:$E$65536,2,FALSE)," ",VLOOKUP(T730,[1]zawodnicy!$A$1:$E$65536,3,FALSE)," - ",VLOOKUP(T730,[1]zawodnicy!$A$1:$E$65536,4,FALSE)),"")</f>
        <v>Szymon CYBULSKI - MKB Lednik Miastko</v>
      </c>
      <c r="W730" s="127"/>
      <c r="X730" s="231" t="str">
        <f>IF(ISBLANK(W730),IF(AND(LEN(T730)&gt;0,LEN(T732)=0),VLOOKUP(T730,[1]zawodnicy!$A$1:$E$65536,3,FALSE),IF(AND(LEN(T732)&gt;0,LEN(T730)=0),VLOOKUP(T732,[1]zawodnicy!$A$1:$E$65536,3,FALSE),"")),IF((VLOOKUP(W730,'[1]plan gier'!$X$1:$AF$65536,8,FALSE))="","",VLOOKUP(VLOOKUP(W730,'[1]plan gier'!$X$1:$AF$65536,8,FALSE),[1]zawodnicy!$A$1:$E$65536,3,FALSE)))</f>
        <v>CYBULSKI</v>
      </c>
      <c r="Y730" s="232"/>
      <c r="Z730" s="23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row>
    <row r="731" spans="1:64" ht="12.75" x14ac:dyDescent="0.2">
      <c r="J731" s="2"/>
      <c r="K731" s="2"/>
      <c r="L731" s="2"/>
      <c r="M731" s="95"/>
      <c r="N731" s="125"/>
      <c r="O731" s="120" t="str">
        <f>IF(P731="","",MAX(O729:O730)+1)</f>
        <v/>
      </c>
      <c r="P731" s="121" t="str">
        <f>IF(O727&gt;7,5,"")</f>
        <v/>
      </c>
      <c r="Q731" s="113" t="str">
        <f>O731</f>
        <v/>
      </c>
      <c r="R731" s="113"/>
      <c r="S731" s="113"/>
      <c r="T731" s="234" t="str">
        <f>UPPER(IF(O731="","",IF(ISTEXT(N731),N731,IF(AND(N727&gt;0,O731&gt;0),VLOOKUP(N727&amp;O731&amp;N728,I:K,2,FALSE),""))))</f>
        <v/>
      </c>
      <c r="U731" s="235"/>
      <c r="V731" s="122" t="str">
        <f>IF(T731&lt;&gt;"",CONCATENATE(VLOOKUP(T731,[1]zawodnicy!$A$1:$E$65536,2,FALSE)," ",VLOOKUP(T731,[1]zawodnicy!$A$1:$E$65536,3,FALSE)," - ",VLOOKUP(T731,[1]zawodnicy!$A$1:$E$65536,4,FALSE)),"")</f>
        <v/>
      </c>
      <c r="W731" s="128"/>
      <c r="X731" s="237" t="str">
        <f>IF(ISBLANK(W730),"",IF((VLOOKUP(W730,'[1]plan gier'!$X$1:$AF$65536,7,FALSE))="",L730,VLOOKUP(W730,'[1]plan gier'!$X$1:$AF$65536,9,FALSE)))</f>
        <v/>
      </c>
      <c r="Y731" s="237"/>
      <c r="Z731" s="240"/>
      <c r="AA731" s="229" t="str">
        <f>IF(ISBLANK(Z732),IF(AND(LEN(X729)&gt;0,LEN(X733)=0),X729,IF(AND(LEN(X733)&gt;0,LEN(X729)=0),X733,"")),IF((VLOOKUP(Z732,'[1]plan gier'!$X$1:$AF$65536,7,FALSE))="","",VLOOKUP(VLOOKUP(Z732,'[1]plan gier'!$X$1:$AF$65536,7,FALSE),[1]zawodnicy!$A$1:$E$65536,3,FALSE)))</f>
        <v>CIMOSZ</v>
      </c>
      <c r="AB731" s="229"/>
      <c r="AC731" s="229"/>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row>
    <row r="732" spans="1:64" ht="13.5" thickBot="1" x14ac:dyDescent="0.25">
      <c r="A732" s="111">
        <f>Z732</f>
        <v>404</v>
      </c>
      <c r="B732" s="2" t="str">
        <f>F730</f>
        <v>C4406</v>
      </c>
      <c r="C732" s="2" t="str">
        <f>G730</f>
        <v>C4264</v>
      </c>
      <c r="D732" s="2" t="str">
        <f>F734</f>
        <v>M5584</v>
      </c>
      <c r="E732" s="2" t="str">
        <f>G734</f>
        <v>Ś5585</v>
      </c>
      <c r="F732" s="2" t="str">
        <f>IF(A732=0,IF(AND(LEN(B732)&gt;0,LEN(D732)=0),B732,IF(AND(LEN(D732)&gt;0,LEN(B732)=0),D732,"")),IF((VLOOKUP(A732,'[1]plan gier'!$X$1:$AF$65536,7,FALSE))="","",VLOOKUP(VLOOKUP(A732,'[1]plan gier'!$X$1:$AF$65536,7,FALSE),[1]zawodnicy!$A$1:$E$65536,1,FALSE)))</f>
        <v>C4406</v>
      </c>
      <c r="G732" s="2" t="str">
        <f>IF(A732=0,IF(AND(LEN(C732)&gt;0,LEN(E732)=0),C732,IF(AND(LEN(E732)&gt;0,LEN(C732)=0),E732,"")),IF((VLOOKUP(A732,'[1]plan gier'!$X$1:$AF$65536,8,FALSE))="","",VLOOKUP(VLOOKUP(A732,'[1]plan gier'!$X$1:$AF$65536,8,FALSE),[1]zawodnicy!$A$1:$E$65536,1,FALSE)))</f>
        <v>C4264</v>
      </c>
      <c r="H732" s="2" t="str">
        <f>IF(A732=0,"",IF((VLOOKUP(A732,'[1]plan gier'!$X$1:$AF$65536,7,FALSE))="","",VLOOKUP(A732,'[1]plan gier'!$X$1:$AF$65536,9,FALSE)))</f>
        <v>21:17,21:10</v>
      </c>
      <c r="L732" s="124" t="str">
        <f>IF(A732=0,"",IF(VLOOKUP(A732,'[1]plan gier'!A$1:S$65536,19,FALSE)="","",VLOOKUP(A732,'[1]plan gier'!A$1:S$65536,19,FALSE)))</f>
        <v>sob 19:45</v>
      </c>
      <c r="M732" s="2" t="str">
        <f>N728</f>
        <v>podwójna chłopców MM</v>
      </c>
      <c r="N732" s="129"/>
      <c r="O732" s="121"/>
      <c r="P732" s="121"/>
      <c r="Q732" s="114"/>
      <c r="R732" s="114"/>
      <c r="S732" s="114"/>
      <c r="T732" s="238" t="str">
        <f>UPPER(IF(O731="","",IF(ISTEXT(N732),N732,IF(AND(N727&gt;0,O731&gt;0),VLOOKUP(N727&amp;O731&amp;N728,I:K,3,FALSE),""))))</f>
        <v/>
      </c>
      <c r="U732" s="239"/>
      <c r="V732" s="130" t="str">
        <f>IF(T732&lt;&gt;"",CONCATENATE(VLOOKUP(T732,[1]zawodnicy!$A$1:$E$65536,2,FALSE)," ",VLOOKUP(T732,[1]zawodnicy!$A$1:$E$65536,3,FALSE)," - ",VLOOKUP(T732,[1]zawodnicy!$A$1:$E$65536,4,FALSE)),"")</f>
        <v/>
      </c>
      <c r="W732" s="131"/>
      <c r="X732" s="114"/>
      <c r="Y732" s="10"/>
      <c r="Z732" s="115">
        <v>404</v>
      </c>
      <c r="AA732" s="231" t="str">
        <f>IF(ISBLANK(Z732),IF(AND(LEN(X730)&gt;0,LEN(X734)=0),X730,IF(AND(LEN(X734)&gt;0,LEN(X730)=0),X734,"")),IF((VLOOKUP(Z732,'[1]plan gier'!$X$1:$AF$65536,8,FALSE))="","",VLOOKUP(VLOOKUP(Z732,'[1]plan gier'!$X$1:$AF$65536,8,FALSE),[1]zawodnicy!$A$1:$E$65536,3,FALSE)))</f>
        <v>CYBULSKI</v>
      </c>
      <c r="AB732" s="232"/>
      <c r="AC732" s="23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row>
    <row r="733" spans="1:64" ht="13.5" thickTop="1" x14ac:dyDescent="0.2">
      <c r="J733" s="2"/>
      <c r="K733" s="2"/>
      <c r="L733" s="2"/>
      <c r="M733" s="95"/>
      <c r="N733" s="132"/>
      <c r="O733" s="120">
        <f>IF(P733="","",MAX(O729:O732)+1)</f>
        <v>2</v>
      </c>
      <c r="P733" s="121">
        <f>IF(O727&gt;4,9,"")</f>
        <v>9</v>
      </c>
      <c r="Q733" s="113">
        <f>O733</f>
        <v>2</v>
      </c>
      <c r="R733" s="113"/>
      <c r="S733" s="113"/>
      <c r="T733" s="226" t="str">
        <f>UPPER(IF(O733="","",IF(ISTEXT(N733),N733,IF(AND(N727&gt;0,O733&gt;0),VLOOKUP(N727&amp;O733&amp;N728,I:K,2,FALSE),""))))</f>
        <v>M5584</v>
      </c>
      <c r="U733" s="227"/>
      <c r="V733" s="133" t="str">
        <f>IF(T733&lt;&gt;"",CONCATENATE(VLOOKUP(T733,[1]zawodnicy!$A$1:$E$65536,2,FALSE)," ",VLOOKUP(T733,[1]zawodnicy!$A$1:$E$65536,3,FALSE)," - ",VLOOKUP(T733,[1]zawodnicy!$A$1:$E$65536,4,FALSE)),"")</f>
        <v>Jakub MAZUR - LKS Technik Głubczyce</v>
      </c>
      <c r="W733" s="134"/>
      <c r="X733" s="228" t="str">
        <f>IF(ISBLANK(W734),IF(AND(LEN(T733)&gt;0,LEN(T735)=0),VLOOKUP(T733,[1]zawodnicy!$A$1:$E$65536,3,FALSE),IF(AND(LEN(T735)&gt;0,LEN(T733)=0),VLOOKUP(T735,[1]zawodnicy!$A$1:$E$65536,3,FALSE),"")),IF((VLOOKUP(W734,'[1]plan gier'!$X$1:$AF$65536,7,FALSE))="","",VLOOKUP(VLOOKUP(W734,'[1]plan gier'!$X$1:$AF$65536,7,FALSE),[1]zawodnicy!$A$1:$E$65536,3,FALSE)))</f>
        <v>MAZUR</v>
      </c>
      <c r="Y733" s="229"/>
      <c r="Z733" s="230"/>
      <c r="AA733" s="229" t="str">
        <f>IF(ISBLANK(Z732),"",IF((VLOOKUP(Z732,'[1]plan gier'!$X$1:$AF$65536,7,FALSE))="",L732,VLOOKUP(Z732,'[1]plan gier'!$X$1:$AF$65536,9,FALSE)))</f>
        <v>21:17,21:10</v>
      </c>
      <c r="AB733" s="229"/>
      <c r="AC733" s="230"/>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row>
    <row r="734" spans="1:64" ht="12.75" x14ac:dyDescent="0.2">
      <c r="A734" s="102">
        <f>W734</f>
        <v>394</v>
      </c>
      <c r="B734" s="2" t="str">
        <f>IF(TYPE(T733)=16,"",T733)</f>
        <v>M5584</v>
      </c>
      <c r="C734" s="2" t="str">
        <f>IF(TYPE(T734)=16,"",T734)</f>
        <v>Ś5585</v>
      </c>
      <c r="D734" s="2" t="str">
        <f>IF(TYPE(T735)=16,"",T735)</f>
        <v>H5344</v>
      </c>
      <c r="E734" s="2" t="str">
        <f>IF(TYPE(T736)=16,"",T736)</f>
        <v>P5351</v>
      </c>
      <c r="F734" s="2" t="str">
        <f>IF(A734=0,IF(AND(LEN(B734)&gt;1,LEN(D734)=0),VLOOKUP(B734,[1]zawodnicy!$A$1:$E$65536,1,FALSE),IF(AND(LEN(D734)&gt;1,LEN(B734)=0),VLOOKUP(D734,[1]zawodnicy!$A$1:$E$65536,1,FALSE),"")),IF((VLOOKUP(A734,'[1]plan gier'!$X$1:$AF$65536,7,FALSE))="","",VLOOKUP(VLOOKUP(A734,'[1]plan gier'!$X$1:$AF$65536,7,FALSE),[1]zawodnicy!$A$1:$E$65536,1,FALSE)))</f>
        <v>M5584</v>
      </c>
      <c r="G734" s="2" t="str">
        <f>IF(A734=0,IF(AND(LEN(C734)&gt;1,LEN(E734)=0),VLOOKUP(C734,[1]zawodnicy!$A$1:$E$65536,1,FALSE),IF(AND(LEN(E734)&gt;1,LEN(C734)=0),VLOOKUP(E734,[1]zawodnicy!$A$1:$E$65536,1,FALSE),"")),IF((VLOOKUP(A734,'[1]plan gier'!$X$1:$AF$65536,8,FALSE))="","",VLOOKUP(VLOOKUP(A734,'[1]plan gier'!$X$1:$AF$65536,8,FALSE),[1]zawodnicy!$A$1:$E$65536,1,FALSE)))</f>
        <v>Ś5585</v>
      </c>
      <c r="H734" s="2" t="str">
        <f>IF(A734=0,"",IF((VLOOKUP(A734,'[1]plan gier'!$X$1:$AF$65536,7,FALSE))="","",VLOOKUP(A734,'[1]plan gier'!$X$1:$AF$65536,9,FALSE)))</f>
        <v>21:15,21:19</v>
      </c>
      <c r="L734" s="124" t="str">
        <f>IF(A734=0,"",IF(VLOOKUP(A734,'[1]plan gier'!A$1:S$65536,19,FALSE)="","",VLOOKUP(A734,'[1]plan gier'!A$1:S$65536,19,FALSE)))</f>
        <v>sob 18:50</v>
      </c>
      <c r="M734" s="2" t="str">
        <f>N728</f>
        <v>podwójna chłopców MM</v>
      </c>
      <c r="N734" s="125"/>
      <c r="O734" s="121"/>
      <c r="P734" s="121"/>
      <c r="Q734" s="114"/>
      <c r="R734" s="114"/>
      <c r="S734" s="114"/>
      <c r="T734" s="224" t="str">
        <f>UPPER(IF(O733="","",IF(ISTEXT(N734),N734,IF(AND(N727&gt;0,O733&gt;0),VLOOKUP(N727&amp;O733&amp;N728,I:K,3,FALSE),""))))</f>
        <v>Ś5585</v>
      </c>
      <c r="U734" s="225"/>
      <c r="V734" s="126" t="str">
        <f>IF(T734&lt;&gt;"",CONCATENATE(VLOOKUP(T734,[1]zawodnicy!$A$1:$E$65536,2,FALSE)," ",VLOOKUP(T734,[1]zawodnicy!$A$1:$E$65536,3,FALSE)," - ",VLOOKUP(T734,[1]zawodnicy!$A$1:$E$65536,4,FALSE)),"")</f>
        <v>Szymon ŚLEPECKI - LKS Technik Głubczyce</v>
      </c>
      <c r="W734" s="127">
        <v>394</v>
      </c>
      <c r="X734" s="231" t="str">
        <f>IF(ISBLANK(W734),IF(AND(LEN(T734)&gt;0,LEN(T736)=0),VLOOKUP(T734,[1]zawodnicy!$A$1:$E$65536,3,FALSE),IF(AND(LEN(T736)&gt;0,LEN(T734)=0),VLOOKUP(T736,[1]zawodnicy!$A$1:$E$65536,3,FALSE),"")),IF((VLOOKUP(W734,'[1]plan gier'!$X$1:$AF$65536,8,FALSE))="","",VLOOKUP(VLOOKUP(W734,'[1]plan gier'!$X$1:$AF$65536,8,FALSE),[1]zawodnicy!$A$1:$E$65536,3,FALSE)))</f>
        <v>ŚLEPECKI</v>
      </c>
      <c r="Y734" s="232"/>
      <c r="Z734" s="233"/>
      <c r="AA734" s="10"/>
      <c r="AB734" s="10"/>
      <c r="AC734" s="117"/>
      <c r="AD734" s="16"/>
      <c r="AE734" s="16"/>
      <c r="AF734" s="16"/>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row>
    <row r="735" spans="1:64" ht="12.75" x14ac:dyDescent="0.2">
      <c r="J735" s="2"/>
      <c r="K735" s="2"/>
      <c r="L735" s="2"/>
      <c r="M735" s="95"/>
      <c r="N735" s="125"/>
      <c r="O735" s="120">
        <f>IF(P735="","",MAX(O729:O734)+1)</f>
        <v>3</v>
      </c>
      <c r="P735" s="121">
        <f>IF(O727&gt;5,13,"")</f>
        <v>13</v>
      </c>
      <c r="Q735" s="113">
        <f>O735</f>
        <v>3</v>
      </c>
      <c r="R735" s="113"/>
      <c r="S735" s="113"/>
      <c r="T735" s="234" t="str">
        <f>UPPER(IF(O735="","",IF(ISTEXT(N735),N735,IF(AND(N727&gt;0,O735&gt;0),VLOOKUP(N727&amp;O735&amp;N728,I:K,2,FALSE),""))))</f>
        <v>H5344</v>
      </c>
      <c r="U735" s="235"/>
      <c r="V735" s="122" t="str">
        <f>IF(T735&lt;&gt;"",CONCATENATE(VLOOKUP(T735,[1]zawodnicy!$A$1:$E$65536,2,FALSE)," ",VLOOKUP(T735,[1]zawodnicy!$A$1:$E$65536,3,FALSE)," - ",VLOOKUP(T735,[1]zawodnicy!$A$1:$E$65536,4,FALSE)),"")</f>
        <v>Mateusz HAŁASA - UKS Kiko Zamość</v>
      </c>
      <c r="W735" s="128"/>
      <c r="X735" s="236" t="str">
        <f>IF(ISBLANK(W734),"",IF((VLOOKUP(W734,'[1]plan gier'!$X$1:$AF$65536,7,FALSE))="",L734,VLOOKUP(W734,'[1]plan gier'!$X$1:$AF$65536,9,FALSE)))</f>
        <v>21:15,21:19</v>
      </c>
      <c r="Y735" s="237"/>
      <c r="Z735" s="237"/>
      <c r="AA735" s="10"/>
      <c r="AB735" s="10"/>
      <c r="AC735" s="116"/>
      <c r="AD735" s="292" t="str">
        <f>IF(ISBLANK(AC736),IF(AND(LEN(AA731)&gt;0,LEN(AA739)=0),AA731,IF(AND(LEN(AA739)&gt;0,LEN(AA731)=0),AA739,"")),IF((VLOOKUP(AC736,'[1]plan gier'!$X$1:$AF$65536,7,FALSE))="","",VLOOKUP(VLOOKUP(AC736,'[1]plan gier'!$X$1:$AF$65536,7,FALSE),[1]zawodnicy!$A$1:$E$65536,3,FALSE)))</f>
        <v>GAŁĄZKA</v>
      </c>
      <c r="AE735" s="292"/>
      <c r="AF735" s="29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row>
    <row r="736" spans="1:64" ht="13.5" thickBot="1" x14ac:dyDescent="0.25">
      <c r="A736" s="171">
        <f>AC736</f>
        <v>414</v>
      </c>
      <c r="B736" s="2" t="str">
        <f>F732</f>
        <v>C4406</v>
      </c>
      <c r="C736" s="2" t="str">
        <f>G732</f>
        <v>C4264</v>
      </c>
      <c r="D736" s="2" t="str">
        <f>F740</f>
        <v>G4725</v>
      </c>
      <c r="E736" s="2" t="str">
        <f>G740</f>
        <v>M4565</v>
      </c>
      <c r="F736" s="2" t="str">
        <f>IF(A736=0,IF(AND(LEN(B736)&gt;0,LEN(D736)=0),B736,IF(AND(LEN(D736)&gt;0,LEN(B736)=0),D736,"")),IF((VLOOKUP(A736,'[1]plan gier'!$X$1:$AF$65536,7,FALSE))="","",VLOOKUP(VLOOKUP(A736,'[1]plan gier'!$X$1:$AF$65536,7,FALSE),[1]zawodnicy!$A$1:$E$65536,1,FALSE)))</f>
        <v>G4725</v>
      </c>
      <c r="G736" s="2" t="str">
        <f>IF(A736=0,IF(AND(LEN(C736)&gt;0,LEN(E736)=0),C736,IF(AND(LEN(E736)&gt;0,LEN(C736)=0),E736,"")),IF((VLOOKUP(A736,'[1]plan gier'!$X$1:$AF$65536,8,FALSE))="","",VLOOKUP(VLOOKUP(A736,'[1]plan gier'!$X$1:$AF$65536,8,FALSE),[1]zawodnicy!$A$1:$E$65536,1,FALSE)))</f>
        <v>M4565</v>
      </c>
      <c r="H736" s="2" t="str">
        <f>IF(A736=0,"",IF((VLOOKUP(A736,'[1]plan gier'!$X$1:$AF$65536,7,FALSE))="","",VLOOKUP(A736,'[1]plan gier'!$X$1:$AF$65536,9,FALSE)))</f>
        <v>21:8,21:10</v>
      </c>
      <c r="L736" s="124" t="str">
        <f>IF(A736=0,"",IF(VLOOKUP(A736,'[1]plan gier'!A$1:S$65536,19,FALSE)="","",VLOOKUP(A736,'[1]plan gier'!A$1:S$65536,19,FALSE)))</f>
        <v>sob 21:00</v>
      </c>
      <c r="M736" s="2" t="str">
        <f>N728</f>
        <v>podwójna chłopców MM</v>
      </c>
      <c r="N736" s="129"/>
      <c r="O736" s="121"/>
      <c r="P736" s="121"/>
      <c r="Q736" s="114"/>
      <c r="R736" s="114"/>
      <c r="S736" s="114"/>
      <c r="T736" s="238" t="str">
        <f>UPPER(IF(O735="","",IF(ISTEXT(N736),N736,IF(AND(N727&gt;0,O735&gt;0),VLOOKUP(N727&amp;O735&amp;N728,I:K,3,FALSE),""))))</f>
        <v>P5351</v>
      </c>
      <c r="U736" s="239"/>
      <c r="V736" s="130" t="str">
        <f>IF(T736&lt;&gt;"",CONCATENATE(VLOOKUP(T736,[1]zawodnicy!$A$1:$E$65536,2,FALSE)," ",VLOOKUP(T736,[1]zawodnicy!$A$1:$E$65536,3,FALSE)," - ",VLOOKUP(T736,[1]zawodnicy!$A$1:$E$65536,4,FALSE)),"")</f>
        <v>Norbert POŹDZIK - UKS Kiko Zamość</v>
      </c>
      <c r="W736" s="131"/>
      <c r="X736" s="10"/>
      <c r="Y736" s="10"/>
      <c r="Z736" s="10"/>
      <c r="AA736" s="10"/>
      <c r="AB736" s="10"/>
      <c r="AC736" s="115">
        <v>414</v>
      </c>
      <c r="AD736" s="293" t="str">
        <f>IF(ISBLANK(AC736),IF(AND(LEN(AA732)&gt;0,LEN(AA740)=0),AA732,IF(AND(LEN(AA740)&gt;0,LEN(AA732)=0),AA740,"")),IF((VLOOKUP(AC736,'[1]plan gier'!$X$1:$AF$65536,8,FALSE))="","",VLOOKUP(VLOOKUP(AC736,'[1]plan gier'!$X$1:$AF$65536,8,FALSE),[1]zawodnicy!$A$1:$E$65536,3,FALSE)))</f>
        <v>MATUSZ</v>
      </c>
      <c r="AE736" s="290"/>
      <c r="AF736" s="290"/>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row>
    <row r="737" spans="1:64" ht="13.5" thickTop="1" x14ac:dyDescent="0.2">
      <c r="J737" s="2"/>
      <c r="K737" s="2"/>
      <c r="L737" s="2"/>
      <c r="M737" s="95"/>
      <c r="N737" s="132"/>
      <c r="O737" s="120">
        <f>IF(P737="","",MAX(O729:O736)+1)</f>
        <v>4</v>
      </c>
      <c r="P737" s="121">
        <f>IF(O727&gt;4,20,"")</f>
        <v>20</v>
      </c>
      <c r="Q737" s="113">
        <f>O737</f>
        <v>4</v>
      </c>
      <c r="R737" s="113"/>
      <c r="S737" s="113"/>
      <c r="T737" s="226" t="str">
        <f>UPPER(IF(O737="","",IF(ISTEXT(N737),N737,IF(AND(N727&gt;0,O737&gt;0),VLOOKUP(N727&amp;O737&amp;N728,I:K,2,FALSE),""))))</f>
        <v>G4725</v>
      </c>
      <c r="U737" s="227"/>
      <c r="V737" s="133" t="str">
        <f>IF(T737&lt;&gt;"",CONCATENATE(VLOOKUP(T737,[1]zawodnicy!$A$1:$E$65536,2,FALSE)," ",VLOOKUP(T737,[1]zawodnicy!$A$1:$E$65536,3,FALSE)," - ",VLOOKUP(T737,[1]zawodnicy!$A$1:$E$65536,4,FALSE)),"")</f>
        <v>Bartosz GAŁĄZKA - LKS Technik Głubczyce</v>
      </c>
      <c r="W737" s="134"/>
      <c r="X737" s="228" t="str">
        <f>IF(ISBLANK(W738),IF(AND(LEN(T737)&gt;0,LEN(T739)=0),VLOOKUP(T737,[1]zawodnicy!$A$1:$E$65536,3,FALSE),IF(AND(LEN(T739)&gt;0,LEN(T737)=0),VLOOKUP(T739,[1]zawodnicy!$A$1:$E$65536,3,FALSE),"")),IF((VLOOKUP(W738,'[1]plan gier'!$X$1:$AF$65536,7,FALSE))="","",VLOOKUP(VLOOKUP(W738,'[1]plan gier'!$X$1:$AF$65536,7,FALSE),[1]zawodnicy!$A$1:$E$65536,3,FALSE)))</f>
        <v>GAŁĄZKA</v>
      </c>
      <c r="Y737" s="229"/>
      <c r="Z737" s="229"/>
      <c r="AA737" s="10"/>
      <c r="AB737" s="10"/>
      <c r="AC737" s="116"/>
      <c r="AD737" s="292" t="str">
        <f>IF(ISBLANK(AC736),"",IF((VLOOKUP(AC736,'[1]plan gier'!$X$1:$AF$65536,7,FALSE))="",L736,VLOOKUP(AC736,'[1]plan gier'!$X$1:$AF$65536,9,FALSE)))</f>
        <v>21:8,21:10</v>
      </c>
      <c r="AE737" s="292"/>
      <c r="AF737" s="29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row>
    <row r="738" spans="1:64" ht="12.75" x14ac:dyDescent="0.2">
      <c r="A738" s="102">
        <f>W738</f>
        <v>395</v>
      </c>
      <c r="B738" s="2" t="str">
        <f>IF(TYPE(T737)=16,"",T737)</f>
        <v>G4725</v>
      </c>
      <c r="C738" s="2" t="str">
        <f>IF(TYPE(T738)=16,"",T738)</f>
        <v>M4565</v>
      </c>
      <c r="D738" s="2" t="str">
        <f>IF(TYPE(T739)=16,"",T739)</f>
        <v>G5058</v>
      </c>
      <c r="E738" s="2" t="str">
        <f>IF(TYPE(T740)=16,"",T740)</f>
        <v>K4981</v>
      </c>
      <c r="F738" s="2" t="str">
        <f>IF(A738=0,IF(AND(LEN(B738)&gt;1,LEN(D738)=0),VLOOKUP(B738,[1]zawodnicy!$A$1:$E$65536,1,FALSE),IF(AND(LEN(D738)&gt;1,LEN(B738)=0),VLOOKUP(D738,[1]zawodnicy!$A$1:$E$65536,1,FALSE),"")),IF((VLOOKUP(A738,'[1]plan gier'!$X$1:$AF$65536,7,FALSE))="","",VLOOKUP(VLOOKUP(A738,'[1]plan gier'!$X$1:$AF$65536,7,FALSE),[1]zawodnicy!$A$1:$E$65536,1,FALSE)))</f>
        <v>G4725</v>
      </c>
      <c r="G738" s="2" t="str">
        <f>IF(A738=0,IF(AND(LEN(C738)&gt;1,LEN(E738)=0),VLOOKUP(C738,[1]zawodnicy!$A$1:$E$65536,1,FALSE),IF(AND(LEN(E738)&gt;1,LEN(C738)=0),VLOOKUP(E738,[1]zawodnicy!$A$1:$E$65536,1,FALSE),"")),IF((VLOOKUP(A738,'[1]plan gier'!$X$1:$AF$65536,8,FALSE))="","",VLOOKUP(VLOOKUP(A738,'[1]plan gier'!$X$1:$AF$65536,8,FALSE),[1]zawodnicy!$A$1:$E$65536,1,FALSE)))</f>
        <v>M4565</v>
      </c>
      <c r="H738" s="2" t="str">
        <f>IF(A738=0,"",IF((VLOOKUP(A738,'[1]plan gier'!$X$1:$AF$65536,7,FALSE))="","",VLOOKUP(A738,'[1]plan gier'!$X$1:$AF$65536,9,FALSE)))</f>
        <v>21:13,21:12</v>
      </c>
      <c r="L738" s="124" t="str">
        <f>IF(A738=0,"",IF(VLOOKUP(A738,'[1]plan gier'!A$1:S$65536,19,FALSE)="","",VLOOKUP(A738,'[1]plan gier'!A$1:S$65536,19,FALSE)))</f>
        <v>sob 18:50</v>
      </c>
      <c r="M738" s="2" t="str">
        <f>N728</f>
        <v>podwójna chłopców MM</v>
      </c>
      <c r="N738" s="125"/>
      <c r="O738" s="121"/>
      <c r="P738" s="121"/>
      <c r="Q738" s="114"/>
      <c r="R738" s="114"/>
      <c r="S738" s="114"/>
      <c r="T738" s="224" t="str">
        <f>UPPER(IF(O737="","",IF(ISTEXT(N738),N738,IF(AND(N727&gt;0,O737&gt;0),VLOOKUP(N727&amp;O737&amp;N728,I:K,3,FALSE),""))))</f>
        <v>M4565</v>
      </c>
      <c r="U738" s="225"/>
      <c r="V738" s="126" t="str">
        <f>IF(T738&lt;&gt;"",CONCATENATE(VLOOKUP(T738,[1]zawodnicy!$A$1:$E$65536,2,FALSE)," ",VLOOKUP(T738,[1]zawodnicy!$A$1:$E$65536,3,FALSE)," - ",VLOOKUP(T738,[1]zawodnicy!$A$1:$E$65536,4,FALSE)),"")</f>
        <v>Maciej MATUSZ - LKS Technik Głubczyce</v>
      </c>
      <c r="W738" s="127">
        <v>395</v>
      </c>
      <c r="X738" s="231" t="str">
        <f>IF(ISBLANK(W738),IF(AND(LEN(T738)&gt;0,LEN(T740)=0),VLOOKUP(T738,[1]zawodnicy!$A$1:$E$65536,3,FALSE),IF(AND(LEN(T740)&gt;0,LEN(T738)=0),VLOOKUP(T740,[1]zawodnicy!$A$1:$E$65536,3,FALSE),"")),IF((VLOOKUP(W738,'[1]plan gier'!$X$1:$AF$65536,8,FALSE))="","",VLOOKUP(VLOOKUP(W738,'[1]plan gier'!$X$1:$AF$65536,8,FALSE),[1]zawodnicy!$A$1:$E$65536,3,FALSE)))</f>
        <v>MATUSZ</v>
      </c>
      <c r="Y738" s="232"/>
      <c r="Z738" s="232"/>
      <c r="AA738" s="10"/>
      <c r="AB738" s="10"/>
      <c r="AC738" s="117"/>
      <c r="AD738" s="10"/>
      <c r="AE738" s="10"/>
      <c r="AF738" s="10"/>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row>
    <row r="739" spans="1:64" ht="12.75" x14ac:dyDescent="0.2">
      <c r="J739" s="2"/>
      <c r="K739" s="2"/>
      <c r="L739" s="2"/>
      <c r="M739" s="95"/>
      <c r="N739" s="125"/>
      <c r="O739" s="120">
        <f>IF(P739="","",MAX(O729:O738)+1)</f>
        <v>5</v>
      </c>
      <c r="P739" s="121">
        <f>IF(O727&gt;4,24,"")</f>
        <v>24</v>
      </c>
      <c r="Q739" s="113">
        <f>O739</f>
        <v>5</v>
      </c>
      <c r="R739" s="113"/>
      <c r="S739" s="113"/>
      <c r="T739" s="234" t="str">
        <f>UPPER(IF(O739="","",IF(ISTEXT(N739),N739,IF(AND(N727&gt;0,O739&gt;0),VLOOKUP(N727&amp;O739&amp;N728,I:K,2,FALSE),""))))</f>
        <v>G5058</v>
      </c>
      <c r="U739" s="235"/>
      <c r="V739" s="122" t="str">
        <f>IF(T739&lt;&gt;"",CONCATENATE(VLOOKUP(T739,[1]zawodnicy!$A$1:$E$65536,2,FALSE)," ",VLOOKUP(T739,[1]zawodnicy!$A$1:$E$65536,3,FALSE)," - ",VLOOKUP(T739,[1]zawodnicy!$A$1:$E$65536,4,FALSE)),"")</f>
        <v>Wiktor GRZYB - UKS Orbitek Straszęcin</v>
      </c>
      <c r="W739" s="128"/>
      <c r="X739" s="237" t="str">
        <f>IF(ISBLANK(W738),"",IF((VLOOKUP(W738,'[1]plan gier'!$X$1:$AF$65536,7,FALSE))="",L738,VLOOKUP(W738,'[1]plan gier'!$X$1:$AF$65536,9,FALSE)))</f>
        <v>21:13,21:12</v>
      </c>
      <c r="Y739" s="237"/>
      <c r="Z739" s="240"/>
      <c r="AA739" s="229" t="str">
        <f>IF(ISBLANK(Z740),IF(AND(LEN(X737)&gt;0,LEN(X741)=0),X737,IF(AND(LEN(X741)&gt;0,LEN(X737)=0),X741,"")),IF((VLOOKUP(Z740,'[1]plan gier'!$X$1:$AF$65536,7,FALSE))="","",VLOOKUP(VLOOKUP(Z740,'[1]plan gier'!$X$1:$AF$65536,7,FALSE),[1]zawodnicy!$A$1:$E$65536,3,FALSE)))</f>
        <v>GAŁĄZKA</v>
      </c>
      <c r="AB739" s="229"/>
      <c r="AC739" s="230"/>
      <c r="AD739" s="10"/>
      <c r="AE739" s="10"/>
      <c r="AF739" s="10"/>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row>
    <row r="740" spans="1:64" ht="13.5" thickBot="1" x14ac:dyDescent="0.25">
      <c r="A740" s="111">
        <f>Z740</f>
        <v>405</v>
      </c>
      <c r="B740" s="2" t="str">
        <f>F738</f>
        <v>G4725</v>
      </c>
      <c r="C740" s="2" t="str">
        <f>G738</f>
        <v>M4565</v>
      </c>
      <c r="D740" s="2" t="str">
        <f>F742</f>
        <v>K5180</v>
      </c>
      <c r="E740" s="2" t="str">
        <f>G742</f>
        <v>M4612</v>
      </c>
      <c r="F740" s="2" t="str">
        <f>IF(A740=0,IF(AND(LEN(B740)&gt;0,LEN(D740)=0),B740,IF(AND(LEN(D740)&gt;0,LEN(B740)=0),D740,"")),IF((VLOOKUP(A740,'[1]plan gier'!$X$1:$AF$65536,7,FALSE))="","",VLOOKUP(VLOOKUP(A740,'[1]plan gier'!$X$1:$AF$65536,7,FALSE),[1]zawodnicy!$A$1:$E$65536,1,FALSE)))</f>
        <v>G4725</v>
      </c>
      <c r="G740" s="2" t="str">
        <f>IF(A740=0,IF(AND(LEN(C740)&gt;0,LEN(E740)=0),C740,IF(AND(LEN(E740)&gt;0,LEN(C740)=0),E740,"")),IF((VLOOKUP(A740,'[1]plan gier'!$X$1:$AF$65536,8,FALSE))="","",VLOOKUP(VLOOKUP(A740,'[1]plan gier'!$X$1:$AF$65536,8,FALSE),[1]zawodnicy!$A$1:$E$65536,1,FALSE)))</f>
        <v>M4565</v>
      </c>
      <c r="H740" s="2" t="str">
        <f>IF(A740=0,"",IF((VLOOKUP(A740,'[1]plan gier'!$X$1:$AF$65536,7,FALSE))="","",VLOOKUP(A740,'[1]plan gier'!$X$1:$AF$65536,9,FALSE)))</f>
        <v>19:21,21:12,21:14</v>
      </c>
      <c r="L740" s="124" t="str">
        <f>IF(A740=0,"",IF(VLOOKUP(A740,'[1]plan gier'!A$1:S$65536,19,FALSE)="","",VLOOKUP(A740,'[1]plan gier'!A$1:S$65536,19,FALSE)))</f>
        <v>sob 20:15</v>
      </c>
      <c r="M740" s="2" t="str">
        <f>N728</f>
        <v>podwójna chłopców MM</v>
      </c>
      <c r="N740" s="129"/>
      <c r="O740" s="121"/>
      <c r="P740" s="121"/>
      <c r="Q740" s="114"/>
      <c r="R740" s="114"/>
      <c r="S740" s="114"/>
      <c r="T740" s="238" t="str">
        <f>UPPER(IF(O739="","",IF(ISTEXT(N740),N740,IF(AND(N727&gt;0,O739&gt;0),VLOOKUP(N727&amp;O739&amp;N728,I:K,3,FALSE),""))))</f>
        <v>K4981</v>
      </c>
      <c r="U740" s="239"/>
      <c r="V740" s="130" t="str">
        <f>IF(T740&lt;&gt;"",CONCATENATE(VLOOKUP(T740,[1]zawodnicy!$A$1:$E$65536,2,FALSE)," ",VLOOKUP(T740,[1]zawodnicy!$A$1:$E$65536,3,FALSE)," - ",VLOOKUP(T740,[1]zawodnicy!$A$1:$E$65536,4,FALSE)),"")</f>
        <v>Michał KOSZTYŁO - UKS Orbitek Straszęcin</v>
      </c>
      <c r="W740" s="131"/>
      <c r="X740" s="114"/>
      <c r="Y740" s="10"/>
      <c r="Z740" s="115">
        <v>405</v>
      </c>
      <c r="AA740" s="231" t="str">
        <f>IF(ISBLANK(Z740),IF(AND(LEN(X738)&gt;0,LEN(X742)=0),X738,IF(AND(LEN(X742)&gt;0,LEN(X738)=0),X742,"")),IF((VLOOKUP(Z740,'[1]plan gier'!$X$1:$AF$65536,8,FALSE))="","",VLOOKUP(VLOOKUP(Z740,'[1]plan gier'!$X$1:$AF$65536,8,FALSE),[1]zawodnicy!$A$1:$E$65536,3,FALSE)))</f>
        <v>MATUSZ</v>
      </c>
      <c r="AB740" s="232"/>
      <c r="AC740" s="233"/>
      <c r="AD740" s="10"/>
      <c r="AE740" s="10"/>
      <c r="AF740" s="10"/>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row>
    <row r="741" spans="1:64" ht="13.5" thickTop="1" x14ac:dyDescent="0.2">
      <c r="J741" s="2"/>
      <c r="K741" s="2"/>
      <c r="L741" s="2"/>
      <c r="M741" s="95"/>
      <c r="N741" s="132"/>
      <c r="O741" s="120" t="str">
        <f>IF(P741="","",MAX(O729:O740)+1)</f>
        <v/>
      </c>
      <c r="P741" s="121" t="str">
        <f>IF(O727&gt;6,28,"")</f>
        <v/>
      </c>
      <c r="Q741" s="113" t="str">
        <f>O741</f>
        <v/>
      </c>
      <c r="R741" s="113"/>
      <c r="S741" s="113"/>
      <c r="T741" s="226" t="str">
        <f>UPPER(IF(O741="","",IF(ISTEXT(N741),N741,IF(AND(N727&gt;0,O741&gt;0),VLOOKUP(N727&amp;O741&amp;N728,I:K,2,FALSE),""))))</f>
        <v/>
      </c>
      <c r="U741" s="227"/>
      <c r="V741" s="133" t="str">
        <f>IF(T741&lt;&gt;"",CONCATENATE(VLOOKUP(T741,[1]zawodnicy!$A$1:$E$65536,2,FALSE)," ",VLOOKUP(T741,[1]zawodnicy!$A$1:$E$65536,3,FALSE)," - ",VLOOKUP(T741,[1]zawodnicy!$A$1:$E$65536,4,FALSE)),"")</f>
        <v/>
      </c>
      <c r="W741" s="134"/>
      <c r="X741" s="228" t="str">
        <f>IF(ISBLANK(W742),IF(AND(LEN(T741)&gt;0,LEN(T743)=0),VLOOKUP(T741,[1]zawodnicy!$A$1:$E$65536,3,FALSE),IF(AND(LEN(T743)&gt;0,LEN(T741)=0),VLOOKUP(T743,[1]zawodnicy!$A$1:$E$65536,3,FALSE),"")),IF((VLOOKUP(W742,'[1]plan gier'!$X$1:$AF$65536,7,FALSE))="","",VLOOKUP(VLOOKUP(W742,'[1]plan gier'!$X$1:$AF$65536,7,FALSE),[1]zawodnicy!$A$1:$E$65536,3,FALSE)))</f>
        <v>KORDEK</v>
      </c>
      <c r="Y741" s="229"/>
      <c r="Z741" s="230"/>
      <c r="AA741" s="229" t="str">
        <f>IF(ISBLANK(Z740),"",IF((VLOOKUP(Z740,'[1]plan gier'!$X$1:$AF$65536,7,FALSE))="",L740,VLOOKUP(Z740,'[1]plan gier'!$X$1:$AF$65536,9,FALSE)))</f>
        <v>19:21,21:12,21:14</v>
      </c>
      <c r="AB741" s="229"/>
      <c r="AC741" s="229"/>
      <c r="AD741" s="114"/>
      <c r="AE741" s="114"/>
      <c r="AF741" s="114"/>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row>
    <row r="742" spans="1:64" ht="12.75" x14ac:dyDescent="0.2">
      <c r="A742" s="102">
        <f>W742</f>
        <v>0</v>
      </c>
      <c r="B742" s="2" t="str">
        <f>IF(TYPE(T741)=16,"",T741)</f>
        <v/>
      </c>
      <c r="C742" s="2" t="str">
        <f>IF(TYPE(T742)=16,"",T742)</f>
        <v/>
      </c>
      <c r="D742" s="2" t="str">
        <f>IF(TYPE(T743)=16,"",T743)</f>
        <v>K5180</v>
      </c>
      <c r="E742" s="2" t="str">
        <f>IF(TYPE(T744)=16,"",T744)</f>
        <v>M4612</v>
      </c>
      <c r="F742" s="2" t="str">
        <f>IF(A742=0,IF(AND(LEN(B742)&gt;1,LEN(D742)=0),VLOOKUP(B742,[1]zawodnicy!$A$1:$E$65536,1,FALSE),IF(AND(LEN(D742)&gt;1,LEN(B742)=0),VLOOKUP(D742,[1]zawodnicy!$A$1:$E$65536,1,FALSE),"")),IF((VLOOKUP(A742,'[1]plan gier'!$X$1:$AF$65536,7,FALSE))="","",VLOOKUP(VLOOKUP(A742,'[1]plan gier'!$X$1:$AF$65536,7,FALSE),[1]zawodnicy!$A$1:$E$65536,1,FALSE)))</f>
        <v>K5180</v>
      </c>
      <c r="G742" s="2" t="str">
        <f>IF(A742=0,IF(AND(LEN(C742)&gt;1,LEN(E742)=0),VLOOKUP(C742,[1]zawodnicy!$A$1:$E$65536,1,FALSE),IF(AND(LEN(E742)&gt;1,LEN(C742)=0),VLOOKUP(E742,[1]zawodnicy!$A$1:$E$65536,1,FALSE),"")),IF((VLOOKUP(A742,'[1]plan gier'!$X$1:$AF$65536,8,FALSE))="","",VLOOKUP(VLOOKUP(A742,'[1]plan gier'!$X$1:$AF$65536,8,FALSE),[1]zawodnicy!$A$1:$E$65536,1,FALSE)))</f>
        <v>M4612</v>
      </c>
      <c r="H742" s="2" t="str">
        <f>IF(A742=0,"",IF((VLOOKUP(A742,'[1]plan gier'!$X$1:$AF$65536,7,FALSE))="","",VLOOKUP(A742,'[1]plan gier'!$X$1:$AF$65536,9,FALSE)))</f>
        <v/>
      </c>
      <c r="L742" s="124" t="str">
        <f>IF(A742=0,"",IF(VLOOKUP(A742,'[1]plan gier'!A$1:S$65536,19,FALSE)="","",VLOOKUP(A742,'[1]plan gier'!A$1:S$65536,19,FALSE)))</f>
        <v/>
      </c>
      <c r="M742" s="2" t="str">
        <f>N728</f>
        <v>podwójna chłopców MM</v>
      </c>
      <c r="N742" s="125"/>
      <c r="O742" s="121"/>
      <c r="P742" s="121"/>
      <c r="Q742" s="114"/>
      <c r="R742" s="114"/>
      <c r="S742" s="114"/>
      <c r="T742" s="224" t="str">
        <f>UPPER(IF(O741="","",IF(ISTEXT(N742),N742,IF(AND(N727&gt;0,O741&gt;0),VLOOKUP(N727&amp;O741&amp;N728,I:K,3,FALSE),""))))</f>
        <v/>
      </c>
      <c r="U742" s="225"/>
      <c r="V742" s="126" t="str">
        <f>IF(T742&lt;&gt;"",CONCATENATE(VLOOKUP(T742,[1]zawodnicy!$A$1:$E$65536,2,FALSE)," ",VLOOKUP(T742,[1]zawodnicy!$A$1:$E$65536,3,FALSE)," - ",VLOOKUP(T742,[1]zawodnicy!$A$1:$E$65536,4,FALSE)),"")</f>
        <v/>
      </c>
      <c r="W742" s="127"/>
      <c r="X742" s="231" t="str">
        <f>IF(ISBLANK(W742),IF(AND(LEN(T742)&gt;0,LEN(T744)=0),VLOOKUP(T742,[1]zawodnicy!$A$1:$E$65536,3,FALSE),IF(AND(LEN(T744)&gt;0,LEN(T742)=0),VLOOKUP(T744,[1]zawodnicy!$A$1:$E$65536,3,FALSE),"")),IF((VLOOKUP(W742,'[1]plan gier'!$X$1:$AF$65536,8,FALSE))="","",VLOOKUP(VLOOKUP(W742,'[1]plan gier'!$X$1:$AF$65536,8,FALSE),[1]zawodnicy!$A$1:$E$65536,3,FALSE)))</f>
        <v>MICHAŁEK</v>
      </c>
      <c r="Y742" s="232"/>
      <c r="Z742" s="233"/>
      <c r="AA742" s="2"/>
      <c r="AB742" s="2"/>
      <c r="AC742" s="2"/>
      <c r="AD742" s="10"/>
      <c r="AE742" s="10"/>
      <c r="AF742" s="10"/>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row>
    <row r="743" spans="1:64" ht="12.75" x14ac:dyDescent="0.2">
      <c r="J743" s="2"/>
      <c r="K743" s="2"/>
      <c r="L743" s="2"/>
      <c r="M743" s="95"/>
      <c r="N743" s="125"/>
      <c r="O743" s="120">
        <f>IF(P743="","",MAX(O729:O742)+1)</f>
        <v>6</v>
      </c>
      <c r="P743" s="121">
        <f>IF(O727&gt;4,32,"")</f>
        <v>32</v>
      </c>
      <c r="Q743" s="113">
        <f>O743</f>
        <v>6</v>
      </c>
      <c r="R743" s="113"/>
      <c r="S743" s="113"/>
      <c r="T743" s="234" t="str">
        <f>UPPER(IF(O743="","",IF(ISTEXT(N743),N743,IF(AND(N727&gt;0,O743&gt;0),VLOOKUP(N727&amp;O743&amp;N728,I:K,2,FALSE),""))))</f>
        <v>K5180</v>
      </c>
      <c r="U743" s="235"/>
      <c r="V743" s="122" t="str">
        <f>IF(T743&lt;&gt;"",CONCATENATE(VLOOKUP(T743,[1]zawodnicy!$A$1:$E$65536,2,FALSE)," ",VLOOKUP(T743,[1]zawodnicy!$A$1:$E$65536,3,FALSE)," - ",VLOOKUP(T743,[1]zawodnicy!$A$1:$E$65536,4,FALSE)),"")</f>
        <v>Patryk KORDEK - UKS Aktywna Piątka Przemyśl</v>
      </c>
      <c r="W743" s="128"/>
      <c r="X743" s="236" t="str">
        <f>IF(ISBLANK(W742),"",IF((VLOOKUP(W742,'[1]plan gier'!$X$1:$AF$65536,7,FALSE))="",L742,VLOOKUP(W742,'[1]plan gier'!$X$1:$AF$65536,9,FALSE)))</f>
        <v/>
      </c>
      <c r="Y743" s="237"/>
      <c r="Z743" s="237"/>
      <c r="AA743" s="2"/>
      <c r="AB743" s="2"/>
      <c r="AC743" s="114"/>
      <c r="AD743" s="114"/>
      <c r="AE743" s="114"/>
      <c r="AF743" s="114"/>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row>
    <row r="744" spans="1:64" ht="12.75" x14ac:dyDescent="0.2">
      <c r="A744" s="135"/>
      <c r="B744" s="16"/>
      <c r="C744" s="16"/>
      <c r="D744" s="16"/>
      <c r="E744" s="16"/>
      <c r="F744" s="16"/>
      <c r="G744" s="16"/>
      <c r="H744" s="16"/>
      <c r="I744" s="16"/>
      <c r="M744" s="16"/>
      <c r="N744" s="125"/>
      <c r="O744" s="121"/>
      <c r="P744" s="121"/>
      <c r="Q744" s="114"/>
      <c r="R744" s="114"/>
      <c r="S744" s="114"/>
      <c r="T744" s="224" t="str">
        <f>UPPER(IF(O743="","",IF(ISTEXT(N744),N744,IF(AND(N727&gt;0,O743&gt;0),VLOOKUP(N727&amp;O743&amp;N728,I:K,3,FALSE),""))))</f>
        <v>M4612</v>
      </c>
      <c r="U744" s="225"/>
      <c r="V744" s="126" t="str">
        <f>IF(T744&lt;&gt;"",CONCATENATE(VLOOKUP(T744,[1]zawodnicy!$A$1:$E$65536,2,FALSE)," ",VLOOKUP(T744,[1]zawodnicy!$A$1:$E$65536,3,FALSE)," - ",VLOOKUP(T744,[1]zawodnicy!$A$1:$E$65536,4,FALSE)),"")</f>
        <v>Patryk MICHAŁEK - UKS Orbitek Straszęcin</v>
      </c>
      <c r="W744" s="136"/>
      <c r="X744" s="10"/>
      <c r="Y744" s="10"/>
      <c r="Z744" s="10"/>
      <c r="AA744" s="2"/>
      <c r="AB744" s="2"/>
      <c r="AC744" s="137"/>
      <c r="AD744" s="114"/>
      <c r="AE744" s="114"/>
      <c r="AF744" s="114"/>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row>
    <row r="747" spans="1:64" ht="11.45" customHeight="1" x14ac:dyDescent="0.2">
      <c r="M747" s="16"/>
      <c r="N747" s="17" t="s">
        <v>370</v>
      </c>
      <c r="R747" s="18"/>
      <c r="S747" s="18"/>
      <c r="T747" s="277" t="str">
        <f>"Gra "&amp;N747</f>
        <v>Gra mieszana MM</v>
      </c>
      <c r="U747" s="277"/>
      <c r="V747" s="277"/>
      <c r="W747" s="277"/>
      <c r="X747" s="277"/>
      <c r="Y747" s="277"/>
      <c r="Z747" s="277"/>
      <c r="AA747" s="277"/>
      <c r="AB747" s="277"/>
      <c r="AC747" s="277"/>
      <c r="AD747" s="277"/>
      <c r="AE747" s="18"/>
    </row>
    <row r="748" spans="1:64" ht="11.45" customHeight="1" thickBot="1" x14ac:dyDescent="0.25"/>
    <row r="749" spans="1:64" ht="11.45" customHeight="1" thickBot="1" x14ac:dyDescent="0.25">
      <c r="B749" s="2" t="s">
        <v>63</v>
      </c>
      <c r="N749" s="138"/>
      <c r="O749" s="21">
        <v>1</v>
      </c>
      <c r="Q749" s="277" t="str">
        <f>"Grupa "&amp;O749&amp;"."</f>
        <v>Grupa 1.</v>
      </c>
      <c r="R749" s="277"/>
      <c r="S749" s="277"/>
      <c r="T749" s="22" t="s">
        <v>1</v>
      </c>
      <c r="U749" s="278" t="s">
        <v>2</v>
      </c>
      <c r="V749" s="279"/>
      <c r="W749" s="280"/>
      <c r="X749" s="22">
        <v>1</v>
      </c>
      <c r="Y749" s="139">
        <v>2</v>
      </c>
      <c r="Z749" s="23">
        <v>3</v>
      </c>
      <c r="AA749" s="140">
        <v>4</v>
      </c>
      <c r="AB749" s="141" t="s">
        <v>3</v>
      </c>
      <c r="AC749" s="142" t="s">
        <v>4</v>
      </c>
      <c r="AD749" s="26" t="s">
        <v>5</v>
      </c>
      <c r="AE749" s="143" t="s">
        <v>6</v>
      </c>
      <c r="AF749" s="12"/>
      <c r="AG749" s="12"/>
      <c r="AI749" s="273" t="s">
        <v>9</v>
      </c>
      <c r="AJ749" s="273"/>
      <c r="AK749" s="273"/>
      <c r="AL749" s="273"/>
      <c r="AM749" s="273"/>
      <c r="AN749" s="273"/>
      <c r="AO749" s="273" t="s">
        <v>10</v>
      </c>
      <c r="AP749" s="273"/>
      <c r="AQ749" s="273"/>
      <c r="AR749" s="273"/>
      <c r="AS749" s="273"/>
      <c r="AT749" s="273"/>
      <c r="BK749" s="19"/>
      <c r="BL749" s="20"/>
    </row>
    <row r="750" spans="1:64" ht="11.45" customHeight="1" x14ac:dyDescent="0.2">
      <c r="N750" s="29" t="s">
        <v>370</v>
      </c>
      <c r="Q750" s="274" t="s">
        <v>7</v>
      </c>
      <c r="R750" s="274"/>
      <c r="S750" s="275" t="s">
        <v>8</v>
      </c>
      <c r="T750" s="242">
        <v>1</v>
      </c>
      <c r="U750" s="244" t="str">
        <f>IF(AND(N751&lt;&gt;"",N752&lt;&gt;""),CONCATENATE(VLOOKUP(N751,[1]zawodnicy!$A$1:$E$65536,1,FALSE)," ",VLOOKUP(N751,[1]zawodnicy!$A$1:$E$65536,2,FALSE)," ",VLOOKUP(N751,[1]zawodnicy!$A$1:$E$65536,3,FALSE)," - ",VLOOKUP(N751,[1]zawodnicy!$A$1:$E$65536,4,FALSE)),"")</f>
        <v>P5025 Jakub PLASZCZYK - MKS Strzelce Opolskie</v>
      </c>
      <c r="V750" s="245"/>
      <c r="W750" s="246"/>
      <c r="X750" s="35"/>
      <c r="Y750" s="36" t="str">
        <f>IF(SUM(AO758:AP758)=0,"",AO758&amp;":"&amp;AP758)</f>
        <v>21:6</v>
      </c>
      <c r="Z750" s="36" t="str">
        <f>IF(SUM(AO753:AP753)=0,"",AO753&amp;":"&amp;AP753)</f>
        <v>21:4</v>
      </c>
      <c r="AA750" s="144" t="str">
        <f>IF(SUM(AO755:AP755)=0,"",AO755&amp;":"&amp;AP755)</f>
        <v>21:4</v>
      </c>
      <c r="AB750" s="242" t="str">
        <f>IF(SUM(AY753:BD753)=0,"",BE753&amp;":"&amp;BF753)</f>
        <v>126:26</v>
      </c>
      <c r="AC750" s="251" t="str">
        <f>IF(SUM(AY753:BD753)=0,"",BG753&amp;":"&amp;BH753)</f>
        <v>6:0</v>
      </c>
      <c r="AD750" s="251" t="str">
        <f>IF(SUM(AY753:BD753)=0,"",BI753&amp;":"&amp;BJ753)</f>
        <v>3:0</v>
      </c>
      <c r="AE750" s="254">
        <f>IF(SUM(BI753:BI756)&gt;0,BK753,"")</f>
        <v>1</v>
      </c>
      <c r="AF750" s="12"/>
      <c r="AG750" s="12"/>
      <c r="BK750" s="19"/>
      <c r="BL750" s="20"/>
    </row>
    <row r="751" spans="1:64" ht="11.45" customHeight="1" thickBot="1" x14ac:dyDescent="0.25">
      <c r="H751" s="10"/>
      <c r="I751" s="2" t="str">
        <f>"1"&amp;O749&amp;N750</f>
        <v>11mieszana MM</v>
      </c>
      <c r="J751" s="10" t="str">
        <f>IF(AE750="","",IF(AE750=1,N751,IF(AE753=1,N754,IF(AE756=1,N757,IF(AE759=1,N760,"")))))</f>
        <v>P5025</v>
      </c>
      <c r="K751" s="10" t="str">
        <f>IF(AE750="","",IF(AE750=1,N752,IF(AE753=1,N755,IF(AE756=1,N758,IF(AE759=1,N761,"")))))</f>
        <v>J5024</v>
      </c>
      <c r="L751" s="10"/>
      <c r="N751" s="33" t="s">
        <v>367</v>
      </c>
      <c r="O751" s="34">
        <f>IF(O749&gt;0,(O749&amp;1)*1,"")</f>
        <v>11</v>
      </c>
      <c r="Q751" s="274"/>
      <c r="R751" s="274"/>
      <c r="S751" s="275"/>
      <c r="T751" s="242"/>
      <c r="U751" s="244" t="str">
        <f>IF(AND(N751&lt;&gt;"",N752=""),CONCATENATE(VLOOKUP(N751,[1]zawodnicy!$A$1:$E$65536,1,FALSE)," ",VLOOKUP(N751,[1]zawodnicy!$A$1:$E$65536,2,FALSE)," ",VLOOKUP(N751,[1]zawodnicy!$A$1:$E$65536,3,FALSE)," - ",VLOOKUP(N751,[1]zawodnicy!$A$1:$E$65536,4,FALSE)),"")</f>
        <v/>
      </c>
      <c r="V751" s="245"/>
      <c r="W751" s="246"/>
      <c r="X751" s="35"/>
      <c r="Y751" s="36" t="str">
        <f>IF(SUM(AQ758:AR758)=0,"",AQ758&amp;":"&amp;AR758)</f>
        <v>21:4</v>
      </c>
      <c r="Z751" s="36" t="str">
        <f>IF(SUM(AQ753:AR753)=0,"",AQ753&amp;":"&amp;AR753)</f>
        <v>21:4</v>
      </c>
      <c r="AA751" s="144" t="str">
        <f>IF(SUM(AQ755:AR755)=0,"",AQ755&amp;":"&amp;AR755)</f>
        <v>21:4</v>
      </c>
      <c r="AB751" s="242"/>
      <c r="AC751" s="251"/>
      <c r="AD751" s="251"/>
      <c r="AE751" s="254"/>
      <c r="AF751" s="12"/>
      <c r="AG751" s="12"/>
      <c r="BK751" s="19"/>
      <c r="BL751" s="20"/>
    </row>
    <row r="752" spans="1:64" ht="11.45" customHeight="1" thickBot="1" x14ac:dyDescent="0.25">
      <c r="J752" s="10"/>
      <c r="K752" s="28"/>
      <c r="L752" s="28"/>
      <c r="N752" s="38" t="s">
        <v>307</v>
      </c>
      <c r="O752" s="28"/>
      <c r="P752" s="28"/>
      <c r="Q752" s="274"/>
      <c r="R752" s="274"/>
      <c r="S752" s="275"/>
      <c r="T752" s="261"/>
      <c r="U752" s="265" t="str">
        <f>IF(N752&lt;&gt;"",CONCATENATE(VLOOKUP(N752,[1]zawodnicy!$A$1:$E$65536,1,FALSE)," ",VLOOKUP(N752,[1]zawodnicy!$A$1:$E$65536,2,FALSE)," ",VLOOKUP(N752,[1]zawodnicy!$A$1:$E$65536,3,FALSE)," - ",VLOOKUP(N752,[1]zawodnicy!$A$1:$E$65536,4,FALSE)),"")</f>
        <v>J5024 Zuzanna JANKOWSKA - MKS Strzelce Opolskie</v>
      </c>
      <c r="V752" s="266"/>
      <c r="W752" s="267"/>
      <c r="X752" s="35"/>
      <c r="Y752" s="39" t="str">
        <f>IF(SUM(AS758:AT758)=0,"",AS758&amp;":"&amp;AT758)</f>
        <v/>
      </c>
      <c r="Z752" s="39" t="str">
        <f>IF(SUM(AS753:AT753)=0,"",AS753&amp;":"&amp;AT753)</f>
        <v/>
      </c>
      <c r="AA752" s="145" t="str">
        <f>IF(SUM(AS755:AT755)=0,"",AS755&amp;":"&amp;AT755)</f>
        <v/>
      </c>
      <c r="AB752" s="242"/>
      <c r="AC752" s="251"/>
      <c r="AD752" s="251"/>
      <c r="AE752" s="254"/>
      <c r="AF752" s="12"/>
      <c r="AG752" s="12"/>
      <c r="AI752" s="283" t="s">
        <v>12</v>
      </c>
      <c r="AJ752" s="281"/>
      <c r="AK752" s="281" t="s">
        <v>13</v>
      </c>
      <c r="AL752" s="281"/>
      <c r="AM752" s="281" t="s">
        <v>14</v>
      </c>
      <c r="AN752" s="281"/>
      <c r="AO752" s="283" t="s">
        <v>12</v>
      </c>
      <c r="AP752" s="281"/>
      <c r="AQ752" s="281" t="s">
        <v>13</v>
      </c>
      <c r="AR752" s="281"/>
      <c r="AS752" s="281" t="s">
        <v>14</v>
      </c>
      <c r="AT752" s="282"/>
      <c r="AW752" s="283">
        <v>1</v>
      </c>
      <c r="AX752" s="281"/>
      <c r="AY752" s="281">
        <v>2</v>
      </c>
      <c r="AZ752" s="281"/>
      <c r="BA752" s="281">
        <v>3</v>
      </c>
      <c r="BB752" s="281"/>
      <c r="BC752" s="281">
        <v>4</v>
      </c>
      <c r="BD752" s="282"/>
      <c r="BE752" s="283" t="s">
        <v>3</v>
      </c>
      <c r="BF752" s="282"/>
      <c r="BG752" s="283" t="s">
        <v>4</v>
      </c>
      <c r="BH752" s="282"/>
      <c r="BI752" s="283" t="s">
        <v>5</v>
      </c>
      <c r="BJ752" s="268"/>
      <c r="BK752" s="41" t="s">
        <v>6</v>
      </c>
      <c r="BL752" s="20"/>
    </row>
    <row r="753" spans="1:64" ht="11.45" customHeight="1" x14ac:dyDescent="0.2">
      <c r="A753" s="19">
        <f t="shared" ref="A753:A758" si="72">S753</f>
        <v>78</v>
      </c>
      <c r="B753" s="19" t="str">
        <f>IF(N751="","",N751)</f>
        <v>P5025</v>
      </c>
      <c r="C753" s="19" t="str">
        <f>IF(N752="","",N752)</f>
        <v>J5024</v>
      </c>
      <c r="D753" s="19" t="str">
        <f>IF(N757="","",N757)</f>
        <v>M5475</v>
      </c>
      <c r="E753" s="19" t="str">
        <f>IF(N758="","",N758)</f>
        <v>P5477</v>
      </c>
      <c r="H753" s="10"/>
      <c r="I753" s="2" t="str">
        <f>"2"&amp;O749&amp;N750</f>
        <v>21mieszana MM</v>
      </c>
      <c r="J753" s="10" t="str">
        <f>IF(AE753="","",IF(AE750=2,N751,IF(AE753=2,N754,IF(AE756=2,N757,IF(AE759=2,N760,"")))))</f>
        <v>M4933</v>
      </c>
      <c r="K753" s="10" t="str">
        <f>IF(AE753="","",IF(AE750=2,N752,IF(AE753=2,N755,IF(AE756=2,N758,IF(AE759=2,N761,"")))))</f>
        <v>C5063</v>
      </c>
      <c r="L753" s="10"/>
      <c r="M753" s="42" t="str">
        <f>N750</f>
        <v>mieszana MM</v>
      </c>
      <c r="O753" s="28"/>
      <c r="P753" s="28"/>
      <c r="Q753" s="43" t="str">
        <f>IF(AU753&gt;0,"",IF(A753=0,"",IF(VLOOKUP(A753,'[1]plan gier'!A$1:S$65536,19,FALSE)="","",VLOOKUP(A753,'[1]plan gier'!A$1:S$65536,19,FALSE))))</f>
        <v/>
      </c>
      <c r="R753" s="44" t="s">
        <v>15</v>
      </c>
      <c r="S753" s="146">
        <v>78</v>
      </c>
      <c r="T753" s="241">
        <v>2</v>
      </c>
      <c r="U753" s="244" t="str">
        <f>IF(AND(N754&lt;&gt;"",N755&lt;&gt;""),CONCATENATE(VLOOKUP(N754,[1]zawodnicy!$A$1:$E$65536,1,FALSE)," ",VLOOKUP(N754,[1]zawodnicy!$A$1:$E$65536,2,FALSE)," ",VLOOKUP(N754,[1]zawodnicy!$A$1:$E$65536,3,FALSE)," - ",VLOOKUP(N754,[1]zawodnicy!$A$1:$E$65536,4,FALSE)),"")</f>
        <v>M4933 Kacper MAKAREWICZ - UKS Hubal Białystok</v>
      </c>
      <c r="V753" s="245"/>
      <c r="W753" s="246"/>
      <c r="X753" s="46" t="str">
        <f>IF(SUM(AO758:AP758)=0,"",AP758&amp;":"&amp;AO758)</f>
        <v>6:21</v>
      </c>
      <c r="Y753" s="147"/>
      <c r="Z753" s="83" t="str">
        <f>IF(SUM(AO756:AP756)=0,"",AO756&amp;":"&amp;AP756)</f>
        <v>21:16</v>
      </c>
      <c r="AA753" s="48" t="str">
        <f>IF(SUM(AO754:AP754)=0,"",AO754&amp;":"&amp;AP754)</f>
        <v>21:11</v>
      </c>
      <c r="AB753" s="241" t="str">
        <f>IF(SUM(AW754:AX754,BA754:BD754)=0,"",BE754&amp;":"&amp;BF754)</f>
        <v>112:112</v>
      </c>
      <c r="AC753" s="250" t="str">
        <f>IF(SUM(AW754:AX754,BA754:BD754)=0,"",BG754&amp;":"&amp;BH754)</f>
        <v>4:3</v>
      </c>
      <c r="AD753" s="250" t="str">
        <f>IF(SUM(AW754:AX754,BA754:BD754)=0,"",BI754&amp;":"&amp;BJ754)</f>
        <v>2:1</v>
      </c>
      <c r="AE753" s="253">
        <f>IF(SUM(BI753:BI756)&gt;0,BK754,"")</f>
        <v>2</v>
      </c>
      <c r="AF753" s="12"/>
      <c r="AG753" s="12"/>
      <c r="AH753" s="44" t="s">
        <v>15</v>
      </c>
      <c r="AI753" s="148">
        <f>IF(ISBLANK(S753),"",VLOOKUP(S753,'[1]plan gier'!$X$1:$AN$65536,12,FALSE))</f>
        <v>21</v>
      </c>
      <c r="AJ753" s="52">
        <f>IF(ISBLANK(S753),"",VLOOKUP(S753,'[1]plan gier'!$X$1:$AN$65536,13,FALSE))</f>
        <v>4</v>
      </c>
      <c r="AK753" s="52">
        <f>IF(ISBLANK(S753),"",VLOOKUP(S753,'[1]plan gier'!$X$1:$AN$65536,14,FALSE))</f>
        <v>21</v>
      </c>
      <c r="AL753" s="52">
        <f>IF(ISBLANK(S753),"",VLOOKUP(S753,'[1]plan gier'!$X$1:$AN$65536,15,FALSE))</f>
        <v>4</v>
      </c>
      <c r="AM753" s="52">
        <f>IF(ISBLANK(S753),"",VLOOKUP(S753,'[1]plan gier'!$X$1:$AN$65536,16,FALSE))</f>
        <v>0</v>
      </c>
      <c r="AN753" s="52">
        <f>IF(ISBLANK(S753),"",VLOOKUP(S753,'[1]plan gier'!$X$1:$AN$65536,17,FALSE))</f>
        <v>0</v>
      </c>
      <c r="AO753" s="49">
        <f t="shared" ref="AO753:AT758" si="73">IF(AI753="",0,AI753)</f>
        <v>21</v>
      </c>
      <c r="AP753" s="50">
        <f t="shared" si="73"/>
        <v>4</v>
      </c>
      <c r="AQ753" s="50">
        <f t="shared" si="73"/>
        <v>21</v>
      </c>
      <c r="AR753" s="50">
        <f t="shared" si="73"/>
        <v>4</v>
      </c>
      <c r="AS753" s="50">
        <f t="shared" si="73"/>
        <v>0</v>
      </c>
      <c r="AT753" s="57">
        <f t="shared" si="73"/>
        <v>0</v>
      </c>
      <c r="AU753" s="149">
        <f t="shared" ref="AU753:AU758" si="74">SUM(AO753:AT753)</f>
        <v>50</v>
      </c>
      <c r="AV753" s="5">
        <v>1</v>
      </c>
      <c r="AW753" s="284"/>
      <c r="AX753" s="285"/>
      <c r="AY753" s="50">
        <f>IF(AI758&gt;AJ758,1,0)+IF(AK758&gt;AL758,1,0)+IF(AM758&gt;AN758,1,0)</f>
        <v>2</v>
      </c>
      <c r="AZ753" s="50">
        <f>AW754</f>
        <v>0</v>
      </c>
      <c r="BA753" s="50">
        <f>IF(AI753&gt;AJ753,1,0)+IF(AK753&gt;AL753,1,0)+IF(AM753&gt;AN753,1,0)</f>
        <v>2</v>
      </c>
      <c r="BB753" s="52">
        <f>AW755</f>
        <v>0</v>
      </c>
      <c r="BC753" s="150">
        <f>IF(AI755&gt;AJ755,1,0)+IF(AK755&gt;AL755,1,0)+IF(AM755&gt;AN755,1,0)</f>
        <v>2</v>
      </c>
      <c r="BD753" s="58">
        <f>AW756</f>
        <v>0</v>
      </c>
      <c r="BE753" s="148">
        <f>AO753+AQ753+AS753+AO755+AQ755+AS755+AO758+AQ758+AS758</f>
        <v>126</v>
      </c>
      <c r="BF753" s="151">
        <f>AP753+AR753+AT753+AP755+AR755+AT755+AP758+AR758+AT758</f>
        <v>26</v>
      </c>
      <c r="BG753" s="148">
        <f>AY753+BA753+BC753</f>
        <v>6</v>
      </c>
      <c r="BH753" s="152">
        <f>AZ753+BB753+BD753</f>
        <v>0</v>
      </c>
      <c r="BI753" s="148">
        <f>IF(AY753&gt;AZ753,1,0)+IF(BA753&gt;BB753,1,0)+IF(BC753&gt;BD753,1,0)</f>
        <v>3</v>
      </c>
      <c r="BJ753" s="152">
        <f>IF(AZ753&gt;AY753,1,0)+IF(BB753&gt;BA753,1,0)+IF(BD753&gt;BC753,1,0)</f>
        <v>0</v>
      </c>
      <c r="BK753" s="153">
        <f>IF(BI753+BJ753=0,"",IF(BL753=MAX(BL753:BL756),1,IF(BL753=LARGE(BL753:BL756,2),2,IF(BL753=MIN(BL753:BL756),4,3))))</f>
        <v>1</v>
      </c>
      <c r="BL753" s="60">
        <f>IF(BI753+BJ753&lt;&gt;0,BI753+1+(BG753-BH753)/100+(BE753-BF753)/100000+(BE753/BF753)/1000000,0)</f>
        <v>4.0610048461538462</v>
      </c>
    </row>
    <row r="754" spans="1:64" ht="11.45" customHeight="1" x14ac:dyDescent="0.2">
      <c r="A754" s="19">
        <f t="shared" si="72"/>
        <v>79</v>
      </c>
      <c r="B754" s="19" t="str">
        <f>IF(N754="","",N754)</f>
        <v>M4933</v>
      </c>
      <c r="C754" s="19" t="str">
        <f>IF(N755="","",N755)</f>
        <v>C5063</v>
      </c>
      <c r="D754" s="19" t="str">
        <f>IF(N760="","",N760)</f>
        <v>M5942</v>
      </c>
      <c r="E754" s="19" t="str">
        <f>IF(N761="","",N761)</f>
        <v>S5479</v>
      </c>
      <c r="J754" s="10"/>
      <c r="K754" s="19"/>
      <c r="L754" s="19"/>
      <c r="M754" s="42" t="str">
        <f>N750</f>
        <v>mieszana MM</v>
      </c>
      <c r="N754" s="33" t="s">
        <v>364</v>
      </c>
      <c r="O754" s="34">
        <f>IF(O749&gt;0,(O749&amp;2)*1,"")</f>
        <v>12</v>
      </c>
      <c r="Q754" s="43" t="str">
        <f>IF(AU754&gt;0,"",IF(A754=0,"",IF(VLOOKUP(A754,'[1]plan gier'!A$1:S$65536,19,FALSE)="","",VLOOKUP(A754,'[1]plan gier'!A$1:S$65536,19,FALSE))))</f>
        <v/>
      </c>
      <c r="R754" s="44" t="s">
        <v>66</v>
      </c>
      <c r="S754" s="146">
        <v>79</v>
      </c>
      <c r="T754" s="242"/>
      <c r="U754" s="244" t="str">
        <f>IF(AND(N754&lt;&gt;"",N755=""),CONCATENATE(VLOOKUP(N754,[1]zawodnicy!$A$1:$E$65536,1,FALSE)," ",VLOOKUP(N754,[1]zawodnicy!$A$1:$E$65536,2,FALSE)," ",VLOOKUP(N754,[1]zawodnicy!$A$1:$E$65536,3,FALSE)," - ",VLOOKUP(N754,[1]zawodnicy!$A$1:$E$65536,4,FALSE)),"")</f>
        <v/>
      </c>
      <c r="V754" s="245"/>
      <c r="W754" s="246"/>
      <c r="X754" s="61" t="str">
        <f>IF(SUM(AQ758:AR758)=0,"",AR758&amp;":"&amp;AQ758)</f>
        <v>4:21</v>
      </c>
      <c r="Y754" s="154"/>
      <c r="Z754" s="36" t="str">
        <f>IF(SUM(AQ756:AR756)=0,"",AQ756&amp;":"&amp;AR756)</f>
        <v>21:13</v>
      </c>
      <c r="AA754" s="37" t="str">
        <f>IF(SUM(AQ754:AR754)=0,"",AQ754&amp;":"&amp;AR754)</f>
        <v>18:21</v>
      </c>
      <c r="AB754" s="242"/>
      <c r="AC754" s="251"/>
      <c r="AD754" s="251"/>
      <c r="AE754" s="254"/>
      <c r="AF754" s="12"/>
      <c r="AG754" s="12"/>
      <c r="AH754" s="44" t="s">
        <v>66</v>
      </c>
      <c r="AI754" s="49">
        <f>IF(ISBLANK(S754),"",VLOOKUP(S754,'[1]plan gier'!$X$1:$AN$65536,12,FALSE))</f>
        <v>21</v>
      </c>
      <c r="AJ754" s="50">
        <f>IF(ISBLANK(S754),"",VLOOKUP(S754,'[1]plan gier'!$X$1:$AN$65536,13,FALSE))</f>
        <v>11</v>
      </c>
      <c r="AK754" s="50">
        <f>IF(ISBLANK(S754),"",VLOOKUP(S754,'[1]plan gier'!$X$1:$AN$65536,14,FALSE))</f>
        <v>18</v>
      </c>
      <c r="AL754" s="50">
        <f>IF(ISBLANK(S754),"",VLOOKUP(S754,'[1]plan gier'!$X$1:$AN$65536,15,FALSE))</f>
        <v>21</v>
      </c>
      <c r="AM754" s="50">
        <f>IF(ISBLANK(S754),"",VLOOKUP(S754,'[1]plan gier'!$X$1:$AN$65536,16,FALSE))</f>
        <v>21</v>
      </c>
      <c r="AN754" s="50">
        <f>IF(ISBLANK(S754),"",VLOOKUP(S754,'[1]plan gier'!$X$1:$AN$65536,17,FALSE))</f>
        <v>9</v>
      </c>
      <c r="AO754" s="63">
        <f t="shared" si="73"/>
        <v>21</v>
      </c>
      <c r="AP754" s="64">
        <f t="shared" si="73"/>
        <v>11</v>
      </c>
      <c r="AQ754" s="64">
        <f t="shared" si="73"/>
        <v>18</v>
      </c>
      <c r="AR754" s="64">
        <f t="shared" si="73"/>
        <v>21</v>
      </c>
      <c r="AS754" s="64">
        <f t="shared" si="73"/>
        <v>21</v>
      </c>
      <c r="AT754" s="69">
        <f t="shared" si="73"/>
        <v>9</v>
      </c>
      <c r="AU754" s="149">
        <f t="shared" si="74"/>
        <v>101</v>
      </c>
      <c r="AV754" s="5">
        <v>2</v>
      </c>
      <c r="AW754" s="63">
        <f>IF(AI758&lt;AJ758,1,0)+IF(AK758&lt;AL758,1,0)+IF(AM758&lt;AN758,1,0)</f>
        <v>0</v>
      </c>
      <c r="AX754" s="64">
        <f>AY753</f>
        <v>2</v>
      </c>
      <c r="AY754" s="155"/>
      <c r="AZ754" s="156"/>
      <c r="BA754" s="64">
        <f>IF(AI756&gt;AJ756,1,0)+IF(AK756&gt;AL756,1,0)+IF(AM756&gt;AN756,1,0)</f>
        <v>2</v>
      </c>
      <c r="BB754" s="64">
        <f>AY755</f>
        <v>0</v>
      </c>
      <c r="BC754" s="157">
        <f>IF(AI754&gt;AJ754,1,0)+IF(AK754&gt;AL754,1,0)+IF(AM754&gt;AN754,1,0)</f>
        <v>2</v>
      </c>
      <c r="BD754" s="70">
        <f>AY756</f>
        <v>1</v>
      </c>
      <c r="BE754" s="63">
        <f>AO754+AQ754+AS754+AO756+AQ756+AS756+AP758+AR758+AT758</f>
        <v>112</v>
      </c>
      <c r="BF754" s="70">
        <f>AP754+AR754+AT754+AP756+AR756+AT756+AO758+AQ758+AS758</f>
        <v>112</v>
      </c>
      <c r="BG754" s="63">
        <f>AW754+BA754+BC754</f>
        <v>4</v>
      </c>
      <c r="BH754" s="69">
        <f>AX754+BB754+BD754</f>
        <v>3</v>
      </c>
      <c r="BI754" s="63">
        <f>IF(AW754&gt;AX754,1,0)+IF(BA754&gt;BB754,1,0)+IF(BC754&gt;BD754,1,0)</f>
        <v>2</v>
      </c>
      <c r="BJ754" s="69">
        <f>IF(AX754&gt;AW754,1,0)+IF(BB754&gt;BA754,1,0)+IF(BD754&gt;BC754,1,0)</f>
        <v>1</v>
      </c>
      <c r="BK754" s="71">
        <f>IF(BI754+BJ754=0,"",IF(BL754=MAX(BL753:BL756),1,IF(BL754=LARGE(BL753:BL756,2),2,IF(BL754=MIN(BL753:BL756),4,3))))</f>
        <v>2</v>
      </c>
      <c r="BL754" s="60">
        <f>IF(BI754+BJ754&lt;&gt;0,BI754+1+(BG754-BH754)/100+(BE754-BF754)/100000+(BE754/BF754)/1000000,0)</f>
        <v>3.0100009999999999</v>
      </c>
    </row>
    <row r="755" spans="1:64" ht="11.45" customHeight="1" x14ac:dyDescent="0.2">
      <c r="A755" s="19">
        <f t="shared" si="72"/>
        <v>144</v>
      </c>
      <c r="B755" s="19" t="str">
        <f>IF(N751="","",N751)</f>
        <v>P5025</v>
      </c>
      <c r="C755" s="19" t="str">
        <f>IF(N752="","",N752)</f>
        <v>J5024</v>
      </c>
      <c r="D755" s="19" t="str">
        <f>IF(N760="","",N760)</f>
        <v>M5942</v>
      </c>
      <c r="E755" s="19" t="str">
        <f>IF(N761="","",N761)</f>
        <v>S5479</v>
      </c>
      <c r="H755" s="10"/>
      <c r="I755" s="2" t="str">
        <f>"3"&amp;O749&amp;N750</f>
        <v>31mieszana MM</v>
      </c>
      <c r="J755" s="10" t="str">
        <f>IF(AE756="","",IF(AE750=3,N751,IF(AE753=3,N754,IF(AE756=3,N757,IF(AE759=3,N760,"")))))</f>
        <v>M5475</v>
      </c>
      <c r="K755" s="10" t="str">
        <f>IF(AE756="","",IF(AE750=3,N752,IF(AE753=3,N755,IF(AE756=3,N758,IF(AE759=3,N761,"")))))</f>
        <v>P5477</v>
      </c>
      <c r="L755" s="10"/>
      <c r="M755" s="42" t="str">
        <f>N750</f>
        <v>mieszana MM</v>
      </c>
      <c r="N755" s="38" t="s">
        <v>299</v>
      </c>
      <c r="O755" s="28"/>
      <c r="P755" s="28"/>
      <c r="Q755" s="43" t="str">
        <f>IF(AU755&gt;0,"",IF(A755=0,"",IF(VLOOKUP(A755,'[1]plan gier'!A$1:S$65536,19,FALSE)="","",VLOOKUP(A755,'[1]plan gier'!A$1:S$65536,19,FALSE))))</f>
        <v/>
      </c>
      <c r="R755" s="44" t="s">
        <v>68</v>
      </c>
      <c r="S755" s="146">
        <v>144</v>
      </c>
      <c r="T755" s="261"/>
      <c r="U755" s="265" t="str">
        <f>IF(N755&lt;&gt;"",CONCATENATE(VLOOKUP(N755,[1]zawodnicy!$A$1:$E$65536,1,FALSE)," ",VLOOKUP(N755,[1]zawodnicy!$A$1:$E$65536,2,FALSE)," ",VLOOKUP(N755,[1]zawodnicy!$A$1:$E$65536,3,FALSE)," - ",VLOOKUP(N755,[1]zawodnicy!$A$1:$E$65536,4,FALSE)),"")</f>
        <v>C5063 Karolina CIEŚLUK - UKS Hubal Białystok</v>
      </c>
      <c r="V755" s="266"/>
      <c r="W755" s="267"/>
      <c r="X755" s="73" t="str">
        <f>IF(SUM(AS758:AT758)=0,"",AT758&amp;":"&amp;AS758)</f>
        <v/>
      </c>
      <c r="Y755" s="154"/>
      <c r="Z755" s="39" t="str">
        <f>IF(SUM(AS756:AT756)=0,"",AS756&amp;":"&amp;AT756)</f>
        <v/>
      </c>
      <c r="AA755" s="40" t="str">
        <f>IF(SUM(AS754:AT754)=0,"",AS754&amp;":"&amp;AT754)</f>
        <v>21:9</v>
      </c>
      <c r="AB755" s="242"/>
      <c r="AC755" s="251"/>
      <c r="AD755" s="251"/>
      <c r="AE755" s="254"/>
      <c r="AF755" s="12"/>
      <c r="AG755" s="12"/>
      <c r="AH755" s="44" t="s">
        <v>68</v>
      </c>
      <c r="AI755" s="49">
        <f>IF(ISBLANK(S755),"",VLOOKUP(S755,'[1]plan gier'!$X$1:$AN$65536,12,FALSE))</f>
        <v>21</v>
      </c>
      <c r="AJ755" s="50">
        <f>IF(ISBLANK(S755),"",VLOOKUP(S755,'[1]plan gier'!$X$1:$AN$65536,13,FALSE))</f>
        <v>4</v>
      </c>
      <c r="AK755" s="50">
        <f>IF(ISBLANK(S755),"",VLOOKUP(S755,'[1]plan gier'!$X$1:$AN$65536,14,FALSE))</f>
        <v>21</v>
      </c>
      <c r="AL755" s="50">
        <f>IF(ISBLANK(S755),"",VLOOKUP(S755,'[1]plan gier'!$X$1:$AN$65536,15,FALSE))</f>
        <v>4</v>
      </c>
      <c r="AM755" s="50">
        <f>IF(ISBLANK(S755),"",VLOOKUP(S755,'[1]plan gier'!$X$1:$AN$65536,16,FALSE))</f>
        <v>0</v>
      </c>
      <c r="AN755" s="50">
        <f>IF(ISBLANK(S755),"",VLOOKUP(S755,'[1]plan gier'!$X$1:$AN$65536,17,FALSE))</f>
        <v>0</v>
      </c>
      <c r="AO755" s="63">
        <f t="shared" si="73"/>
        <v>21</v>
      </c>
      <c r="AP755" s="64">
        <f t="shared" si="73"/>
        <v>4</v>
      </c>
      <c r="AQ755" s="64">
        <f t="shared" si="73"/>
        <v>21</v>
      </c>
      <c r="AR755" s="64">
        <f t="shared" si="73"/>
        <v>4</v>
      </c>
      <c r="AS755" s="64">
        <f t="shared" si="73"/>
        <v>0</v>
      </c>
      <c r="AT755" s="69">
        <f t="shared" si="73"/>
        <v>0</v>
      </c>
      <c r="AU755" s="149">
        <f t="shared" si="74"/>
        <v>50</v>
      </c>
      <c r="AV755" s="5">
        <v>3</v>
      </c>
      <c r="AW755" s="63">
        <f>IF(AI753&lt;AJ753,1,0)+IF(AK753&lt;AL753,1,0)+IF(AM753&lt;AN753,1,0)</f>
        <v>0</v>
      </c>
      <c r="AX755" s="64">
        <f>BA753</f>
        <v>2</v>
      </c>
      <c r="AY755" s="64">
        <f>IF(AI756&lt;AJ756,1,0)+IF(AK756&lt;AL756,1,0)+IF(AM756&lt;AN756,1,0)</f>
        <v>0</v>
      </c>
      <c r="AZ755" s="64">
        <f>BA754</f>
        <v>2</v>
      </c>
      <c r="BA755" s="155"/>
      <c r="BB755" s="156"/>
      <c r="BC755" s="64">
        <f>IF(AI757&gt;AJ757,1,0)+IF(AK757&gt;AL757,1,0)+IF(AM757&gt;AN757,1,0)</f>
        <v>2</v>
      </c>
      <c r="BD755" s="70">
        <f>BA756</f>
        <v>1</v>
      </c>
      <c r="BE755" s="158">
        <f>AP753+AR753+AT753+AP756+AR756+AT756+AO757+AQ757+AS757</f>
        <v>91</v>
      </c>
      <c r="BF755" s="159">
        <f>AO753+AQ753+AS753+AO756+AQ756+AS756+AP757+AR757+AT757</f>
        <v>134</v>
      </c>
      <c r="BG755" s="158">
        <f>AW755+AY755+BC755</f>
        <v>2</v>
      </c>
      <c r="BH755" s="160">
        <f>AX755+AZ755+BD755</f>
        <v>5</v>
      </c>
      <c r="BI755" s="63">
        <f>IF(AW755&gt;AX755,1,0)+IF(AY755&gt;AZ755,1,0)+IF(BC755&gt;BD755,1,0)</f>
        <v>1</v>
      </c>
      <c r="BJ755" s="69">
        <f>IF(AX755&gt;AW755,1,0)+IF(AZ755&gt;AY755,1,0)+IF(BD755&gt;BC755,1,0)</f>
        <v>2</v>
      </c>
      <c r="BK755" s="71">
        <f>IF(BI755+BJ755=0,"",IF(BL755=MAX(BL753:BL756),1,IF(BL755=LARGE(BL753:BL756,2),2,IF(BL755=MIN(BL753:BL756),4,3))))</f>
        <v>3</v>
      </c>
      <c r="BL755" s="60">
        <f>IF(BI755+BJ755&lt;&gt;0,BI755+1+(BG755-BH755)/100+(BE755-BF755)/100000+(BE755/BF755)/1000000,0)</f>
        <v>1.9695706791044776</v>
      </c>
    </row>
    <row r="756" spans="1:64" ht="11.45" customHeight="1" thickBot="1" x14ac:dyDescent="0.25">
      <c r="A756" s="19">
        <f t="shared" si="72"/>
        <v>145</v>
      </c>
      <c r="B756" s="19" t="str">
        <f>IF(N754="","",N754)</f>
        <v>M4933</v>
      </c>
      <c r="C756" s="19" t="str">
        <f>IF(N755="","",N755)</f>
        <v>C5063</v>
      </c>
      <c r="D756" s="19" t="str">
        <f>IF(N757="","",N757)</f>
        <v>M5475</v>
      </c>
      <c r="E756" s="19" t="str">
        <f>IF(N758="","",N758)</f>
        <v>P5477</v>
      </c>
      <c r="J756" s="10"/>
      <c r="K756" s="28"/>
      <c r="L756" s="28"/>
      <c r="M756" s="42" t="str">
        <f>N750</f>
        <v>mieszana MM</v>
      </c>
      <c r="O756" s="28"/>
      <c r="P756" s="28"/>
      <c r="Q756" s="43" t="str">
        <f>IF(AU756&gt;0,"",IF(A756=0,"",IF(VLOOKUP(A756,'[1]plan gier'!A$1:S$65536,19,FALSE)="","",VLOOKUP(A756,'[1]plan gier'!A$1:S$65536,19,FALSE))))</f>
        <v/>
      </c>
      <c r="R756" s="44" t="s">
        <v>17</v>
      </c>
      <c r="S756" s="146">
        <v>145</v>
      </c>
      <c r="T756" s="241">
        <v>3</v>
      </c>
      <c r="U756" s="244" t="str">
        <f>IF(AND(N757&lt;&gt;"",N758&lt;&gt;""),CONCATENATE(VLOOKUP(N757,[1]zawodnicy!$A$1:$E$65536,1,FALSE)," ",VLOOKUP(N757,[1]zawodnicy!$A$1:$E$65536,2,FALSE)," ",VLOOKUP(N757,[1]zawodnicy!$A$1:$E$65536,3,FALSE)," - ",VLOOKUP(N757,[1]zawodnicy!$A$1:$E$65536,4,FALSE)),"")</f>
        <v>M5475 Jakub MYSŁOWSKI - UKS Iskra Sarbice</v>
      </c>
      <c r="V756" s="245"/>
      <c r="W756" s="246"/>
      <c r="X756" s="46" t="str">
        <f>IF(SUM(AO753:AP753)=0,"",AP753&amp;":"&amp;AO753)</f>
        <v>4:21</v>
      </c>
      <c r="Y756" s="83" t="str">
        <f>IF(SUM(AO756:AP756)=0,"",AP756&amp;":"&amp;AO756)</f>
        <v>16:21</v>
      </c>
      <c r="Z756" s="47"/>
      <c r="AA756" s="48" t="str">
        <f>IF(SUM(AO757:AP757)=0,"",AO757&amp;":"&amp;AP757)</f>
        <v>12:21</v>
      </c>
      <c r="AB756" s="241" t="str">
        <f>IF(SUM(AW755:AZ755,BC755:BD755)=0,"",BE755&amp;":"&amp;BF755)</f>
        <v>91:134</v>
      </c>
      <c r="AC756" s="250" t="str">
        <f>IF(SUM(AW755:AZ755,BC755:BD755)=0,"",BG755&amp;":"&amp;BH755)</f>
        <v>2:5</v>
      </c>
      <c r="AD756" s="250" t="str">
        <f>IF(SUM(AW755:AZ755,BC755:BD755)=0,"",BI755&amp;":"&amp;BJ755)</f>
        <v>1:2</v>
      </c>
      <c r="AE756" s="253">
        <f>IF(SUM(BI753:BI756)&gt;0,BK755,"")</f>
        <v>3</v>
      </c>
      <c r="AF756" s="12"/>
      <c r="AG756" s="12"/>
      <c r="AH756" s="44" t="s">
        <v>17</v>
      </c>
      <c r="AI756" s="49">
        <f>IF(ISBLANK(S756),"",VLOOKUP(S756,'[1]plan gier'!$X$1:$AN$65536,12,FALSE))</f>
        <v>21</v>
      </c>
      <c r="AJ756" s="50">
        <f>IF(ISBLANK(S756),"",VLOOKUP(S756,'[1]plan gier'!$X$1:$AN$65536,13,FALSE))</f>
        <v>16</v>
      </c>
      <c r="AK756" s="50">
        <f>IF(ISBLANK(S756),"",VLOOKUP(S756,'[1]plan gier'!$X$1:$AN$65536,14,FALSE))</f>
        <v>21</v>
      </c>
      <c r="AL756" s="50">
        <f>IF(ISBLANK(S756),"",VLOOKUP(S756,'[1]plan gier'!$X$1:$AN$65536,15,FALSE))</f>
        <v>13</v>
      </c>
      <c r="AM756" s="50">
        <f>IF(ISBLANK(S756),"",VLOOKUP(S756,'[1]plan gier'!$X$1:$AN$65536,16,FALSE))</f>
        <v>0</v>
      </c>
      <c r="AN756" s="50">
        <f>IF(ISBLANK(S756),"",VLOOKUP(S756,'[1]plan gier'!$X$1:$AN$65536,17,FALSE))</f>
        <v>0</v>
      </c>
      <c r="AO756" s="63">
        <f t="shared" si="73"/>
        <v>21</v>
      </c>
      <c r="AP756" s="64">
        <f t="shared" si="73"/>
        <v>16</v>
      </c>
      <c r="AQ756" s="64">
        <f t="shared" si="73"/>
        <v>21</v>
      </c>
      <c r="AR756" s="64">
        <f t="shared" si="73"/>
        <v>13</v>
      </c>
      <c r="AS756" s="64">
        <f t="shared" si="73"/>
        <v>0</v>
      </c>
      <c r="AT756" s="69">
        <f t="shared" si="73"/>
        <v>0</v>
      </c>
      <c r="AU756" s="149">
        <f t="shared" si="74"/>
        <v>71</v>
      </c>
      <c r="AV756" s="5">
        <v>4</v>
      </c>
      <c r="AW756" s="161">
        <f>IF(AI755&lt;AJ755,1,0)+IF(AK755&lt;AL755,1,0)+IF(AM755&lt;AN755,1,0)</f>
        <v>0</v>
      </c>
      <c r="AX756" s="162">
        <f>BC753</f>
        <v>2</v>
      </c>
      <c r="AY756" s="162">
        <f>IF(AI754&lt;AJ754,1,0)+IF(AK754&lt;AL754,1,0)+IF(AM754&lt;AN754,1,0)</f>
        <v>1</v>
      </c>
      <c r="AZ756" s="162">
        <f>BC754</f>
        <v>2</v>
      </c>
      <c r="BA756" s="75">
        <f>IF(AI757&lt;AJ757,1,0)+IF(AK757&lt;AL757,1,0)+IF(AM757&lt;AN757,1,0)</f>
        <v>1</v>
      </c>
      <c r="BB756" s="75">
        <f>BC755</f>
        <v>2</v>
      </c>
      <c r="BC756" s="163"/>
      <c r="BD756" s="164"/>
      <c r="BE756" s="74">
        <f>AP754+AR754+AT754+AP755+AR755+AT755+AP757+AR757+AT757</f>
        <v>99</v>
      </c>
      <c r="BF756" s="81">
        <f>AO754+AQ754+AS754+AO755+AQ755+AS755+AO757+AQ757+AS757</f>
        <v>156</v>
      </c>
      <c r="BG756" s="74">
        <f>AW756+AY756+BA756</f>
        <v>2</v>
      </c>
      <c r="BH756" s="80">
        <f>AX756+AZ756+BB756</f>
        <v>6</v>
      </c>
      <c r="BI756" s="74">
        <f>IF(AW756&gt;AX756,1,0)+IF(AY756&gt;AZ756,1,0)+IF(BA756&gt;BB756,1,0)</f>
        <v>0</v>
      </c>
      <c r="BJ756" s="80">
        <f>IF(AX756&gt;AW756,1,0)+IF(AZ756&gt;AY756,1,0)+IF(BB756&gt;BA756,1,0)</f>
        <v>3</v>
      </c>
      <c r="BK756" s="82">
        <f>IF(BI756+BJ756=0,"",IF(BL756=MAX(BL753:BL756),1,IF(BL756=LARGE(BL753:BL756,2),2,IF(BL756=MIN(BL753:BL756),4,3))))</f>
        <v>4</v>
      </c>
      <c r="BL756" s="60">
        <f>IF(BI756+BJ756&lt;&gt;0,BI756+1+(BG756-BH756)/100+(BE756-BF756)/100000+(BE756/BF756)/1000000,0)</f>
        <v>0.95943063461538458</v>
      </c>
    </row>
    <row r="757" spans="1:64" ht="11.45" customHeight="1" x14ac:dyDescent="0.2">
      <c r="A757" s="19">
        <f t="shared" si="72"/>
        <v>197</v>
      </c>
      <c r="B757" s="19" t="str">
        <f>IF(N757="","",N757)</f>
        <v>M5475</v>
      </c>
      <c r="C757" s="19" t="str">
        <f>IF(N758="","",N758)</f>
        <v>P5477</v>
      </c>
      <c r="D757" s="19" t="str">
        <f>IF(N760="","",N760)</f>
        <v>M5942</v>
      </c>
      <c r="E757" s="19" t="str">
        <f>IF(N761="","",N761)</f>
        <v>S5479</v>
      </c>
      <c r="H757" s="10"/>
      <c r="I757" s="2" t="str">
        <f>"4"&amp;O749&amp;N750</f>
        <v>41mieszana MM</v>
      </c>
      <c r="J757" s="10" t="str">
        <f>IF(AE759="","",IF(AE750=4,N751,IF(AE753=4,N754,IF(AE756=4,N757,IF(AE759=4,N760,"")))))</f>
        <v>M5942</v>
      </c>
      <c r="K757" s="10" t="str">
        <f>IF(AE759="","",IF(AE750=4,N752,IF(AE753=4,N755,IF(AE756=4,N758,IF(AE759=4,N761,"")))))</f>
        <v>S5479</v>
      </c>
      <c r="L757" s="10"/>
      <c r="M757" s="42" t="str">
        <f>N750</f>
        <v>mieszana MM</v>
      </c>
      <c r="N757" s="33" t="s">
        <v>361</v>
      </c>
      <c r="O757" s="34">
        <f>IF(O749&gt;0,(O749&amp;3)*1,"")</f>
        <v>13</v>
      </c>
      <c r="Q757" s="43" t="str">
        <f>IF(AU757&gt;0,"",IF(A757=0,"",IF(VLOOKUP(A757,'[1]plan gier'!A$1:S$65536,19,FALSE)="","",VLOOKUP(A757,'[1]plan gier'!A$1:S$65536,19,FALSE))))</f>
        <v/>
      </c>
      <c r="R757" s="44" t="s">
        <v>69</v>
      </c>
      <c r="S757" s="146">
        <v>197</v>
      </c>
      <c r="T757" s="242"/>
      <c r="U757" s="244" t="str">
        <f>IF(AND(N757&lt;&gt;"",N758=""),CONCATENATE(VLOOKUP(N757,[1]zawodnicy!$A$1:$E$65536,1,FALSE)," ",VLOOKUP(N757,[1]zawodnicy!$A$1:$E$65536,2,FALSE)," ",VLOOKUP(N757,[1]zawodnicy!$A$1:$E$65536,3,FALSE)," - ",VLOOKUP(N757,[1]zawodnicy!$A$1:$E$65536,4,FALSE)),"")</f>
        <v/>
      </c>
      <c r="V757" s="245"/>
      <c r="W757" s="246"/>
      <c r="X757" s="61" t="str">
        <f>IF(SUM(AQ753:AR753)=0,"",AR753&amp;":"&amp;AQ753)</f>
        <v>4:21</v>
      </c>
      <c r="Y757" s="36" t="str">
        <f>IF(SUM(AQ756:AR756)=0,"",AR756&amp;":"&amp;AQ756)</f>
        <v>13:21</v>
      </c>
      <c r="Z757" s="62"/>
      <c r="AA757" s="37" t="str">
        <f>IF(SUM(AQ757:AR757)=0,"",AQ757&amp;":"&amp;AR757)</f>
        <v>21:13</v>
      </c>
      <c r="AB757" s="242"/>
      <c r="AC757" s="251"/>
      <c r="AD757" s="251"/>
      <c r="AE757" s="254"/>
      <c r="AF757" s="12"/>
      <c r="AG757" s="12"/>
      <c r="AH757" s="44" t="s">
        <v>69</v>
      </c>
      <c r="AI757" s="49">
        <f>IF(ISBLANK(S757),"",VLOOKUP(S757,'[1]plan gier'!$X$1:$AN$65536,12,FALSE))</f>
        <v>12</v>
      </c>
      <c r="AJ757" s="50">
        <f>IF(ISBLANK(S757),"",VLOOKUP(S757,'[1]plan gier'!$X$1:$AN$65536,13,FALSE))</f>
        <v>21</v>
      </c>
      <c r="AK757" s="50">
        <f>IF(ISBLANK(S757),"",VLOOKUP(S757,'[1]plan gier'!$X$1:$AN$65536,14,FALSE))</f>
        <v>21</v>
      </c>
      <c r="AL757" s="50">
        <f>IF(ISBLANK(S757),"",VLOOKUP(S757,'[1]plan gier'!$X$1:$AN$65536,15,FALSE))</f>
        <v>13</v>
      </c>
      <c r="AM757" s="50">
        <f>IF(ISBLANK(S757),"",VLOOKUP(S757,'[1]plan gier'!$X$1:$AN$65536,16,FALSE))</f>
        <v>21</v>
      </c>
      <c r="AN757" s="50">
        <f>IF(ISBLANK(S757),"",VLOOKUP(S757,'[1]plan gier'!$X$1:$AN$65536,17,FALSE))</f>
        <v>16</v>
      </c>
      <c r="AO757" s="63">
        <f t="shared" si="73"/>
        <v>12</v>
      </c>
      <c r="AP757" s="64">
        <f t="shared" si="73"/>
        <v>21</v>
      </c>
      <c r="AQ757" s="64">
        <f t="shared" si="73"/>
        <v>21</v>
      </c>
      <c r="AR757" s="64">
        <f t="shared" si="73"/>
        <v>13</v>
      </c>
      <c r="AS757" s="64">
        <f t="shared" si="73"/>
        <v>21</v>
      </c>
      <c r="AT757" s="69">
        <f t="shared" si="73"/>
        <v>16</v>
      </c>
      <c r="AU757" s="149">
        <f t="shared" si="74"/>
        <v>104</v>
      </c>
      <c r="BE757" s="19">
        <f t="shared" ref="BE757:BJ757" si="75">SUM(BE753:BE756)</f>
        <v>428</v>
      </c>
      <c r="BF757" s="19">
        <f t="shared" si="75"/>
        <v>428</v>
      </c>
      <c r="BG757" s="19">
        <f t="shared" si="75"/>
        <v>14</v>
      </c>
      <c r="BH757" s="19">
        <f t="shared" si="75"/>
        <v>14</v>
      </c>
      <c r="BI757" s="19">
        <f t="shared" si="75"/>
        <v>6</v>
      </c>
      <c r="BJ757" s="19">
        <f t="shared" si="75"/>
        <v>6</v>
      </c>
      <c r="BK757" s="19"/>
      <c r="BL757" s="20"/>
    </row>
    <row r="758" spans="1:64" ht="11.45" customHeight="1" thickBot="1" x14ac:dyDescent="0.25">
      <c r="A758" s="19">
        <f t="shared" si="72"/>
        <v>198</v>
      </c>
      <c r="B758" s="19" t="str">
        <f>IF(N751="","",N751)</f>
        <v>P5025</v>
      </c>
      <c r="C758" s="19" t="str">
        <f>IF(N752="","",N752)</f>
        <v>J5024</v>
      </c>
      <c r="D758" s="19" t="str">
        <f>IF(N754="","",N754)</f>
        <v>M4933</v>
      </c>
      <c r="E758" s="19" t="str">
        <f>IF(N755="","",N755)</f>
        <v>C5063</v>
      </c>
      <c r="J758" s="28"/>
      <c r="K758" s="28"/>
      <c r="L758" s="28"/>
      <c r="M758" s="42" t="str">
        <f>N750</f>
        <v>mieszana MM</v>
      </c>
      <c r="N758" s="38" t="s">
        <v>296</v>
      </c>
      <c r="O758" s="28"/>
      <c r="P758" s="28"/>
      <c r="Q758" s="43" t="str">
        <f>IF(AU758&gt;0,"",IF(A758=0,"",IF(VLOOKUP(A758,'[1]plan gier'!A$1:S$65536,19,FALSE)="","",VLOOKUP(A758,'[1]plan gier'!A$1:S$65536,19,FALSE))))</f>
        <v/>
      </c>
      <c r="R758" s="44" t="s">
        <v>18</v>
      </c>
      <c r="S758" s="146">
        <v>198</v>
      </c>
      <c r="T758" s="261"/>
      <c r="U758" s="265" t="str">
        <f>IF(N758&lt;&gt;"",CONCATENATE(VLOOKUP(N758,[1]zawodnicy!$A$1:$E$65536,1,FALSE)," ",VLOOKUP(N758,[1]zawodnicy!$A$1:$E$65536,2,FALSE)," ",VLOOKUP(N758,[1]zawodnicy!$A$1:$E$65536,3,FALSE)," - ",VLOOKUP(N758,[1]zawodnicy!$A$1:$E$65536,4,FALSE)),"")</f>
        <v>P5477 Paulina PRZYBYŁ - UKS Iskra Sarbice</v>
      </c>
      <c r="V758" s="266"/>
      <c r="W758" s="267"/>
      <c r="X758" s="73" t="str">
        <f>IF(SUM(AS753:AT753)=0,"",AT753&amp;":"&amp;AS753)</f>
        <v/>
      </c>
      <c r="Y758" s="39" t="str">
        <f>IF(SUM(AS756:AT756)=0,"",AT756&amp;":"&amp;AS756)</f>
        <v/>
      </c>
      <c r="Z758" s="62"/>
      <c r="AA758" s="40" t="str">
        <f>IF(SUM(AS757:AT757)=0,"",AS757&amp;":"&amp;AT757)</f>
        <v>21:16</v>
      </c>
      <c r="AB758" s="242"/>
      <c r="AC758" s="251"/>
      <c r="AD758" s="251"/>
      <c r="AE758" s="254"/>
      <c r="AF758" s="12"/>
      <c r="AG758" s="12"/>
      <c r="AH758" s="44" t="s">
        <v>18</v>
      </c>
      <c r="AI758" s="161">
        <f>IF(ISBLANK(S758),"",VLOOKUP(S758,'[1]plan gier'!$X$1:$AN$65536,12,FALSE))</f>
        <v>21</v>
      </c>
      <c r="AJ758" s="162">
        <f>IF(ISBLANK(S758),"",VLOOKUP(S758,'[1]plan gier'!$X$1:$AN$65536,13,FALSE))</f>
        <v>6</v>
      </c>
      <c r="AK758" s="162">
        <f>IF(ISBLANK(S758),"",VLOOKUP(S758,'[1]plan gier'!$X$1:$AN$65536,14,FALSE))</f>
        <v>21</v>
      </c>
      <c r="AL758" s="162">
        <f>IF(ISBLANK(S758),"",VLOOKUP(S758,'[1]plan gier'!$X$1:$AN$65536,15,FALSE))</f>
        <v>4</v>
      </c>
      <c r="AM758" s="162">
        <f>IF(ISBLANK(S758),"",VLOOKUP(S758,'[1]plan gier'!$X$1:$AN$65536,16,FALSE))</f>
        <v>0</v>
      </c>
      <c r="AN758" s="162">
        <f>IF(ISBLANK(S758),"",VLOOKUP(S758,'[1]plan gier'!$X$1:$AN$65536,17,FALSE))</f>
        <v>0</v>
      </c>
      <c r="AO758" s="74">
        <f t="shared" si="73"/>
        <v>21</v>
      </c>
      <c r="AP758" s="75">
        <f t="shared" si="73"/>
        <v>6</v>
      </c>
      <c r="AQ758" s="75">
        <f t="shared" si="73"/>
        <v>21</v>
      </c>
      <c r="AR758" s="75">
        <f t="shared" si="73"/>
        <v>4</v>
      </c>
      <c r="AS758" s="75">
        <f t="shared" si="73"/>
        <v>0</v>
      </c>
      <c r="AT758" s="80">
        <f t="shared" si="73"/>
        <v>0</v>
      </c>
      <c r="AU758" s="149">
        <f t="shared" si="74"/>
        <v>52</v>
      </c>
      <c r="BK758" s="19"/>
      <c r="BL758" s="20"/>
    </row>
    <row r="759" spans="1:64" ht="11.45" customHeight="1" x14ac:dyDescent="0.2">
      <c r="A759" s="2"/>
      <c r="J759" s="28"/>
      <c r="K759" s="28"/>
      <c r="L759" s="28"/>
      <c r="O759" s="28"/>
      <c r="P759" s="28"/>
      <c r="Q759" s="2"/>
      <c r="R759" s="2"/>
      <c r="S759" s="2"/>
      <c r="T759" s="241">
        <v>4</v>
      </c>
      <c r="U759" s="244" t="str">
        <f>IF(AND(N760&lt;&gt;"",N761&lt;&gt;""),CONCATENATE(VLOOKUP(N760,[1]zawodnicy!$A$1:$E$65536,1,FALSE)," ",VLOOKUP(N760,[1]zawodnicy!$A$1:$E$65536,2,FALSE)," ",VLOOKUP(N760,[1]zawodnicy!$A$1:$E$65536,3,FALSE)," - ",VLOOKUP(N760,[1]zawodnicy!$A$1:$E$65536,4,FALSE)),"")</f>
        <v>M5942 Jakub MELANIUK - UKSB Milenium Warszawa</v>
      </c>
      <c r="V759" s="245"/>
      <c r="W759" s="246"/>
      <c r="X759" s="46" t="str">
        <f>IF(SUM(AO755:AP755)=0,"",AP755&amp;":"&amp;AO755)</f>
        <v>4:21</v>
      </c>
      <c r="Y759" s="83" t="str">
        <f>IF(SUM(AO754:AP754)=0,"",AP754&amp;":"&amp;AO754)</f>
        <v>11:21</v>
      </c>
      <c r="Z759" s="83" t="str">
        <f>IF(SUM(AO757:AP757)=0,"",AP757&amp;":"&amp;AO757)</f>
        <v>21:12</v>
      </c>
      <c r="AA759" s="165"/>
      <c r="AB759" s="241" t="str">
        <f>IF(SUM(AW756:BB756)=0,"",BE756&amp;":"&amp;BF756)</f>
        <v>99:156</v>
      </c>
      <c r="AC759" s="250" t="str">
        <f>IF(SUM(AW756:BB756)=0,"",BG756&amp;":"&amp;BH756)</f>
        <v>2:6</v>
      </c>
      <c r="AD759" s="250" t="str">
        <f>IF(SUM(AW756:BB756)=0,"",BI756&amp;":"&amp;BJ756)</f>
        <v>0:3</v>
      </c>
      <c r="AE759" s="253">
        <f>IF(SUM(BI753:BI756)&gt;0,BK756,"")</f>
        <v>4</v>
      </c>
      <c r="AF759" s="12"/>
      <c r="AG759" s="12"/>
      <c r="AH759" s="2"/>
      <c r="AI759" s="2"/>
      <c r="AJ759" s="2"/>
      <c r="AK759" s="2"/>
      <c r="AL759" s="2"/>
      <c r="AM759" s="2"/>
      <c r="AN759" s="2"/>
      <c r="AO759" s="2"/>
      <c r="AP759" s="2"/>
      <c r="AQ759" s="2"/>
      <c r="AR759" s="2"/>
      <c r="AS759" s="2"/>
      <c r="AT759" s="2"/>
      <c r="AU759" s="2"/>
      <c r="BK759" s="19"/>
      <c r="BL759" s="20"/>
    </row>
    <row r="760" spans="1:64" ht="11.45" customHeight="1" x14ac:dyDescent="0.2">
      <c r="A760" s="19"/>
      <c r="B760" s="19"/>
      <c r="C760" s="19"/>
      <c r="D760" s="19"/>
      <c r="E760" s="19"/>
      <c r="H760" s="10"/>
      <c r="J760" s="19"/>
      <c r="K760" s="19"/>
      <c r="L760" s="19"/>
      <c r="N760" s="33" t="s">
        <v>359</v>
      </c>
      <c r="O760" s="34">
        <f>IF(O749&gt;0,(O749&amp;4)*1,"")</f>
        <v>14</v>
      </c>
      <c r="Q760" s="85"/>
      <c r="R760" s="85"/>
      <c r="S760" s="85"/>
      <c r="T760" s="242"/>
      <c r="U760" s="244" t="str">
        <f>IF(AND(N760&lt;&gt;"",N761=""),CONCATENATE(VLOOKUP(N760,[1]zawodnicy!$A$1:$E$65536,1,FALSE)," ",VLOOKUP(N760,[1]zawodnicy!$A$1:$E$65536,2,FALSE)," ",VLOOKUP(N760,[1]zawodnicy!$A$1:$E$65536,3,FALSE)," - ",VLOOKUP(N760,[1]zawodnicy!$A$1:$E$65536,4,FALSE)),"")</f>
        <v/>
      </c>
      <c r="V760" s="245"/>
      <c r="W760" s="246"/>
      <c r="X760" s="61" t="str">
        <f>IF(SUM(AQ755:AR755)=0,"",AR755&amp;":"&amp;AQ755)</f>
        <v>4:21</v>
      </c>
      <c r="Y760" s="36" t="str">
        <f>IF(SUM(AQ754:AR754)=0,"",AR754&amp;":"&amp;AQ754)</f>
        <v>21:18</v>
      </c>
      <c r="Z760" s="36" t="str">
        <f>IF(SUM(AQ757:AR757)=0,"",AR757&amp;":"&amp;AQ757)</f>
        <v>13:21</v>
      </c>
      <c r="AA760" s="166"/>
      <c r="AB760" s="242"/>
      <c r="AC760" s="251"/>
      <c r="AD760" s="251"/>
      <c r="AE760" s="254"/>
      <c r="AF760" s="12"/>
      <c r="AG760" s="1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row>
    <row r="761" spans="1:64" ht="11.45" customHeight="1" thickBot="1" x14ac:dyDescent="0.25">
      <c r="A761" s="2"/>
      <c r="J761" s="28"/>
      <c r="K761" s="28"/>
      <c r="L761" s="28"/>
      <c r="N761" s="38" t="s">
        <v>311</v>
      </c>
      <c r="O761" s="28"/>
      <c r="P761" s="28"/>
      <c r="Q761" s="2"/>
      <c r="R761" s="2"/>
      <c r="S761" s="2"/>
      <c r="T761" s="243"/>
      <c r="U761" s="256" t="str">
        <f>IF(N761&lt;&gt;"",CONCATENATE(VLOOKUP(N761,[1]zawodnicy!$A$1:$E$65536,1,FALSE)," ",VLOOKUP(N761,[1]zawodnicy!$A$1:$E$65536,2,FALSE)," ",VLOOKUP(N761,[1]zawodnicy!$A$1:$E$65536,3,FALSE)," - ",VLOOKUP(N761,[1]zawodnicy!$A$1:$E$65536,4,FALSE)),"")</f>
        <v>S5479 Aleksandra SZYMAŃSKA - UKSB Milenium Warszawa</v>
      </c>
      <c r="V761" s="257"/>
      <c r="W761" s="258"/>
      <c r="X761" s="87" t="str">
        <f>IF(SUM(AS755:AT755)=0,"",AT755&amp;":"&amp;AS755)</f>
        <v/>
      </c>
      <c r="Y761" s="88" t="str">
        <f>IF(SUM(AS754:AT754)=0,"",AT754&amp;":"&amp;AS754)</f>
        <v>9:21</v>
      </c>
      <c r="Z761" s="88" t="str">
        <f>IF(SUM(AS757:AT757)=0,"",AT757&amp;":"&amp;AS757)</f>
        <v>16:21</v>
      </c>
      <c r="AA761" s="89"/>
      <c r="AB761" s="243"/>
      <c r="AC761" s="252"/>
      <c r="AD761" s="252"/>
      <c r="AE761" s="255"/>
      <c r="AF761" s="12"/>
      <c r="AG761" s="1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row>
    <row r="762" spans="1:64" ht="5.0999999999999996" customHeight="1" thickBot="1" x14ac:dyDescent="0.25">
      <c r="BK762" s="19"/>
      <c r="BL762" s="20"/>
    </row>
    <row r="763" spans="1:64" ht="11.45" customHeight="1" thickBot="1" x14ac:dyDescent="0.25">
      <c r="N763" s="11"/>
      <c r="O763" s="21">
        <v>2</v>
      </c>
      <c r="Q763" s="277" t="str">
        <f>"Grupa "&amp;O763&amp;"."</f>
        <v>Grupa 2.</v>
      </c>
      <c r="R763" s="277"/>
      <c r="S763" s="277"/>
      <c r="T763" s="22" t="s">
        <v>1</v>
      </c>
      <c r="U763" s="278" t="s">
        <v>2</v>
      </c>
      <c r="V763" s="279"/>
      <c r="W763" s="280"/>
      <c r="X763" s="22">
        <v>1</v>
      </c>
      <c r="Y763" s="23">
        <v>2</v>
      </c>
      <c r="Z763" s="24">
        <v>3</v>
      </c>
      <c r="AA763" s="25" t="s">
        <v>3</v>
      </c>
      <c r="AB763" s="26" t="s">
        <v>4</v>
      </c>
      <c r="AC763" s="26" t="s">
        <v>5</v>
      </c>
      <c r="AD763" s="27" t="s">
        <v>6</v>
      </c>
      <c r="AE763" s="2"/>
      <c r="AF763" s="12"/>
      <c r="AG763" s="12"/>
      <c r="BK763" s="19"/>
      <c r="BL763" s="20"/>
    </row>
    <row r="764" spans="1:64" ht="11.45" customHeight="1" x14ac:dyDescent="0.2">
      <c r="J764" s="28"/>
      <c r="K764" s="28"/>
      <c r="L764" s="28"/>
      <c r="N764" s="29" t="s">
        <v>370</v>
      </c>
      <c r="Q764" s="274" t="s">
        <v>7</v>
      </c>
      <c r="R764" s="274"/>
      <c r="S764" s="275" t="s">
        <v>8</v>
      </c>
      <c r="T764" s="276">
        <v>1</v>
      </c>
      <c r="U764" s="244" t="str">
        <f>IF(AND(N765&lt;&gt;"",N766&lt;&gt;""),CONCATENATE(VLOOKUP(N765,[1]zawodnicy!$A$1:$E$65536,1,FALSE)," ",VLOOKUP(N765,[1]zawodnicy!$A$1:$E$65536,2,FALSE)," ",VLOOKUP(N765,[1]zawodnicy!$A$1:$E$65536,3,FALSE)," - ",VLOOKUP(N765,[1]zawodnicy!$A$1:$E$65536,4,FALSE)),"")</f>
        <v>G4725 Bartosz GAŁĄZKA - LKS Technik Głubczyce</v>
      </c>
      <c r="V764" s="245"/>
      <c r="W764" s="246"/>
      <c r="X764" s="30"/>
      <c r="Y764" s="31" t="str">
        <f>IF(SUM(AO769:AP769)=0,"",AO769&amp;":"&amp;AP769)</f>
        <v>21:7</v>
      </c>
      <c r="Z764" s="32" t="str">
        <f>IF(SUM(AO767:AP767)=0,"",AO767&amp;":"&amp;AP767)</f>
        <v>21:23</v>
      </c>
      <c r="AA764" s="270" t="str">
        <f>IF(SUM(AY767:BB767)=0,"",BE767&amp;":"&amp;BF767)</f>
        <v>101:88</v>
      </c>
      <c r="AB764" s="271" t="str">
        <f>IF(SUM(AY767:BB767)=0,"",BG767&amp;":"&amp;BH767)</f>
        <v>3:2</v>
      </c>
      <c r="AC764" s="271" t="str">
        <f>IF(SUM(AY767:BB767)=0,"",BI767&amp;":"&amp;BJ767)</f>
        <v>1:1</v>
      </c>
      <c r="AD764" s="272">
        <f>IF(SUM(BI767:BI769)&gt;0,BK767,"")</f>
        <v>1</v>
      </c>
      <c r="AE764" s="2"/>
      <c r="AF764" s="12"/>
      <c r="AG764" s="12"/>
      <c r="AH764" s="14"/>
      <c r="AI764" s="273" t="s">
        <v>9</v>
      </c>
      <c r="AJ764" s="273"/>
      <c r="AK764" s="273"/>
      <c r="AL764" s="273"/>
      <c r="AM764" s="273"/>
      <c r="AN764" s="273"/>
      <c r="AO764" s="273" t="s">
        <v>10</v>
      </c>
      <c r="AP764" s="273"/>
      <c r="AQ764" s="273"/>
      <c r="AR764" s="273"/>
      <c r="AS764" s="273"/>
      <c r="AT764" s="273"/>
      <c r="BK764" s="19"/>
      <c r="BL764" s="20"/>
    </row>
    <row r="765" spans="1:64" ht="11.45" customHeight="1" thickBot="1" x14ac:dyDescent="0.25">
      <c r="I765" s="2" t="str">
        <f>"1"&amp;O763&amp;N764</f>
        <v>12mieszana MM</v>
      </c>
      <c r="J765" s="10" t="str">
        <f>IF(AD764="","",IF(AD764=1,N765,IF(AD767=1,N768,IF(AD770=1,N771,""))))</f>
        <v>G4725</v>
      </c>
      <c r="K765" s="10" t="str">
        <f>IF(AD764="","",IF(AD764=1,N766,IF(AD767=1,N769,IF(AD770=1,N772,""))))</f>
        <v>K5208</v>
      </c>
      <c r="L765" s="10"/>
      <c r="N765" s="33" t="s">
        <v>350</v>
      </c>
      <c r="O765" s="34">
        <f>IF(O763&gt;0,(O763&amp;1)*1,"")</f>
        <v>21</v>
      </c>
      <c r="Q765" s="274"/>
      <c r="R765" s="274"/>
      <c r="S765" s="275"/>
      <c r="T765" s="242"/>
      <c r="U765" s="244" t="str">
        <f>IF(AND(N765&lt;&gt;"",N766=""),CONCATENATE(VLOOKUP(N765,[1]zawodnicy!$A$1:$E$65536,1,FALSE)," ",VLOOKUP(N765,[1]zawodnicy!$A$1:$E$65536,2,FALSE)," ",VLOOKUP(N765,[1]zawodnicy!$A$1:$E$65536,3,FALSE)," - ",VLOOKUP(N765,[1]zawodnicy!$A$1:$E$65536,4,FALSE)),"")</f>
        <v/>
      </c>
      <c r="V765" s="245"/>
      <c r="W765" s="246"/>
      <c r="X765" s="35"/>
      <c r="Y765" s="36" t="str">
        <f>IF(SUM(AQ769:AR769)=0,"",AQ769&amp;":"&amp;AR769)</f>
        <v>21:18</v>
      </c>
      <c r="Z765" s="37" t="str">
        <f>IF(SUM(AQ767:AR767)=0,"",AQ767&amp;":"&amp;AR767)</f>
        <v>21:19</v>
      </c>
      <c r="AA765" s="248"/>
      <c r="AB765" s="251"/>
      <c r="AC765" s="251"/>
      <c r="AD765" s="254"/>
      <c r="AE765" s="2"/>
      <c r="AF765" s="12"/>
      <c r="AG765" s="12"/>
      <c r="AH765" s="14"/>
      <c r="BE765" s="19">
        <f>SUM(BE767:BE769)</f>
        <v>266</v>
      </c>
      <c r="BF765" s="19">
        <f>SUM(BF767:BF769)</f>
        <v>266</v>
      </c>
      <c r="BG765" s="19">
        <f>SUM(BG767:BG769)</f>
        <v>7</v>
      </c>
      <c r="BH765" s="19">
        <f>SUM(BH767:BH769)</f>
        <v>7</v>
      </c>
      <c r="BK765" s="19"/>
      <c r="BL765" s="20"/>
    </row>
    <row r="766" spans="1:64" ht="11.45" customHeight="1" thickBot="1" x14ac:dyDescent="0.25">
      <c r="J766" s="10"/>
      <c r="K766" s="28"/>
      <c r="L766" s="28"/>
      <c r="N766" s="38" t="s">
        <v>282</v>
      </c>
      <c r="O766" s="28"/>
      <c r="P766" s="28"/>
      <c r="Q766" s="274"/>
      <c r="R766" s="274"/>
      <c r="S766" s="275"/>
      <c r="T766" s="261"/>
      <c r="U766" s="265" t="str">
        <f>IF(N766&lt;&gt;"",CONCATENATE(VLOOKUP(N766,[1]zawodnicy!$A$1:$E$65536,1,FALSE)," ",VLOOKUP(N766,[1]zawodnicy!$A$1:$E$65536,2,FALSE)," ",VLOOKUP(N766,[1]zawodnicy!$A$1:$E$65536,3,FALSE)," - ",VLOOKUP(N766,[1]zawodnicy!$A$1:$E$65536,4,FALSE)),"")</f>
        <v>K5208 Dominika KWAŚNIK - UKS Feniks Kędzierzyn-Koźle</v>
      </c>
      <c r="V766" s="266"/>
      <c r="W766" s="267"/>
      <c r="X766" s="35"/>
      <c r="Y766" s="39" t="str">
        <f>IF(SUM(AS769:AT769)=0,"",AS769&amp;":"&amp;AT769)</f>
        <v/>
      </c>
      <c r="Z766" s="40" t="str">
        <f>IF(SUM(AS767:AT767)=0,"",AS767&amp;":"&amp;AT767)</f>
        <v>17:21</v>
      </c>
      <c r="AA766" s="262"/>
      <c r="AB766" s="263"/>
      <c r="AC766" s="263"/>
      <c r="AD766" s="264"/>
      <c r="AE766" s="2"/>
      <c r="AF766" s="12"/>
      <c r="AG766" s="12"/>
      <c r="AH766" s="14"/>
      <c r="AI766" s="259" t="s">
        <v>12</v>
      </c>
      <c r="AJ766" s="269"/>
      <c r="AK766" s="268" t="s">
        <v>13</v>
      </c>
      <c r="AL766" s="269"/>
      <c r="AM766" s="268" t="s">
        <v>14</v>
      </c>
      <c r="AN766" s="260"/>
      <c r="AO766" s="259" t="s">
        <v>12</v>
      </c>
      <c r="AP766" s="269"/>
      <c r="AQ766" s="268" t="s">
        <v>13</v>
      </c>
      <c r="AR766" s="269"/>
      <c r="AS766" s="268" t="s">
        <v>14</v>
      </c>
      <c r="AT766" s="269"/>
      <c r="AU766" s="12"/>
      <c r="AV766" s="12"/>
      <c r="AW766" s="259">
        <v>1</v>
      </c>
      <c r="AX766" s="269"/>
      <c r="AY766" s="268">
        <v>2</v>
      </c>
      <c r="AZ766" s="269"/>
      <c r="BA766" s="268">
        <v>3</v>
      </c>
      <c r="BB766" s="260"/>
      <c r="BE766" s="259" t="s">
        <v>3</v>
      </c>
      <c r="BF766" s="260"/>
      <c r="BG766" s="259" t="s">
        <v>4</v>
      </c>
      <c r="BH766" s="260"/>
      <c r="BI766" s="259" t="s">
        <v>5</v>
      </c>
      <c r="BJ766" s="260"/>
      <c r="BK766" s="41" t="s">
        <v>6</v>
      </c>
      <c r="BL766" s="20"/>
    </row>
    <row r="767" spans="1:64" ht="11.45" customHeight="1" x14ac:dyDescent="0.2">
      <c r="A767" s="19">
        <f>S767</f>
        <v>80</v>
      </c>
      <c r="B767" s="2" t="str">
        <f>IF(N765="","",N765)</f>
        <v>G4725</v>
      </c>
      <c r="C767" s="2" t="str">
        <f>IF(N766="","",N766)</f>
        <v>K5208</v>
      </c>
      <c r="D767" s="2" t="str">
        <f>IF(N771="","",N771)</f>
        <v>X26</v>
      </c>
      <c r="E767" s="2" t="str">
        <f>IF(N772="","",N772)</f>
        <v>X25</v>
      </c>
      <c r="I767" s="2" t="str">
        <f>"2"&amp;O763&amp;N764</f>
        <v>22mieszana MM</v>
      </c>
      <c r="J767" s="10" t="str">
        <f>IF(AD767="","",IF(AD764=2,N765,IF(AD767=2,N768,IF(AD770=2,N771,""))))</f>
        <v>B4655</v>
      </c>
      <c r="K767" s="10" t="str">
        <f>IF(AD767="","",IF(AD764=2,N766,IF(AD767=2,N769,IF(AD770=2,N772,""))))</f>
        <v>M4792</v>
      </c>
      <c r="M767" s="42" t="str">
        <f>N764</f>
        <v>mieszana MM</v>
      </c>
      <c r="O767" s="28"/>
      <c r="P767" s="28"/>
      <c r="Q767" s="43" t="str">
        <f>IF(AU767&gt;0,"",IF(A767=0,"",IF(VLOOKUP(A767,'[1]plan gier'!A$1:S$65536,19,FALSE)="","",VLOOKUP(A767,'[1]plan gier'!A$1:S$65536,19,FALSE))))</f>
        <v/>
      </c>
      <c r="R767" s="44" t="s">
        <v>15</v>
      </c>
      <c r="S767" s="45">
        <v>80</v>
      </c>
      <c r="T767" s="241">
        <v>2</v>
      </c>
      <c r="U767" s="244" t="str">
        <f>IF(AND(N768&lt;&gt;"",N769&lt;&gt;""),CONCATENATE(VLOOKUP(N768,[1]zawodnicy!$A$1:$E$65536,1,FALSE)," ",VLOOKUP(N768,[1]zawodnicy!$A$1:$E$65536,2,FALSE)," ",VLOOKUP(N768,[1]zawodnicy!$A$1:$E$65536,3,FALSE)," - ",VLOOKUP(N768,[1]zawodnicy!$A$1:$E$65536,4,FALSE)),"")</f>
        <v>B4655 Sebastian BILBIN - SKB Suwałki</v>
      </c>
      <c r="V767" s="245"/>
      <c r="W767" s="246"/>
      <c r="X767" s="46" t="str">
        <f>IF(SUM(AO769:AP769)=0,"",AP769&amp;":"&amp;AO769)</f>
        <v>7:21</v>
      </c>
      <c r="Y767" s="47"/>
      <c r="Z767" s="48" t="str">
        <f>IF(SUM(AO768:AP768)=0,"",AO768&amp;":"&amp;AP768)</f>
        <v>21:17</v>
      </c>
      <c r="AA767" s="247" t="str">
        <f>IF(SUM(AW768:AX768,BA768:BB768)=0,"",BE768&amp;":"&amp;BF768)</f>
        <v>67:77</v>
      </c>
      <c r="AB767" s="250" t="str">
        <f>IF(SUM(AW768:AX768,BA768:BB768)=0,"",BG768&amp;":"&amp;BH768)</f>
        <v>2:2</v>
      </c>
      <c r="AC767" s="250" t="str">
        <f>IF(SUM(AW768:AX768,BA768:BB768)=0,"",BI768&amp;":"&amp;BJ768)</f>
        <v>1:1</v>
      </c>
      <c r="AD767" s="253">
        <f>IF(SUM(BI767:BI769)&gt;0,BK768,"")</f>
        <v>2</v>
      </c>
      <c r="AE767" s="2"/>
      <c r="AF767" s="12"/>
      <c r="AG767" s="12"/>
      <c r="AH767" s="44" t="s">
        <v>15</v>
      </c>
      <c r="AI767" s="49">
        <f>IF(ISBLANK(S767),"",VLOOKUP(S767,'[1]plan gier'!$X$1:$AN$65536,12,FALSE))</f>
        <v>21</v>
      </c>
      <c r="AJ767" s="50">
        <f>IF(ISBLANK(S767),"",VLOOKUP(S767,'[1]plan gier'!$X$1:$AN$65536,13,FALSE))</f>
        <v>23</v>
      </c>
      <c r="AK767" s="50">
        <f>IF(ISBLANK(S767),"",VLOOKUP(S767,'[1]plan gier'!$X$1:$AN$65536,14,FALSE))</f>
        <v>21</v>
      </c>
      <c r="AL767" s="50">
        <f>IF(ISBLANK(S767),"",VLOOKUP(S767,'[1]plan gier'!$X$1:$AN$65536,15,FALSE))</f>
        <v>19</v>
      </c>
      <c r="AM767" s="50">
        <f>IF(ISBLANK(S767),"",VLOOKUP(S767,'[1]plan gier'!$X$1:$AN$65536,16,FALSE))</f>
        <v>17</v>
      </c>
      <c r="AN767" s="50">
        <f>IF(ISBLANK(S767),"",VLOOKUP(S767,'[1]plan gier'!$X$1:$AN$65536,17,FALSE))</f>
        <v>21</v>
      </c>
      <c r="AO767" s="51">
        <f t="shared" ref="AO767:AT769" si="76">IF(AI767="",0,AI767)</f>
        <v>21</v>
      </c>
      <c r="AP767" s="52">
        <f t="shared" si="76"/>
        <v>23</v>
      </c>
      <c r="AQ767" s="53">
        <f t="shared" si="76"/>
        <v>21</v>
      </c>
      <c r="AR767" s="52">
        <f t="shared" si="76"/>
        <v>19</v>
      </c>
      <c r="AS767" s="53">
        <f t="shared" si="76"/>
        <v>17</v>
      </c>
      <c r="AT767" s="52">
        <f t="shared" si="76"/>
        <v>21</v>
      </c>
      <c r="AU767" s="54">
        <f>SUM(AO767:AT767)</f>
        <v>122</v>
      </c>
      <c r="AV767" s="13">
        <v>1</v>
      </c>
      <c r="AW767" s="55"/>
      <c r="AX767" s="56"/>
      <c r="AY767" s="50">
        <f>IF(AI769&gt;AJ769,1,0)+IF(AK769&gt;AL769,1,0)+IF(AM769&gt;AN769,1,0)</f>
        <v>2</v>
      </c>
      <c r="AZ767" s="50">
        <f>AW768</f>
        <v>0</v>
      </c>
      <c r="BA767" s="50">
        <f>IF(AI767&gt;AJ767,1,0)+IF(AK767&gt;AL767,1,0)+IF(AM767&gt;AN767,1,0)</f>
        <v>1</v>
      </c>
      <c r="BB767" s="57">
        <f>AW769</f>
        <v>2</v>
      </c>
      <c r="BE767" s="49">
        <f>AO767+AQ767+AS767+AO769+AQ769+AS769</f>
        <v>101</v>
      </c>
      <c r="BF767" s="57">
        <f>AP767+AR767+AT767+AP769+AR769+AT769</f>
        <v>88</v>
      </c>
      <c r="BG767" s="49">
        <f>AY767+BA767</f>
        <v>3</v>
      </c>
      <c r="BH767" s="57">
        <f>AZ767+BB767</f>
        <v>2</v>
      </c>
      <c r="BI767" s="49">
        <f>IF(AY767&gt;AZ767,1,0)+IF(BA767&gt;BB767,1,0)</f>
        <v>1</v>
      </c>
      <c r="BJ767" s="58">
        <f>IF(AZ767&gt;AY767,1,0)+IF(BB767&gt;BA767,1,0)</f>
        <v>1</v>
      </c>
      <c r="BK767" s="59">
        <f>IF(BI767+BJ767=0,"",IF(BL767=MAX(BL767:BL769),1,IF(BL767=MIN(BL767:BL769),3,2)))</f>
        <v>1</v>
      </c>
      <c r="BL767" s="60">
        <f>IF(BI767+BJ767&lt;&gt;0,BI767+1+(BG767-BH767)/100+(BE767-BF767)/100000+(BE767/BF767)/1000000,0)</f>
        <v>2.0101311477272725</v>
      </c>
    </row>
    <row r="768" spans="1:64" ht="11.45" customHeight="1" x14ac:dyDescent="0.2">
      <c r="A768" s="19">
        <f>S768</f>
        <v>146</v>
      </c>
      <c r="B768" s="2" t="str">
        <f>IF(N768="","",N768)</f>
        <v>B4655</v>
      </c>
      <c r="C768" s="2" t="str">
        <f>IF(N769="","",N769)</f>
        <v>M4792</v>
      </c>
      <c r="D768" s="2" t="str">
        <f>IF(N771="","",N771)</f>
        <v>X26</v>
      </c>
      <c r="E768" s="2" t="str">
        <f>IF(N772="","",N772)</f>
        <v>X25</v>
      </c>
      <c r="J768" s="10"/>
      <c r="K768" s="19"/>
      <c r="M768" s="42" t="str">
        <f>N764</f>
        <v>mieszana MM</v>
      </c>
      <c r="N768" s="33" t="s">
        <v>334</v>
      </c>
      <c r="O768" s="34">
        <f>IF(O763&gt;0,(O763&amp;2)*1,"")</f>
        <v>22</v>
      </c>
      <c r="Q768" s="43" t="str">
        <f>IF(AU768&gt;0,"",IF(A768=0,"",IF(VLOOKUP(A768,'[1]plan gier'!A$1:S$65536,19,FALSE)="","",VLOOKUP(A768,'[1]plan gier'!A$1:S$65536,19,FALSE))))</f>
        <v/>
      </c>
      <c r="R768" s="44" t="s">
        <v>17</v>
      </c>
      <c r="S768" s="45">
        <v>146</v>
      </c>
      <c r="T768" s="242"/>
      <c r="U768" s="244" t="str">
        <f>IF(AND(N768&lt;&gt;"",N769=""),CONCATENATE(VLOOKUP(N768,[1]zawodnicy!$A$1:$E$65536,1,FALSE)," ",VLOOKUP(N768,[1]zawodnicy!$A$1:$E$65536,2,FALSE)," ",VLOOKUP(N768,[1]zawodnicy!$A$1:$E$65536,3,FALSE)," - ",VLOOKUP(N768,[1]zawodnicy!$A$1:$E$65536,4,FALSE)),"")</f>
        <v/>
      </c>
      <c r="V768" s="245"/>
      <c r="W768" s="246"/>
      <c r="X768" s="61" t="str">
        <f>IF(SUM(AQ769:AR769)=0,"",AR769&amp;":"&amp;AQ769)</f>
        <v>18:21</v>
      </c>
      <c r="Y768" s="62"/>
      <c r="Z768" s="37" t="str">
        <f>IF(SUM(AQ768:AR768)=0,"",AQ768&amp;":"&amp;AR768)</f>
        <v>21:18</v>
      </c>
      <c r="AA768" s="248"/>
      <c r="AB768" s="251"/>
      <c r="AC768" s="251"/>
      <c r="AD768" s="254"/>
      <c r="AE768" s="2"/>
      <c r="AF768" s="12"/>
      <c r="AG768" s="12"/>
      <c r="AH768" s="44" t="s">
        <v>17</v>
      </c>
      <c r="AI768" s="63">
        <f>IF(ISBLANK(S768),"",VLOOKUP(S768,'[1]plan gier'!$X$1:$AN$65536,12,FALSE))</f>
        <v>21</v>
      </c>
      <c r="AJ768" s="64">
        <f>IF(ISBLANK(S768),"",VLOOKUP(S768,'[1]plan gier'!$X$1:$AN$65536,13,FALSE))</f>
        <v>17</v>
      </c>
      <c r="AK768" s="64">
        <f>IF(ISBLANK(S768),"",VLOOKUP(S768,'[1]plan gier'!$X$1:$AN$65536,14,FALSE))</f>
        <v>21</v>
      </c>
      <c r="AL768" s="64">
        <f>IF(ISBLANK(S768),"",VLOOKUP(S768,'[1]plan gier'!$X$1:$AN$65536,15,FALSE))</f>
        <v>18</v>
      </c>
      <c r="AM768" s="64">
        <f>IF(ISBLANK(S768),"",VLOOKUP(S768,'[1]plan gier'!$X$1:$AN$65536,16,FALSE))</f>
        <v>0</v>
      </c>
      <c r="AN768" s="64">
        <f>IF(ISBLANK(S768),"",VLOOKUP(S768,'[1]plan gier'!$X$1:$AN$65536,17,FALSE))</f>
        <v>0</v>
      </c>
      <c r="AO768" s="65">
        <f t="shared" si="76"/>
        <v>21</v>
      </c>
      <c r="AP768" s="64">
        <f t="shared" si="76"/>
        <v>17</v>
      </c>
      <c r="AQ768" s="66">
        <f t="shared" si="76"/>
        <v>21</v>
      </c>
      <c r="AR768" s="64">
        <f t="shared" si="76"/>
        <v>18</v>
      </c>
      <c r="AS768" s="66">
        <f t="shared" si="76"/>
        <v>0</v>
      </c>
      <c r="AT768" s="64">
        <f t="shared" si="76"/>
        <v>0</v>
      </c>
      <c r="AU768" s="54">
        <f>SUM(AO768:AT768)</f>
        <v>77</v>
      </c>
      <c r="AV768" s="13">
        <v>2</v>
      </c>
      <c r="AW768" s="63">
        <f>IF(AI769&lt;AJ769,1,0)+IF(AK769&lt;AL769,1,0)+IF(AM769&lt;AN769,1,0)</f>
        <v>0</v>
      </c>
      <c r="AX768" s="64">
        <f>AY767</f>
        <v>2</v>
      </c>
      <c r="AY768" s="67"/>
      <c r="AZ768" s="68"/>
      <c r="BA768" s="64">
        <f>IF(AI768&gt;AJ768,1,0)+IF(AK768&gt;AL768,1,0)+IF(AM768&gt;AN768,1,0)</f>
        <v>2</v>
      </c>
      <c r="BB768" s="69">
        <f>AY769</f>
        <v>0</v>
      </c>
      <c r="BE768" s="63">
        <f>AO768+AQ768+AS768+AP769+AR769+AT769</f>
        <v>67</v>
      </c>
      <c r="BF768" s="69">
        <f>AP768+AR768+AT768+AO769+AQ769+AS769</f>
        <v>77</v>
      </c>
      <c r="BG768" s="63">
        <f>AW768+BA768</f>
        <v>2</v>
      </c>
      <c r="BH768" s="69">
        <f>AX768+BB768</f>
        <v>2</v>
      </c>
      <c r="BI768" s="63">
        <f>IF(AW768&gt;AX768,1,0)+IF(BA768&gt;BB768,1,0)</f>
        <v>1</v>
      </c>
      <c r="BJ768" s="70">
        <f>IF(AX768&gt;AW768,1,0)+IF(BB768&gt;BA768,1,0)</f>
        <v>1</v>
      </c>
      <c r="BK768" s="71">
        <f>IF(BI768+BJ768=0,"",IF(BL768=MAX(BL767:BL769),1,IF(BL768=MIN(BL767:BL769),3,2)))</f>
        <v>2</v>
      </c>
      <c r="BL768" s="60">
        <f>IF(BI768+BJ768&lt;&gt;0,BI768+1+(BG768-BH768)/100+(BE768-BF768)/100000+(BE768/BF768)/1000000,0)</f>
        <v>1.9999008701298702</v>
      </c>
    </row>
    <row r="769" spans="1:64" ht="11.45" customHeight="1" thickBot="1" x14ac:dyDescent="0.25">
      <c r="A769" s="19">
        <f>S769</f>
        <v>199</v>
      </c>
      <c r="B769" s="2" t="str">
        <f>IF(N765="","",N765)</f>
        <v>G4725</v>
      </c>
      <c r="C769" s="2" t="str">
        <f>IF(N766="","",N766)</f>
        <v>K5208</v>
      </c>
      <c r="D769" s="2" t="str">
        <f>IF(N768="","",N768)</f>
        <v>B4655</v>
      </c>
      <c r="E769" s="2" t="str">
        <f>IF(N769="","",N769)</f>
        <v>M4792</v>
      </c>
      <c r="I769" s="2" t="str">
        <f>"3"&amp;O763&amp;N764</f>
        <v>32mieszana MM</v>
      </c>
      <c r="J769" s="10" t="str">
        <f>IF(AD770="","",IF(AD764=3,N765,IF(AD767=3,N768,IF(AD770=3,N771,""))))</f>
        <v>X26</v>
      </c>
      <c r="K769" s="10" t="str">
        <f>IF(AD770="","",IF(AD764=3,N766,IF(AD767=3,N769,IF(AD770=3,N772,""))))</f>
        <v>X25</v>
      </c>
      <c r="M769" s="42" t="str">
        <f>N764</f>
        <v>mieszana MM</v>
      </c>
      <c r="N769" s="38" t="s">
        <v>313</v>
      </c>
      <c r="O769" s="28"/>
      <c r="P769" s="28"/>
      <c r="Q769" s="43" t="str">
        <f>IF(AU769&gt;0,"",IF(A769=0,"",IF(VLOOKUP(A769,'[1]plan gier'!A$1:S$65536,19,FALSE)="","",VLOOKUP(A769,'[1]plan gier'!A$1:S$65536,19,FALSE))))</f>
        <v/>
      </c>
      <c r="R769" s="72" t="s">
        <v>18</v>
      </c>
      <c r="S769" s="45">
        <v>199</v>
      </c>
      <c r="T769" s="261"/>
      <c r="U769" s="265" t="str">
        <f>IF(N769&lt;&gt;"",CONCATENATE(VLOOKUP(N769,[1]zawodnicy!$A$1:$E$65536,1,FALSE)," ",VLOOKUP(N769,[1]zawodnicy!$A$1:$E$65536,2,FALSE)," ",VLOOKUP(N769,[1]zawodnicy!$A$1:$E$65536,3,FALSE)," - ",VLOOKUP(N769,[1]zawodnicy!$A$1:$E$65536,4,FALSE)),"")</f>
        <v>M4792 Urszula MISZKIEL - SKB Suwałki</v>
      </c>
      <c r="V769" s="266"/>
      <c r="W769" s="267"/>
      <c r="X769" s="73" t="str">
        <f>IF(SUM(AS769:AT769)=0,"",AT769&amp;":"&amp;AS769)</f>
        <v/>
      </c>
      <c r="Y769" s="62"/>
      <c r="Z769" s="40" t="str">
        <f>IF(SUM(AS768:AT768)=0,"",AS768&amp;":"&amp;AT768)</f>
        <v/>
      </c>
      <c r="AA769" s="262"/>
      <c r="AB769" s="263"/>
      <c r="AC769" s="263"/>
      <c r="AD769" s="264"/>
      <c r="AE769" s="2"/>
      <c r="AF769" s="12"/>
      <c r="AG769" s="12"/>
      <c r="AH769" s="72" t="s">
        <v>18</v>
      </c>
      <c r="AI769" s="74">
        <f>IF(ISBLANK(S769),"",VLOOKUP(S769,'[1]plan gier'!$X$1:$AN$65536,12,FALSE))</f>
        <v>21</v>
      </c>
      <c r="AJ769" s="75">
        <f>IF(ISBLANK(S769),"",VLOOKUP(S769,'[1]plan gier'!$X$1:$AN$65536,13,FALSE))</f>
        <v>7</v>
      </c>
      <c r="AK769" s="75">
        <f>IF(ISBLANK(S769),"",VLOOKUP(S769,'[1]plan gier'!$X$1:$AN$65536,14,FALSE))</f>
        <v>21</v>
      </c>
      <c r="AL769" s="75">
        <f>IF(ISBLANK(S769),"",VLOOKUP(S769,'[1]plan gier'!$X$1:$AN$65536,15,FALSE))</f>
        <v>18</v>
      </c>
      <c r="AM769" s="75">
        <f>IF(ISBLANK(S769),"",VLOOKUP(S769,'[1]plan gier'!$X$1:$AN$65536,16,FALSE))</f>
        <v>0</v>
      </c>
      <c r="AN769" s="75">
        <f>IF(ISBLANK(S769),"",VLOOKUP(S769,'[1]plan gier'!$X$1:$AN$65536,17,FALSE))</f>
        <v>0</v>
      </c>
      <c r="AO769" s="76">
        <f t="shared" si="76"/>
        <v>21</v>
      </c>
      <c r="AP769" s="75">
        <f t="shared" si="76"/>
        <v>7</v>
      </c>
      <c r="AQ769" s="77">
        <f t="shared" si="76"/>
        <v>21</v>
      </c>
      <c r="AR769" s="75">
        <f t="shared" si="76"/>
        <v>18</v>
      </c>
      <c r="AS769" s="77">
        <f t="shared" si="76"/>
        <v>0</v>
      </c>
      <c r="AT769" s="75">
        <f t="shared" si="76"/>
        <v>0</v>
      </c>
      <c r="AU769" s="54">
        <f>SUM(AO769:AT769)</f>
        <v>67</v>
      </c>
      <c r="AV769" s="13">
        <v>3</v>
      </c>
      <c r="AW769" s="74">
        <f>IF(AI767&lt;AJ767,1,0)+IF(AK767&lt;AL767,1,0)+IF(AM767&lt;AN767,1,0)</f>
        <v>2</v>
      </c>
      <c r="AX769" s="75">
        <f>BA767</f>
        <v>1</v>
      </c>
      <c r="AY769" s="75">
        <f>IF(AI768&lt;AJ768,1,0)+IF(AK768&lt;AL768,1,0)+IF(AM768&lt;AN768,1,0)</f>
        <v>0</v>
      </c>
      <c r="AZ769" s="75">
        <f>BA768</f>
        <v>2</v>
      </c>
      <c r="BA769" s="78"/>
      <c r="BB769" s="79"/>
      <c r="BE769" s="74">
        <f>AP767+AR767+AT767+AP768+AR768+AT768</f>
        <v>98</v>
      </c>
      <c r="BF769" s="80">
        <f>AO767+AQ767+AS767+AO768+AQ768+AS768</f>
        <v>101</v>
      </c>
      <c r="BG769" s="74">
        <f>AW769+AY769</f>
        <v>2</v>
      </c>
      <c r="BH769" s="80">
        <f>AX769+AZ769</f>
        <v>3</v>
      </c>
      <c r="BI769" s="74">
        <f>IF(AW769&gt;AX769,1,0)+IF(AY769&gt;AZ769,1,0)</f>
        <v>1</v>
      </c>
      <c r="BJ769" s="81">
        <f>IF(AX769&gt;AW769,1,0)+IF(AZ769&gt;AY769,1,0)</f>
        <v>1</v>
      </c>
      <c r="BK769" s="82">
        <f>IF(BI769+BJ769=0,"",IF(BL769=MAX(BL767:BL769),1,IF(BL769=MIN(BL767:BL769),3,2)))</f>
        <v>3</v>
      </c>
      <c r="BL769" s="60">
        <f>IF(BI769+BJ769&lt;&gt;0,BI769+1+(BG769-BH769)/100+(BE769-BF769)/100000+(BE769/BF769)/1000000,0)</f>
        <v>1.9899709702970296</v>
      </c>
    </row>
    <row r="770" spans="1:64" ht="11.45" customHeight="1" x14ac:dyDescent="0.2">
      <c r="A770" s="2"/>
      <c r="J770" s="28"/>
      <c r="K770" s="28"/>
      <c r="L770" s="28"/>
      <c r="O770" s="28"/>
      <c r="P770" s="28"/>
      <c r="Q770" s="2"/>
      <c r="R770" s="2"/>
      <c r="S770" s="2"/>
      <c r="T770" s="241">
        <v>3</v>
      </c>
      <c r="U770" s="244" t="str">
        <f>IF(AND(N771&lt;&gt;"",N772&lt;&gt;""),CONCATENATE(VLOOKUP(N771,[1]zawodnicy!$A$1:$E$65536,1,FALSE)," ",VLOOKUP(N771,[1]zawodnicy!$A$1:$E$65536,2,FALSE)," ",VLOOKUP(N771,[1]zawodnicy!$A$1:$E$65536,3,FALSE)," - ",VLOOKUP(N771,[1]zawodnicy!$A$1:$E$65536,4,FALSE)),"")</f>
        <v>X26 Igor SENICHKYN - Vinnica Ukraina</v>
      </c>
      <c r="V770" s="245"/>
      <c r="W770" s="246"/>
      <c r="X770" s="46" t="str">
        <f>IF(SUM(AO767:AP767)=0,"",AP767&amp;":"&amp;AO767)</f>
        <v>23:21</v>
      </c>
      <c r="Y770" s="83" t="str">
        <f>IF(SUM(AO768:AP768)=0,"",AP768&amp;":"&amp;AO768)</f>
        <v>17:21</v>
      </c>
      <c r="Z770" s="84"/>
      <c r="AA770" s="247" t="str">
        <f>IF(SUM(AW769:AZ769)=0,"",BE769&amp;":"&amp;BF769)</f>
        <v>98:101</v>
      </c>
      <c r="AB770" s="250" t="str">
        <f>IF(SUM(AW769:AZ769)=0,"",BG769&amp;":"&amp;BH769)</f>
        <v>2:3</v>
      </c>
      <c r="AC770" s="250" t="str">
        <f>IF(SUM(AW769:AZ769)=0,"",BI769&amp;":"&amp;BJ769)</f>
        <v>1:1</v>
      </c>
      <c r="AD770" s="253">
        <f>IF(SUM(BI767:BI769)&gt;0,BK769,"")</f>
        <v>3</v>
      </c>
      <c r="AE770" s="2"/>
      <c r="AF770" s="12"/>
      <c r="AG770" s="12"/>
      <c r="BE770" s="19">
        <f>SUM(BE767:BE769)</f>
        <v>266</v>
      </c>
      <c r="BF770" s="19">
        <f>SUM(BF767:BF769)</f>
        <v>266</v>
      </c>
      <c r="BG770" s="19">
        <f>SUM(BG767:BG769)</f>
        <v>7</v>
      </c>
      <c r="BH770" s="19">
        <f>SUM(BH767:BH769)</f>
        <v>7</v>
      </c>
      <c r="BK770" s="19"/>
      <c r="BL770" s="20"/>
    </row>
    <row r="771" spans="1:64" ht="11.45" customHeight="1" x14ac:dyDescent="0.2">
      <c r="A771" s="19"/>
      <c r="J771" s="19"/>
      <c r="K771" s="19"/>
      <c r="L771" s="19"/>
      <c r="N771" s="33" t="s">
        <v>340</v>
      </c>
      <c r="O771" s="34">
        <f>IF(O763&gt;0,(O763&amp;3)*1,"")</f>
        <v>23</v>
      </c>
      <c r="Q771" s="85"/>
      <c r="R771" s="85"/>
      <c r="S771" s="85"/>
      <c r="T771" s="242"/>
      <c r="U771" s="244" t="str">
        <f>IF(AND(N771&lt;&gt;"",N772=""),CONCATENATE(VLOOKUP(N771,[1]zawodnicy!$A$1:$E$65536,1,FALSE)," ",VLOOKUP(N771,[1]zawodnicy!$A$1:$E$65536,2,FALSE)," ",VLOOKUP(N771,[1]zawodnicy!$A$1:$E$65536,3,FALSE)," - ",VLOOKUP(N771,[1]zawodnicy!$A$1:$E$65536,4,FALSE)),"")</f>
        <v/>
      </c>
      <c r="V771" s="245"/>
      <c r="W771" s="246"/>
      <c r="X771" s="61" t="str">
        <f>IF(SUM(AQ767:AR767)=0,"",AR767&amp;":"&amp;AQ767)</f>
        <v>19:21</v>
      </c>
      <c r="Y771" s="36" t="str">
        <f>IF(SUM(AQ768:AR768)=0,"",AR768&amp;":"&amp;AQ768)</f>
        <v>18:21</v>
      </c>
      <c r="Z771" s="86"/>
      <c r="AA771" s="248"/>
      <c r="AB771" s="251"/>
      <c r="AC771" s="251"/>
      <c r="AD771" s="254"/>
      <c r="AE771" s="2"/>
      <c r="AF771" s="12"/>
      <c r="AG771" s="1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row>
    <row r="772" spans="1:64" ht="11.45" customHeight="1" thickBot="1" x14ac:dyDescent="0.25">
      <c r="A772" s="2"/>
      <c r="J772" s="28"/>
      <c r="K772" s="28"/>
      <c r="L772" s="28"/>
      <c r="N772" s="38" t="s">
        <v>317</v>
      </c>
      <c r="O772" s="28"/>
      <c r="P772" s="28"/>
      <c r="Q772" s="2"/>
      <c r="R772" s="2"/>
      <c r="S772" s="2"/>
      <c r="T772" s="243"/>
      <c r="U772" s="256" t="str">
        <f>IF(N772&lt;&gt;"",CONCATENATE(VLOOKUP(N772,[1]zawodnicy!$A$1:$E$65536,1,FALSE)," ",VLOOKUP(N772,[1]zawodnicy!$A$1:$E$65536,2,FALSE)," ",VLOOKUP(N772,[1]zawodnicy!$A$1:$E$65536,3,FALSE)," - ",VLOOKUP(N772,[1]zawodnicy!$A$1:$E$65536,4,FALSE)),"")</f>
        <v>X25 Yana  HALYTSKA - Vinnica Ukraina</v>
      </c>
      <c r="V772" s="257"/>
      <c r="W772" s="258"/>
      <c r="X772" s="87" t="str">
        <f>IF(SUM(AS767:AT767)=0,"",AT767&amp;":"&amp;AS767)</f>
        <v>21:17</v>
      </c>
      <c r="Y772" s="88" t="str">
        <f>IF(SUM(AS768:AT768)=0,"",AT768&amp;":"&amp;AS768)</f>
        <v/>
      </c>
      <c r="Z772" s="89"/>
      <c r="AA772" s="249"/>
      <c r="AB772" s="252"/>
      <c r="AC772" s="252"/>
      <c r="AD772" s="255"/>
      <c r="AE772" s="10"/>
      <c r="AF772" s="12"/>
      <c r="AG772" s="1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row>
    <row r="773" spans="1:64" s="19" customFormat="1" ht="5.0999999999999996" customHeight="1" thickBot="1" x14ac:dyDescent="0.25">
      <c r="M773" s="90"/>
      <c r="O773" s="90"/>
      <c r="P773" s="90"/>
      <c r="Q773" s="91"/>
      <c r="R773" s="91"/>
      <c r="S773" s="91"/>
      <c r="T773" s="91"/>
      <c r="U773" s="5"/>
      <c r="V773" s="5"/>
      <c r="W773" s="5"/>
      <c r="AA773" s="92"/>
      <c r="AB773" s="91"/>
      <c r="AC773" s="91"/>
      <c r="AD773" s="91"/>
      <c r="AE773" s="91"/>
      <c r="AF773" s="91"/>
      <c r="AI773" s="93"/>
      <c r="AJ773" s="94"/>
      <c r="AK773" s="94"/>
    </row>
    <row r="774" spans="1:64" ht="11.45" customHeight="1" thickBot="1" x14ac:dyDescent="0.25">
      <c r="N774" s="11"/>
      <c r="O774" s="21">
        <v>3</v>
      </c>
      <c r="Q774" s="277" t="str">
        <f>"Grupa "&amp;O774&amp;"."</f>
        <v>Grupa 3.</v>
      </c>
      <c r="R774" s="277"/>
      <c r="S774" s="277"/>
      <c r="T774" s="22" t="s">
        <v>1</v>
      </c>
      <c r="U774" s="278" t="s">
        <v>2</v>
      </c>
      <c r="V774" s="279"/>
      <c r="W774" s="280"/>
      <c r="X774" s="22">
        <v>1</v>
      </c>
      <c r="Y774" s="23">
        <v>2</v>
      </c>
      <c r="Z774" s="24">
        <v>3</v>
      </c>
      <c r="AA774" s="25" t="s">
        <v>3</v>
      </c>
      <c r="AB774" s="26" t="s">
        <v>4</v>
      </c>
      <c r="AC774" s="26" t="s">
        <v>5</v>
      </c>
      <c r="AD774" s="27" t="s">
        <v>6</v>
      </c>
      <c r="AE774" s="2"/>
      <c r="AF774" s="12"/>
      <c r="AG774" s="12"/>
      <c r="BK774" s="19"/>
      <c r="BL774" s="20"/>
    </row>
    <row r="775" spans="1:64" ht="11.45" customHeight="1" x14ac:dyDescent="0.2">
      <c r="J775" s="28"/>
      <c r="K775" s="28"/>
      <c r="L775" s="28"/>
      <c r="N775" s="29" t="s">
        <v>370</v>
      </c>
      <c r="Q775" s="274" t="s">
        <v>7</v>
      </c>
      <c r="R775" s="274"/>
      <c r="S775" s="275" t="s">
        <v>8</v>
      </c>
      <c r="T775" s="276">
        <v>1</v>
      </c>
      <c r="U775" s="244" t="str">
        <f>IF(AND(N776&lt;&gt;"",N777&lt;&gt;""),CONCATENATE(VLOOKUP(N776,[1]zawodnicy!$A$1:$E$65536,1,FALSE)," ",VLOOKUP(N776,[1]zawodnicy!$A$1:$E$65536,2,FALSE)," ",VLOOKUP(N776,[1]zawodnicy!$A$1:$E$65536,3,FALSE)," - ",VLOOKUP(N776,[1]zawodnicy!$A$1:$E$65536,4,FALSE)),"")</f>
        <v>C4406 Łukasz CIMOSZ - KS Chojnik Jelenia Góra</v>
      </c>
      <c r="V775" s="245"/>
      <c r="W775" s="246"/>
      <c r="X775" s="30"/>
      <c r="Y775" s="31" t="str">
        <f>IF(SUM(AO780:AP780)=0,"",AO780&amp;":"&amp;AP780)</f>
        <v>21:10</v>
      </c>
      <c r="Z775" s="32" t="str">
        <f>IF(SUM(AO778:AP778)=0,"",AO778&amp;":"&amp;AP778)</f>
        <v>16:21</v>
      </c>
      <c r="AA775" s="270" t="str">
        <f>IF(SUM(AY778:BB778)=0,"",BE778&amp;":"&amp;BF778)</f>
        <v>73:61</v>
      </c>
      <c r="AB775" s="271" t="str">
        <f>IF(SUM(AY778:BB778)=0,"",BG778&amp;":"&amp;BH778)</f>
        <v>2:2</v>
      </c>
      <c r="AC775" s="271" t="str">
        <f>IF(SUM(AY778:BB778)=0,"",BI778&amp;":"&amp;BJ778)</f>
        <v>1:1</v>
      </c>
      <c r="AD775" s="272">
        <f>IF(SUM(BI778:BI780)&gt;0,BK778,"")</f>
        <v>2</v>
      </c>
      <c r="AE775" s="2"/>
      <c r="AF775" s="12"/>
      <c r="AG775" s="12"/>
      <c r="AH775" s="14"/>
      <c r="AI775" s="273" t="s">
        <v>9</v>
      </c>
      <c r="AJ775" s="273"/>
      <c r="AK775" s="273"/>
      <c r="AL775" s="273"/>
      <c r="AM775" s="273"/>
      <c r="AN775" s="273"/>
      <c r="AO775" s="273" t="s">
        <v>10</v>
      </c>
      <c r="AP775" s="273"/>
      <c r="AQ775" s="273"/>
      <c r="AR775" s="273"/>
      <c r="AS775" s="273"/>
      <c r="AT775" s="273"/>
      <c r="BK775" s="19"/>
      <c r="BL775" s="20"/>
    </row>
    <row r="776" spans="1:64" ht="11.45" customHeight="1" thickBot="1" x14ac:dyDescent="0.25">
      <c r="I776" s="2" t="str">
        <f>"1"&amp;O774&amp;N775</f>
        <v>13mieszana MM</v>
      </c>
      <c r="J776" s="10" t="str">
        <f>IF(AD775="","",IF(AD775=1,N776,IF(AD778=1,N779,IF(AD781=1,N782,""))))</f>
        <v>M4565</v>
      </c>
      <c r="K776" s="10" t="str">
        <f>IF(AD775="","",IF(AD775=1,N777,IF(AD778=1,N780,IF(AD781=1,N783,""))))</f>
        <v>X05</v>
      </c>
      <c r="L776" s="10"/>
      <c r="N776" s="33" t="s">
        <v>330</v>
      </c>
      <c r="O776" s="34">
        <f>IF(O774&gt;0,(O774&amp;1)*1,"")</f>
        <v>31</v>
      </c>
      <c r="Q776" s="274"/>
      <c r="R776" s="274"/>
      <c r="S776" s="275"/>
      <c r="T776" s="242"/>
      <c r="U776" s="244" t="str">
        <f>IF(AND(N776&lt;&gt;"",N777=""),CONCATENATE(VLOOKUP(N776,[1]zawodnicy!$A$1:$E$65536,1,FALSE)," ",VLOOKUP(N776,[1]zawodnicy!$A$1:$E$65536,2,FALSE)," ",VLOOKUP(N776,[1]zawodnicy!$A$1:$E$65536,3,FALSE)," - ",VLOOKUP(N776,[1]zawodnicy!$A$1:$E$65536,4,FALSE)),"")</f>
        <v/>
      </c>
      <c r="V776" s="245"/>
      <c r="W776" s="246"/>
      <c r="X776" s="35"/>
      <c r="Y776" s="36" t="str">
        <f>IF(SUM(AQ780:AR780)=0,"",AQ780&amp;":"&amp;AR780)</f>
        <v>21:9</v>
      </c>
      <c r="Z776" s="37" t="str">
        <f>IF(SUM(AQ778:AR778)=0,"",AQ778&amp;":"&amp;AR778)</f>
        <v>15:21</v>
      </c>
      <c r="AA776" s="248"/>
      <c r="AB776" s="251"/>
      <c r="AC776" s="251"/>
      <c r="AD776" s="254"/>
      <c r="AE776" s="2"/>
      <c r="AF776" s="12"/>
      <c r="AG776" s="12"/>
      <c r="AH776" s="14"/>
      <c r="BE776" s="19">
        <f>SUM(BE778:BE780)</f>
        <v>187</v>
      </c>
      <c r="BF776" s="19">
        <f>SUM(BF778:BF780)</f>
        <v>187</v>
      </c>
      <c r="BG776" s="19">
        <f>SUM(BG778:BG780)</f>
        <v>6</v>
      </c>
      <c r="BH776" s="19">
        <f>SUM(BH778:BH780)</f>
        <v>6</v>
      </c>
      <c r="BK776" s="19"/>
      <c r="BL776" s="20"/>
    </row>
    <row r="777" spans="1:64" ht="11.45" customHeight="1" thickBot="1" x14ac:dyDescent="0.25">
      <c r="J777" s="10"/>
      <c r="K777" s="28"/>
      <c r="L777" s="28"/>
      <c r="N777" s="38" t="s">
        <v>301</v>
      </c>
      <c r="O777" s="28"/>
      <c r="P777" s="28"/>
      <c r="Q777" s="274"/>
      <c r="R777" s="274"/>
      <c r="S777" s="275"/>
      <c r="T777" s="261"/>
      <c r="U777" s="265" t="str">
        <f>IF(N777&lt;&gt;"",CONCATENATE(VLOOKUP(N777,[1]zawodnicy!$A$1:$E$65536,1,FALSE)," ",VLOOKUP(N777,[1]zawodnicy!$A$1:$E$65536,2,FALSE)," ",VLOOKUP(N777,[1]zawodnicy!$A$1:$E$65536,3,FALSE)," - ",VLOOKUP(N777,[1]zawodnicy!$A$1:$E$65536,4,FALSE)),"")</f>
        <v>S4730 Karolina SZUBERT - KS Match Point Ślęza</v>
      </c>
      <c r="V777" s="266"/>
      <c r="W777" s="267"/>
      <c r="X777" s="35"/>
      <c r="Y777" s="39" t="str">
        <f>IF(SUM(AS780:AT780)=0,"",AS780&amp;":"&amp;AT780)</f>
        <v/>
      </c>
      <c r="Z777" s="40" t="str">
        <f>IF(SUM(AS778:AT778)=0,"",AS778&amp;":"&amp;AT778)</f>
        <v/>
      </c>
      <c r="AA777" s="262"/>
      <c r="AB777" s="263"/>
      <c r="AC777" s="263"/>
      <c r="AD777" s="264"/>
      <c r="AE777" s="2"/>
      <c r="AF777" s="12"/>
      <c r="AG777" s="12"/>
      <c r="AH777" s="14"/>
      <c r="AI777" s="259" t="s">
        <v>12</v>
      </c>
      <c r="AJ777" s="269"/>
      <c r="AK777" s="268" t="s">
        <v>13</v>
      </c>
      <c r="AL777" s="269"/>
      <c r="AM777" s="268" t="s">
        <v>14</v>
      </c>
      <c r="AN777" s="260"/>
      <c r="AO777" s="259" t="s">
        <v>12</v>
      </c>
      <c r="AP777" s="269"/>
      <c r="AQ777" s="268" t="s">
        <v>13</v>
      </c>
      <c r="AR777" s="269"/>
      <c r="AS777" s="268" t="s">
        <v>14</v>
      </c>
      <c r="AT777" s="269"/>
      <c r="AU777" s="12"/>
      <c r="AV777" s="12"/>
      <c r="AW777" s="259">
        <v>1</v>
      </c>
      <c r="AX777" s="269"/>
      <c r="AY777" s="268">
        <v>2</v>
      </c>
      <c r="AZ777" s="269"/>
      <c r="BA777" s="268">
        <v>3</v>
      </c>
      <c r="BB777" s="260"/>
      <c r="BE777" s="259" t="s">
        <v>3</v>
      </c>
      <c r="BF777" s="260"/>
      <c r="BG777" s="259" t="s">
        <v>4</v>
      </c>
      <c r="BH777" s="260"/>
      <c r="BI777" s="259" t="s">
        <v>5</v>
      </c>
      <c r="BJ777" s="260"/>
      <c r="BK777" s="41" t="s">
        <v>6</v>
      </c>
      <c r="BL777" s="20"/>
    </row>
    <row r="778" spans="1:64" ht="11.45" customHeight="1" x14ac:dyDescent="0.2">
      <c r="A778" s="19">
        <f>S778</f>
        <v>81</v>
      </c>
      <c r="B778" s="2" t="str">
        <f>IF(N776="","",N776)</f>
        <v>C4406</v>
      </c>
      <c r="C778" s="2" t="str">
        <f>IF(N777="","",N777)</f>
        <v>S4730</v>
      </c>
      <c r="D778" s="2" t="str">
        <f>IF(N782="","",N782)</f>
        <v>M4565</v>
      </c>
      <c r="E778" s="2" t="str">
        <f>IF(N783="","",N783)</f>
        <v>X05</v>
      </c>
      <c r="I778" s="2" t="str">
        <f>"2"&amp;O774&amp;N775</f>
        <v>23mieszana MM</v>
      </c>
      <c r="J778" s="10" t="str">
        <f>IF(AD778="","",IF(AD775=2,N776,IF(AD778=2,N779,IF(AD781=2,N782,""))))</f>
        <v>C4406</v>
      </c>
      <c r="K778" s="10" t="str">
        <f>IF(AD778="","",IF(AD775=2,N777,IF(AD778=2,N780,IF(AD781=2,N783,""))))</f>
        <v>S4730</v>
      </c>
      <c r="M778" s="42" t="str">
        <f>N775</f>
        <v>mieszana MM</v>
      </c>
      <c r="O778" s="28"/>
      <c r="P778" s="28"/>
      <c r="Q778" s="43" t="str">
        <f>IF(AU778&gt;0,"",IF(A778=0,"",IF(VLOOKUP(A778,'[1]plan gier'!A$1:S$65536,19,FALSE)="","",VLOOKUP(A778,'[1]plan gier'!A$1:S$65536,19,FALSE))))</f>
        <v/>
      </c>
      <c r="R778" s="44" t="s">
        <v>15</v>
      </c>
      <c r="S778" s="45">
        <v>81</v>
      </c>
      <c r="T778" s="241">
        <v>2</v>
      </c>
      <c r="U778" s="244" t="str">
        <f>IF(AND(N779&lt;&gt;"",N780&lt;&gt;""),CONCATENATE(VLOOKUP(N779,[1]zawodnicy!$A$1:$E$65536,1,FALSE)," ",VLOOKUP(N779,[1]zawodnicy!$A$1:$E$65536,2,FALSE)," ",VLOOKUP(N779,[1]zawodnicy!$A$1:$E$65536,3,FALSE)," - ",VLOOKUP(N779,[1]zawodnicy!$A$1:$E$65536,4,FALSE)),"")</f>
        <v>R4700 Paweł RADZIWON - UKS Hubal Białystok</v>
      </c>
      <c r="V778" s="245"/>
      <c r="W778" s="246"/>
      <c r="X778" s="46" t="str">
        <f>IF(SUM(AO780:AP780)=0,"",AP780&amp;":"&amp;AO780)</f>
        <v>10:21</v>
      </c>
      <c r="Y778" s="47"/>
      <c r="Z778" s="48" t="str">
        <f>IF(SUM(AO779:AP779)=0,"",AO779&amp;":"&amp;AP779)</f>
        <v>6:21</v>
      </c>
      <c r="AA778" s="247" t="str">
        <f>IF(SUM(AW779:AX779,BA779:BB779)=0,"",BE779&amp;":"&amp;BF779)</f>
        <v>30:84</v>
      </c>
      <c r="AB778" s="250" t="str">
        <f>IF(SUM(AW779:AX779,BA779:BB779)=0,"",BG779&amp;":"&amp;BH779)</f>
        <v>0:4</v>
      </c>
      <c r="AC778" s="250" t="str">
        <f>IF(SUM(AW779:AX779,BA779:BB779)=0,"",BI779&amp;":"&amp;BJ779)</f>
        <v>0:2</v>
      </c>
      <c r="AD778" s="253">
        <f>IF(SUM(BI778:BI780)&gt;0,BK779,"")</f>
        <v>3</v>
      </c>
      <c r="AE778" s="2"/>
      <c r="AF778" s="12"/>
      <c r="AG778" s="12"/>
      <c r="AH778" s="44" t="s">
        <v>15</v>
      </c>
      <c r="AI778" s="49">
        <f>IF(ISBLANK(S778),"",VLOOKUP(S778,'[1]plan gier'!$X$1:$AN$65536,12,FALSE))</f>
        <v>16</v>
      </c>
      <c r="AJ778" s="50">
        <f>IF(ISBLANK(S778),"",VLOOKUP(S778,'[1]plan gier'!$X$1:$AN$65536,13,FALSE))</f>
        <v>21</v>
      </c>
      <c r="AK778" s="50">
        <f>IF(ISBLANK(S778),"",VLOOKUP(S778,'[1]plan gier'!$X$1:$AN$65536,14,FALSE))</f>
        <v>15</v>
      </c>
      <c r="AL778" s="50">
        <f>IF(ISBLANK(S778),"",VLOOKUP(S778,'[1]plan gier'!$X$1:$AN$65536,15,FALSE))</f>
        <v>21</v>
      </c>
      <c r="AM778" s="50">
        <f>IF(ISBLANK(S778),"",VLOOKUP(S778,'[1]plan gier'!$X$1:$AN$65536,16,FALSE))</f>
        <v>0</v>
      </c>
      <c r="AN778" s="50">
        <f>IF(ISBLANK(S778),"",VLOOKUP(S778,'[1]plan gier'!$X$1:$AN$65536,17,FALSE))</f>
        <v>0</v>
      </c>
      <c r="AO778" s="51">
        <f t="shared" ref="AO778:AT780" si="77">IF(AI778="",0,AI778)</f>
        <v>16</v>
      </c>
      <c r="AP778" s="52">
        <f t="shared" si="77"/>
        <v>21</v>
      </c>
      <c r="AQ778" s="53">
        <f t="shared" si="77"/>
        <v>15</v>
      </c>
      <c r="AR778" s="52">
        <f t="shared" si="77"/>
        <v>21</v>
      </c>
      <c r="AS778" s="53">
        <f t="shared" si="77"/>
        <v>0</v>
      </c>
      <c r="AT778" s="52">
        <f t="shared" si="77"/>
        <v>0</v>
      </c>
      <c r="AU778" s="54">
        <f>SUM(AO778:AT778)</f>
        <v>73</v>
      </c>
      <c r="AV778" s="13">
        <v>1</v>
      </c>
      <c r="AW778" s="55"/>
      <c r="AX778" s="56"/>
      <c r="AY778" s="50">
        <f>IF(AI780&gt;AJ780,1,0)+IF(AK780&gt;AL780,1,0)+IF(AM780&gt;AN780,1,0)</f>
        <v>2</v>
      </c>
      <c r="AZ778" s="50">
        <f>AW779</f>
        <v>0</v>
      </c>
      <c r="BA778" s="50">
        <f>IF(AI778&gt;AJ778,1,0)+IF(AK778&gt;AL778,1,0)+IF(AM778&gt;AN778,1,0)</f>
        <v>0</v>
      </c>
      <c r="BB778" s="57">
        <f>AW780</f>
        <v>2</v>
      </c>
      <c r="BE778" s="49">
        <f>AO778+AQ778+AS778+AO780+AQ780+AS780</f>
        <v>73</v>
      </c>
      <c r="BF778" s="57">
        <f>AP778+AR778+AT778+AP780+AR780+AT780</f>
        <v>61</v>
      </c>
      <c r="BG778" s="49">
        <f>AY778+BA778</f>
        <v>2</v>
      </c>
      <c r="BH778" s="57">
        <f>AZ778+BB778</f>
        <v>2</v>
      </c>
      <c r="BI778" s="49">
        <f>IF(AY778&gt;AZ778,1,0)+IF(BA778&gt;BB778,1,0)</f>
        <v>1</v>
      </c>
      <c r="BJ778" s="58">
        <f>IF(AZ778&gt;AY778,1,0)+IF(BB778&gt;BA778,1,0)</f>
        <v>1</v>
      </c>
      <c r="BK778" s="59">
        <f>IF(BI778+BJ778=0,"",IF(BL778=MAX(BL778:BL780),1,IF(BL778=MIN(BL778:BL780),3,2)))</f>
        <v>2</v>
      </c>
      <c r="BL778" s="60">
        <f>IF(BI778+BJ778&lt;&gt;0,BI778+1+(BG778-BH778)/100+(BE778-BF778)/100000+(BE778/BF778)/1000000,0)</f>
        <v>2.0001211967213113</v>
      </c>
    </row>
    <row r="779" spans="1:64" ht="11.45" customHeight="1" x14ac:dyDescent="0.2">
      <c r="A779" s="19">
        <f>S779</f>
        <v>147</v>
      </c>
      <c r="B779" s="2" t="str">
        <f>IF(N779="","",N779)</f>
        <v>R4700</v>
      </c>
      <c r="C779" s="2" t="str">
        <f>IF(N780="","",N780)</f>
        <v>R5603</v>
      </c>
      <c r="D779" s="2" t="str">
        <f>IF(N782="","",N782)</f>
        <v>M4565</v>
      </c>
      <c r="E779" s="2" t="str">
        <f>IF(N783="","",N783)</f>
        <v>X05</v>
      </c>
      <c r="J779" s="10"/>
      <c r="K779" s="19"/>
      <c r="M779" s="42" t="str">
        <f>N775</f>
        <v>mieszana MM</v>
      </c>
      <c r="N779" s="33" t="s">
        <v>365</v>
      </c>
      <c r="O779" s="34">
        <f>IF(O774&gt;0,(O774&amp;2)*1,"")</f>
        <v>32</v>
      </c>
      <c r="Q779" s="43" t="str">
        <f>IF(AU779&gt;0,"",IF(A779=0,"",IF(VLOOKUP(A779,'[1]plan gier'!A$1:S$65536,19,FALSE)="","",VLOOKUP(A779,'[1]plan gier'!A$1:S$65536,19,FALSE))))</f>
        <v/>
      </c>
      <c r="R779" s="44" t="s">
        <v>17</v>
      </c>
      <c r="S779" s="45">
        <v>147</v>
      </c>
      <c r="T779" s="242"/>
      <c r="U779" s="244" t="str">
        <f>IF(AND(N779&lt;&gt;"",N780=""),CONCATENATE(VLOOKUP(N779,[1]zawodnicy!$A$1:$E$65536,1,FALSE)," ",VLOOKUP(N779,[1]zawodnicy!$A$1:$E$65536,2,FALSE)," ",VLOOKUP(N779,[1]zawodnicy!$A$1:$E$65536,3,FALSE)," - ",VLOOKUP(N779,[1]zawodnicy!$A$1:$E$65536,4,FALSE)),"")</f>
        <v/>
      </c>
      <c r="V779" s="245"/>
      <c r="W779" s="246"/>
      <c r="X779" s="61" t="str">
        <f>IF(SUM(AQ780:AR780)=0,"",AR780&amp;":"&amp;AQ780)</f>
        <v>9:21</v>
      </c>
      <c r="Y779" s="62"/>
      <c r="Z779" s="37" t="str">
        <f>IF(SUM(AQ779:AR779)=0,"",AQ779&amp;":"&amp;AR779)</f>
        <v>5:21</v>
      </c>
      <c r="AA779" s="248"/>
      <c r="AB779" s="251"/>
      <c r="AC779" s="251"/>
      <c r="AD779" s="254"/>
      <c r="AE779" s="2"/>
      <c r="AF779" s="12"/>
      <c r="AG779" s="12"/>
      <c r="AH779" s="44" t="s">
        <v>17</v>
      </c>
      <c r="AI779" s="63">
        <f>IF(ISBLANK(S779),"",VLOOKUP(S779,'[1]plan gier'!$X$1:$AN$65536,12,FALSE))</f>
        <v>6</v>
      </c>
      <c r="AJ779" s="64">
        <f>IF(ISBLANK(S779),"",VLOOKUP(S779,'[1]plan gier'!$X$1:$AN$65536,13,FALSE))</f>
        <v>21</v>
      </c>
      <c r="AK779" s="64">
        <f>IF(ISBLANK(S779),"",VLOOKUP(S779,'[1]plan gier'!$X$1:$AN$65536,14,FALSE))</f>
        <v>5</v>
      </c>
      <c r="AL779" s="64">
        <f>IF(ISBLANK(S779),"",VLOOKUP(S779,'[1]plan gier'!$X$1:$AN$65536,15,FALSE))</f>
        <v>21</v>
      </c>
      <c r="AM779" s="64">
        <f>IF(ISBLANK(S779),"",VLOOKUP(S779,'[1]plan gier'!$X$1:$AN$65536,16,FALSE))</f>
        <v>0</v>
      </c>
      <c r="AN779" s="64">
        <f>IF(ISBLANK(S779),"",VLOOKUP(S779,'[1]plan gier'!$X$1:$AN$65536,17,FALSE))</f>
        <v>0</v>
      </c>
      <c r="AO779" s="65">
        <f t="shared" si="77"/>
        <v>6</v>
      </c>
      <c r="AP779" s="64">
        <f t="shared" si="77"/>
        <v>21</v>
      </c>
      <c r="AQ779" s="66">
        <f t="shared" si="77"/>
        <v>5</v>
      </c>
      <c r="AR779" s="64">
        <f t="shared" si="77"/>
        <v>21</v>
      </c>
      <c r="AS779" s="66">
        <f t="shared" si="77"/>
        <v>0</v>
      </c>
      <c r="AT779" s="64">
        <f t="shared" si="77"/>
        <v>0</v>
      </c>
      <c r="AU779" s="54">
        <f>SUM(AO779:AT779)</f>
        <v>53</v>
      </c>
      <c r="AV779" s="13">
        <v>2</v>
      </c>
      <c r="AW779" s="63">
        <f>IF(AI780&lt;AJ780,1,0)+IF(AK780&lt;AL780,1,0)+IF(AM780&lt;AN780,1,0)</f>
        <v>0</v>
      </c>
      <c r="AX779" s="64">
        <f>AY778</f>
        <v>2</v>
      </c>
      <c r="AY779" s="67"/>
      <c r="AZ779" s="68"/>
      <c r="BA779" s="64">
        <f>IF(AI779&gt;AJ779,1,0)+IF(AK779&gt;AL779,1,0)+IF(AM779&gt;AN779,1,0)</f>
        <v>0</v>
      </c>
      <c r="BB779" s="69">
        <f>AY780</f>
        <v>2</v>
      </c>
      <c r="BE779" s="63">
        <f>AO779+AQ779+AS779+AP780+AR780+AT780</f>
        <v>30</v>
      </c>
      <c r="BF779" s="69">
        <f>AP779+AR779+AT779+AO780+AQ780+AS780</f>
        <v>84</v>
      </c>
      <c r="BG779" s="63">
        <f>AW779+BA779</f>
        <v>0</v>
      </c>
      <c r="BH779" s="69">
        <f>AX779+BB779</f>
        <v>4</v>
      </c>
      <c r="BI779" s="63">
        <f>IF(AW779&gt;AX779,1,0)+IF(BA779&gt;BB779,1,0)</f>
        <v>0</v>
      </c>
      <c r="BJ779" s="70">
        <f>IF(AX779&gt;AW779,1,0)+IF(BB779&gt;BA779,1,0)</f>
        <v>2</v>
      </c>
      <c r="BK779" s="71">
        <f>IF(BI779+BJ779=0,"",IF(BL779=MAX(BL778:BL780),1,IF(BL779=MIN(BL778:BL780),3,2)))</f>
        <v>3</v>
      </c>
      <c r="BL779" s="60">
        <f>IF(BI779+BJ779&lt;&gt;0,BI779+1+(BG779-BH779)/100+(BE779-BF779)/100000+(BE779/BF779)/1000000,0)</f>
        <v>0.95946035714285716</v>
      </c>
    </row>
    <row r="780" spans="1:64" ht="11.45" customHeight="1" thickBot="1" x14ac:dyDescent="0.25">
      <c r="A780" s="19">
        <f>S780</f>
        <v>200</v>
      </c>
      <c r="B780" s="2" t="str">
        <f>IF(N776="","",N776)</f>
        <v>C4406</v>
      </c>
      <c r="C780" s="2" t="str">
        <f>IF(N777="","",N777)</f>
        <v>S4730</v>
      </c>
      <c r="D780" s="2" t="str">
        <f>IF(N779="","",N779)</f>
        <v>R4700</v>
      </c>
      <c r="E780" s="2" t="str">
        <f>IF(N780="","",N780)</f>
        <v>R5603</v>
      </c>
      <c r="I780" s="2" t="str">
        <f>"3"&amp;O774&amp;N775</f>
        <v>33mieszana MM</v>
      </c>
      <c r="J780" s="10" t="str">
        <f>IF(AD781="","",IF(AD775=3,N776,IF(AD778=3,N779,IF(AD781=3,N782,""))))</f>
        <v>R4700</v>
      </c>
      <c r="K780" s="10" t="str">
        <f>IF(AD781="","",IF(AD775=3,N777,IF(AD778=3,N780,IF(AD781=3,N783,""))))</f>
        <v>R5603</v>
      </c>
      <c r="M780" s="42" t="str">
        <f>N775</f>
        <v>mieszana MM</v>
      </c>
      <c r="N780" s="38" t="s">
        <v>310</v>
      </c>
      <c r="O780" s="28"/>
      <c r="P780" s="28"/>
      <c r="Q780" s="43" t="str">
        <f>IF(AU780&gt;0,"",IF(A780=0,"",IF(VLOOKUP(A780,'[1]plan gier'!A$1:S$65536,19,FALSE)="","",VLOOKUP(A780,'[1]plan gier'!A$1:S$65536,19,FALSE))))</f>
        <v/>
      </c>
      <c r="R780" s="72" t="s">
        <v>18</v>
      </c>
      <c r="S780" s="45">
        <v>200</v>
      </c>
      <c r="T780" s="261"/>
      <c r="U780" s="265" t="str">
        <f>IF(N780&lt;&gt;"",CONCATENATE(VLOOKUP(N780,[1]zawodnicy!$A$1:$E$65536,1,FALSE)," ",VLOOKUP(N780,[1]zawodnicy!$A$1:$E$65536,2,FALSE)," ",VLOOKUP(N780,[1]zawodnicy!$A$1:$E$65536,3,FALSE)," - ",VLOOKUP(N780,[1]zawodnicy!$A$1:$E$65536,4,FALSE)),"")</f>
        <v>R5603 Aleksandra RADZISZEWSKA - UKS Hubal Białystok</v>
      </c>
      <c r="V780" s="266"/>
      <c r="W780" s="267"/>
      <c r="X780" s="73" t="str">
        <f>IF(SUM(AS780:AT780)=0,"",AT780&amp;":"&amp;AS780)</f>
        <v/>
      </c>
      <c r="Y780" s="62"/>
      <c r="Z780" s="40" t="str">
        <f>IF(SUM(AS779:AT779)=0,"",AS779&amp;":"&amp;AT779)</f>
        <v/>
      </c>
      <c r="AA780" s="262"/>
      <c r="AB780" s="263"/>
      <c r="AC780" s="263"/>
      <c r="AD780" s="264"/>
      <c r="AE780" s="2"/>
      <c r="AF780" s="12"/>
      <c r="AG780" s="12"/>
      <c r="AH780" s="72" t="s">
        <v>18</v>
      </c>
      <c r="AI780" s="74">
        <f>IF(ISBLANK(S780),"",VLOOKUP(S780,'[1]plan gier'!$X$1:$AN$65536,12,FALSE))</f>
        <v>21</v>
      </c>
      <c r="AJ780" s="75">
        <f>IF(ISBLANK(S780),"",VLOOKUP(S780,'[1]plan gier'!$X$1:$AN$65536,13,FALSE))</f>
        <v>10</v>
      </c>
      <c r="AK780" s="75">
        <f>IF(ISBLANK(S780),"",VLOOKUP(S780,'[1]plan gier'!$X$1:$AN$65536,14,FALSE))</f>
        <v>21</v>
      </c>
      <c r="AL780" s="75">
        <f>IF(ISBLANK(S780),"",VLOOKUP(S780,'[1]plan gier'!$X$1:$AN$65536,15,FALSE))</f>
        <v>9</v>
      </c>
      <c r="AM780" s="75">
        <f>IF(ISBLANK(S780),"",VLOOKUP(S780,'[1]plan gier'!$X$1:$AN$65536,16,FALSE))</f>
        <v>0</v>
      </c>
      <c r="AN780" s="75">
        <f>IF(ISBLANK(S780),"",VLOOKUP(S780,'[1]plan gier'!$X$1:$AN$65536,17,FALSE))</f>
        <v>0</v>
      </c>
      <c r="AO780" s="76">
        <f t="shared" si="77"/>
        <v>21</v>
      </c>
      <c r="AP780" s="75">
        <f t="shared" si="77"/>
        <v>10</v>
      </c>
      <c r="AQ780" s="77">
        <f t="shared" si="77"/>
        <v>21</v>
      </c>
      <c r="AR780" s="75">
        <f t="shared" si="77"/>
        <v>9</v>
      </c>
      <c r="AS780" s="77">
        <f t="shared" si="77"/>
        <v>0</v>
      </c>
      <c r="AT780" s="75">
        <f t="shared" si="77"/>
        <v>0</v>
      </c>
      <c r="AU780" s="54">
        <f>SUM(AO780:AT780)</f>
        <v>61</v>
      </c>
      <c r="AV780" s="13">
        <v>3</v>
      </c>
      <c r="AW780" s="74">
        <f>IF(AI778&lt;AJ778,1,0)+IF(AK778&lt;AL778,1,0)+IF(AM778&lt;AN778,1,0)</f>
        <v>2</v>
      </c>
      <c r="AX780" s="75">
        <f>BA778</f>
        <v>0</v>
      </c>
      <c r="AY780" s="75">
        <f>IF(AI779&lt;AJ779,1,0)+IF(AK779&lt;AL779,1,0)+IF(AM779&lt;AN779,1,0)</f>
        <v>2</v>
      </c>
      <c r="AZ780" s="75">
        <f>BA779</f>
        <v>0</v>
      </c>
      <c r="BA780" s="78"/>
      <c r="BB780" s="79"/>
      <c r="BE780" s="74">
        <f>AP778+AR778+AT778+AP779+AR779+AT779</f>
        <v>84</v>
      </c>
      <c r="BF780" s="80">
        <f>AO778+AQ778+AS778+AO779+AQ779+AS779</f>
        <v>42</v>
      </c>
      <c r="BG780" s="74">
        <f>AW780+AY780</f>
        <v>4</v>
      </c>
      <c r="BH780" s="80">
        <f>AX780+AZ780</f>
        <v>0</v>
      </c>
      <c r="BI780" s="74">
        <f>IF(AW780&gt;AX780,1,0)+IF(AY780&gt;AZ780,1,0)</f>
        <v>2</v>
      </c>
      <c r="BJ780" s="81">
        <f>IF(AX780&gt;AW780,1,0)+IF(AZ780&gt;AY780,1,0)</f>
        <v>0</v>
      </c>
      <c r="BK780" s="82">
        <f>IF(BI780+BJ780=0,"",IF(BL780=MAX(BL778:BL780),1,IF(BL780=MIN(BL778:BL780),3,2)))</f>
        <v>1</v>
      </c>
      <c r="BL780" s="60">
        <f>IF(BI780+BJ780&lt;&gt;0,BI780+1+(BG780-BH780)/100+(BE780-BF780)/100000+(BE780/BF780)/1000000,0)</f>
        <v>3.040422</v>
      </c>
    </row>
    <row r="781" spans="1:64" ht="11.45" customHeight="1" x14ac:dyDescent="0.2">
      <c r="A781" s="2"/>
      <c r="J781" s="28"/>
      <c r="K781" s="28"/>
      <c r="L781" s="28"/>
      <c r="O781" s="28"/>
      <c r="P781" s="28"/>
      <c r="Q781" s="2"/>
      <c r="R781" s="2"/>
      <c r="S781" s="2"/>
      <c r="T781" s="241">
        <v>3</v>
      </c>
      <c r="U781" s="244" t="str">
        <f>IF(AND(N782&lt;&gt;"",N783&lt;&gt;""),CONCATENATE(VLOOKUP(N782,[1]zawodnicy!$A$1:$E$65536,1,FALSE)," ",VLOOKUP(N782,[1]zawodnicy!$A$1:$E$65536,2,FALSE)," ",VLOOKUP(N782,[1]zawodnicy!$A$1:$E$65536,3,FALSE)," - ",VLOOKUP(N782,[1]zawodnicy!$A$1:$E$65536,4,FALSE)),"")</f>
        <v>M4565 Maciej MATUSZ - LKS Technik Głubczyce</v>
      </c>
      <c r="V781" s="245"/>
      <c r="W781" s="246"/>
      <c r="X781" s="46" t="str">
        <f>IF(SUM(AO778:AP778)=0,"",AP778&amp;":"&amp;AO778)</f>
        <v>21:16</v>
      </c>
      <c r="Y781" s="83" t="str">
        <f>IF(SUM(AO779:AP779)=0,"",AP779&amp;":"&amp;AO779)</f>
        <v>21:6</v>
      </c>
      <c r="Z781" s="84"/>
      <c r="AA781" s="247" t="str">
        <f>IF(SUM(AW780:AZ780)=0,"",BE780&amp;":"&amp;BF780)</f>
        <v>84:42</v>
      </c>
      <c r="AB781" s="250" t="str">
        <f>IF(SUM(AW780:AZ780)=0,"",BG780&amp;":"&amp;BH780)</f>
        <v>4:0</v>
      </c>
      <c r="AC781" s="250" t="str">
        <f>IF(SUM(AW780:AZ780)=0,"",BI780&amp;":"&amp;BJ780)</f>
        <v>2:0</v>
      </c>
      <c r="AD781" s="253">
        <f>IF(SUM(BI778:BI780)&gt;0,BK780,"")</f>
        <v>1</v>
      </c>
      <c r="AE781" s="2"/>
      <c r="AF781" s="12"/>
      <c r="AG781" s="12"/>
      <c r="BE781" s="19">
        <f>SUM(BE778:BE780)</f>
        <v>187</v>
      </c>
      <c r="BF781" s="19">
        <f>SUM(BF778:BF780)</f>
        <v>187</v>
      </c>
      <c r="BG781" s="19">
        <f>SUM(BG778:BG780)</f>
        <v>6</v>
      </c>
      <c r="BH781" s="19">
        <f>SUM(BH778:BH780)</f>
        <v>6</v>
      </c>
      <c r="BK781" s="19"/>
      <c r="BL781" s="20"/>
    </row>
    <row r="782" spans="1:64" ht="11.45" customHeight="1" x14ac:dyDescent="0.2">
      <c r="A782" s="19"/>
      <c r="J782" s="19"/>
      <c r="K782" s="19"/>
      <c r="L782" s="19"/>
      <c r="N782" s="33" t="s">
        <v>351</v>
      </c>
      <c r="O782" s="34">
        <f>IF(O774&gt;0,(O774&amp;3)*1,"")</f>
        <v>33</v>
      </c>
      <c r="Q782" s="85"/>
      <c r="R782" s="85"/>
      <c r="S782" s="85"/>
      <c r="T782" s="242"/>
      <c r="U782" s="244" t="str">
        <f>IF(AND(N782&lt;&gt;"",N783=""),CONCATENATE(VLOOKUP(N782,[1]zawodnicy!$A$1:$E$65536,1,FALSE)," ",VLOOKUP(N782,[1]zawodnicy!$A$1:$E$65536,2,FALSE)," ",VLOOKUP(N782,[1]zawodnicy!$A$1:$E$65536,3,FALSE)," - ",VLOOKUP(N782,[1]zawodnicy!$A$1:$E$65536,4,FALSE)),"")</f>
        <v/>
      </c>
      <c r="V782" s="245"/>
      <c r="W782" s="246"/>
      <c r="X782" s="61" t="str">
        <f>IF(SUM(AQ778:AR778)=0,"",AR778&amp;":"&amp;AQ778)</f>
        <v>21:15</v>
      </c>
      <c r="Y782" s="36" t="str">
        <f>IF(SUM(AQ779:AR779)=0,"",AR779&amp;":"&amp;AQ779)</f>
        <v>21:5</v>
      </c>
      <c r="Z782" s="86"/>
      <c r="AA782" s="248"/>
      <c r="AB782" s="251"/>
      <c r="AC782" s="251"/>
      <c r="AD782" s="254"/>
      <c r="AE782" s="2"/>
      <c r="AF782" s="12"/>
      <c r="AG782" s="1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row>
    <row r="783" spans="1:64" ht="11.45" customHeight="1" thickBot="1" x14ac:dyDescent="0.25">
      <c r="A783" s="2"/>
      <c r="J783" s="28"/>
      <c r="K783" s="28"/>
      <c r="L783" s="28"/>
      <c r="N783" s="38" t="s">
        <v>371</v>
      </c>
      <c r="O783" s="28"/>
      <c r="P783" s="28"/>
      <c r="Q783" s="2"/>
      <c r="R783" s="2"/>
      <c r="S783" s="2"/>
      <c r="T783" s="243"/>
      <c r="U783" s="256" t="str">
        <f>IF(N783&lt;&gt;"",CONCATENATE(VLOOKUP(N783,[1]zawodnicy!$A$1:$E$65536,1,FALSE)," ",VLOOKUP(N783,[1]zawodnicy!$A$1:$E$65536,2,FALSE)," ",VLOOKUP(N783,[1]zawodnicy!$A$1:$E$65536,3,FALSE)," - ",VLOOKUP(N783,[1]zawodnicy!$A$1:$E$65536,4,FALSE)),"")</f>
        <v>X05 Alesia  KRAMCHANINA - Białoruś</v>
      </c>
      <c r="V783" s="257"/>
      <c r="W783" s="258"/>
      <c r="X783" s="87" t="str">
        <f>IF(SUM(AS778:AT778)=0,"",AT778&amp;":"&amp;AS778)</f>
        <v/>
      </c>
      <c r="Y783" s="88" t="str">
        <f>IF(SUM(AS779:AT779)=0,"",AT779&amp;":"&amp;AS779)</f>
        <v/>
      </c>
      <c r="Z783" s="89"/>
      <c r="AA783" s="249"/>
      <c r="AB783" s="252"/>
      <c r="AC783" s="252"/>
      <c r="AD783" s="255"/>
      <c r="AE783" s="10"/>
      <c r="AF783" s="12"/>
      <c r="AG783" s="1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row>
    <row r="784" spans="1:64" s="19" customFormat="1" ht="5.0999999999999996" customHeight="1" thickBot="1" x14ac:dyDescent="0.25">
      <c r="M784" s="90"/>
      <c r="O784" s="90"/>
      <c r="P784" s="90"/>
      <c r="Q784" s="91"/>
      <c r="R784" s="91"/>
      <c r="S784" s="91"/>
      <c r="T784" s="91"/>
      <c r="U784" s="5"/>
      <c r="V784" s="5"/>
      <c r="W784" s="5"/>
      <c r="AA784" s="92"/>
      <c r="AB784" s="91"/>
      <c r="AC784" s="91"/>
      <c r="AD784" s="91"/>
      <c r="AE784" s="91"/>
      <c r="AF784" s="91"/>
      <c r="AI784" s="93"/>
      <c r="AJ784" s="94"/>
      <c r="AK784" s="94"/>
    </row>
    <row r="785" spans="1:64" ht="11.45" customHeight="1" thickBot="1" x14ac:dyDescent="0.25">
      <c r="N785" s="11"/>
      <c r="O785" s="21">
        <v>4</v>
      </c>
      <c r="Q785" s="277" t="str">
        <f>"Grupa "&amp;O785&amp;"."</f>
        <v>Grupa 4.</v>
      </c>
      <c r="R785" s="277"/>
      <c r="S785" s="277"/>
      <c r="T785" s="22" t="s">
        <v>1</v>
      </c>
      <c r="U785" s="278" t="s">
        <v>2</v>
      </c>
      <c r="V785" s="279"/>
      <c r="W785" s="280"/>
      <c r="X785" s="22">
        <v>1</v>
      </c>
      <c r="Y785" s="23">
        <v>2</v>
      </c>
      <c r="Z785" s="24">
        <v>3</v>
      </c>
      <c r="AA785" s="25" t="s">
        <v>3</v>
      </c>
      <c r="AB785" s="26" t="s">
        <v>4</v>
      </c>
      <c r="AC785" s="26" t="s">
        <v>5</v>
      </c>
      <c r="AD785" s="27" t="s">
        <v>6</v>
      </c>
      <c r="AE785" s="2"/>
      <c r="AF785" s="12"/>
      <c r="AG785" s="12"/>
      <c r="BK785" s="19"/>
      <c r="BL785" s="20"/>
    </row>
    <row r="786" spans="1:64" ht="11.45" customHeight="1" x14ac:dyDescent="0.2">
      <c r="J786" s="28"/>
      <c r="K786" s="28"/>
      <c r="L786" s="28"/>
      <c r="N786" s="29" t="s">
        <v>370</v>
      </c>
      <c r="Q786" s="274" t="s">
        <v>7</v>
      </c>
      <c r="R786" s="274"/>
      <c r="S786" s="275" t="s">
        <v>8</v>
      </c>
      <c r="T786" s="276">
        <v>1</v>
      </c>
      <c r="U786" s="244" t="str">
        <f>IF(AND(N787&lt;&gt;"",N788&lt;&gt;""),CONCATENATE(VLOOKUP(N787,[1]zawodnicy!$A$1:$E$65536,1,FALSE)," ",VLOOKUP(N787,[1]zawodnicy!$A$1:$E$65536,2,FALSE)," ",VLOOKUP(N787,[1]zawodnicy!$A$1:$E$65536,3,FALSE)," - ",VLOOKUP(N787,[1]zawodnicy!$A$1:$E$65536,4,FALSE)),"")</f>
        <v>Z4312 Łukasz ZWIERZCHOWSKI - UKSB Milenium Warszawa</v>
      </c>
      <c r="V786" s="245"/>
      <c r="W786" s="246"/>
      <c r="X786" s="30"/>
      <c r="Y786" s="31" t="str">
        <f>IF(SUM(AO791:AP791)=0,"",AO791&amp;":"&amp;AP791)</f>
        <v>19:21</v>
      </c>
      <c r="Z786" s="32" t="str">
        <f>IF(SUM(AO789:AP789)=0,"",AO789&amp;":"&amp;AP789)</f>
        <v>21:0</v>
      </c>
      <c r="AA786" s="270" t="str">
        <f>IF(SUM(AY789:BB789)=0,"",BE789&amp;":"&amp;BF789)</f>
        <v>103:51</v>
      </c>
      <c r="AB786" s="271" t="str">
        <f>IF(SUM(AY789:BB789)=0,"",BG789&amp;":"&amp;BH789)</f>
        <v>4:1</v>
      </c>
      <c r="AC786" s="271" t="str">
        <f>IF(SUM(AY789:BB789)=0,"",BI789&amp;":"&amp;BJ789)</f>
        <v>2:0</v>
      </c>
      <c r="AD786" s="272">
        <f>IF(SUM(BI789:BI791)&gt;0,BK789,"")</f>
        <v>1</v>
      </c>
      <c r="AE786" s="2"/>
      <c r="AF786" s="12"/>
      <c r="AG786" s="12"/>
      <c r="AH786" s="14"/>
      <c r="AI786" s="273" t="s">
        <v>9</v>
      </c>
      <c r="AJ786" s="273"/>
      <c r="AK786" s="273"/>
      <c r="AL786" s="273"/>
      <c r="AM786" s="273"/>
      <c r="AN786" s="273"/>
      <c r="AO786" s="273" t="s">
        <v>10</v>
      </c>
      <c r="AP786" s="273"/>
      <c r="AQ786" s="273"/>
      <c r="AR786" s="273"/>
      <c r="AS786" s="273"/>
      <c r="AT786" s="273"/>
      <c r="BK786" s="19"/>
      <c r="BL786" s="20"/>
    </row>
    <row r="787" spans="1:64" ht="11.45" customHeight="1" thickBot="1" x14ac:dyDescent="0.25">
      <c r="I787" s="2" t="str">
        <f>"1"&amp;O785&amp;N786</f>
        <v>14mieszana MM</v>
      </c>
      <c r="J787" s="10" t="str">
        <f>IF(AD786="","",IF(AD786=1,N787,IF(AD789=1,N790,IF(AD792=1,N793,""))))</f>
        <v>Z4312</v>
      </c>
      <c r="K787" s="10" t="str">
        <f>IF(AD786="","",IF(AD786=1,N788,IF(AD789=1,N791,IF(AD792=1,N794,""))))</f>
        <v>H5946</v>
      </c>
      <c r="L787" s="10"/>
      <c r="N787" s="33" t="s">
        <v>349</v>
      </c>
      <c r="O787" s="34">
        <f>IF(O785&gt;0,(O785&amp;1)*1,"")</f>
        <v>41</v>
      </c>
      <c r="Q787" s="274"/>
      <c r="R787" s="274"/>
      <c r="S787" s="275"/>
      <c r="T787" s="242"/>
      <c r="U787" s="244" t="str">
        <f>IF(AND(N787&lt;&gt;"",N788=""),CONCATENATE(VLOOKUP(N787,[1]zawodnicy!$A$1:$E$65536,1,FALSE)," ",VLOOKUP(N787,[1]zawodnicy!$A$1:$E$65536,2,FALSE)," ",VLOOKUP(N787,[1]zawodnicy!$A$1:$E$65536,3,FALSE)," - ",VLOOKUP(N787,[1]zawodnicy!$A$1:$E$65536,4,FALSE)),"")</f>
        <v/>
      </c>
      <c r="V787" s="245"/>
      <c r="W787" s="246"/>
      <c r="X787" s="35"/>
      <c r="Y787" s="36" t="str">
        <f>IF(SUM(AQ791:AR791)=0,"",AQ791&amp;":"&amp;AR791)</f>
        <v>21:18</v>
      </c>
      <c r="Z787" s="37" t="str">
        <f>IF(SUM(AQ789:AR789)=0,"",AQ789&amp;":"&amp;AR789)</f>
        <v>21:0</v>
      </c>
      <c r="AA787" s="248"/>
      <c r="AB787" s="251"/>
      <c r="AC787" s="251"/>
      <c r="AD787" s="254"/>
      <c r="AE787" s="2"/>
      <c r="AF787" s="12"/>
      <c r="AG787" s="12"/>
      <c r="AH787" s="14"/>
      <c r="BE787" s="19">
        <f>SUM(BE789:BE791)</f>
        <v>196</v>
      </c>
      <c r="BF787" s="19">
        <f>SUM(BF789:BF791)</f>
        <v>196</v>
      </c>
      <c r="BG787" s="19">
        <f>SUM(BG789:BG791)</f>
        <v>7</v>
      </c>
      <c r="BH787" s="19">
        <f>SUM(BH789:BH791)</f>
        <v>7</v>
      </c>
      <c r="BK787" s="19"/>
      <c r="BL787" s="20"/>
    </row>
    <row r="788" spans="1:64" ht="11.45" customHeight="1" thickBot="1" x14ac:dyDescent="0.25">
      <c r="J788" s="10"/>
      <c r="K788" s="28"/>
      <c r="L788" s="28"/>
      <c r="N788" s="38" t="s">
        <v>298</v>
      </c>
      <c r="O788" s="28"/>
      <c r="P788" s="28"/>
      <c r="Q788" s="274"/>
      <c r="R788" s="274"/>
      <c r="S788" s="275"/>
      <c r="T788" s="261"/>
      <c r="U788" s="265" t="str">
        <f>IF(N788&lt;&gt;"",CONCATENATE(VLOOKUP(N788,[1]zawodnicy!$A$1:$E$65536,1,FALSE)," ",VLOOKUP(N788,[1]zawodnicy!$A$1:$E$65536,2,FALSE)," ",VLOOKUP(N788,[1]zawodnicy!$A$1:$E$65536,3,FALSE)," - ",VLOOKUP(N788,[1]zawodnicy!$A$1:$E$65536,4,FALSE)),"")</f>
        <v>H5946 Paulina HANKIEWICZ - UKSB Milenium Warszawa</v>
      </c>
      <c r="V788" s="266"/>
      <c r="W788" s="267"/>
      <c r="X788" s="35"/>
      <c r="Y788" s="39" t="str">
        <f>IF(SUM(AS791:AT791)=0,"",AS791&amp;":"&amp;AT791)</f>
        <v>21:12</v>
      </c>
      <c r="Z788" s="40" t="str">
        <f>IF(SUM(AS789:AT789)=0,"",AS789&amp;":"&amp;AT789)</f>
        <v/>
      </c>
      <c r="AA788" s="262"/>
      <c r="AB788" s="263"/>
      <c r="AC788" s="263"/>
      <c r="AD788" s="264"/>
      <c r="AE788" s="2"/>
      <c r="AF788" s="12"/>
      <c r="AG788" s="12"/>
      <c r="AH788" s="14"/>
      <c r="AI788" s="259" t="s">
        <v>12</v>
      </c>
      <c r="AJ788" s="269"/>
      <c r="AK788" s="268" t="s">
        <v>13</v>
      </c>
      <c r="AL788" s="269"/>
      <c r="AM788" s="268" t="s">
        <v>14</v>
      </c>
      <c r="AN788" s="260"/>
      <c r="AO788" s="259" t="s">
        <v>12</v>
      </c>
      <c r="AP788" s="269"/>
      <c r="AQ788" s="268" t="s">
        <v>13</v>
      </c>
      <c r="AR788" s="269"/>
      <c r="AS788" s="268" t="s">
        <v>14</v>
      </c>
      <c r="AT788" s="269"/>
      <c r="AU788" s="12"/>
      <c r="AV788" s="12"/>
      <c r="AW788" s="259">
        <v>1</v>
      </c>
      <c r="AX788" s="269"/>
      <c r="AY788" s="268">
        <v>2</v>
      </c>
      <c r="AZ788" s="269"/>
      <c r="BA788" s="268">
        <v>3</v>
      </c>
      <c r="BB788" s="260"/>
      <c r="BE788" s="259" t="s">
        <v>3</v>
      </c>
      <c r="BF788" s="260"/>
      <c r="BG788" s="259" t="s">
        <v>4</v>
      </c>
      <c r="BH788" s="260"/>
      <c r="BI788" s="259" t="s">
        <v>5</v>
      </c>
      <c r="BJ788" s="260"/>
      <c r="BK788" s="41" t="s">
        <v>6</v>
      </c>
      <c r="BL788" s="20"/>
    </row>
    <row r="789" spans="1:64" ht="11.45" customHeight="1" x14ac:dyDescent="0.2">
      <c r="A789" s="19">
        <f>S789</f>
        <v>82</v>
      </c>
      <c r="B789" s="2" t="str">
        <f>IF(N787="","",N787)</f>
        <v>Z4312</v>
      </c>
      <c r="C789" s="2" t="str">
        <f>IF(N788="","",N788)</f>
        <v>H5946</v>
      </c>
      <c r="D789" s="2" t="str">
        <f>IF(N793="","",N793)</f>
        <v>S5627</v>
      </c>
      <c r="E789" s="2" t="str">
        <f>IF(N794="","",N794)</f>
        <v>S5705</v>
      </c>
      <c r="I789" s="2" t="str">
        <f>"2"&amp;O785&amp;N786</f>
        <v>24mieszana MM</v>
      </c>
      <c r="J789" s="10" t="str">
        <f>IF(AD789="","",IF(AD786=2,N787,IF(AD789=2,N790,IF(AD792=2,N793,""))))</f>
        <v>B5059</v>
      </c>
      <c r="K789" s="10" t="str">
        <f>IF(AD789="","",IF(AD786=2,N788,IF(AD789=2,N791,IF(AD792=2,N794,""))))</f>
        <v>F4870</v>
      </c>
      <c r="M789" s="42" t="str">
        <f>N786</f>
        <v>mieszana MM</v>
      </c>
      <c r="O789" s="28"/>
      <c r="P789" s="28"/>
      <c r="Q789" s="43" t="str">
        <f>IF(AU789&gt;0,"",IF(A789=0,"",IF(VLOOKUP(A789,'[1]plan gier'!A$1:S$65536,19,FALSE)="","",VLOOKUP(A789,'[1]plan gier'!A$1:S$65536,19,FALSE))))</f>
        <v/>
      </c>
      <c r="R789" s="44" t="s">
        <v>15</v>
      </c>
      <c r="S789" s="45">
        <v>82</v>
      </c>
      <c r="T789" s="241">
        <v>2</v>
      </c>
      <c r="U789" s="244" t="str">
        <f>IF(AND(N790&lt;&gt;"",N791&lt;&gt;""),CONCATENATE(VLOOKUP(N790,[1]zawodnicy!$A$1:$E$65536,1,FALSE)," ",VLOOKUP(N790,[1]zawodnicy!$A$1:$E$65536,2,FALSE)," ",VLOOKUP(N790,[1]zawodnicy!$A$1:$E$65536,3,FALSE)," - ",VLOOKUP(N790,[1]zawodnicy!$A$1:$E$65536,4,FALSE)),"")</f>
        <v>B5059 Adam BIBIK - KSR Wolant Łódź</v>
      </c>
      <c r="V789" s="245"/>
      <c r="W789" s="246"/>
      <c r="X789" s="46" t="str">
        <f>IF(SUM(AO791:AP791)=0,"",AP791&amp;":"&amp;AO791)</f>
        <v>21:19</v>
      </c>
      <c r="Y789" s="47"/>
      <c r="Z789" s="48" t="str">
        <f>IF(SUM(AO790:AP790)=0,"",AO790&amp;":"&amp;AP790)</f>
        <v>21:0</v>
      </c>
      <c r="AA789" s="247" t="str">
        <f>IF(SUM(AW790:AX790,BA790:BB790)=0,"",BE790&amp;":"&amp;BF790)</f>
        <v>93:61</v>
      </c>
      <c r="AB789" s="250" t="str">
        <f>IF(SUM(AW790:AX790,BA790:BB790)=0,"",BG790&amp;":"&amp;BH790)</f>
        <v>3:2</v>
      </c>
      <c r="AC789" s="250" t="str">
        <f>IF(SUM(AW790:AX790,BA790:BB790)=0,"",BI790&amp;":"&amp;BJ790)</f>
        <v>1:1</v>
      </c>
      <c r="AD789" s="253">
        <f>IF(SUM(BI789:BI791)&gt;0,BK790,"")</f>
        <v>2</v>
      </c>
      <c r="AE789" s="2"/>
      <c r="AF789" s="12"/>
      <c r="AG789" s="12"/>
      <c r="AH789" s="44" t="s">
        <v>15</v>
      </c>
      <c r="AI789" s="49">
        <f>IF(ISBLANK(S789),"",VLOOKUP(S789,'[1]plan gier'!$X$1:$AN$65536,12,FALSE))</f>
        <v>21</v>
      </c>
      <c r="AJ789" s="50">
        <f>IF(ISBLANK(S789),"",VLOOKUP(S789,'[1]plan gier'!$X$1:$AN$65536,13,FALSE))</f>
        <v>0</v>
      </c>
      <c r="AK789" s="50">
        <f>IF(ISBLANK(S789),"",VLOOKUP(S789,'[1]plan gier'!$X$1:$AN$65536,14,FALSE))</f>
        <v>21</v>
      </c>
      <c r="AL789" s="50">
        <f>IF(ISBLANK(S789),"",VLOOKUP(S789,'[1]plan gier'!$X$1:$AN$65536,15,FALSE))</f>
        <v>0</v>
      </c>
      <c r="AM789" s="50">
        <f>IF(ISBLANK(S789),"",VLOOKUP(S789,'[1]plan gier'!$X$1:$AN$65536,16,FALSE))</f>
        <v>0</v>
      </c>
      <c r="AN789" s="50">
        <f>IF(ISBLANK(S789),"",VLOOKUP(S789,'[1]plan gier'!$X$1:$AN$65536,17,FALSE))</f>
        <v>0</v>
      </c>
      <c r="AO789" s="51">
        <f t="shared" ref="AO789:AT791" si="78">IF(AI789="",0,AI789)</f>
        <v>21</v>
      </c>
      <c r="AP789" s="52">
        <f t="shared" si="78"/>
        <v>0</v>
      </c>
      <c r="AQ789" s="53">
        <f t="shared" si="78"/>
        <v>21</v>
      </c>
      <c r="AR789" s="52">
        <f t="shared" si="78"/>
        <v>0</v>
      </c>
      <c r="AS789" s="53">
        <f t="shared" si="78"/>
        <v>0</v>
      </c>
      <c r="AT789" s="52">
        <f t="shared" si="78"/>
        <v>0</v>
      </c>
      <c r="AU789" s="54">
        <f>SUM(AO789:AT789)</f>
        <v>42</v>
      </c>
      <c r="AV789" s="13">
        <v>1</v>
      </c>
      <c r="AW789" s="55"/>
      <c r="AX789" s="56"/>
      <c r="AY789" s="50">
        <f>IF(AI791&gt;AJ791,1,0)+IF(AK791&gt;AL791,1,0)+IF(AM791&gt;AN791,1,0)</f>
        <v>2</v>
      </c>
      <c r="AZ789" s="50">
        <f>AW790</f>
        <v>1</v>
      </c>
      <c r="BA789" s="50">
        <f>IF(AI789&gt;AJ789,1,0)+IF(AK789&gt;AL789,1,0)+IF(AM789&gt;AN789,1,0)</f>
        <v>2</v>
      </c>
      <c r="BB789" s="57">
        <f>AW791</f>
        <v>0</v>
      </c>
      <c r="BE789" s="49">
        <f>AO789+AQ789+AS789+AO791+AQ791+AS791</f>
        <v>103</v>
      </c>
      <c r="BF789" s="57">
        <f>AP789+AR789+AT789+AP791+AR791+AT791</f>
        <v>51</v>
      </c>
      <c r="BG789" s="49">
        <f>AY789+BA789</f>
        <v>4</v>
      </c>
      <c r="BH789" s="57">
        <f>AZ789+BB789</f>
        <v>1</v>
      </c>
      <c r="BI789" s="49">
        <f>IF(AY789&gt;AZ789,1,0)+IF(BA789&gt;BB789,1,0)</f>
        <v>2</v>
      </c>
      <c r="BJ789" s="58">
        <f>IF(AZ789&gt;AY789,1,0)+IF(BB789&gt;BA789,1,0)</f>
        <v>0</v>
      </c>
      <c r="BK789" s="59">
        <f>IF(BI789+BJ789=0,"",IF(BL789=MAX(BL789:BL791),1,IF(BL789=MIN(BL789:BL791),3,2)))</f>
        <v>1</v>
      </c>
      <c r="BL789" s="60">
        <f>IF(BI789+BJ789&lt;&gt;0,BI789+1+(BG789-BH789)/100+(BE789-BF789)/100000+(BE789/BF789)/1000000,0)</f>
        <v>3.0305220196078428</v>
      </c>
    </row>
    <row r="790" spans="1:64" ht="11.45" customHeight="1" x14ac:dyDescent="0.2">
      <c r="A790" s="19">
        <f>S790</f>
        <v>148</v>
      </c>
      <c r="B790" s="2" t="str">
        <f>IF(N790="","",N790)</f>
        <v>B5059</v>
      </c>
      <c r="C790" s="2" t="str">
        <f>IF(N791="","",N791)</f>
        <v>F4870</v>
      </c>
      <c r="D790" s="2" t="str">
        <f>IF(N793="","",N793)</f>
        <v>S5627</v>
      </c>
      <c r="E790" s="2" t="str">
        <f>IF(N794="","",N794)</f>
        <v>S5705</v>
      </c>
      <c r="J790" s="10"/>
      <c r="K790" s="19"/>
      <c r="M790" s="42" t="str">
        <f>N786</f>
        <v>mieszana MM</v>
      </c>
      <c r="N790" s="33" t="s">
        <v>372</v>
      </c>
      <c r="O790" s="34">
        <f>IF(O785&gt;0,(O785&amp;2)*1,"")</f>
        <v>42</v>
      </c>
      <c r="Q790" s="43" t="str">
        <f>IF(AU790&gt;0,"",IF(A790=0,"",IF(VLOOKUP(A790,'[1]plan gier'!A$1:S$65536,19,FALSE)="","",VLOOKUP(A790,'[1]plan gier'!A$1:S$65536,19,FALSE))))</f>
        <v/>
      </c>
      <c r="R790" s="44" t="s">
        <v>17</v>
      </c>
      <c r="S790" s="45">
        <v>148</v>
      </c>
      <c r="T790" s="242"/>
      <c r="U790" s="244" t="str">
        <f>IF(AND(N790&lt;&gt;"",N791=""),CONCATENATE(VLOOKUP(N790,[1]zawodnicy!$A$1:$E$65536,1,FALSE)," ",VLOOKUP(N790,[1]zawodnicy!$A$1:$E$65536,2,FALSE)," ",VLOOKUP(N790,[1]zawodnicy!$A$1:$E$65536,3,FALSE)," - ",VLOOKUP(N790,[1]zawodnicy!$A$1:$E$65536,4,FALSE)),"")</f>
        <v/>
      </c>
      <c r="V790" s="245"/>
      <c r="W790" s="246"/>
      <c r="X790" s="61" t="str">
        <f>IF(SUM(AQ791:AR791)=0,"",AR791&amp;":"&amp;AQ791)</f>
        <v>18:21</v>
      </c>
      <c r="Y790" s="62"/>
      <c r="Z790" s="37" t="str">
        <f>IF(SUM(AQ790:AR790)=0,"",AQ790&amp;":"&amp;AR790)</f>
        <v>21:0</v>
      </c>
      <c r="AA790" s="248"/>
      <c r="AB790" s="251"/>
      <c r="AC790" s="251"/>
      <c r="AD790" s="254"/>
      <c r="AE790" s="2"/>
      <c r="AF790" s="12"/>
      <c r="AG790" s="12"/>
      <c r="AH790" s="44" t="s">
        <v>17</v>
      </c>
      <c r="AI790" s="63">
        <f>IF(ISBLANK(S790),"",VLOOKUP(S790,'[1]plan gier'!$X$1:$AN$65536,12,FALSE))</f>
        <v>21</v>
      </c>
      <c r="AJ790" s="64">
        <f>IF(ISBLANK(S790),"",VLOOKUP(S790,'[1]plan gier'!$X$1:$AN$65536,13,FALSE))</f>
        <v>0</v>
      </c>
      <c r="AK790" s="64">
        <f>IF(ISBLANK(S790),"",VLOOKUP(S790,'[1]plan gier'!$X$1:$AN$65536,14,FALSE))</f>
        <v>21</v>
      </c>
      <c r="AL790" s="64">
        <f>IF(ISBLANK(S790),"",VLOOKUP(S790,'[1]plan gier'!$X$1:$AN$65536,15,FALSE))</f>
        <v>0</v>
      </c>
      <c r="AM790" s="64">
        <f>IF(ISBLANK(S790),"",VLOOKUP(S790,'[1]plan gier'!$X$1:$AN$65536,16,FALSE))</f>
        <v>0</v>
      </c>
      <c r="AN790" s="64">
        <f>IF(ISBLANK(S790),"",VLOOKUP(S790,'[1]plan gier'!$X$1:$AN$65536,17,FALSE))</f>
        <v>0</v>
      </c>
      <c r="AO790" s="65">
        <f t="shared" si="78"/>
        <v>21</v>
      </c>
      <c r="AP790" s="64">
        <f t="shared" si="78"/>
        <v>0</v>
      </c>
      <c r="AQ790" s="66">
        <f t="shared" si="78"/>
        <v>21</v>
      </c>
      <c r="AR790" s="64">
        <f t="shared" si="78"/>
        <v>0</v>
      </c>
      <c r="AS790" s="66">
        <f t="shared" si="78"/>
        <v>0</v>
      </c>
      <c r="AT790" s="64">
        <f t="shared" si="78"/>
        <v>0</v>
      </c>
      <c r="AU790" s="54">
        <f>SUM(AO790:AT790)</f>
        <v>42</v>
      </c>
      <c r="AV790" s="13">
        <v>2</v>
      </c>
      <c r="AW790" s="63">
        <f>IF(AI791&lt;AJ791,1,0)+IF(AK791&lt;AL791,1,0)+IF(AM791&lt;AN791,1,0)</f>
        <v>1</v>
      </c>
      <c r="AX790" s="64">
        <f>AY789</f>
        <v>2</v>
      </c>
      <c r="AY790" s="67"/>
      <c r="AZ790" s="68"/>
      <c r="BA790" s="64">
        <f>IF(AI790&gt;AJ790,1,0)+IF(AK790&gt;AL790,1,0)+IF(AM790&gt;AN790,1,0)</f>
        <v>2</v>
      </c>
      <c r="BB790" s="69">
        <f>AY791</f>
        <v>0</v>
      </c>
      <c r="BE790" s="63">
        <f>AO790+AQ790+AS790+AP791+AR791+AT791</f>
        <v>93</v>
      </c>
      <c r="BF790" s="69">
        <f>AP790+AR790+AT790+AO791+AQ791+AS791</f>
        <v>61</v>
      </c>
      <c r="BG790" s="63">
        <f>AW790+BA790</f>
        <v>3</v>
      </c>
      <c r="BH790" s="69">
        <f>AX790+BB790</f>
        <v>2</v>
      </c>
      <c r="BI790" s="63">
        <f>IF(AW790&gt;AX790,1,0)+IF(BA790&gt;BB790,1,0)</f>
        <v>1</v>
      </c>
      <c r="BJ790" s="70">
        <f>IF(AX790&gt;AW790,1,0)+IF(BB790&gt;BA790,1,0)</f>
        <v>1</v>
      </c>
      <c r="BK790" s="71">
        <f>IF(BI790+BJ790=0,"",IF(BL790=MAX(BL789:BL791),1,IF(BL790=MIN(BL789:BL791),3,2)))</f>
        <v>2</v>
      </c>
      <c r="BL790" s="60">
        <f>IF(BI790+BJ790&lt;&gt;0,BI790+1+(BG790-BH790)/100+(BE790-BF790)/100000+(BE790/BF790)/1000000,0)</f>
        <v>2.0103215245901636</v>
      </c>
    </row>
    <row r="791" spans="1:64" ht="11.45" customHeight="1" thickBot="1" x14ac:dyDescent="0.25">
      <c r="A791" s="19">
        <f>S791</f>
        <v>201</v>
      </c>
      <c r="B791" s="2" t="str">
        <f>IF(N787="","",N787)</f>
        <v>Z4312</v>
      </c>
      <c r="C791" s="2" t="str">
        <f>IF(N788="","",N788)</f>
        <v>H5946</v>
      </c>
      <c r="D791" s="2" t="str">
        <f>IF(N790="","",N790)</f>
        <v>B5059</v>
      </c>
      <c r="E791" s="2" t="str">
        <f>IF(N791="","",N791)</f>
        <v>F4870</v>
      </c>
      <c r="I791" s="2" t="str">
        <f>"3"&amp;O785&amp;N786</f>
        <v>34mieszana MM</v>
      </c>
      <c r="J791" s="10" t="str">
        <f>IF(AD792="","",IF(AD786=3,N787,IF(AD789=3,N790,IF(AD792=3,N793,""))))</f>
        <v>S5627</v>
      </c>
      <c r="K791" s="10" t="str">
        <f>IF(AD792="","",IF(AD786=3,N788,IF(AD789=3,N791,IF(AD792=3,N794,""))))</f>
        <v>S5705</v>
      </c>
      <c r="M791" s="42" t="str">
        <f>N786</f>
        <v>mieszana MM</v>
      </c>
      <c r="N791" s="38" t="s">
        <v>284</v>
      </c>
      <c r="O791" s="28"/>
      <c r="P791" s="28"/>
      <c r="Q791" s="43" t="str">
        <f>IF(AU791&gt;0,"",IF(A791=0,"",IF(VLOOKUP(A791,'[1]plan gier'!A$1:S$65536,19,FALSE)="","",VLOOKUP(A791,'[1]plan gier'!A$1:S$65536,19,FALSE))))</f>
        <v/>
      </c>
      <c r="R791" s="72" t="s">
        <v>18</v>
      </c>
      <c r="S791" s="45">
        <v>201</v>
      </c>
      <c r="T791" s="261"/>
      <c r="U791" s="265" t="str">
        <f>IF(N791&lt;&gt;"",CONCATENATE(VLOOKUP(N791,[1]zawodnicy!$A$1:$E$65536,1,FALSE)," ",VLOOKUP(N791,[1]zawodnicy!$A$1:$E$65536,2,FALSE)," ",VLOOKUP(N791,[1]zawodnicy!$A$1:$E$65536,3,FALSE)," - ",VLOOKUP(N791,[1]zawodnicy!$A$1:$E$65536,4,FALSE)),"")</f>
        <v>F4870 Marcelina FRANCZUK - MMKS Gdańsk</v>
      </c>
      <c r="V791" s="266"/>
      <c r="W791" s="267"/>
      <c r="X791" s="73" t="str">
        <f>IF(SUM(AS791:AT791)=0,"",AT791&amp;":"&amp;AS791)</f>
        <v>12:21</v>
      </c>
      <c r="Y791" s="62"/>
      <c r="Z791" s="40" t="str">
        <f>IF(SUM(AS790:AT790)=0,"",AS790&amp;":"&amp;AT790)</f>
        <v/>
      </c>
      <c r="AA791" s="262"/>
      <c r="AB791" s="263"/>
      <c r="AC791" s="263"/>
      <c r="AD791" s="264"/>
      <c r="AE791" s="2"/>
      <c r="AF791" s="12"/>
      <c r="AG791" s="12"/>
      <c r="AH791" s="72" t="s">
        <v>18</v>
      </c>
      <c r="AI791" s="74">
        <f>IF(ISBLANK(S791),"",VLOOKUP(S791,'[1]plan gier'!$X$1:$AN$65536,12,FALSE))</f>
        <v>19</v>
      </c>
      <c r="AJ791" s="75">
        <f>IF(ISBLANK(S791),"",VLOOKUP(S791,'[1]plan gier'!$X$1:$AN$65536,13,FALSE))</f>
        <v>21</v>
      </c>
      <c r="AK791" s="75">
        <f>IF(ISBLANK(S791),"",VLOOKUP(S791,'[1]plan gier'!$X$1:$AN$65536,14,FALSE))</f>
        <v>21</v>
      </c>
      <c r="AL791" s="75">
        <f>IF(ISBLANK(S791),"",VLOOKUP(S791,'[1]plan gier'!$X$1:$AN$65536,15,FALSE))</f>
        <v>18</v>
      </c>
      <c r="AM791" s="75">
        <f>IF(ISBLANK(S791),"",VLOOKUP(S791,'[1]plan gier'!$X$1:$AN$65536,16,FALSE))</f>
        <v>21</v>
      </c>
      <c r="AN791" s="75">
        <f>IF(ISBLANK(S791),"",VLOOKUP(S791,'[1]plan gier'!$X$1:$AN$65536,17,FALSE))</f>
        <v>12</v>
      </c>
      <c r="AO791" s="76">
        <f t="shared" si="78"/>
        <v>19</v>
      </c>
      <c r="AP791" s="75">
        <f t="shared" si="78"/>
        <v>21</v>
      </c>
      <c r="AQ791" s="77">
        <f t="shared" si="78"/>
        <v>21</v>
      </c>
      <c r="AR791" s="75">
        <f t="shared" si="78"/>
        <v>18</v>
      </c>
      <c r="AS791" s="77">
        <f t="shared" si="78"/>
        <v>21</v>
      </c>
      <c r="AT791" s="75">
        <f t="shared" si="78"/>
        <v>12</v>
      </c>
      <c r="AU791" s="54">
        <f>SUM(AO791:AT791)</f>
        <v>112</v>
      </c>
      <c r="AV791" s="13">
        <v>3</v>
      </c>
      <c r="AW791" s="74">
        <f>IF(AI789&lt;AJ789,1,0)+IF(AK789&lt;AL789,1,0)+IF(AM789&lt;AN789,1,0)</f>
        <v>0</v>
      </c>
      <c r="AX791" s="75">
        <f>BA789</f>
        <v>2</v>
      </c>
      <c r="AY791" s="75">
        <f>IF(AI790&lt;AJ790,1,0)+IF(AK790&lt;AL790,1,0)+IF(AM790&lt;AN790,1,0)</f>
        <v>0</v>
      </c>
      <c r="AZ791" s="75">
        <f>BA790</f>
        <v>2</v>
      </c>
      <c r="BA791" s="78"/>
      <c r="BB791" s="79"/>
      <c r="BE791" s="74">
        <f>AP789+AR789+AT789+AP790+AR790+AT790</f>
        <v>0</v>
      </c>
      <c r="BF791" s="80">
        <f>AO789+AQ789+AS789+AO790+AQ790+AS790</f>
        <v>84</v>
      </c>
      <c r="BG791" s="74">
        <f>AW791+AY791</f>
        <v>0</v>
      </c>
      <c r="BH791" s="80">
        <f>AX791+AZ791</f>
        <v>4</v>
      </c>
      <c r="BI791" s="74">
        <f>IF(AW791&gt;AX791,1,0)+IF(AY791&gt;AZ791,1,0)</f>
        <v>0</v>
      </c>
      <c r="BJ791" s="81">
        <f>IF(AX791&gt;AW791,1,0)+IF(AZ791&gt;AY791,1,0)</f>
        <v>2</v>
      </c>
      <c r="BK791" s="82">
        <f>IF(BI791+BJ791=0,"",IF(BL791=MAX(BL789:BL791),1,IF(BL791=MIN(BL789:BL791),3,2)))</f>
        <v>3</v>
      </c>
      <c r="BL791" s="60">
        <f>IF(BI791+BJ791&lt;&gt;0,BI791+1+(BG791-BH791)/100+(BE791-BF791)/100000+(BE791/BF791)/1000000,0)</f>
        <v>0.95916000000000001</v>
      </c>
    </row>
    <row r="792" spans="1:64" ht="11.45" customHeight="1" x14ac:dyDescent="0.2">
      <c r="A792" s="2"/>
      <c r="J792" s="28"/>
      <c r="K792" s="28"/>
      <c r="L792" s="28"/>
      <c r="O792" s="28"/>
      <c r="P792" s="28"/>
      <c r="Q792" s="2"/>
      <c r="R792" s="2"/>
      <c r="S792" s="2"/>
      <c r="T792" s="241">
        <v>3</v>
      </c>
      <c r="U792" s="244" t="str">
        <f>IF(AND(N793&lt;&gt;"",N794&lt;&gt;""),CONCATENATE(VLOOKUP(N793,[1]zawodnicy!$A$1:$E$65536,1,FALSE)," ",VLOOKUP(N793,[1]zawodnicy!$A$1:$E$65536,2,FALSE)," ",VLOOKUP(N793,[1]zawodnicy!$A$1:$E$65536,3,FALSE)," - ",VLOOKUP(N793,[1]zawodnicy!$A$1:$E$65536,4,FALSE)),"")</f>
        <v>S5627 Piotr SIERZPUTOWSKI - ULKS U-2 Lotka Bytów</v>
      </c>
      <c r="V792" s="245"/>
      <c r="W792" s="246"/>
      <c r="X792" s="46" t="str">
        <f>IF(SUM(AO789:AP789)=0,"",AP789&amp;":"&amp;AO789)</f>
        <v>0:21</v>
      </c>
      <c r="Y792" s="83" t="str">
        <f>IF(SUM(AO790:AP790)=0,"",AP790&amp;":"&amp;AO790)</f>
        <v>0:21</v>
      </c>
      <c r="Z792" s="84"/>
      <c r="AA792" s="247" t="str">
        <f>IF(SUM(AW791:AZ791)=0,"",BE791&amp;":"&amp;BF791)</f>
        <v>0:84</v>
      </c>
      <c r="AB792" s="250" t="str">
        <f>IF(SUM(AW791:AZ791)=0,"",BG791&amp;":"&amp;BH791)</f>
        <v>0:4</v>
      </c>
      <c r="AC792" s="250" t="str">
        <f>IF(SUM(AW791:AZ791)=0,"",BI791&amp;":"&amp;BJ791)</f>
        <v>0:2</v>
      </c>
      <c r="AD792" s="253">
        <f>IF(SUM(BI789:BI791)&gt;0,BK791,"")</f>
        <v>3</v>
      </c>
      <c r="AE792" s="2"/>
      <c r="AF792" s="12"/>
      <c r="AG792" s="12"/>
      <c r="BE792" s="19">
        <f>SUM(BE789:BE791)</f>
        <v>196</v>
      </c>
      <c r="BF792" s="19">
        <f>SUM(BF789:BF791)</f>
        <v>196</v>
      </c>
      <c r="BG792" s="19">
        <f>SUM(BG789:BG791)</f>
        <v>7</v>
      </c>
      <c r="BH792" s="19">
        <f>SUM(BH789:BH791)</f>
        <v>7</v>
      </c>
      <c r="BK792" s="19"/>
      <c r="BL792" s="20"/>
    </row>
    <row r="793" spans="1:64" ht="11.45" customHeight="1" x14ac:dyDescent="0.2">
      <c r="A793" s="19"/>
      <c r="J793" s="19"/>
      <c r="K793" s="19"/>
      <c r="L793" s="19"/>
      <c r="N793" s="33" t="s">
        <v>373</v>
      </c>
      <c r="O793" s="34">
        <f>IF(O785&gt;0,(O785&amp;3)*1,"")</f>
        <v>43</v>
      </c>
      <c r="Q793" s="85"/>
      <c r="R793" s="85"/>
      <c r="S793" s="85"/>
      <c r="T793" s="242"/>
      <c r="U793" s="244" t="str">
        <f>IF(AND(N793&lt;&gt;"",N794=""),CONCATENATE(VLOOKUP(N793,[1]zawodnicy!$A$1:$E$65536,1,FALSE)," ",VLOOKUP(N793,[1]zawodnicy!$A$1:$E$65536,2,FALSE)," ",VLOOKUP(N793,[1]zawodnicy!$A$1:$E$65536,3,FALSE)," - ",VLOOKUP(N793,[1]zawodnicy!$A$1:$E$65536,4,FALSE)),"")</f>
        <v/>
      </c>
      <c r="V793" s="245"/>
      <c r="W793" s="246"/>
      <c r="X793" s="61" t="str">
        <f>IF(SUM(AQ789:AR789)=0,"",AR789&amp;":"&amp;AQ789)</f>
        <v>0:21</v>
      </c>
      <c r="Y793" s="36" t="str">
        <f>IF(SUM(AQ790:AR790)=0,"",AR790&amp;":"&amp;AQ790)</f>
        <v>0:21</v>
      </c>
      <c r="Z793" s="86"/>
      <c r="AA793" s="248"/>
      <c r="AB793" s="251"/>
      <c r="AC793" s="251"/>
      <c r="AD793" s="254"/>
      <c r="AE793" s="2"/>
      <c r="AF793" s="12"/>
      <c r="AG793" s="1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row>
    <row r="794" spans="1:64" ht="11.45" customHeight="1" thickBot="1" x14ac:dyDescent="0.25">
      <c r="A794" s="2"/>
      <c r="J794" s="28"/>
      <c r="K794" s="28"/>
      <c r="L794" s="28"/>
      <c r="N794" s="38" t="s">
        <v>289</v>
      </c>
      <c r="O794" s="28"/>
      <c r="P794" s="28"/>
      <c r="Q794" s="2"/>
      <c r="R794" s="2"/>
      <c r="S794" s="2"/>
      <c r="T794" s="243"/>
      <c r="U794" s="256" t="str">
        <f>IF(N794&lt;&gt;"",CONCATENATE(VLOOKUP(N794,[1]zawodnicy!$A$1:$E$65536,1,FALSE)," ",VLOOKUP(N794,[1]zawodnicy!$A$1:$E$65536,2,FALSE)," ",VLOOKUP(N794,[1]zawodnicy!$A$1:$E$65536,3,FALSE)," - ",VLOOKUP(N794,[1]zawodnicy!$A$1:$E$65536,4,FALSE)),"")</f>
        <v>S5705 Natalia STASZKIEWICZ - ULKS U-2 Lotka Bytów</v>
      </c>
      <c r="V794" s="257"/>
      <c r="W794" s="258"/>
      <c r="X794" s="87" t="str">
        <f>IF(SUM(AS789:AT789)=0,"",AT789&amp;":"&amp;AS789)</f>
        <v/>
      </c>
      <c r="Y794" s="88" t="str">
        <f>IF(SUM(AS790:AT790)=0,"",AT790&amp;":"&amp;AS790)</f>
        <v/>
      </c>
      <c r="Z794" s="89"/>
      <c r="AA794" s="249"/>
      <c r="AB794" s="252"/>
      <c r="AC794" s="252"/>
      <c r="AD794" s="255"/>
      <c r="AE794" s="10"/>
      <c r="AF794" s="12"/>
      <c r="AG794" s="1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row>
    <row r="795" spans="1:64" s="19" customFormat="1" ht="5.0999999999999996" customHeight="1" thickBot="1" x14ac:dyDescent="0.25">
      <c r="M795" s="90"/>
      <c r="O795" s="90"/>
      <c r="P795" s="90"/>
      <c r="Q795" s="91"/>
      <c r="R795" s="91"/>
      <c r="S795" s="91"/>
      <c r="T795" s="91"/>
      <c r="U795" s="5"/>
      <c r="V795" s="5"/>
      <c r="W795" s="5"/>
      <c r="AA795" s="92"/>
      <c r="AB795" s="91"/>
      <c r="AC795" s="91"/>
      <c r="AD795" s="91"/>
      <c r="AE795" s="91"/>
      <c r="AF795" s="91"/>
      <c r="AI795" s="93"/>
      <c r="AJ795" s="94"/>
      <c r="AK795" s="94"/>
    </row>
    <row r="796" spans="1:64" ht="11.45" customHeight="1" thickBot="1" x14ac:dyDescent="0.25">
      <c r="N796" s="11"/>
      <c r="O796" s="21">
        <v>5</v>
      </c>
      <c r="Q796" s="277" t="str">
        <f>"Grupa "&amp;O796&amp;"."</f>
        <v>Grupa 5.</v>
      </c>
      <c r="R796" s="277"/>
      <c r="S796" s="277"/>
      <c r="T796" s="22" t="s">
        <v>1</v>
      </c>
      <c r="U796" s="278" t="s">
        <v>2</v>
      </c>
      <c r="V796" s="279"/>
      <c r="W796" s="280"/>
      <c r="X796" s="22">
        <v>1</v>
      </c>
      <c r="Y796" s="23">
        <v>2</v>
      </c>
      <c r="Z796" s="24">
        <v>3</v>
      </c>
      <c r="AA796" s="25" t="s">
        <v>3</v>
      </c>
      <c r="AB796" s="26" t="s">
        <v>4</v>
      </c>
      <c r="AC796" s="26" t="s">
        <v>5</v>
      </c>
      <c r="AD796" s="27" t="s">
        <v>6</v>
      </c>
      <c r="AE796" s="2"/>
      <c r="AF796" s="12"/>
      <c r="AG796" s="12"/>
      <c r="BK796" s="19"/>
      <c r="BL796" s="20"/>
    </row>
    <row r="797" spans="1:64" ht="11.45" customHeight="1" x14ac:dyDescent="0.2">
      <c r="J797" s="28"/>
      <c r="K797" s="28"/>
      <c r="L797" s="28"/>
      <c r="N797" s="29" t="s">
        <v>370</v>
      </c>
      <c r="Q797" s="274" t="s">
        <v>7</v>
      </c>
      <c r="R797" s="274"/>
      <c r="S797" s="275" t="s">
        <v>8</v>
      </c>
      <c r="T797" s="276">
        <v>1</v>
      </c>
      <c r="U797" s="244" t="str">
        <f>IF(AND(N798&lt;&gt;"",N799&lt;&gt;""),CONCATENATE(VLOOKUP(N798,[1]zawodnicy!$A$1:$E$65536,1,FALSE)," ",VLOOKUP(N798,[1]zawodnicy!$A$1:$E$65536,2,FALSE)," ",VLOOKUP(N798,[1]zawodnicy!$A$1:$E$65536,3,FALSE)," - ",VLOOKUP(N798,[1]zawodnicy!$A$1:$E$65536,4,FALSE)),"")</f>
        <v>Ż4858 Dawid ŻMÓJDZIN - UKS Hubal Białystok</v>
      </c>
      <c r="V797" s="245"/>
      <c r="W797" s="246"/>
      <c r="X797" s="30"/>
      <c r="Y797" s="31" t="str">
        <f>IF(SUM(AO802:AP802)=0,"",AO802&amp;":"&amp;AP802)</f>
        <v>22:20</v>
      </c>
      <c r="Z797" s="32" t="str">
        <f>IF(SUM(AO800:AP800)=0,"",AO800&amp;":"&amp;AP800)</f>
        <v>21:0</v>
      </c>
      <c r="AA797" s="270" t="str">
        <f>IF(SUM(AY800:BB800)=0,"",BE800&amp;":"&amp;BF800)</f>
        <v>91:62</v>
      </c>
      <c r="AB797" s="271" t="str">
        <f>IF(SUM(AY800:BB800)=0,"",BG800&amp;":"&amp;BH800)</f>
        <v>3:2</v>
      </c>
      <c r="AC797" s="271" t="str">
        <f>IF(SUM(AY800:BB800)=0,"",BI800&amp;":"&amp;BJ800)</f>
        <v>1:1</v>
      </c>
      <c r="AD797" s="272">
        <f>IF(SUM(BI800:BI802)&gt;0,BK800,"")</f>
        <v>2</v>
      </c>
      <c r="AE797" s="2"/>
      <c r="AF797" s="12"/>
      <c r="AG797" s="12"/>
      <c r="AH797" s="14"/>
      <c r="AI797" s="273" t="s">
        <v>9</v>
      </c>
      <c r="AJ797" s="273"/>
      <c r="AK797" s="273"/>
      <c r="AL797" s="273"/>
      <c r="AM797" s="273"/>
      <c r="AN797" s="273"/>
      <c r="AO797" s="273" t="s">
        <v>10</v>
      </c>
      <c r="AP797" s="273"/>
      <c r="AQ797" s="273"/>
      <c r="AR797" s="273"/>
      <c r="AS797" s="273"/>
      <c r="AT797" s="273"/>
      <c r="BK797" s="19"/>
      <c r="BL797" s="20"/>
    </row>
    <row r="798" spans="1:64" ht="11.45" customHeight="1" thickBot="1" x14ac:dyDescent="0.25">
      <c r="I798" s="2" t="str">
        <f>"1"&amp;O796&amp;N797</f>
        <v>15mieszana MM</v>
      </c>
      <c r="J798" s="10" t="str">
        <f>IF(AD797="","",IF(AD797=1,N798,IF(AD800=1,N801,IF(AD803=1,N804,""))))</f>
        <v>M4698</v>
      </c>
      <c r="K798" s="10" t="str">
        <f>IF(AD797="","",IF(AD797=1,N799,IF(AD800=1,N802,IF(AD803=1,N805,""))))</f>
        <v>X16</v>
      </c>
      <c r="L798" s="10"/>
      <c r="N798" s="33" t="s">
        <v>374</v>
      </c>
      <c r="O798" s="34">
        <f>IF(O796&gt;0,(O796&amp;1)*1,"")</f>
        <v>51</v>
      </c>
      <c r="Q798" s="274"/>
      <c r="R798" s="274"/>
      <c r="S798" s="275"/>
      <c r="T798" s="242"/>
      <c r="U798" s="244" t="str">
        <f>IF(AND(N798&lt;&gt;"",N799=""),CONCATENATE(VLOOKUP(N798,[1]zawodnicy!$A$1:$E$65536,1,FALSE)," ",VLOOKUP(N798,[1]zawodnicy!$A$1:$E$65536,2,FALSE)," ",VLOOKUP(N798,[1]zawodnicy!$A$1:$E$65536,3,FALSE)," - ",VLOOKUP(N798,[1]zawodnicy!$A$1:$E$65536,4,FALSE)),"")</f>
        <v/>
      </c>
      <c r="V798" s="245"/>
      <c r="W798" s="246"/>
      <c r="X798" s="35"/>
      <c r="Y798" s="36" t="str">
        <f>IF(SUM(AQ802:AR802)=0,"",AQ802&amp;":"&amp;AR802)</f>
        <v>10:21</v>
      </c>
      <c r="Z798" s="37" t="str">
        <f>IF(SUM(AQ800:AR800)=0,"",AQ800&amp;":"&amp;AR800)</f>
        <v>21:0</v>
      </c>
      <c r="AA798" s="248"/>
      <c r="AB798" s="251"/>
      <c r="AC798" s="251"/>
      <c r="AD798" s="254"/>
      <c r="AE798" s="2"/>
      <c r="AF798" s="12"/>
      <c r="AG798" s="12"/>
      <c r="AH798" s="14"/>
      <c r="BE798" s="19">
        <f>SUM(BE800:BE802)</f>
        <v>195</v>
      </c>
      <c r="BF798" s="19">
        <f>SUM(BF800:BF802)</f>
        <v>195</v>
      </c>
      <c r="BG798" s="19">
        <f>SUM(BG800:BG802)</f>
        <v>7</v>
      </c>
      <c r="BH798" s="19">
        <f>SUM(BH800:BH802)</f>
        <v>7</v>
      </c>
      <c r="BK798" s="19"/>
      <c r="BL798" s="20"/>
    </row>
    <row r="799" spans="1:64" ht="11.45" customHeight="1" thickBot="1" x14ac:dyDescent="0.25">
      <c r="J799" s="10"/>
      <c r="K799" s="28"/>
      <c r="L799" s="28"/>
      <c r="N799" s="38" t="s">
        <v>288</v>
      </c>
      <c r="O799" s="28"/>
      <c r="P799" s="28"/>
      <c r="Q799" s="274"/>
      <c r="R799" s="274"/>
      <c r="S799" s="275"/>
      <c r="T799" s="261"/>
      <c r="U799" s="265" t="str">
        <f>IF(N799&lt;&gt;"",CONCATENATE(VLOOKUP(N799,[1]zawodnicy!$A$1:$E$65536,1,FALSE)," ",VLOOKUP(N799,[1]zawodnicy!$A$1:$E$65536,2,FALSE)," ",VLOOKUP(N799,[1]zawodnicy!$A$1:$E$65536,3,FALSE)," - ",VLOOKUP(N799,[1]zawodnicy!$A$1:$E$65536,4,FALSE)),"")</f>
        <v>D5062 Emilia DRĄGOWSKA - UKS Hubal Białystok</v>
      </c>
      <c r="V799" s="266"/>
      <c r="W799" s="267"/>
      <c r="X799" s="35"/>
      <c r="Y799" s="39" t="str">
        <f>IF(SUM(AS802:AT802)=0,"",AS802&amp;":"&amp;AT802)</f>
        <v>17:21</v>
      </c>
      <c r="Z799" s="40" t="str">
        <f>IF(SUM(AS800:AT800)=0,"",AS800&amp;":"&amp;AT800)</f>
        <v/>
      </c>
      <c r="AA799" s="262"/>
      <c r="AB799" s="263"/>
      <c r="AC799" s="263"/>
      <c r="AD799" s="264"/>
      <c r="AE799" s="2"/>
      <c r="AF799" s="12"/>
      <c r="AG799" s="12"/>
      <c r="AH799" s="14"/>
      <c r="AI799" s="259" t="s">
        <v>12</v>
      </c>
      <c r="AJ799" s="269"/>
      <c r="AK799" s="268" t="s">
        <v>13</v>
      </c>
      <c r="AL799" s="269"/>
      <c r="AM799" s="268" t="s">
        <v>14</v>
      </c>
      <c r="AN799" s="260"/>
      <c r="AO799" s="259" t="s">
        <v>12</v>
      </c>
      <c r="AP799" s="269"/>
      <c r="AQ799" s="268" t="s">
        <v>13</v>
      </c>
      <c r="AR799" s="269"/>
      <c r="AS799" s="268" t="s">
        <v>14</v>
      </c>
      <c r="AT799" s="269"/>
      <c r="AU799" s="12"/>
      <c r="AV799" s="12"/>
      <c r="AW799" s="259">
        <v>1</v>
      </c>
      <c r="AX799" s="269"/>
      <c r="AY799" s="268">
        <v>2</v>
      </c>
      <c r="AZ799" s="269"/>
      <c r="BA799" s="268">
        <v>3</v>
      </c>
      <c r="BB799" s="260"/>
      <c r="BE799" s="259" t="s">
        <v>3</v>
      </c>
      <c r="BF799" s="260"/>
      <c r="BG799" s="259" t="s">
        <v>4</v>
      </c>
      <c r="BH799" s="260"/>
      <c r="BI799" s="259" t="s">
        <v>5</v>
      </c>
      <c r="BJ799" s="260"/>
      <c r="BK799" s="41" t="s">
        <v>6</v>
      </c>
      <c r="BL799" s="20"/>
    </row>
    <row r="800" spans="1:64" ht="11.45" customHeight="1" x14ac:dyDescent="0.2">
      <c r="A800" s="19">
        <f>S800</f>
        <v>83</v>
      </c>
      <c r="B800" s="2" t="str">
        <f>IF(N798="","",N798)</f>
        <v>Ż4858</v>
      </c>
      <c r="C800" s="2" t="str">
        <f>IF(N799="","",N799)</f>
        <v>D5062</v>
      </c>
      <c r="D800" s="2" t="str">
        <f>IF(N804="","",N804)</f>
        <v>X49</v>
      </c>
      <c r="E800" s="2" t="str">
        <f>IF(N805="","",N805)</f>
        <v>X50</v>
      </c>
      <c r="I800" s="2" t="str">
        <f>"2"&amp;O796&amp;N797</f>
        <v>25mieszana MM</v>
      </c>
      <c r="J800" s="10" t="str">
        <f>IF(AD800="","",IF(AD797=2,N798,IF(AD800=2,N801,IF(AD803=2,N804,""))))</f>
        <v>Ż4858</v>
      </c>
      <c r="K800" s="10" t="str">
        <f>IF(AD800="","",IF(AD797=2,N799,IF(AD800=2,N802,IF(AD803=2,N805,""))))</f>
        <v>D5062</v>
      </c>
      <c r="M800" s="42" t="str">
        <f>N797</f>
        <v>mieszana MM</v>
      </c>
      <c r="O800" s="28"/>
      <c r="P800" s="28"/>
      <c r="Q800" s="43" t="str">
        <f>IF(AU800&gt;0,"",IF(A800=0,"",IF(VLOOKUP(A800,'[1]plan gier'!A$1:S$65536,19,FALSE)="","",VLOOKUP(A800,'[1]plan gier'!A$1:S$65536,19,FALSE))))</f>
        <v/>
      </c>
      <c r="R800" s="44" t="s">
        <v>15</v>
      </c>
      <c r="S800" s="45">
        <v>83</v>
      </c>
      <c r="T800" s="241">
        <v>2</v>
      </c>
      <c r="U800" s="244" t="str">
        <f>IF(AND(N801&lt;&gt;"",N802&lt;&gt;""),CONCATENATE(VLOOKUP(N801,[1]zawodnicy!$A$1:$E$65536,1,FALSE)," ",VLOOKUP(N801,[1]zawodnicy!$A$1:$E$65536,2,FALSE)," ",VLOOKUP(N801,[1]zawodnicy!$A$1:$E$65536,3,FALSE)," - ",VLOOKUP(N801,[1]zawodnicy!$A$1:$E$65536,4,FALSE)),"")</f>
        <v>M4698 Norbert MARKOWSKI - UKS Kometa Sianów</v>
      </c>
      <c r="V800" s="245"/>
      <c r="W800" s="246"/>
      <c r="X800" s="46" t="str">
        <f>IF(SUM(AO802:AP802)=0,"",AP802&amp;":"&amp;AO802)</f>
        <v>20:22</v>
      </c>
      <c r="Y800" s="47"/>
      <c r="Z800" s="48" t="str">
        <f>IF(SUM(AO801:AP801)=0,"",AO801&amp;":"&amp;AP801)</f>
        <v>21:0</v>
      </c>
      <c r="AA800" s="247" t="str">
        <f>IF(SUM(AW801:AX801,BA801:BB801)=0,"",BE801&amp;":"&amp;BF801)</f>
        <v>104:49</v>
      </c>
      <c r="AB800" s="250" t="str">
        <f>IF(SUM(AW801:AX801,BA801:BB801)=0,"",BG801&amp;":"&amp;BH801)</f>
        <v>4:1</v>
      </c>
      <c r="AC800" s="250" t="str">
        <f>IF(SUM(AW801:AX801,BA801:BB801)=0,"",BI801&amp;":"&amp;BJ801)</f>
        <v>2:0</v>
      </c>
      <c r="AD800" s="253">
        <f>IF(SUM(BI800:BI802)&gt;0,BK801,"")</f>
        <v>1</v>
      </c>
      <c r="AE800" s="2"/>
      <c r="AF800" s="12"/>
      <c r="AG800" s="12"/>
      <c r="AH800" s="44" t="s">
        <v>15</v>
      </c>
      <c r="AI800" s="49">
        <f>IF(ISBLANK(S800),"",VLOOKUP(S800,'[1]plan gier'!$X$1:$AN$65536,12,FALSE))</f>
        <v>21</v>
      </c>
      <c r="AJ800" s="50">
        <f>IF(ISBLANK(S800),"",VLOOKUP(S800,'[1]plan gier'!$X$1:$AN$65536,13,FALSE))</f>
        <v>0</v>
      </c>
      <c r="AK800" s="50">
        <f>IF(ISBLANK(S800),"",VLOOKUP(S800,'[1]plan gier'!$X$1:$AN$65536,14,FALSE))</f>
        <v>21</v>
      </c>
      <c r="AL800" s="50">
        <f>IF(ISBLANK(S800),"",VLOOKUP(S800,'[1]plan gier'!$X$1:$AN$65536,15,FALSE))</f>
        <v>0</v>
      </c>
      <c r="AM800" s="50">
        <f>IF(ISBLANK(S800),"",VLOOKUP(S800,'[1]plan gier'!$X$1:$AN$65536,16,FALSE))</f>
        <v>0</v>
      </c>
      <c r="AN800" s="50">
        <f>IF(ISBLANK(S800),"",VLOOKUP(S800,'[1]plan gier'!$X$1:$AN$65536,17,FALSE))</f>
        <v>0</v>
      </c>
      <c r="AO800" s="51">
        <f t="shared" ref="AO800:AT802" si="79">IF(AI800="",0,AI800)</f>
        <v>21</v>
      </c>
      <c r="AP800" s="52">
        <f t="shared" si="79"/>
        <v>0</v>
      </c>
      <c r="AQ800" s="53">
        <f t="shared" si="79"/>
        <v>21</v>
      </c>
      <c r="AR800" s="52">
        <f t="shared" si="79"/>
        <v>0</v>
      </c>
      <c r="AS800" s="53">
        <f t="shared" si="79"/>
        <v>0</v>
      </c>
      <c r="AT800" s="52">
        <f t="shared" si="79"/>
        <v>0</v>
      </c>
      <c r="AU800" s="54">
        <f>SUM(AO800:AT800)</f>
        <v>42</v>
      </c>
      <c r="AV800" s="13">
        <v>1</v>
      </c>
      <c r="AW800" s="55"/>
      <c r="AX800" s="56"/>
      <c r="AY800" s="50">
        <f>IF(AI802&gt;AJ802,1,0)+IF(AK802&gt;AL802,1,0)+IF(AM802&gt;AN802,1,0)</f>
        <v>1</v>
      </c>
      <c r="AZ800" s="50">
        <f>AW801</f>
        <v>2</v>
      </c>
      <c r="BA800" s="50">
        <f>IF(AI800&gt;AJ800,1,0)+IF(AK800&gt;AL800,1,0)+IF(AM800&gt;AN800,1,0)</f>
        <v>2</v>
      </c>
      <c r="BB800" s="57">
        <f>AW802</f>
        <v>0</v>
      </c>
      <c r="BE800" s="49">
        <f>AO800+AQ800+AS800+AO802+AQ802+AS802</f>
        <v>91</v>
      </c>
      <c r="BF800" s="57">
        <f>AP800+AR800+AT800+AP802+AR802+AT802</f>
        <v>62</v>
      </c>
      <c r="BG800" s="49">
        <f>AY800+BA800</f>
        <v>3</v>
      </c>
      <c r="BH800" s="57">
        <f>AZ800+BB800</f>
        <v>2</v>
      </c>
      <c r="BI800" s="49">
        <f>IF(AY800&gt;AZ800,1,0)+IF(BA800&gt;BB800,1,0)</f>
        <v>1</v>
      </c>
      <c r="BJ800" s="58">
        <f>IF(AZ800&gt;AY800,1,0)+IF(BB800&gt;BA800,1,0)</f>
        <v>1</v>
      </c>
      <c r="BK800" s="59">
        <f>IF(BI800+BJ800=0,"",IF(BL800=MAX(BL800:BL802),1,IF(BL800=MIN(BL800:BL802),3,2)))</f>
        <v>2</v>
      </c>
      <c r="BL800" s="60">
        <f>IF(BI800+BJ800&lt;&gt;0,BI800+1+(BG800-BH800)/100+(BE800-BF800)/100000+(BE800/BF800)/1000000,0)</f>
        <v>2.0102914677419355</v>
      </c>
    </row>
    <row r="801" spans="1:64" ht="11.45" customHeight="1" x14ac:dyDescent="0.2">
      <c r="A801" s="19">
        <f>S801</f>
        <v>149</v>
      </c>
      <c r="B801" s="2" t="str">
        <f>IF(N801="","",N801)</f>
        <v>M4698</v>
      </c>
      <c r="C801" s="2" t="str">
        <f>IF(N802="","",N802)</f>
        <v>X16</v>
      </c>
      <c r="D801" s="2" t="str">
        <f>IF(N804="","",N804)</f>
        <v>X49</v>
      </c>
      <c r="E801" s="2" t="str">
        <f>IF(N805="","",N805)</f>
        <v>X50</v>
      </c>
      <c r="J801" s="10"/>
      <c r="K801" s="19"/>
      <c r="M801" s="42" t="str">
        <f>N797</f>
        <v>mieszana MM</v>
      </c>
      <c r="N801" s="33" t="s">
        <v>345</v>
      </c>
      <c r="O801" s="34">
        <f>IF(O796&gt;0,(O796&amp;2)*1,"")</f>
        <v>52</v>
      </c>
      <c r="Q801" s="43" t="str">
        <f>IF(AU801&gt;0,"",IF(A801=0,"",IF(VLOOKUP(A801,'[1]plan gier'!A$1:S$65536,19,FALSE)="","",VLOOKUP(A801,'[1]plan gier'!A$1:S$65536,19,FALSE))))</f>
        <v/>
      </c>
      <c r="R801" s="44" t="s">
        <v>17</v>
      </c>
      <c r="S801" s="45">
        <v>149</v>
      </c>
      <c r="T801" s="242"/>
      <c r="U801" s="244" t="str">
        <f>IF(AND(N801&lt;&gt;"",N802=""),CONCATENATE(VLOOKUP(N801,[1]zawodnicy!$A$1:$E$65536,1,FALSE)," ",VLOOKUP(N801,[1]zawodnicy!$A$1:$E$65536,2,FALSE)," ",VLOOKUP(N801,[1]zawodnicy!$A$1:$E$65536,3,FALSE)," - ",VLOOKUP(N801,[1]zawodnicy!$A$1:$E$65536,4,FALSE)),"")</f>
        <v/>
      </c>
      <c r="V801" s="245"/>
      <c r="W801" s="246"/>
      <c r="X801" s="61" t="str">
        <f>IF(SUM(AQ802:AR802)=0,"",AR802&amp;":"&amp;AQ802)</f>
        <v>21:10</v>
      </c>
      <c r="Y801" s="62"/>
      <c r="Z801" s="37" t="str">
        <f>IF(SUM(AQ801:AR801)=0,"",AQ801&amp;":"&amp;AR801)</f>
        <v>21:0</v>
      </c>
      <c r="AA801" s="248"/>
      <c r="AB801" s="251"/>
      <c r="AC801" s="251"/>
      <c r="AD801" s="254"/>
      <c r="AE801" s="2"/>
      <c r="AF801" s="12"/>
      <c r="AG801" s="12"/>
      <c r="AH801" s="44" t="s">
        <v>17</v>
      </c>
      <c r="AI801" s="63">
        <f>IF(ISBLANK(S801),"",VLOOKUP(S801,'[1]plan gier'!$X$1:$AN$65536,12,FALSE))</f>
        <v>21</v>
      </c>
      <c r="AJ801" s="64">
        <f>IF(ISBLANK(S801),"",VLOOKUP(S801,'[1]plan gier'!$X$1:$AN$65536,13,FALSE))</f>
        <v>0</v>
      </c>
      <c r="AK801" s="64">
        <f>IF(ISBLANK(S801),"",VLOOKUP(S801,'[1]plan gier'!$X$1:$AN$65536,14,FALSE))</f>
        <v>21</v>
      </c>
      <c r="AL801" s="64">
        <f>IF(ISBLANK(S801),"",VLOOKUP(S801,'[1]plan gier'!$X$1:$AN$65536,15,FALSE))</f>
        <v>0</v>
      </c>
      <c r="AM801" s="64">
        <f>IF(ISBLANK(S801),"",VLOOKUP(S801,'[1]plan gier'!$X$1:$AN$65536,16,FALSE))</f>
        <v>0</v>
      </c>
      <c r="AN801" s="64">
        <f>IF(ISBLANK(S801),"",VLOOKUP(S801,'[1]plan gier'!$X$1:$AN$65536,17,FALSE))</f>
        <v>0</v>
      </c>
      <c r="AO801" s="65">
        <f t="shared" si="79"/>
        <v>21</v>
      </c>
      <c r="AP801" s="64">
        <f t="shared" si="79"/>
        <v>0</v>
      </c>
      <c r="AQ801" s="66">
        <f t="shared" si="79"/>
        <v>21</v>
      </c>
      <c r="AR801" s="64">
        <f t="shared" si="79"/>
        <v>0</v>
      </c>
      <c r="AS801" s="66">
        <f t="shared" si="79"/>
        <v>0</v>
      </c>
      <c r="AT801" s="64">
        <f t="shared" si="79"/>
        <v>0</v>
      </c>
      <c r="AU801" s="54">
        <f>SUM(AO801:AT801)</f>
        <v>42</v>
      </c>
      <c r="AV801" s="13">
        <v>2</v>
      </c>
      <c r="AW801" s="63">
        <f>IF(AI802&lt;AJ802,1,0)+IF(AK802&lt;AL802,1,0)+IF(AM802&lt;AN802,1,0)</f>
        <v>2</v>
      </c>
      <c r="AX801" s="64">
        <f>AY800</f>
        <v>1</v>
      </c>
      <c r="AY801" s="67"/>
      <c r="AZ801" s="68"/>
      <c r="BA801" s="64">
        <f>IF(AI801&gt;AJ801,1,0)+IF(AK801&gt;AL801,1,0)+IF(AM801&gt;AN801,1,0)</f>
        <v>2</v>
      </c>
      <c r="BB801" s="69">
        <f>AY802</f>
        <v>0</v>
      </c>
      <c r="BE801" s="63">
        <f>AO801+AQ801+AS801+AP802+AR802+AT802</f>
        <v>104</v>
      </c>
      <c r="BF801" s="69">
        <f>AP801+AR801+AT801+AO802+AQ802+AS802</f>
        <v>49</v>
      </c>
      <c r="BG801" s="63">
        <f>AW801+BA801</f>
        <v>4</v>
      </c>
      <c r="BH801" s="69">
        <f>AX801+BB801</f>
        <v>1</v>
      </c>
      <c r="BI801" s="63">
        <f>IF(AW801&gt;AX801,1,0)+IF(BA801&gt;BB801,1,0)</f>
        <v>2</v>
      </c>
      <c r="BJ801" s="70">
        <f>IF(AX801&gt;AW801,1,0)+IF(BB801&gt;BA801,1,0)</f>
        <v>0</v>
      </c>
      <c r="BK801" s="71">
        <f>IF(BI801+BJ801=0,"",IF(BL801=MAX(BL800:BL802),1,IF(BL801=MIN(BL800:BL802),3,2)))</f>
        <v>1</v>
      </c>
      <c r="BL801" s="60">
        <f>IF(BI801+BJ801&lt;&gt;0,BI801+1+(BG801-BH801)/100+(BE801-BF801)/100000+(BE801/BF801)/1000000,0)</f>
        <v>3.0305521224489795</v>
      </c>
    </row>
    <row r="802" spans="1:64" ht="11.45" customHeight="1" thickBot="1" x14ac:dyDescent="0.25">
      <c r="A802" s="19">
        <f>S802</f>
        <v>202</v>
      </c>
      <c r="B802" s="2" t="str">
        <f>IF(N798="","",N798)</f>
        <v>Ż4858</v>
      </c>
      <c r="C802" s="2" t="str">
        <f>IF(N799="","",N799)</f>
        <v>D5062</v>
      </c>
      <c r="D802" s="2" t="str">
        <f>IF(N801="","",N801)</f>
        <v>M4698</v>
      </c>
      <c r="E802" s="2" t="str">
        <f>IF(N802="","",N802)</f>
        <v>X16</v>
      </c>
      <c r="I802" s="2" t="str">
        <f>"3"&amp;O796&amp;N797</f>
        <v>35mieszana MM</v>
      </c>
      <c r="J802" s="10" t="str">
        <f>IF(AD803="","",IF(AD797=3,N798,IF(AD800=3,N801,IF(AD803=3,N804,""))))</f>
        <v>X49</v>
      </c>
      <c r="K802" s="10" t="str">
        <f>IF(AD803="","",IF(AD797=3,N799,IF(AD800=3,N802,IF(AD803=3,N805,""))))</f>
        <v>X50</v>
      </c>
      <c r="M802" s="42" t="str">
        <f>N797</f>
        <v>mieszana MM</v>
      </c>
      <c r="N802" s="38" t="s">
        <v>315</v>
      </c>
      <c r="O802" s="28"/>
      <c r="P802" s="28"/>
      <c r="Q802" s="43" t="str">
        <f>IF(AU802&gt;0,"",IF(A802=0,"",IF(VLOOKUP(A802,'[1]plan gier'!A$1:S$65536,19,FALSE)="","",VLOOKUP(A802,'[1]plan gier'!A$1:S$65536,19,FALSE))))</f>
        <v/>
      </c>
      <c r="R802" s="72" t="s">
        <v>18</v>
      </c>
      <c r="S802" s="45">
        <v>202</v>
      </c>
      <c r="T802" s="261"/>
      <c r="U802" s="265" t="str">
        <f>IF(N802&lt;&gt;"",CONCATENATE(VLOOKUP(N802,[1]zawodnicy!$A$1:$E$65536,1,FALSE)," ",VLOOKUP(N802,[1]zawodnicy!$A$1:$E$65536,2,FALSE)," ",VLOOKUP(N802,[1]zawodnicy!$A$1:$E$65536,3,FALSE)," - ",VLOOKUP(N802,[1]zawodnicy!$A$1:$E$65536,4,FALSE)),"")</f>
        <v>X16 Yelizaveta KAMINSKAYA - Mińsk Białoruś</v>
      </c>
      <c r="V802" s="266"/>
      <c r="W802" s="267"/>
      <c r="X802" s="73" t="str">
        <f>IF(SUM(AS802:AT802)=0,"",AT802&amp;":"&amp;AS802)</f>
        <v>21:17</v>
      </c>
      <c r="Y802" s="62"/>
      <c r="Z802" s="40" t="str">
        <f>IF(SUM(AS801:AT801)=0,"",AS801&amp;":"&amp;AT801)</f>
        <v/>
      </c>
      <c r="AA802" s="262"/>
      <c r="AB802" s="263"/>
      <c r="AC802" s="263"/>
      <c r="AD802" s="264"/>
      <c r="AE802" s="2"/>
      <c r="AF802" s="12"/>
      <c r="AG802" s="12"/>
      <c r="AH802" s="72" t="s">
        <v>18</v>
      </c>
      <c r="AI802" s="74">
        <f>IF(ISBLANK(S802),"",VLOOKUP(S802,'[1]plan gier'!$X$1:$AN$65536,12,FALSE))</f>
        <v>22</v>
      </c>
      <c r="AJ802" s="75">
        <f>IF(ISBLANK(S802),"",VLOOKUP(S802,'[1]plan gier'!$X$1:$AN$65536,13,FALSE))</f>
        <v>20</v>
      </c>
      <c r="AK802" s="75">
        <f>IF(ISBLANK(S802),"",VLOOKUP(S802,'[1]plan gier'!$X$1:$AN$65536,14,FALSE))</f>
        <v>10</v>
      </c>
      <c r="AL802" s="75">
        <f>IF(ISBLANK(S802),"",VLOOKUP(S802,'[1]plan gier'!$X$1:$AN$65536,15,FALSE))</f>
        <v>21</v>
      </c>
      <c r="AM802" s="75">
        <f>IF(ISBLANK(S802),"",VLOOKUP(S802,'[1]plan gier'!$X$1:$AN$65536,16,FALSE))</f>
        <v>17</v>
      </c>
      <c r="AN802" s="75">
        <f>IF(ISBLANK(S802),"",VLOOKUP(S802,'[1]plan gier'!$X$1:$AN$65536,17,FALSE))</f>
        <v>21</v>
      </c>
      <c r="AO802" s="76">
        <f t="shared" si="79"/>
        <v>22</v>
      </c>
      <c r="AP802" s="75">
        <f t="shared" si="79"/>
        <v>20</v>
      </c>
      <c r="AQ802" s="77">
        <f t="shared" si="79"/>
        <v>10</v>
      </c>
      <c r="AR802" s="75">
        <f t="shared" si="79"/>
        <v>21</v>
      </c>
      <c r="AS802" s="77">
        <f t="shared" si="79"/>
        <v>17</v>
      </c>
      <c r="AT802" s="75">
        <f t="shared" si="79"/>
        <v>21</v>
      </c>
      <c r="AU802" s="54">
        <f>SUM(AO802:AT802)</f>
        <v>111</v>
      </c>
      <c r="AV802" s="13">
        <v>3</v>
      </c>
      <c r="AW802" s="74">
        <f>IF(AI800&lt;AJ800,1,0)+IF(AK800&lt;AL800,1,0)+IF(AM800&lt;AN800,1,0)</f>
        <v>0</v>
      </c>
      <c r="AX802" s="75">
        <f>BA800</f>
        <v>2</v>
      </c>
      <c r="AY802" s="75">
        <f>IF(AI801&lt;AJ801,1,0)+IF(AK801&lt;AL801,1,0)+IF(AM801&lt;AN801,1,0)</f>
        <v>0</v>
      </c>
      <c r="AZ802" s="75">
        <f>BA801</f>
        <v>2</v>
      </c>
      <c r="BA802" s="78"/>
      <c r="BB802" s="79"/>
      <c r="BE802" s="74">
        <f>AP800+AR800+AT800+AP801+AR801+AT801</f>
        <v>0</v>
      </c>
      <c r="BF802" s="80">
        <f>AO800+AQ800+AS800+AO801+AQ801+AS801</f>
        <v>84</v>
      </c>
      <c r="BG802" s="74">
        <f>AW802+AY802</f>
        <v>0</v>
      </c>
      <c r="BH802" s="80">
        <f>AX802+AZ802</f>
        <v>4</v>
      </c>
      <c r="BI802" s="74">
        <f>IF(AW802&gt;AX802,1,0)+IF(AY802&gt;AZ802,1,0)</f>
        <v>0</v>
      </c>
      <c r="BJ802" s="81">
        <f>IF(AX802&gt;AW802,1,0)+IF(AZ802&gt;AY802,1,0)</f>
        <v>2</v>
      </c>
      <c r="BK802" s="82">
        <f>IF(BI802+BJ802=0,"",IF(BL802=MAX(BL800:BL802),1,IF(BL802=MIN(BL800:BL802),3,2)))</f>
        <v>3</v>
      </c>
      <c r="BL802" s="60">
        <f>IF(BI802+BJ802&lt;&gt;0,BI802+1+(BG802-BH802)/100+(BE802-BF802)/100000+(BE802/BF802)/1000000,0)</f>
        <v>0.95916000000000001</v>
      </c>
    </row>
    <row r="803" spans="1:64" ht="11.45" customHeight="1" x14ac:dyDescent="0.2">
      <c r="A803" s="2"/>
      <c r="J803" s="28"/>
      <c r="K803" s="28"/>
      <c r="L803" s="28"/>
      <c r="O803" s="28"/>
      <c r="P803" s="28"/>
      <c r="Q803" s="2"/>
      <c r="R803" s="2"/>
      <c r="S803" s="2"/>
      <c r="T803" s="241">
        <v>3</v>
      </c>
      <c r="U803" s="244" t="str">
        <f>IF(AND(N804&lt;&gt;"",N805&lt;&gt;""),CONCATENATE(VLOOKUP(N804,[1]zawodnicy!$A$1:$E$65536,1,FALSE)," ",VLOOKUP(N804,[1]zawodnicy!$A$1:$E$65536,2,FALSE)," ",VLOOKUP(N804,[1]zawodnicy!$A$1:$E$65536,3,FALSE)," - ",VLOOKUP(N804,[1]zawodnicy!$A$1:$E$65536,4,FALSE)),"")</f>
        <v>X49 Tomas Miksa  - Slavoj Cesky Tesin</v>
      </c>
      <c r="V803" s="245"/>
      <c r="W803" s="246"/>
      <c r="X803" s="46" t="str">
        <f>IF(SUM(AO800:AP800)=0,"",AP800&amp;":"&amp;AO800)</f>
        <v>0:21</v>
      </c>
      <c r="Y803" s="83" t="str">
        <f>IF(SUM(AO801:AP801)=0,"",AP801&amp;":"&amp;AO801)</f>
        <v>0:21</v>
      </c>
      <c r="Z803" s="84"/>
      <c r="AA803" s="247" t="str">
        <f>IF(SUM(AW802:AZ802)=0,"",BE802&amp;":"&amp;BF802)</f>
        <v>0:84</v>
      </c>
      <c r="AB803" s="250" t="str">
        <f>IF(SUM(AW802:AZ802)=0,"",BG802&amp;":"&amp;BH802)</f>
        <v>0:4</v>
      </c>
      <c r="AC803" s="250" t="str">
        <f>IF(SUM(AW802:AZ802)=0,"",BI802&amp;":"&amp;BJ802)</f>
        <v>0:2</v>
      </c>
      <c r="AD803" s="253">
        <f>IF(SUM(BI800:BI802)&gt;0,BK802,"")</f>
        <v>3</v>
      </c>
      <c r="AE803" s="2"/>
      <c r="AF803" s="12"/>
      <c r="AG803" s="12"/>
      <c r="BE803" s="19">
        <f>SUM(BE800:BE802)</f>
        <v>195</v>
      </c>
      <c r="BF803" s="19">
        <f>SUM(BF800:BF802)</f>
        <v>195</v>
      </c>
      <c r="BG803" s="19">
        <f>SUM(BG800:BG802)</f>
        <v>7</v>
      </c>
      <c r="BH803" s="19">
        <f>SUM(BH800:BH802)</f>
        <v>7</v>
      </c>
      <c r="BK803" s="19"/>
      <c r="BL803" s="20"/>
    </row>
    <row r="804" spans="1:64" ht="11.45" customHeight="1" x14ac:dyDescent="0.2">
      <c r="A804" s="19"/>
      <c r="J804" s="19"/>
      <c r="K804" s="19"/>
      <c r="L804" s="19"/>
      <c r="N804" s="33" t="s">
        <v>375</v>
      </c>
      <c r="O804" s="34">
        <f>IF(O796&gt;0,(O796&amp;3)*1,"")</f>
        <v>53</v>
      </c>
      <c r="Q804" s="85"/>
      <c r="R804" s="85"/>
      <c r="S804" s="85"/>
      <c r="T804" s="242"/>
      <c r="U804" s="244" t="str">
        <f>IF(AND(N804&lt;&gt;"",N805=""),CONCATENATE(VLOOKUP(N804,[1]zawodnicy!$A$1:$E$65536,1,FALSE)," ",VLOOKUP(N804,[1]zawodnicy!$A$1:$E$65536,2,FALSE)," ",VLOOKUP(N804,[1]zawodnicy!$A$1:$E$65536,3,FALSE)," - ",VLOOKUP(N804,[1]zawodnicy!$A$1:$E$65536,4,FALSE)),"")</f>
        <v/>
      </c>
      <c r="V804" s="245"/>
      <c r="W804" s="246"/>
      <c r="X804" s="61" t="str">
        <f>IF(SUM(AQ800:AR800)=0,"",AR800&amp;":"&amp;AQ800)</f>
        <v>0:21</v>
      </c>
      <c r="Y804" s="36" t="str">
        <f>IF(SUM(AQ801:AR801)=0,"",AR801&amp;":"&amp;AQ801)</f>
        <v>0:21</v>
      </c>
      <c r="Z804" s="86"/>
      <c r="AA804" s="248"/>
      <c r="AB804" s="251"/>
      <c r="AC804" s="251"/>
      <c r="AD804" s="254"/>
      <c r="AE804" s="2"/>
      <c r="AF804" s="12"/>
      <c r="AG804" s="1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row>
    <row r="805" spans="1:64" ht="11.45" customHeight="1" thickBot="1" x14ac:dyDescent="0.25">
      <c r="A805" s="2"/>
      <c r="J805" s="28"/>
      <c r="K805" s="28"/>
      <c r="L805" s="28"/>
      <c r="N805" s="38" t="s">
        <v>280</v>
      </c>
      <c r="O805" s="28"/>
      <c r="P805" s="28"/>
      <c r="Q805" s="2"/>
      <c r="R805" s="2"/>
      <c r="S805" s="2"/>
      <c r="T805" s="243"/>
      <c r="U805" s="256" t="str">
        <f>IF(N805&lt;&gt;"",CONCATENATE(VLOOKUP(N805,[1]zawodnicy!$A$1:$E$65536,1,FALSE)," ",VLOOKUP(N805,[1]zawodnicy!$A$1:$E$65536,2,FALSE)," ",VLOOKUP(N805,[1]zawodnicy!$A$1:$E$65536,3,FALSE)," - ",VLOOKUP(N805,[1]zawodnicy!$A$1:$E$65536,4,FALSE)),"")</f>
        <v>X50 Sara Skoupilová  - Slavoj Cesky Tesin</v>
      </c>
      <c r="V805" s="257"/>
      <c r="W805" s="258"/>
      <c r="X805" s="87" t="str">
        <f>IF(SUM(AS800:AT800)=0,"",AT800&amp;":"&amp;AS800)</f>
        <v/>
      </c>
      <c r="Y805" s="88" t="str">
        <f>IF(SUM(AS801:AT801)=0,"",AT801&amp;":"&amp;AS801)</f>
        <v/>
      </c>
      <c r="Z805" s="89"/>
      <c r="AA805" s="249"/>
      <c r="AB805" s="252"/>
      <c r="AC805" s="252"/>
      <c r="AD805" s="255"/>
      <c r="AE805" s="10"/>
      <c r="AF805" s="12"/>
      <c r="AG805" s="1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row>
    <row r="806" spans="1:64" s="19" customFormat="1" ht="5.0999999999999996" customHeight="1" thickBot="1" x14ac:dyDescent="0.25">
      <c r="M806" s="90"/>
      <c r="O806" s="90"/>
      <c r="P806" s="90"/>
      <c r="Q806" s="91"/>
      <c r="R806" s="91"/>
      <c r="S806" s="91"/>
      <c r="T806" s="91"/>
      <c r="U806" s="5"/>
      <c r="V806" s="5"/>
      <c r="W806" s="5"/>
      <c r="AA806" s="92"/>
      <c r="AB806" s="91"/>
      <c r="AC806" s="91"/>
      <c r="AD806" s="91"/>
      <c r="AE806" s="91"/>
      <c r="AF806" s="91"/>
      <c r="AI806" s="93"/>
      <c r="AJ806" s="94"/>
      <c r="AK806" s="94"/>
    </row>
    <row r="807" spans="1:64" ht="11.45" customHeight="1" thickBot="1" x14ac:dyDescent="0.25">
      <c r="N807" s="11"/>
      <c r="O807" s="21">
        <v>6</v>
      </c>
      <c r="Q807" s="277" t="str">
        <f>"Grupa "&amp;O807&amp;"."</f>
        <v>Grupa 6.</v>
      </c>
      <c r="R807" s="277"/>
      <c r="S807" s="277"/>
      <c r="T807" s="22" t="s">
        <v>1</v>
      </c>
      <c r="U807" s="278" t="s">
        <v>2</v>
      </c>
      <c r="V807" s="279"/>
      <c r="W807" s="280"/>
      <c r="X807" s="22">
        <v>1</v>
      </c>
      <c r="Y807" s="23">
        <v>2</v>
      </c>
      <c r="Z807" s="24">
        <v>3</v>
      </c>
      <c r="AA807" s="25" t="s">
        <v>3</v>
      </c>
      <c r="AB807" s="26" t="s">
        <v>4</v>
      </c>
      <c r="AC807" s="26" t="s">
        <v>5</v>
      </c>
      <c r="AD807" s="27" t="s">
        <v>6</v>
      </c>
      <c r="AE807" s="2"/>
      <c r="AF807" s="12"/>
      <c r="AG807" s="12"/>
      <c r="BK807" s="19"/>
      <c r="BL807" s="20"/>
    </row>
    <row r="808" spans="1:64" ht="11.45" customHeight="1" x14ac:dyDescent="0.2">
      <c r="J808" s="28"/>
      <c r="K808" s="28"/>
      <c r="L808" s="28"/>
      <c r="N808" s="29" t="s">
        <v>370</v>
      </c>
      <c r="Q808" s="274" t="s">
        <v>7</v>
      </c>
      <c r="R808" s="274"/>
      <c r="S808" s="275" t="s">
        <v>8</v>
      </c>
      <c r="T808" s="276">
        <v>1</v>
      </c>
      <c r="U808" s="244" t="str">
        <f>IF(AND(N809&lt;&gt;"",N810&lt;&gt;""),CONCATENATE(VLOOKUP(N809,[1]zawodnicy!$A$1:$E$65536,1,FALSE)," ",VLOOKUP(N809,[1]zawodnicy!$A$1:$E$65536,2,FALSE)," ",VLOOKUP(N809,[1]zawodnicy!$A$1:$E$65536,3,FALSE)," - ",VLOOKUP(N809,[1]zawodnicy!$A$1:$E$65536,4,FALSE)),"")</f>
        <v>T5801 Wiktor TRECKI - UKS Unia Bieruń</v>
      </c>
      <c r="V808" s="245"/>
      <c r="W808" s="246"/>
      <c r="X808" s="30"/>
      <c r="Y808" s="31" t="str">
        <f>IF(SUM(AO813:AP813)=0,"",AO813&amp;":"&amp;AP813)</f>
        <v>21:13</v>
      </c>
      <c r="Z808" s="32" t="str">
        <f>IF(SUM(AO811:AP811)=0,"",AO811&amp;":"&amp;AP811)</f>
        <v>21:6</v>
      </c>
      <c r="AA808" s="270" t="str">
        <f>IF(SUM(AY811:BB811)=0,"",BE811&amp;":"&amp;BF811)</f>
        <v>84:45</v>
      </c>
      <c r="AB808" s="271" t="str">
        <f>IF(SUM(AY811:BB811)=0,"",BG811&amp;":"&amp;BH811)</f>
        <v>4:0</v>
      </c>
      <c r="AC808" s="271" t="str">
        <f>IF(SUM(AY811:BB811)=0,"",BI811&amp;":"&amp;BJ811)</f>
        <v>2:0</v>
      </c>
      <c r="AD808" s="272">
        <f>IF(SUM(BI811:BI813)&gt;0,BK811,"")</f>
        <v>1</v>
      </c>
      <c r="AE808" s="2"/>
      <c r="AF808" s="12"/>
      <c r="AG808" s="12"/>
      <c r="AH808" s="14"/>
      <c r="AI808" s="273" t="s">
        <v>9</v>
      </c>
      <c r="AJ808" s="273"/>
      <c r="AK808" s="273"/>
      <c r="AL808" s="273"/>
      <c r="AM808" s="273"/>
      <c r="AN808" s="273"/>
      <c r="AO808" s="273" t="s">
        <v>10</v>
      </c>
      <c r="AP808" s="273"/>
      <c r="AQ808" s="273"/>
      <c r="AR808" s="273"/>
      <c r="AS808" s="273"/>
      <c r="AT808" s="273"/>
      <c r="BK808" s="19"/>
      <c r="BL808" s="20"/>
    </row>
    <row r="809" spans="1:64" ht="11.45" customHeight="1" thickBot="1" x14ac:dyDescent="0.25">
      <c r="I809" s="2" t="str">
        <f>"1"&amp;O807&amp;N808</f>
        <v>16mieszana MM</v>
      </c>
      <c r="J809" s="10" t="str">
        <f>IF(AD808="","",IF(AD808=1,N809,IF(AD811=1,N812,IF(AD814=1,N815,""))))</f>
        <v>T5801</v>
      </c>
      <c r="K809" s="10" t="str">
        <f>IF(AD808="","",IF(AD808=1,N810,IF(AD811=1,N813,IF(AD814=1,N816,""))))</f>
        <v>T5222</v>
      </c>
      <c r="L809" s="10"/>
      <c r="N809" s="33" t="s">
        <v>376</v>
      </c>
      <c r="O809" s="34">
        <f>IF(O807&gt;0,(O807&amp;1)*1,"")</f>
        <v>61</v>
      </c>
      <c r="Q809" s="274"/>
      <c r="R809" s="274"/>
      <c r="S809" s="275"/>
      <c r="T809" s="242"/>
      <c r="U809" s="244" t="str">
        <f>IF(AND(N809&lt;&gt;"",N810=""),CONCATENATE(VLOOKUP(N809,[1]zawodnicy!$A$1:$E$65536,1,FALSE)," ",VLOOKUP(N809,[1]zawodnicy!$A$1:$E$65536,2,FALSE)," ",VLOOKUP(N809,[1]zawodnicy!$A$1:$E$65536,3,FALSE)," - ",VLOOKUP(N809,[1]zawodnicy!$A$1:$E$65536,4,FALSE)),"")</f>
        <v/>
      </c>
      <c r="V809" s="245"/>
      <c r="W809" s="246"/>
      <c r="X809" s="35"/>
      <c r="Y809" s="36" t="str">
        <f>IF(SUM(AQ813:AR813)=0,"",AQ813&amp;":"&amp;AR813)</f>
        <v>21:9</v>
      </c>
      <c r="Z809" s="37" t="str">
        <f>IF(SUM(AQ811:AR811)=0,"",AQ811&amp;":"&amp;AR811)</f>
        <v>21:17</v>
      </c>
      <c r="AA809" s="248"/>
      <c r="AB809" s="251"/>
      <c r="AC809" s="251"/>
      <c r="AD809" s="254"/>
      <c r="AE809" s="2"/>
      <c r="AF809" s="12"/>
      <c r="AG809" s="12"/>
      <c r="AH809" s="14"/>
      <c r="BE809" s="19">
        <f>SUM(BE811:BE813)</f>
        <v>196</v>
      </c>
      <c r="BF809" s="19">
        <f>SUM(BF811:BF813)</f>
        <v>196</v>
      </c>
      <c r="BG809" s="19">
        <f>SUM(BG811:BG813)</f>
        <v>6</v>
      </c>
      <c r="BH809" s="19">
        <f>SUM(BH811:BH813)</f>
        <v>6</v>
      </c>
      <c r="BK809" s="19"/>
      <c r="BL809" s="20"/>
    </row>
    <row r="810" spans="1:64" ht="11.45" customHeight="1" thickBot="1" x14ac:dyDescent="0.25">
      <c r="J810" s="10"/>
      <c r="K810" s="28"/>
      <c r="L810" s="28"/>
      <c r="N810" s="38" t="s">
        <v>287</v>
      </c>
      <c r="O810" s="28"/>
      <c r="P810" s="28"/>
      <c r="Q810" s="274"/>
      <c r="R810" s="274"/>
      <c r="S810" s="275"/>
      <c r="T810" s="261"/>
      <c r="U810" s="265" t="str">
        <f>IF(N810&lt;&gt;"",CONCATENATE(VLOOKUP(N810,[1]zawodnicy!$A$1:$E$65536,1,FALSE)," ",VLOOKUP(N810,[1]zawodnicy!$A$1:$E$65536,2,FALSE)," ",VLOOKUP(N810,[1]zawodnicy!$A$1:$E$65536,3,FALSE)," - ",VLOOKUP(N810,[1]zawodnicy!$A$1:$E$65536,4,FALSE)),"")</f>
        <v>T5222 Miriam TOMALA - UKS Unia Bieruń</v>
      </c>
      <c r="V810" s="266"/>
      <c r="W810" s="267"/>
      <c r="X810" s="35"/>
      <c r="Y810" s="39" t="str">
        <f>IF(SUM(AS813:AT813)=0,"",AS813&amp;":"&amp;AT813)</f>
        <v/>
      </c>
      <c r="Z810" s="40" t="str">
        <f>IF(SUM(AS811:AT811)=0,"",AS811&amp;":"&amp;AT811)</f>
        <v/>
      </c>
      <c r="AA810" s="262"/>
      <c r="AB810" s="263"/>
      <c r="AC810" s="263"/>
      <c r="AD810" s="264"/>
      <c r="AE810" s="2"/>
      <c r="AF810" s="12"/>
      <c r="AG810" s="12"/>
      <c r="AH810" s="14"/>
      <c r="AI810" s="259" t="s">
        <v>12</v>
      </c>
      <c r="AJ810" s="269"/>
      <c r="AK810" s="268" t="s">
        <v>13</v>
      </c>
      <c r="AL810" s="269"/>
      <c r="AM810" s="268" t="s">
        <v>14</v>
      </c>
      <c r="AN810" s="260"/>
      <c r="AO810" s="259" t="s">
        <v>12</v>
      </c>
      <c r="AP810" s="269"/>
      <c r="AQ810" s="268" t="s">
        <v>13</v>
      </c>
      <c r="AR810" s="269"/>
      <c r="AS810" s="268" t="s">
        <v>14</v>
      </c>
      <c r="AT810" s="269"/>
      <c r="AU810" s="12"/>
      <c r="AV810" s="12"/>
      <c r="AW810" s="259">
        <v>1</v>
      </c>
      <c r="AX810" s="269"/>
      <c r="AY810" s="268">
        <v>2</v>
      </c>
      <c r="AZ810" s="269"/>
      <c r="BA810" s="268">
        <v>3</v>
      </c>
      <c r="BB810" s="260"/>
      <c r="BE810" s="259" t="s">
        <v>3</v>
      </c>
      <c r="BF810" s="260"/>
      <c r="BG810" s="259" t="s">
        <v>4</v>
      </c>
      <c r="BH810" s="260"/>
      <c r="BI810" s="259" t="s">
        <v>5</v>
      </c>
      <c r="BJ810" s="260"/>
      <c r="BK810" s="41" t="s">
        <v>6</v>
      </c>
      <c r="BL810" s="20"/>
    </row>
    <row r="811" spans="1:64" ht="11.45" customHeight="1" x14ac:dyDescent="0.2">
      <c r="A811" s="19">
        <f>S811</f>
        <v>84</v>
      </c>
      <c r="B811" s="2" t="str">
        <f>IF(N809="","",N809)</f>
        <v>T5801</v>
      </c>
      <c r="C811" s="2" t="str">
        <f>IF(N810="","",N810)</f>
        <v>T5222</v>
      </c>
      <c r="D811" s="2" t="str">
        <f>IF(N815="","",N815)</f>
        <v>K5476</v>
      </c>
      <c r="E811" s="2" t="str">
        <f>IF(N816="","",N816)</f>
        <v>G5478</v>
      </c>
      <c r="I811" s="2" t="str">
        <f>"2"&amp;O807&amp;N808</f>
        <v>26mieszana MM</v>
      </c>
      <c r="J811" s="10" t="str">
        <f>IF(AD811="","",IF(AD808=2,N809,IF(AD811=2,N812,IF(AD814=2,N815,""))))</f>
        <v>F4888</v>
      </c>
      <c r="K811" s="10" t="str">
        <f>IF(AD811="","",IF(AD808=2,N810,IF(AD811=2,N813,IF(AD814=2,N816,""))))</f>
        <v>G5614</v>
      </c>
      <c r="M811" s="42" t="str">
        <f>N808</f>
        <v>mieszana MM</v>
      </c>
      <c r="O811" s="28"/>
      <c r="P811" s="28"/>
      <c r="Q811" s="43" t="str">
        <f>IF(AU811&gt;0,"",IF(A811=0,"",IF(VLOOKUP(A811,'[1]plan gier'!A$1:S$65536,19,FALSE)="","",VLOOKUP(A811,'[1]plan gier'!A$1:S$65536,19,FALSE))))</f>
        <v/>
      </c>
      <c r="R811" s="44" t="s">
        <v>15</v>
      </c>
      <c r="S811" s="45">
        <v>84</v>
      </c>
      <c r="T811" s="241">
        <v>2</v>
      </c>
      <c r="U811" s="244" t="str">
        <f>IF(AND(N812&lt;&gt;"",N813&lt;&gt;""),CONCATENATE(VLOOKUP(N812,[1]zawodnicy!$A$1:$E$65536,1,FALSE)," ",VLOOKUP(N812,[1]zawodnicy!$A$1:$E$65536,2,FALSE)," ",VLOOKUP(N812,[1]zawodnicy!$A$1:$E$65536,3,FALSE)," - ",VLOOKUP(N812,[1]zawodnicy!$A$1:$E$65536,4,FALSE)),"")</f>
        <v>F4888 Jarosław FIJAŁKOWSKI - UKSB Milenium Warszawa</v>
      </c>
      <c r="V811" s="245"/>
      <c r="W811" s="246"/>
      <c r="X811" s="46" t="str">
        <f>IF(SUM(AO813:AP813)=0,"",AP813&amp;":"&amp;AO813)</f>
        <v>13:21</v>
      </c>
      <c r="Y811" s="47"/>
      <c r="Z811" s="48" t="str">
        <f>IF(SUM(AO812:AP812)=0,"",AO812&amp;":"&amp;AP812)</f>
        <v>21:12</v>
      </c>
      <c r="AA811" s="247" t="str">
        <f>IF(SUM(AW812:AX812,BA812:BB812)=0,"",BE812&amp;":"&amp;BF812)</f>
        <v>64:67</v>
      </c>
      <c r="AB811" s="250" t="str">
        <f>IF(SUM(AW812:AX812,BA812:BB812)=0,"",BG812&amp;":"&amp;BH812)</f>
        <v>2:2</v>
      </c>
      <c r="AC811" s="250" t="str">
        <f>IF(SUM(AW812:AX812,BA812:BB812)=0,"",BI812&amp;":"&amp;BJ812)</f>
        <v>1:1</v>
      </c>
      <c r="AD811" s="253">
        <f>IF(SUM(BI811:BI813)&gt;0,BK812,"")</f>
        <v>2</v>
      </c>
      <c r="AE811" s="2"/>
      <c r="AF811" s="12"/>
      <c r="AG811" s="12"/>
      <c r="AH811" s="44" t="s">
        <v>15</v>
      </c>
      <c r="AI811" s="49">
        <f>IF(ISBLANK(S811),"",VLOOKUP(S811,'[1]plan gier'!$X$1:$AN$65536,12,FALSE))</f>
        <v>21</v>
      </c>
      <c r="AJ811" s="50">
        <f>IF(ISBLANK(S811),"",VLOOKUP(S811,'[1]plan gier'!$X$1:$AN$65536,13,FALSE))</f>
        <v>6</v>
      </c>
      <c r="AK811" s="50">
        <f>IF(ISBLANK(S811),"",VLOOKUP(S811,'[1]plan gier'!$X$1:$AN$65536,14,FALSE))</f>
        <v>21</v>
      </c>
      <c r="AL811" s="50">
        <f>IF(ISBLANK(S811),"",VLOOKUP(S811,'[1]plan gier'!$X$1:$AN$65536,15,FALSE))</f>
        <v>17</v>
      </c>
      <c r="AM811" s="50">
        <f>IF(ISBLANK(S811),"",VLOOKUP(S811,'[1]plan gier'!$X$1:$AN$65536,16,FALSE))</f>
        <v>0</v>
      </c>
      <c r="AN811" s="50">
        <f>IF(ISBLANK(S811),"",VLOOKUP(S811,'[1]plan gier'!$X$1:$AN$65536,17,FALSE))</f>
        <v>0</v>
      </c>
      <c r="AO811" s="51">
        <f t="shared" ref="AO811:AT813" si="80">IF(AI811="",0,AI811)</f>
        <v>21</v>
      </c>
      <c r="AP811" s="52">
        <f t="shared" si="80"/>
        <v>6</v>
      </c>
      <c r="AQ811" s="53">
        <f t="shared" si="80"/>
        <v>21</v>
      </c>
      <c r="AR811" s="52">
        <f t="shared" si="80"/>
        <v>17</v>
      </c>
      <c r="AS811" s="53">
        <f t="shared" si="80"/>
        <v>0</v>
      </c>
      <c r="AT811" s="52">
        <f t="shared" si="80"/>
        <v>0</v>
      </c>
      <c r="AU811" s="54">
        <f>SUM(AO811:AT811)</f>
        <v>65</v>
      </c>
      <c r="AV811" s="13">
        <v>1</v>
      </c>
      <c r="AW811" s="55"/>
      <c r="AX811" s="56"/>
      <c r="AY811" s="50">
        <f>IF(AI813&gt;AJ813,1,0)+IF(AK813&gt;AL813,1,0)+IF(AM813&gt;AN813,1,0)</f>
        <v>2</v>
      </c>
      <c r="AZ811" s="50">
        <f>AW812</f>
        <v>0</v>
      </c>
      <c r="BA811" s="50">
        <f>IF(AI811&gt;AJ811,1,0)+IF(AK811&gt;AL811,1,0)+IF(AM811&gt;AN811,1,0)</f>
        <v>2</v>
      </c>
      <c r="BB811" s="57">
        <f>AW813</f>
        <v>0</v>
      </c>
      <c r="BE811" s="49">
        <f>AO811+AQ811+AS811+AO813+AQ813+AS813</f>
        <v>84</v>
      </c>
      <c r="BF811" s="57">
        <f>AP811+AR811+AT811+AP813+AR813+AT813</f>
        <v>45</v>
      </c>
      <c r="BG811" s="49">
        <f>AY811+BA811</f>
        <v>4</v>
      </c>
      <c r="BH811" s="57">
        <f>AZ811+BB811</f>
        <v>0</v>
      </c>
      <c r="BI811" s="49">
        <f>IF(AY811&gt;AZ811,1,0)+IF(BA811&gt;BB811,1,0)</f>
        <v>2</v>
      </c>
      <c r="BJ811" s="58">
        <f>IF(AZ811&gt;AY811,1,0)+IF(BB811&gt;BA811,1,0)</f>
        <v>0</v>
      </c>
      <c r="BK811" s="59">
        <f>IF(BI811+BJ811=0,"",IF(BL811=MAX(BL811:BL813),1,IF(BL811=MIN(BL811:BL813),3,2)))</f>
        <v>1</v>
      </c>
      <c r="BL811" s="60">
        <f>IF(BI811+BJ811&lt;&gt;0,BI811+1+(BG811-BH811)/100+(BE811-BF811)/100000+(BE811/BF811)/1000000,0)</f>
        <v>3.0403918666666665</v>
      </c>
    </row>
    <row r="812" spans="1:64" ht="11.45" customHeight="1" x14ac:dyDescent="0.2">
      <c r="A812" s="19">
        <f>S812</f>
        <v>150</v>
      </c>
      <c r="B812" s="2" t="str">
        <f>IF(N812="","",N812)</f>
        <v>F4888</v>
      </c>
      <c r="C812" s="2" t="str">
        <f>IF(N813="","",N813)</f>
        <v>G5614</v>
      </c>
      <c r="D812" s="2" t="str">
        <f>IF(N815="","",N815)</f>
        <v>K5476</v>
      </c>
      <c r="E812" s="2" t="str">
        <f>IF(N816="","",N816)</f>
        <v>G5478</v>
      </c>
      <c r="J812" s="10"/>
      <c r="K812" s="19"/>
      <c r="M812" s="42" t="str">
        <f>N808</f>
        <v>mieszana MM</v>
      </c>
      <c r="N812" s="33" t="s">
        <v>348</v>
      </c>
      <c r="O812" s="34">
        <f>IF(O807&gt;0,(O807&amp;2)*1,"")</f>
        <v>62</v>
      </c>
      <c r="Q812" s="43" t="str">
        <f>IF(AU812&gt;0,"",IF(A812=0,"",IF(VLOOKUP(A812,'[1]plan gier'!A$1:S$65536,19,FALSE)="","",VLOOKUP(A812,'[1]plan gier'!A$1:S$65536,19,FALSE))))</f>
        <v/>
      </c>
      <c r="R812" s="44" t="s">
        <v>17</v>
      </c>
      <c r="S812" s="45">
        <v>150</v>
      </c>
      <c r="T812" s="242"/>
      <c r="U812" s="244" t="str">
        <f>IF(AND(N812&lt;&gt;"",N813=""),CONCATENATE(VLOOKUP(N812,[1]zawodnicy!$A$1:$E$65536,1,FALSE)," ",VLOOKUP(N812,[1]zawodnicy!$A$1:$E$65536,2,FALSE)," ",VLOOKUP(N812,[1]zawodnicy!$A$1:$E$65536,3,FALSE)," - ",VLOOKUP(N812,[1]zawodnicy!$A$1:$E$65536,4,FALSE)),"")</f>
        <v/>
      </c>
      <c r="V812" s="245"/>
      <c r="W812" s="246"/>
      <c r="X812" s="61" t="str">
        <f>IF(SUM(AQ813:AR813)=0,"",AR813&amp;":"&amp;AQ813)</f>
        <v>9:21</v>
      </c>
      <c r="Y812" s="62"/>
      <c r="Z812" s="37" t="str">
        <f>IF(SUM(AQ812:AR812)=0,"",AQ812&amp;":"&amp;AR812)</f>
        <v>21:13</v>
      </c>
      <c r="AA812" s="248"/>
      <c r="AB812" s="251"/>
      <c r="AC812" s="251"/>
      <c r="AD812" s="254"/>
      <c r="AE812" s="2"/>
      <c r="AF812" s="12"/>
      <c r="AG812" s="12"/>
      <c r="AH812" s="44" t="s">
        <v>17</v>
      </c>
      <c r="AI812" s="63">
        <f>IF(ISBLANK(S812),"",VLOOKUP(S812,'[1]plan gier'!$X$1:$AN$65536,12,FALSE))</f>
        <v>21</v>
      </c>
      <c r="AJ812" s="64">
        <f>IF(ISBLANK(S812),"",VLOOKUP(S812,'[1]plan gier'!$X$1:$AN$65536,13,FALSE))</f>
        <v>12</v>
      </c>
      <c r="AK812" s="64">
        <f>IF(ISBLANK(S812),"",VLOOKUP(S812,'[1]plan gier'!$X$1:$AN$65536,14,FALSE))</f>
        <v>21</v>
      </c>
      <c r="AL812" s="64">
        <f>IF(ISBLANK(S812),"",VLOOKUP(S812,'[1]plan gier'!$X$1:$AN$65536,15,FALSE))</f>
        <v>13</v>
      </c>
      <c r="AM812" s="64">
        <f>IF(ISBLANK(S812),"",VLOOKUP(S812,'[1]plan gier'!$X$1:$AN$65536,16,FALSE))</f>
        <v>0</v>
      </c>
      <c r="AN812" s="64">
        <f>IF(ISBLANK(S812),"",VLOOKUP(S812,'[1]plan gier'!$X$1:$AN$65536,17,FALSE))</f>
        <v>0</v>
      </c>
      <c r="AO812" s="65">
        <f t="shared" si="80"/>
        <v>21</v>
      </c>
      <c r="AP812" s="64">
        <f t="shared" si="80"/>
        <v>12</v>
      </c>
      <c r="AQ812" s="66">
        <f t="shared" si="80"/>
        <v>21</v>
      </c>
      <c r="AR812" s="64">
        <f t="shared" si="80"/>
        <v>13</v>
      </c>
      <c r="AS812" s="66">
        <f t="shared" si="80"/>
        <v>0</v>
      </c>
      <c r="AT812" s="64">
        <f t="shared" si="80"/>
        <v>0</v>
      </c>
      <c r="AU812" s="54">
        <f>SUM(AO812:AT812)</f>
        <v>67</v>
      </c>
      <c r="AV812" s="13">
        <v>2</v>
      </c>
      <c r="AW812" s="63">
        <f>IF(AI813&lt;AJ813,1,0)+IF(AK813&lt;AL813,1,0)+IF(AM813&lt;AN813,1,0)</f>
        <v>0</v>
      </c>
      <c r="AX812" s="64">
        <f>AY811</f>
        <v>2</v>
      </c>
      <c r="AY812" s="67"/>
      <c r="AZ812" s="68"/>
      <c r="BA812" s="64">
        <f>IF(AI812&gt;AJ812,1,0)+IF(AK812&gt;AL812,1,0)+IF(AM812&gt;AN812,1,0)</f>
        <v>2</v>
      </c>
      <c r="BB812" s="69">
        <f>AY813</f>
        <v>0</v>
      </c>
      <c r="BE812" s="63">
        <f>AO812+AQ812+AS812+AP813+AR813+AT813</f>
        <v>64</v>
      </c>
      <c r="BF812" s="69">
        <f>AP812+AR812+AT812+AO813+AQ813+AS813</f>
        <v>67</v>
      </c>
      <c r="BG812" s="63">
        <f>AW812+BA812</f>
        <v>2</v>
      </c>
      <c r="BH812" s="69">
        <f>AX812+BB812</f>
        <v>2</v>
      </c>
      <c r="BI812" s="63">
        <f>IF(AW812&gt;AX812,1,0)+IF(BA812&gt;BB812,1,0)</f>
        <v>1</v>
      </c>
      <c r="BJ812" s="70">
        <f>IF(AX812&gt;AW812,1,0)+IF(BB812&gt;BA812,1,0)</f>
        <v>1</v>
      </c>
      <c r="BK812" s="71">
        <f>IF(BI812+BJ812=0,"",IF(BL812=MAX(BL811:BL813),1,IF(BL812=MIN(BL811:BL813),3,2)))</f>
        <v>2</v>
      </c>
      <c r="BL812" s="60">
        <f>IF(BI812+BJ812&lt;&gt;0,BI812+1+(BG812-BH812)/100+(BE812-BF812)/100000+(BE812/BF812)/1000000,0)</f>
        <v>1.9999709552238807</v>
      </c>
    </row>
    <row r="813" spans="1:64" ht="11.45" customHeight="1" thickBot="1" x14ac:dyDescent="0.25">
      <c r="A813" s="19">
        <f>S813</f>
        <v>203</v>
      </c>
      <c r="B813" s="2" t="str">
        <f>IF(N809="","",N809)</f>
        <v>T5801</v>
      </c>
      <c r="C813" s="2" t="str">
        <f>IF(N810="","",N810)</f>
        <v>T5222</v>
      </c>
      <c r="D813" s="2" t="str">
        <f>IF(N812="","",N812)</f>
        <v>F4888</v>
      </c>
      <c r="E813" s="2" t="str">
        <f>IF(N813="","",N813)</f>
        <v>G5614</v>
      </c>
      <c r="I813" s="2" t="str">
        <f>"3"&amp;O807&amp;N808</f>
        <v>36mieszana MM</v>
      </c>
      <c r="J813" s="10" t="str">
        <f>IF(AD814="","",IF(AD808=3,N809,IF(AD811=3,N812,IF(AD814=3,N815,""))))</f>
        <v>K5476</v>
      </c>
      <c r="K813" s="10" t="str">
        <f>IF(AD814="","",IF(AD808=3,N810,IF(AD811=3,N813,IF(AD814=3,N816,""))))</f>
        <v>G5478</v>
      </c>
      <c r="M813" s="42" t="str">
        <f>N808</f>
        <v>mieszana MM</v>
      </c>
      <c r="N813" s="38" t="s">
        <v>305</v>
      </c>
      <c r="O813" s="28"/>
      <c r="P813" s="28"/>
      <c r="Q813" s="43" t="str">
        <f>IF(AU813&gt;0,"",IF(A813=0,"",IF(VLOOKUP(A813,'[1]plan gier'!A$1:S$65536,19,FALSE)="","",VLOOKUP(A813,'[1]plan gier'!A$1:S$65536,19,FALSE))))</f>
        <v/>
      </c>
      <c r="R813" s="72" t="s">
        <v>18</v>
      </c>
      <c r="S813" s="45">
        <v>203</v>
      </c>
      <c r="T813" s="261"/>
      <c r="U813" s="265" t="str">
        <f>IF(N813&lt;&gt;"",CONCATENATE(VLOOKUP(N813,[1]zawodnicy!$A$1:$E$65536,1,FALSE)," ",VLOOKUP(N813,[1]zawodnicy!$A$1:$E$65536,2,FALSE)," ",VLOOKUP(N813,[1]zawodnicy!$A$1:$E$65536,3,FALSE)," - ",VLOOKUP(N813,[1]zawodnicy!$A$1:$E$65536,4,FALSE)),"")</f>
        <v>G5614 Weronika GÓRNIAK - UKSB Milenium Warszawa</v>
      </c>
      <c r="V813" s="266"/>
      <c r="W813" s="267"/>
      <c r="X813" s="73" t="str">
        <f>IF(SUM(AS813:AT813)=0,"",AT813&amp;":"&amp;AS813)</f>
        <v/>
      </c>
      <c r="Y813" s="62"/>
      <c r="Z813" s="40" t="str">
        <f>IF(SUM(AS812:AT812)=0,"",AS812&amp;":"&amp;AT812)</f>
        <v/>
      </c>
      <c r="AA813" s="262"/>
      <c r="AB813" s="263"/>
      <c r="AC813" s="263"/>
      <c r="AD813" s="264"/>
      <c r="AE813" s="2"/>
      <c r="AF813" s="12"/>
      <c r="AG813" s="12"/>
      <c r="AH813" s="72" t="s">
        <v>18</v>
      </c>
      <c r="AI813" s="74">
        <f>IF(ISBLANK(S813),"",VLOOKUP(S813,'[1]plan gier'!$X$1:$AN$65536,12,FALSE))</f>
        <v>21</v>
      </c>
      <c r="AJ813" s="75">
        <f>IF(ISBLANK(S813),"",VLOOKUP(S813,'[1]plan gier'!$X$1:$AN$65536,13,FALSE))</f>
        <v>13</v>
      </c>
      <c r="AK813" s="75">
        <f>IF(ISBLANK(S813),"",VLOOKUP(S813,'[1]plan gier'!$X$1:$AN$65536,14,FALSE))</f>
        <v>21</v>
      </c>
      <c r="AL813" s="75">
        <f>IF(ISBLANK(S813),"",VLOOKUP(S813,'[1]plan gier'!$X$1:$AN$65536,15,FALSE))</f>
        <v>9</v>
      </c>
      <c r="AM813" s="75">
        <f>IF(ISBLANK(S813),"",VLOOKUP(S813,'[1]plan gier'!$X$1:$AN$65536,16,FALSE))</f>
        <v>0</v>
      </c>
      <c r="AN813" s="75">
        <f>IF(ISBLANK(S813),"",VLOOKUP(S813,'[1]plan gier'!$X$1:$AN$65536,17,FALSE))</f>
        <v>0</v>
      </c>
      <c r="AO813" s="76">
        <f t="shared" si="80"/>
        <v>21</v>
      </c>
      <c r="AP813" s="75">
        <f t="shared" si="80"/>
        <v>13</v>
      </c>
      <c r="AQ813" s="77">
        <f t="shared" si="80"/>
        <v>21</v>
      </c>
      <c r="AR813" s="75">
        <f t="shared" si="80"/>
        <v>9</v>
      </c>
      <c r="AS813" s="77">
        <f t="shared" si="80"/>
        <v>0</v>
      </c>
      <c r="AT813" s="75">
        <f t="shared" si="80"/>
        <v>0</v>
      </c>
      <c r="AU813" s="54">
        <f>SUM(AO813:AT813)</f>
        <v>64</v>
      </c>
      <c r="AV813" s="13">
        <v>3</v>
      </c>
      <c r="AW813" s="74">
        <f>IF(AI811&lt;AJ811,1,0)+IF(AK811&lt;AL811,1,0)+IF(AM811&lt;AN811,1,0)</f>
        <v>0</v>
      </c>
      <c r="AX813" s="75">
        <f>BA811</f>
        <v>2</v>
      </c>
      <c r="AY813" s="75">
        <f>IF(AI812&lt;AJ812,1,0)+IF(AK812&lt;AL812,1,0)+IF(AM812&lt;AN812,1,0)</f>
        <v>0</v>
      </c>
      <c r="AZ813" s="75">
        <f>BA812</f>
        <v>2</v>
      </c>
      <c r="BA813" s="78"/>
      <c r="BB813" s="79"/>
      <c r="BE813" s="74">
        <f>AP811+AR811+AT811+AP812+AR812+AT812</f>
        <v>48</v>
      </c>
      <c r="BF813" s="80">
        <f>AO811+AQ811+AS811+AO812+AQ812+AS812</f>
        <v>84</v>
      </c>
      <c r="BG813" s="74">
        <f>AW813+AY813</f>
        <v>0</v>
      </c>
      <c r="BH813" s="80">
        <f>AX813+AZ813</f>
        <v>4</v>
      </c>
      <c r="BI813" s="74">
        <f>IF(AW813&gt;AX813,1,0)+IF(AY813&gt;AZ813,1,0)</f>
        <v>0</v>
      </c>
      <c r="BJ813" s="81">
        <f>IF(AX813&gt;AW813,1,0)+IF(AZ813&gt;AY813,1,0)</f>
        <v>2</v>
      </c>
      <c r="BK813" s="82">
        <f>IF(BI813+BJ813=0,"",IF(BL813=MAX(BL811:BL813),1,IF(BL813=MIN(BL811:BL813),3,2)))</f>
        <v>3</v>
      </c>
      <c r="BL813" s="60">
        <f>IF(BI813+BJ813&lt;&gt;0,BI813+1+(BG813-BH813)/100+(BE813-BF813)/100000+(BE813/BF813)/1000000,0)</f>
        <v>0.9596405714285714</v>
      </c>
    </row>
    <row r="814" spans="1:64" ht="11.45" customHeight="1" x14ac:dyDescent="0.2">
      <c r="A814" s="2"/>
      <c r="J814" s="28"/>
      <c r="K814" s="28"/>
      <c r="L814" s="28"/>
      <c r="O814" s="28"/>
      <c r="P814" s="28"/>
      <c r="Q814" s="2"/>
      <c r="R814" s="2"/>
      <c r="S814" s="2"/>
      <c r="T814" s="241">
        <v>3</v>
      </c>
      <c r="U814" s="244" t="str">
        <f>IF(AND(N815&lt;&gt;"",N816&lt;&gt;""),CONCATENATE(VLOOKUP(N815,[1]zawodnicy!$A$1:$E$65536,1,FALSE)," ",VLOOKUP(N815,[1]zawodnicy!$A$1:$E$65536,2,FALSE)," ",VLOOKUP(N815,[1]zawodnicy!$A$1:$E$65536,3,FALSE)," - ",VLOOKUP(N815,[1]zawodnicy!$A$1:$E$65536,4,FALSE)),"")</f>
        <v>K5476 Marcin KARBOWY - UKS Iskra Sarbice</v>
      </c>
      <c r="V814" s="245"/>
      <c r="W814" s="246"/>
      <c r="X814" s="46" t="str">
        <f>IF(SUM(AO811:AP811)=0,"",AP811&amp;":"&amp;AO811)</f>
        <v>6:21</v>
      </c>
      <c r="Y814" s="83" t="str">
        <f>IF(SUM(AO812:AP812)=0,"",AP812&amp;":"&amp;AO812)</f>
        <v>12:21</v>
      </c>
      <c r="Z814" s="84"/>
      <c r="AA814" s="247" t="str">
        <f>IF(SUM(AW813:AZ813)=0,"",BE813&amp;":"&amp;BF813)</f>
        <v>48:84</v>
      </c>
      <c r="AB814" s="250" t="str">
        <f>IF(SUM(AW813:AZ813)=0,"",BG813&amp;":"&amp;BH813)</f>
        <v>0:4</v>
      </c>
      <c r="AC814" s="250" t="str">
        <f>IF(SUM(AW813:AZ813)=0,"",BI813&amp;":"&amp;BJ813)</f>
        <v>0:2</v>
      </c>
      <c r="AD814" s="253">
        <f>IF(SUM(BI811:BI813)&gt;0,BK813,"")</f>
        <v>3</v>
      </c>
      <c r="AE814" s="2"/>
      <c r="AF814" s="12"/>
      <c r="AG814" s="12"/>
      <c r="BE814" s="19">
        <f>SUM(BE811:BE813)</f>
        <v>196</v>
      </c>
      <c r="BF814" s="19">
        <f>SUM(BF811:BF813)</f>
        <v>196</v>
      </c>
      <c r="BG814" s="19">
        <f>SUM(BG811:BG813)</f>
        <v>6</v>
      </c>
      <c r="BH814" s="19">
        <f>SUM(BH811:BH813)</f>
        <v>6</v>
      </c>
      <c r="BK814" s="19"/>
      <c r="BL814" s="20"/>
    </row>
    <row r="815" spans="1:64" ht="11.45" customHeight="1" x14ac:dyDescent="0.2">
      <c r="A815" s="19"/>
      <c r="J815" s="19"/>
      <c r="K815" s="19"/>
      <c r="L815" s="19"/>
      <c r="N815" s="33" t="s">
        <v>360</v>
      </c>
      <c r="O815" s="34">
        <f>IF(O807&gt;0,(O807&amp;3)*1,"")</f>
        <v>63</v>
      </c>
      <c r="Q815" s="85"/>
      <c r="R815" s="85"/>
      <c r="S815" s="85"/>
      <c r="T815" s="242"/>
      <c r="U815" s="244" t="str">
        <f>IF(AND(N815&lt;&gt;"",N816=""),CONCATENATE(VLOOKUP(N815,[1]zawodnicy!$A$1:$E$65536,1,FALSE)," ",VLOOKUP(N815,[1]zawodnicy!$A$1:$E$65536,2,FALSE)," ",VLOOKUP(N815,[1]zawodnicy!$A$1:$E$65536,3,FALSE)," - ",VLOOKUP(N815,[1]zawodnicy!$A$1:$E$65536,4,FALSE)),"")</f>
        <v/>
      </c>
      <c r="V815" s="245"/>
      <c r="W815" s="246"/>
      <c r="X815" s="61" t="str">
        <f>IF(SUM(AQ811:AR811)=0,"",AR811&amp;":"&amp;AQ811)</f>
        <v>17:21</v>
      </c>
      <c r="Y815" s="36" t="str">
        <f>IF(SUM(AQ812:AR812)=0,"",AR812&amp;":"&amp;AQ812)</f>
        <v>13:21</v>
      </c>
      <c r="Z815" s="86"/>
      <c r="AA815" s="248"/>
      <c r="AB815" s="251"/>
      <c r="AC815" s="251"/>
      <c r="AD815" s="254"/>
      <c r="AE815" s="2"/>
      <c r="AF815" s="12"/>
      <c r="AG815" s="1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row>
    <row r="816" spans="1:64" ht="11.45" customHeight="1" thickBot="1" x14ac:dyDescent="0.25">
      <c r="A816" s="2"/>
      <c r="J816" s="28"/>
      <c r="K816" s="28"/>
      <c r="L816" s="28"/>
      <c r="N816" s="38" t="s">
        <v>325</v>
      </c>
      <c r="O816" s="28"/>
      <c r="P816" s="28"/>
      <c r="Q816" s="2"/>
      <c r="R816" s="2"/>
      <c r="S816" s="2"/>
      <c r="T816" s="243"/>
      <c r="U816" s="256" t="str">
        <f>IF(N816&lt;&gt;"",CONCATENATE(VLOOKUP(N816,[1]zawodnicy!$A$1:$E$65536,1,FALSE)," ",VLOOKUP(N816,[1]zawodnicy!$A$1:$E$65536,2,FALSE)," ",VLOOKUP(N816,[1]zawodnicy!$A$1:$E$65536,3,FALSE)," - ",VLOOKUP(N816,[1]zawodnicy!$A$1:$E$65536,4,FALSE)),"")</f>
        <v>G5478 Paulina GAPSA - UKS Iskra Sarbice</v>
      </c>
      <c r="V816" s="257"/>
      <c r="W816" s="258"/>
      <c r="X816" s="87" t="str">
        <f>IF(SUM(AS811:AT811)=0,"",AT811&amp;":"&amp;AS811)</f>
        <v/>
      </c>
      <c r="Y816" s="88" t="str">
        <f>IF(SUM(AS812:AT812)=0,"",AT812&amp;":"&amp;AS812)</f>
        <v/>
      </c>
      <c r="Z816" s="89"/>
      <c r="AA816" s="249"/>
      <c r="AB816" s="252"/>
      <c r="AC816" s="252"/>
      <c r="AD816" s="255"/>
      <c r="AE816" s="10"/>
      <c r="AF816" s="12"/>
      <c r="AG816" s="1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row>
    <row r="817" spans="1:64" s="19" customFormat="1" ht="5.0999999999999996" customHeight="1" thickBot="1" x14ac:dyDescent="0.25">
      <c r="M817" s="90"/>
      <c r="O817" s="90"/>
      <c r="P817" s="90"/>
      <c r="Q817" s="91"/>
      <c r="R817" s="91"/>
      <c r="S817" s="91"/>
      <c r="T817" s="91"/>
      <c r="U817" s="5"/>
      <c r="V817" s="5"/>
      <c r="W817" s="5"/>
      <c r="AA817" s="92"/>
      <c r="AB817" s="91"/>
      <c r="AC817" s="91"/>
      <c r="AD817" s="91"/>
      <c r="AE817" s="91"/>
      <c r="AF817" s="91"/>
      <c r="AI817" s="93"/>
      <c r="AJ817" s="94"/>
      <c r="AK817" s="94"/>
    </row>
    <row r="818" spans="1:64" ht="11.45" customHeight="1" thickBot="1" x14ac:dyDescent="0.25">
      <c r="N818" s="11"/>
      <c r="O818" s="21">
        <v>7</v>
      </c>
      <c r="Q818" s="277" t="str">
        <f>"Grupa "&amp;O818&amp;"."</f>
        <v>Grupa 7.</v>
      </c>
      <c r="R818" s="277"/>
      <c r="S818" s="277"/>
      <c r="T818" s="22" t="s">
        <v>1</v>
      </c>
      <c r="U818" s="278" t="s">
        <v>2</v>
      </c>
      <c r="V818" s="279"/>
      <c r="W818" s="280"/>
      <c r="X818" s="22">
        <v>1</v>
      </c>
      <c r="Y818" s="23">
        <v>2</v>
      </c>
      <c r="Z818" s="24">
        <v>3</v>
      </c>
      <c r="AA818" s="25" t="s">
        <v>3</v>
      </c>
      <c r="AB818" s="26" t="s">
        <v>4</v>
      </c>
      <c r="AC818" s="26" t="s">
        <v>5</v>
      </c>
      <c r="AD818" s="27" t="s">
        <v>6</v>
      </c>
      <c r="AE818" s="2"/>
      <c r="AF818" s="12"/>
      <c r="AG818" s="12"/>
      <c r="BK818" s="19"/>
      <c r="BL818" s="20"/>
    </row>
    <row r="819" spans="1:64" ht="11.45" customHeight="1" x14ac:dyDescent="0.2">
      <c r="J819" s="28"/>
      <c r="K819" s="28"/>
      <c r="L819" s="28"/>
      <c r="N819" s="29" t="s">
        <v>370</v>
      </c>
      <c r="Q819" s="274" t="s">
        <v>7</v>
      </c>
      <c r="R819" s="274"/>
      <c r="S819" s="275" t="s">
        <v>8</v>
      </c>
      <c r="T819" s="276">
        <v>1</v>
      </c>
      <c r="U819" s="244" t="str">
        <f>IF(AND(N820&lt;&gt;"",N821&lt;&gt;""),CONCATENATE(VLOOKUP(N820,[1]zawodnicy!$A$1:$E$65536,1,FALSE)," ",VLOOKUP(N820,[1]zawodnicy!$A$1:$E$65536,2,FALSE)," ",VLOOKUP(N820,[1]zawodnicy!$A$1:$E$65536,3,FALSE)," - ",VLOOKUP(N820,[1]zawodnicy!$A$1:$E$65536,4,FALSE)),"")</f>
        <v>R4145 Michał RECKI - UKS Lotka Lubiewo</v>
      </c>
      <c r="V819" s="245"/>
      <c r="W819" s="246"/>
      <c r="X819" s="30"/>
      <c r="Y819" s="31" t="str">
        <f>IF(SUM(AO824:AP824)=0,"",AO824&amp;":"&amp;AP824)</f>
        <v>21:11</v>
      </c>
      <c r="Z819" s="32" t="str">
        <f>IF(SUM(AO822:AP822)=0,"",AO822&amp;":"&amp;AP822)</f>
        <v>21:4</v>
      </c>
      <c r="AA819" s="270" t="str">
        <f>IF(SUM(AY822:BB822)=0,"",BE822&amp;":"&amp;BF822)</f>
        <v>84:37</v>
      </c>
      <c r="AB819" s="271" t="str">
        <f>IF(SUM(AY822:BB822)=0,"",BG822&amp;":"&amp;BH822)</f>
        <v>4:0</v>
      </c>
      <c r="AC819" s="271" t="str">
        <f>IF(SUM(AY822:BB822)=0,"",BI822&amp;":"&amp;BJ822)</f>
        <v>2:0</v>
      </c>
      <c r="AD819" s="272">
        <f>IF(SUM(BI822:BI824)&gt;0,BK822,"")</f>
        <v>1</v>
      </c>
      <c r="AE819" s="2"/>
      <c r="AF819" s="12"/>
      <c r="AG819" s="12"/>
      <c r="AH819" s="14"/>
      <c r="AI819" s="273" t="s">
        <v>9</v>
      </c>
      <c r="AJ819" s="273"/>
      <c r="AK819" s="273"/>
      <c r="AL819" s="273"/>
      <c r="AM819" s="273"/>
      <c r="AN819" s="273"/>
      <c r="AO819" s="273" t="s">
        <v>10</v>
      </c>
      <c r="AP819" s="273"/>
      <c r="AQ819" s="273"/>
      <c r="AR819" s="273"/>
      <c r="AS819" s="273"/>
      <c r="AT819" s="273"/>
      <c r="BK819" s="19"/>
      <c r="BL819" s="20"/>
    </row>
    <row r="820" spans="1:64" ht="11.45" customHeight="1" thickBot="1" x14ac:dyDescent="0.25">
      <c r="I820" s="2" t="str">
        <f>"1"&amp;O818&amp;N819</f>
        <v>17mieszana MM</v>
      </c>
      <c r="J820" s="10" t="str">
        <f>IF(AD819="","",IF(AD819=1,N820,IF(AD822=1,N823,IF(AD825=1,N826,""))))</f>
        <v>R4145</v>
      </c>
      <c r="K820" s="10" t="str">
        <f>IF(AD819="","",IF(AD819=1,N821,IF(AD822=1,N824,IF(AD825=1,N827,""))))</f>
        <v>P4759</v>
      </c>
      <c r="L820" s="10"/>
      <c r="N820" s="33" t="s">
        <v>377</v>
      </c>
      <c r="O820" s="34">
        <f>IF(O818&gt;0,(O818&amp;1)*1,"")</f>
        <v>71</v>
      </c>
      <c r="Q820" s="274"/>
      <c r="R820" s="274"/>
      <c r="S820" s="275"/>
      <c r="T820" s="242"/>
      <c r="U820" s="244" t="str">
        <f>IF(AND(N820&lt;&gt;"",N821=""),CONCATENATE(VLOOKUP(N820,[1]zawodnicy!$A$1:$E$65536,1,FALSE)," ",VLOOKUP(N820,[1]zawodnicy!$A$1:$E$65536,2,FALSE)," ",VLOOKUP(N820,[1]zawodnicy!$A$1:$E$65536,3,FALSE)," - ",VLOOKUP(N820,[1]zawodnicy!$A$1:$E$65536,4,FALSE)),"")</f>
        <v/>
      </c>
      <c r="V820" s="245"/>
      <c r="W820" s="246"/>
      <c r="X820" s="35"/>
      <c r="Y820" s="36" t="str">
        <f>IF(SUM(AQ824:AR824)=0,"",AQ824&amp;":"&amp;AR824)</f>
        <v>21:11</v>
      </c>
      <c r="Z820" s="37" t="str">
        <f>IF(SUM(AQ822:AR822)=0,"",AQ822&amp;":"&amp;AR822)</f>
        <v>21:11</v>
      </c>
      <c r="AA820" s="248"/>
      <c r="AB820" s="251"/>
      <c r="AC820" s="251"/>
      <c r="AD820" s="254"/>
      <c r="AE820" s="2"/>
      <c r="AF820" s="12"/>
      <c r="AG820" s="12"/>
      <c r="AH820" s="14"/>
      <c r="BE820" s="19">
        <f>SUM(BE822:BE824)</f>
        <v>193</v>
      </c>
      <c r="BF820" s="19">
        <f>SUM(BF822:BF824)</f>
        <v>193</v>
      </c>
      <c r="BG820" s="19">
        <f>SUM(BG822:BG824)</f>
        <v>6</v>
      </c>
      <c r="BH820" s="19">
        <f>SUM(BH822:BH824)</f>
        <v>6</v>
      </c>
      <c r="BK820" s="19"/>
      <c r="BL820" s="20"/>
    </row>
    <row r="821" spans="1:64" ht="11.45" customHeight="1" thickBot="1" x14ac:dyDescent="0.25">
      <c r="J821" s="10"/>
      <c r="K821" s="28"/>
      <c r="L821" s="28"/>
      <c r="N821" s="38" t="s">
        <v>285</v>
      </c>
      <c r="O821" s="28"/>
      <c r="P821" s="28"/>
      <c r="Q821" s="274"/>
      <c r="R821" s="274"/>
      <c r="S821" s="275"/>
      <c r="T821" s="261"/>
      <c r="U821" s="265" t="str">
        <f>IF(N821&lt;&gt;"",CONCATENATE(VLOOKUP(N821,[1]zawodnicy!$A$1:$E$65536,1,FALSE)," ",VLOOKUP(N821,[1]zawodnicy!$A$1:$E$65536,2,FALSE)," ",VLOOKUP(N821,[1]zawodnicy!$A$1:$E$65536,3,FALSE)," - ",VLOOKUP(N821,[1]zawodnicy!$A$1:$E$65536,4,FALSE)),"")</f>
        <v>P4759 Martyna PIETRZAK - MLKS Solec Kuj.</v>
      </c>
      <c r="V821" s="266"/>
      <c r="W821" s="267"/>
      <c r="X821" s="35"/>
      <c r="Y821" s="39" t="str">
        <f>IF(SUM(AS824:AT824)=0,"",AS824&amp;":"&amp;AT824)</f>
        <v/>
      </c>
      <c r="Z821" s="40" t="str">
        <f>IF(SUM(AS822:AT822)=0,"",AS822&amp;":"&amp;AT822)</f>
        <v/>
      </c>
      <c r="AA821" s="262"/>
      <c r="AB821" s="263"/>
      <c r="AC821" s="263"/>
      <c r="AD821" s="264"/>
      <c r="AE821" s="2"/>
      <c r="AF821" s="12"/>
      <c r="AG821" s="12"/>
      <c r="AH821" s="14"/>
      <c r="AI821" s="259" t="s">
        <v>12</v>
      </c>
      <c r="AJ821" s="269"/>
      <c r="AK821" s="268" t="s">
        <v>13</v>
      </c>
      <c r="AL821" s="269"/>
      <c r="AM821" s="268" t="s">
        <v>14</v>
      </c>
      <c r="AN821" s="260"/>
      <c r="AO821" s="259" t="s">
        <v>12</v>
      </c>
      <c r="AP821" s="269"/>
      <c r="AQ821" s="268" t="s">
        <v>13</v>
      </c>
      <c r="AR821" s="269"/>
      <c r="AS821" s="268" t="s">
        <v>14</v>
      </c>
      <c r="AT821" s="269"/>
      <c r="AU821" s="12"/>
      <c r="AV821" s="12"/>
      <c r="AW821" s="259">
        <v>1</v>
      </c>
      <c r="AX821" s="269"/>
      <c r="AY821" s="268">
        <v>2</v>
      </c>
      <c r="AZ821" s="269"/>
      <c r="BA821" s="268">
        <v>3</v>
      </c>
      <c r="BB821" s="260"/>
      <c r="BE821" s="259" t="s">
        <v>3</v>
      </c>
      <c r="BF821" s="260"/>
      <c r="BG821" s="259" t="s">
        <v>4</v>
      </c>
      <c r="BH821" s="260"/>
      <c r="BI821" s="259" t="s">
        <v>5</v>
      </c>
      <c r="BJ821" s="260"/>
      <c r="BK821" s="41" t="s">
        <v>6</v>
      </c>
      <c r="BL821" s="20"/>
    </row>
    <row r="822" spans="1:64" ht="11.45" customHeight="1" x14ac:dyDescent="0.2">
      <c r="A822" s="19">
        <f>S822</f>
        <v>85</v>
      </c>
      <c r="B822" s="2" t="str">
        <f>IF(N820="","",N820)</f>
        <v>R4145</v>
      </c>
      <c r="C822" s="2" t="str">
        <f>IF(N821="","",N821)</f>
        <v>P4759</v>
      </c>
      <c r="D822" s="2" t="str">
        <f>IF(N826="","",N826)</f>
        <v>G5536</v>
      </c>
      <c r="E822" s="2" t="str">
        <f>IF(N827="","",N827)</f>
        <v>O5218</v>
      </c>
      <c r="I822" s="2" t="str">
        <f>"2"&amp;O818&amp;N819</f>
        <v>27mieszana MM</v>
      </c>
      <c r="J822" s="10" t="str">
        <f>IF(AD822="","",IF(AD819=2,N820,IF(AD822=2,N823,IF(AD825=2,N826,""))))</f>
        <v>P5601</v>
      </c>
      <c r="K822" s="10" t="str">
        <f>IF(AD822="","",IF(AD819=2,N821,IF(AD822=2,N824,IF(AD825=2,N827,""))))</f>
        <v>K5600</v>
      </c>
      <c r="M822" s="42" t="str">
        <f>N819</f>
        <v>mieszana MM</v>
      </c>
      <c r="O822" s="28"/>
      <c r="P822" s="28"/>
      <c r="Q822" s="43" t="str">
        <f>IF(AU822&gt;0,"",IF(A822=0,"",IF(VLOOKUP(A822,'[1]plan gier'!A$1:S$65536,19,FALSE)="","",VLOOKUP(A822,'[1]plan gier'!A$1:S$65536,19,FALSE))))</f>
        <v/>
      </c>
      <c r="R822" s="44" t="s">
        <v>15</v>
      </c>
      <c r="S822" s="45">
        <v>85</v>
      </c>
      <c r="T822" s="241">
        <v>2</v>
      </c>
      <c r="U822" s="244" t="str">
        <f>IF(AND(N823&lt;&gt;"",N824&lt;&gt;""),CONCATENATE(VLOOKUP(N823,[1]zawodnicy!$A$1:$E$65536,1,FALSE)," ",VLOOKUP(N823,[1]zawodnicy!$A$1:$E$65536,2,FALSE)," ",VLOOKUP(N823,[1]zawodnicy!$A$1:$E$65536,3,FALSE)," - ",VLOOKUP(N823,[1]zawodnicy!$A$1:$E$65536,4,FALSE)),"")</f>
        <v>P5601 Hubert PUCIŁOWSKI - UKS Hubal Białystok</v>
      </c>
      <c r="V822" s="245"/>
      <c r="W822" s="246"/>
      <c r="X822" s="46" t="str">
        <f>IF(SUM(AO824:AP824)=0,"",AP824&amp;":"&amp;AO824)</f>
        <v>11:21</v>
      </c>
      <c r="Y822" s="47"/>
      <c r="Z822" s="48" t="str">
        <f>IF(SUM(AO823:AP823)=0,"",AO823&amp;":"&amp;AP823)</f>
        <v>21:13</v>
      </c>
      <c r="AA822" s="247" t="str">
        <f>IF(SUM(AW823:AX823,BA823:BB823)=0,"",BE823&amp;":"&amp;BF823)</f>
        <v>64:72</v>
      </c>
      <c r="AB822" s="250" t="str">
        <f>IF(SUM(AW823:AX823,BA823:BB823)=0,"",BG823&amp;":"&amp;BH823)</f>
        <v>2:2</v>
      </c>
      <c r="AC822" s="250" t="str">
        <f>IF(SUM(AW823:AX823,BA823:BB823)=0,"",BI823&amp;":"&amp;BJ823)</f>
        <v>1:1</v>
      </c>
      <c r="AD822" s="253">
        <f>IF(SUM(BI822:BI824)&gt;0,BK823,"")</f>
        <v>2</v>
      </c>
      <c r="AE822" s="2"/>
      <c r="AF822" s="12"/>
      <c r="AG822" s="12"/>
      <c r="AH822" s="44" t="s">
        <v>15</v>
      </c>
      <c r="AI822" s="49">
        <f>IF(ISBLANK(S822),"",VLOOKUP(S822,'[1]plan gier'!$X$1:$AN$65536,12,FALSE))</f>
        <v>21</v>
      </c>
      <c r="AJ822" s="50">
        <f>IF(ISBLANK(S822),"",VLOOKUP(S822,'[1]plan gier'!$X$1:$AN$65536,13,FALSE))</f>
        <v>4</v>
      </c>
      <c r="AK822" s="50">
        <f>IF(ISBLANK(S822),"",VLOOKUP(S822,'[1]plan gier'!$X$1:$AN$65536,14,FALSE))</f>
        <v>21</v>
      </c>
      <c r="AL822" s="50">
        <f>IF(ISBLANK(S822),"",VLOOKUP(S822,'[1]plan gier'!$X$1:$AN$65536,15,FALSE))</f>
        <v>11</v>
      </c>
      <c r="AM822" s="50">
        <f>IF(ISBLANK(S822),"",VLOOKUP(S822,'[1]plan gier'!$X$1:$AN$65536,16,FALSE))</f>
        <v>0</v>
      </c>
      <c r="AN822" s="50">
        <f>IF(ISBLANK(S822),"",VLOOKUP(S822,'[1]plan gier'!$X$1:$AN$65536,17,FALSE))</f>
        <v>0</v>
      </c>
      <c r="AO822" s="51">
        <f t="shared" ref="AO822:AT824" si="81">IF(AI822="",0,AI822)</f>
        <v>21</v>
      </c>
      <c r="AP822" s="52">
        <f t="shared" si="81"/>
        <v>4</v>
      </c>
      <c r="AQ822" s="53">
        <f t="shared" si="81"/>
        <v>21</v>
      </c>
      <c r="AR822" s="52">
        <f t="shared" si="81"/>
        <v>11</v>
      </c>
      <c r="AS822" s="53">
        <f t="shared" si="81"/>
        <v>0</v>
      </c>
      <c r="AT822" s="52">
        <f t="shared" si="81"/>
        <v>0</v>
      </c>
      <c r="AU822" s="54">
        <f>SUM(AO822:AT822)</f>
        <v>57</v>
      </c>
      <c r="AV822" s="13">
        <v>1</v>
      </c>
      <c r="AW822" s="55"/>
      <c r="AX822" s="56"/>
      <c r="AY822" s="50">
        <f>IF(AI824&gt;AJ824,1,0)+IF(AK824&gt;AL824,1,0)+IF(AM824&gt;AN824,1,0)</f>
        <v>2</v>
      </c>
      <c r="AZ822" s="50">
        <f>AW823</f>
        <v>0</v>
      </c>
      <c r="BA822" s="50">
        <f>IF(AI822&gt;AJ822,1,0)+IF(AK822&gt;AL822,1,0)+IF(AM822&gt;AN822,1,0)</f>
        <v>2</v>
      </c>
      <c r="BB822" s="57">
        <f>AW824</f>
        <v>0</v>
      </c>
      <c r="BE822" s="49">
        <f>AO822+AQ822+AS822+AO824+AQ824+AS824</f>
        <v>84</v>
      </c>
      <c r="BF822" s="57">
        <f>AP822+AR822+AT822+AP824+AR824+AT824</f>
        <v>37</v>
      </c>
      <c r="BG822" s="49">
        <f>AY822+BA822</f>
        <v>4</v>
      </c>
      <c r="BH822" s="57">
        <f>AZ822+BB822</f>
        <v>0</v>
      </c>
      <c r="BI822" s="49">
        <f>IF(AY822&gt;AZ822,1,0)+IF(BA822&gt;BB822,1,0)</f>
        <v>2</v>
      </c>
      <c r="BJ822" s="58">
        <f>IF(AZ822&gt;AY822,1,0)+IF(BB822&gt;BA822,1,0)</f>
        <v>0</v>
      </c>
      <c r="BK822" s="59">
        <f>IF(BI822+BJ822=0,"",IF(BL822=MAX(BL822:BL824),1,IF(BL822=MIN(BL822:BL824),3,2)))</f>
        <v>1</v>
      </c>
      <c r="BL822" s="60">
        <f>IF(BI822+BJ822&lt;&gt;0,BI822+1+(BG822-BH822)/100+(BE822-BF822)/100000+(BE822/BF822)/1000000,0)</f>
        <v>3.0404722702702704</v>
      </c>
    </row>
    <row r="823" spans="1:64" ht="11.45" customHeight="1" x14ac:dyDescent="0.2">
      <c r="A823" s="19">
        <f>S823</f>
        <v>151</v>
      </c>
      <c r="B823" s="2" t="str">
        <f>IF(N823="","",N823)</f>
        <v>P5601</v>
      </c>
      <c r="C823" s="2" t="str">
        <f>IF(N824="","",N824)</f>
        <v>K5600</v>
      </c>
      <c r="D823" s="2" t="str">
        <f>IF(N826="","",N826)</f>
        <v>G5536</v>
      </c>
      <c r="E823" s="2" t="str">
        <f>IF(N827="","",N827)</f>
        <v>O5218</v>
      </c>
      <c r="J823" s="10"/>
      <c r="K823" s="19"/>
      <c r="M823" s="42" t="str">
        <f>N819</f>
        <v>mieszana MM</v>
      </c>
      <c r="N823" s="33" t="s">
        <v>333</v>
      </c>
      <c r="O823" s="34">
        <f>IF(O818&gt;0,(O818&amp;2)*1,"")</f>
        <v>72</v>
      </c>
      <c r="Q823" s="43" t="str">
        <f>IF(AU823&gt;0,"",IF(A823=0,"",IF(VLOOKUP(A823,'[1]plan gier'!A$1:S$65536,19,FALSE)="","",VLOOKUP(A823,'[1]plan gier'!A$1:S$65536,19,FALSE))))</f>
        <v/>
      </c>
      <c r="R823" s="44" t="s">
        <v>17</v>
      </c>
      <c r="S823" s="45">
        <v>151</v>
      </c>
      <c r="T823" s="242"/>
      <c r="U823" s="244" t="str">
        <f>IF(AND(N823&lt;&gt;"",N824=""),CONCATENATE(VLOOKUP(N823,[1]zawodnicy!$A$1:$E$65536,1,FALSE)," ",VLOOKUP(N823,[1]zawodnicy!$A$1:$E$65536,2,FALSE)," ",VLOOKUP(N823,[1]zawodnicy!$A$1:$E$65536,3,FALSE)," - ",VLOOKUP(N823,[1]zawodnicy!$A$1:$E$65536,4,FALSE)),"")</f>
        <v/>
      </c>
      <c r="V823" s="245"/>
      <c r="W823" s="246"/>
      <c r="X823" s="61" t="str">
        <f>IF(SUM(AQ824:AR824)=0,"",AR824&amp;":"&amp;AQ824)</f>
        <v>11:21</v>
      </c>
      <c r="Y823" s="62"/>
      <c r="Z823" s="37" t="str">
        <f>IF(SUM(AQ823:AR823)=0,"",AQ823&amp;":"&amp;AR823)</f>
        <v>21:17</v>
      </c>
      <c r="AA823" s="248"/>
      <c r="AB823" s="251"/>
      <c r="AC823" s="251"/>
      <c r="AD823" s="254"/>
      <c r="AE823" s="2"/>
      <c r="AF823" s="12"/>
      <c r="AG823" s="12"/>
      <c r="AH823" s="44" t="s">
        <v>17</v>
      </c>
      <c r="AI823" s="63">
        <f>IF(ISBLANK(S823),"",VLOOKUP(S823,'[1]plan gier'!$X$1:$AN$65536,12,FALSE))</f>
        <v>21</v>
      </c>
      <c r="AJ823" s="64">
        <f>IF(ISBLANK(S823),"",VLOOKUP(S823,'[1]plan gier'!$X$1:$AN$65536,13,FALSE))</f>
        <v>13</v>
      </c>
      <c r="AK823" s="64">
        <f>IF(ISBLANK(S823),"",VLOOKUP(S823,'[1]plan gier'!$X$1:$AN$65536,14,FALSE))</f>
        <v>21</v>
      </c>
      <c r="AL823" s="64">
        <f>IF(ISBLANK(S823),"",VLOOKUP(S823,'[1]plan gier'!$X$1:$AN$65536,15,FALSE))</f>
        <v>17</v>
      </c>
      <c r="AM823" s="64">
        <f>IF(ISBLANK(S823),"",VLOOKUP(S823,'[1]plan gier'!$X$1:$AN$65536,16,FALSE))</f>
        <v>0</v>
      </c>
      <c r="AN823" s="64">
        <f>IF(ISBLANK(S823),"",VLOOKUP(S823,'[1]plan gier'!$X$1:$AN$65536,17,FALSE))</f>
        <v>0</v>
      </c>
      <c r="AO823" s="65">
        <f t="shared" si="81"/>
        <v>21</v>
      </c>
      <c r="AP823" s="64">
        <f t="shared" si="81"/>
        <v>13</v>
      </c>
      <c r="AQ823" s="66">
        <f t="shared" si="81"/>
        <v>21</v>
      </c>
      <c r="AR823" s="64">
        <f t="shared" si="81"/>
        <v>17</v>
      </c>
      <c r="AS823" s="66">
        <f t="shared" si="81"/>
        <v>0</v>
      </c>
      <c r="AT823" s="64">
        <f t="shared" si="81"/>
        <v>0</v>
      </c>
      <c r="AU823" s="54">
        <f>SUM(AO823:AT823)</f>
        <v>72</v>
      </c>
      <c r="AV823" s="13">
        <v>2</v>
      </c>
      <c r="AW823" s="63">
        <f>IF(AI824&lt;AJ824,1,0)+IF(AK824&lt;AL824,1,0)+IF(AM824&lt;AN824,1,0)</f>
        <v>0</v>
      </c>
      <c r="AX823" s="64">
        <f>AY822</f>
        <v>2</v>
      </c>
      <c r="AY823" s="67"/>
      <c r="AZ823" s="68"/>
      <c r="BA823" s="64">
        <f>IF(AI823&gt;AJ823,1,0)+IF(AK823&gt;AL823,1,0)+IF(AM823&gt;AN823,1,0)</f>
        <v>2</v>
      </c>
      <c r="BB823" s="69">
        <f>AY824</f>
        <v>0</v>
      </c>
      <c r="BE823" s="63">
        <f>AO823+AQ823+AS823+AP824+AR824+AT824</f>
        <v>64</v>
      </c>
      <c r="BF823" s="69">
        <f>AP823+AR823+AT823+AO824+AQ824+AS824</f>
        <v>72</v>
      </c>
      <c r="BG823" s="63">
        <f>AW823+BA823</f>
        <v>2</v>
      </c>
      <c r="BH823" s="69">
        <f>AX823+BB823</f>
        <v>2</v>
      </c>
      <c r="BI823" s="63">
        <f>IF(AW823&gt;AX823,1,0)+IF(BA823&gt;BB823,1,0)</f>
        <v>1</v>
      </c>
      <c r="BJ823" s="70">
        <f>IF(AX823&gt;AW823,1,0)+IF(BB823&gt;BA823,1,0)</f>
        <v>1</v>
      </c>
      <c r="BK823" s="71">
        <f>IF(BI823+BJ823=0,"",IF(BL823=MAX(BL822:BL824),1,IF(BL823=MIN(BL822:BL824),3,2)))</f>
        <v>2</v>
      </c>
      <c r="BL823" s="60">
        <f>IF(BI823+BJ823&lt;&gt;0,BI823+1+(BG823-BH823)/100+(BE823-BF823)/100000+(BE823/BF823)/1000000,0)</f>
        <v>1.9999208888888889</v>
      </c>
    </row>
    <row r="824" spans="1:64" ht="11.45" customHeight="1" thickBot="1" x14ac:dyDescent="0.25">
      <c r="A824" s="19">
        <f>S824</f>
        <v>204</v>
      </c>
      <c r="B824" s="2" t="str">
        <f>IF(N820="","",N820)</f>
        <v>R4145</v>
      </c>
      <c r="C824" s="2" t="str">
        <f>IF(N821="","",N821)</f>
        <v>P4759</v>
      </c>
      <c r="D824" s="2" t="str">
        <f>IF(N823="","",N823)</f>
        <v>P5601</v>
      </c>
      <c r="E824" s="2" t="str">
        <f>IF(N824="","",N824)</f>
        <v>K5600</v>
      </c>
      <c r="I824" s="2" t="str">
        <f>"3"&amp;O818&amp;N819</f>
        <v>37mieszana MM</v>
      </c>
      <c r="J824" s="10" t="str">
        <f>IF(AD825="","",IF(AD819=3,N820,IF(AD822=3,N823,IF(AD825=3,N826,""))))</f>
        <v>G5536</v>
      </c>
      <c r="K824" s="10" t="str">
        <f>IF(AD825="","",IF(AD819=3,N821,IF(AD822=3,N824,IF(AD825=3,N827,""))))</f>
        <v>O5218</v>
      </c>
      <c r="M824" s="42" t="str">
        <f>N819</f>
        <v>mieszana MM</v>
      </c>
      <c r="N824" s="38" t="s">
        <v>283</v>
      </c>
      <c r="O824" s="28"/>
      <c r="P824" s="28"/>
      <c r="Q824" s="43" t="str">
        <f>IF(AU824&gt;0,"",IF(A824=0,"",IF(VLOOKUP(A824,'[1]plan gier'!A$1:S$65536,19,FALSE)="","",VLOOKUP(A824,'[1]plan gier'!A$1:S$65536,19,FALSE))))</f>
        <v/>
      </c>
      <c r="R824" s="72" t="s">
        <v>18</v>
      </c>
      <c r="S824" s="45">
        <v>204</v>
      </c>
      <c r="T824" s="261"/>
      <c r="U824" s="265" t="str">
        <f>IF(N824&lt;&gt;"",CONCATENATE(VLOOKUP(N824,[1]zawodnicy!$A$1:$E$65536,1,FALSE)," ",VLOOKUP(N824,[1]zawodnicy!$A$1:$E$65536,2,FALSE)," ",VLOOKUP(N824,[1]zawodnicy!$A$1:$E$65536,3,FALSE)," - ",VLOOKUP(N824,[1]zawodnicy!$A$1:$E$65536,4,FALSE)),"")</f>
        <v>K5600 Gabriela KUŁAKOWSKA - UKS Hubal Białystok</v>
      </c>
      <c r="V824" s="266"/>
      <c r="W824" s="267"/>
      <c r="X824" s="73" t="str">
        <f>IF(SUM(AS824:AT824)=0,"",AT824&amp;":"&amp;AS824)</f>
        <v/>
      </c>
      <c r="Y824" s="62"/>
      <c r="Z824" s="40" t="str">
        <f>IF(SUM(AS823:AT823)=0,"",AS823&amp;":"&amp;AT823)</f>
        <v/>
      </c>
      <c r="AA824" s="262"/>
      <c r="AB824" s="263"/>
      <c r="AC824" s="263"/>
      <c r="AD824" s="264"/>
      <c r="AE824" s="2"/>
      <c r="AF824" s="12"/>
      <c r="AG824" s="12"/>
      <c r="AH824" s="72" t="s">
        <v>18</v>
      </c>
      <c r="AI824" s="74">
        <f>IF(ISBLANK(S824),"",VLOOKUP(S824,'[1]plan gier'!$X$1:$AN$65536,12,FALSE))</f>
        <v>21</v>
      </c>
      <c r="AJ824" s="75">
        <f>IF(ISBLANK(S824),"",VLOOKUP(S824,'[1]plan gier'!$X$1:$AN$65536,13,FALSE))</f>
        <v>11</v>
      </c>
      <c r="AK824" s="75">
        <f>IF(ISBLANK(S824),"",VLOOKUP(S824,'[1]plan gier'!$X$1:$AN$65536,14,FALSE))</f>
        <v>21</v>
      </c>
      <c r="AL824" s="75">
        <f>IF(ISBLANK(S824),"",VLOOKUP(S824,'[1]plan gier'!$X$1:$AN$65536,15,FALSE))</f>
        <v>11</v>
      </c>
      <c r="AM824" s="75">
        <f>IF(ISBLANK(S824),"",VLOOKUP(S824,'[1]plan gier'!$X$1:$AN$65536,16,FALSE))</f>
        <v>0</v>
      </c>
      <c r="AN824" s="75">
        <f>IF(ISBLANK(S824),"",VLOOKUP(S824,'[1]plan gier'!$X$1:$AN$65536,17,FALSE))</f>
        <v>0</v>
      </c>
      <c r="AO824" s="76">
        <f t="shared" si="81"/>
        <v>21</v>
      </c>
      <c r="AP824" s="75">
        <f t="shared" si="81"/>
        <v>11</v>
      </c>
      <c r="AQ824" s="77">
        <f t="shared" si="81"/>
        <v>21</v>
      </c>
      <c r="AR824" s="75">
        <f t="shared" si="81"/>
        <v>11</v>
      </c>
      <c r="AS824" s="77">
        <f t="shared" si="81"/>
        <v>0</v>
      </c>
      <c r="AT824" s="75">
        <f t="shared" si="81"/>
        <v>0</v>
      </c>
      <c r="AU824" s="54">
        <f>SUM(AO824:AT824)</f>
        <v>64</v>
      </c>
      <c r="AV824" s="13">
        <v>3</v>
      </c>
      <c r="AW824" s="74">
        <f>IF(AI822&lt;AJ822,1,0)+IF(AK822&lt;AL822,1,0)+IF(AM822&lt;AN822,1,0)</f>
        <v>0</v>
      </c>
      <c r="AX824" s="75">
        <f>BA822</f>
        <v>2</v>
      </c>
      <c r="AY824" s="75">
        <f>IF(AI823&lt;AJ823,1,0)+IF(AK823&lt;AL823,1,0)+IF(AM823&lt;AN823,1,0)</f>
        <v>0</v>
      </c>
      <c r="AZ824" s="75">
        <f>BA823</f>
        <v>2</v>
      </c>
      <c r="BA824" s="78"/>
      <c r="BB824" s="79"/>
      <c r="BE824" s="74">
        <f>AP822+AR822+AT822+AP823+AR823+AT823</f>
        <v>45</v>
      </c>
      <c r="BF824" s="80">
        <f>AO822+AQ822+AS822+AO823+AQ823+AS823</f>
        <v>84</v>
      </c>
      <c r="BG824" s="74">
        <f>AW824+AY824</f>
        <v>0</v>
      </c>
      <c r="BH824" s="80">
        <f>AX824+AZ824</f>
        <v>4</v>
      </c>
      <c r="BI824" s="74">
        <f>IF(AW824&gt;AX824,1,0)+IF(AY824&gt;AZ824,1,0)</f>
        <v>0</v>
      </c>
      <c r="BJ824" s="81">
        <f>IF(AX824&gt;AW824,1,0)+IF(AZ824&gt;AY824,1,0)</f>
        <v>2</v>
      </c>
      <c r="BK824" s="82">
        <f>IF(BI824+BJ824=0,"",IF(BL824=MAX(BL822:BL824),1,IF(BL824=MIN(BL822:BL824),3,2)))</f>
        <v>3</v>
      </c>
      <c r="BL824" s="60">
        <f>IF(BI824+BJ824&lt;&gt;0,BI824+1+(BG824-BH824)/100+(BE824-BF824)/100000+(BE824/BF824)/1000000,0)</f>
        <v>0.95961053571428567</v>
      </c>
    </row>
    <row r="825" spans="1:64" ht="11.45" customHeight="1" x14ac:dyDescent="0.2">
      <c r="A825" s="2"/>
      <c r="J825" s="28"/>
      <c r="K825" s="28"/>
      <c r="L825" s="28"/>
      <c r="O825" s="28"/>
      <c r="P825" s="28"/>
      <c r="Q825" s="2"/>
      <c r="R825" s="2"/>
      <c r="S825" s="2"/>
      <c r="T825" s="241">
        <v>3</v>
      </c>
      <c r="U825" s="244" t="str">
        <f>IF(AND(N826&lt;&gt;"",N827&lt;&gt;""),CONCATENATE(VLOOKUP(N826,[1]zawodnicy!$A$1:$E$65536,1,FALSE)," ",VLOOKUP(N826,[1]zawodnicy!$A$1:$E$65536,2,FALSE)," ",VLOOKUP(N826,[1]zawodnicy!$A$1:$E$65536,3,FALSE)," - ",VLOOKUP(N826,[1]zawodnicy!$A$1:$E$65536,4,FALSE)),"")</f>
        <v>G5536 Filip GRABOWSKI - SKB Suwałki</v>
      </c>
      <c r="V825" s="245"/>
      <c r="W825" s="246"/>
      <c r="X825" s="46" t="str">
        <f>IF(SUM(AO822:AP822)=0,"",AP822&amp;":"&amp;AO822)</f>
        <v>4:21</v>
      </c>
      <c r="Y825" s="83" t="str">
        <f>IF(SUM(AO823:AP823)=0,"",AP823&amp;":"&amp;AO823)</f>
        <v>13:21</v>
      </c>
      <c r="Z825" s="84"/>
      <c r="AA825" s="247" t="str">
        <f>IF(SUM(AW824:AZ824)=0,"",BE824&amp;":"&amp;BF824)</f>
        <v>45:84</v>
      </c>
      <c r="AB825" s="250" t="str">
        <f>IF(SUM(AW824:AZ824)=0,"",BG824&amp;":"&amp;BH824)</f>
        <v>0:4</v>
      </c>
      <c r="AC825" s="250" t="str">
        <f>IF(SUM(AW824:AZ824)=0,"",BI824&amp;":"&amp;BJ824)</f>
        <v>0:2</v>
      </c>
      <c r="AD825" s="253">
        <f>IF(SUM(BI822:BI824)&gt;0,BK824,"")</f>
        <v>3</v>
      </c>
      <c r="AE825" s="2"/>
      <c r="AF825" s="12"/>
      <c r="AG825" s="12"/>
      <c r="BE825" s="19">
        <f>SUM(BE822:BE824)</f>
        <v>193</v>
      </c>
      <c r="BF825" s="19">
        <f>SUM(BF822:BF824)</f>
        <v>193</v>
      </c>
      <c r="BG825" s="19">
        <f>SUM(BG822:BG824)</f>
        <v>6</v>
      </c>
      <c r="BH825" s="19">
        <f>SUM(BH822:BH824)</f>
        <v>6</v>
      </c>
      <c r="BK825" s="19"/>
      <c r="BL825" s="20"/>
    </row>
    <row r="826" spans="1:64" ht="11.45" customHeight="1" x14ac:dyDescent="0.2">
      <c r="A826" s="19"/>
      <c r="J826" s="19"/>
      <c r="K826" s="19"/>
      <c r="L826" s="19"/>
      <c r="N826" s="33" t="s">
        <v>335</v>
      </c>
      <c r="O826" s="34">
        <f>IF(O818&gt;0,(O818&amp;3)*1,"")</f>
        <v>73</v>
      </c>
      <c r="Q826" s="85"/>
      <c r="R826" s="85"/>
      <c r="S826" s="85"/>
      <c r="T826" s="242"/>
      <c r="U826" s="244" t="str">
        <f>IF(AND(N826&lt;&gt;"",N827=""),CONCATENATE(VLOOKUP(N826,[1]zawodnicy!$A$1:$E$65536,1,FALSE)," ",VLOOKUP(N826,[1]zawodnicy!$A$1:$E$65536,2,FALSE)," ",VLOOKUP(N826,[1]zawodnicy!$A$1:$E$65536,3,FALSE)," - ",VLOOKUP(N826,[1]zawodnicy!$A$1:$E$65536,4,FALSE)),"")</f>
        <v/>
      </c>
      <c r="V826" s="245"/>
      <c r="W826" s="246"/>
      <c r="X826" s="61" t="str">
        <f>IF(SUM(AQ822:AR822)=0,"",AR822&amp;":"&amp;AQ822)</f>
        <v>11:21</v>
      </c>
      <c r="Y826" s="36" t="str">
        <f>IF(SUM(AQ823:AR823)=0,"",AR823&amp;":"&amp;AQ823)</f>
        <v>17:21</v>
      </c>
      <c r="Z826" s="86"/>
      <c r="AA826" s="248"/>
      <c r="AB826" s="251"/>
      <c r="AC826" s="251"/>
      <c r="AD826" s="254"/>
      <c r="AE826" s="2"/>
      <c r="AF826" s="12"/>
      <c r="AG826" s="1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row>
    <row r="827" spans="1:64" ht="11.45" customHeight="1" thickBot="1" x14ac:dyDescent="0.25">
      <c r="A827" s="2"/>
      <c r="J827" s="28"/>
      <c r="K827" s="28"/>
      <c r="L827" s="28"/>
      <c r="N827" s="38" t="s">
        <v>297</v>
      </c>
      <c r="O827" s="28"/>
      <c r="P827" s="28"/>
      <c r="Q827" s="2"/>
      <c r="R827" s="2"/>
      <c r="S827" s="2"/>
      <c r="T827" s="243"/>
      <c r="U827" s="256" t="str">
        <f>IF(N827&lt;&gt;"",CONCATENATE(VLOOKUP(N827,[1]zawodnicy!$A$1:$E$65536,1,FALSE)," ",VLOOKUP(N827,[1]zawodnicy!$A$1:$E$65536,2,FALSE)," ",VLOOKUP(N827,[1]zawodnicy!$A$1:$E$65536,3,FALSE)," - ",VLOOKUP(N827,[1]zawodnicy!$A$1:$E$65536,4,FALSE)),"")</f>
        <v>O5218 Natalia OWSIEJEW - SKB Suwałki</v>
      </c>
      <c r="V827" s="257"/>
      <c r="W827" s="258"/>
      <c r="X827" s="87" t="str">
        <f>IF(SUM(AS822:AT822)=0,"",AT822&amp;":"&amp;AS822)</f>
        <v/>
      </c>
      <c r="Y827" s="88" t="str">
        <f>IF(SUM(AS823:AT823)=0,"",AT823&amp;":"&amp;AS823)</f>
        <v/>
      </c>
      <c r="Z827" s="89"/>
      <c r="AA827" s="249"/>
      <c r="AB827" s="252"/>
      <c r="AC827" s="252"/>
      <c r="AD827" s="255"/>
      <c r="AE827" s="10"/>
      <c r="AF827" s="12"/>
      <c r="AG827" s="1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row>
    <row r="828" spans="1:64" s="19" customFormat="1" ht="5.0999999999999996" customHeight="1" x14ac:dyDescent="0.2">
      <c r="M828" s="90"/>
      <c r="O828" s="90"/>
      <c r="P828" s="90"/>
      <c r="Q828" s="91"/>
      <c r="R828" s="91"/>
      <c r="S828" s="91"/>
      <c r="T828" s="91"/>
      <c r="U828" s="5"/>
      <c r="V828" s="5"/>
      <c r="W828" s="5"/>
      <c r="AA828" s="92"/>
      <c r="AB828" s="91"/>
      <c r="AC828" s="91"/>
      <c r="AD828" s="91"/>
      <c r="AE828" s="91"/>
      <c r="AF828" s="91"/>
      <c r="AI828" s="93"/>
      <c r="AJ828" s="94"/>
      <c r="AK828" s="94"/>
    </row>
    <row r="830" spans="1:64" ht="12.75" x14ac:dyDescent="0.2">
      <c r="J830" s="2"/>
      <c r="K830" s="2"/>
      <c r="L830" s="2"/>
      <c r="M830" s="95"/>
      <c r="N830" s="96">
        <v>1</v>
      </c>
      <c r="O830" s="97">
        <v>7</v>
      </c>
      <c r="P830" s="98"/>
      <c r="Q830" s="1"/>
      <c r="R830" s="1"/>
      <c r="S830" s="1"/>
      <c r="T830" s="229"/>
      <c r="U830" s="229"/>
      <c r="V830" s="229"/>
      <c r="W830" s="229"/>
      <c r="X830" s="229"/>
      <c r="Y830" s="229"/>
      <c r="Z830" s="229"/>
      <c r="AA830" s="229"/>
      <c r="AB830" s="229"/>
      <c r="AC830" s="229"/>
      <c r="AD830" s="229"/>
      <c r="AE830" s="229"/>
      <c r="AF830" s="229"/>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row>
    <row r="831" spans="1:64" ht="12.75" x14ac:dyDescent="0.2">
      <c r="J831" s="2"/>
      <c r="K831" s="2"/>
      <c r="L831" s="2"/>
      <c r="N831" s="99" t="s">
        <v>370</v>
      </c>
      <c r="P831" s="98"/>
      <c r="Q831" s="1"/>
      <c r="R831" s="1"/>
      <c r="S831" s="1"/>
      <c r="T831" s="1"/>
      <c r="U831" s="1"/>
      <c r="V831" s="101"/>
      <c r="W831" s="101"/>
      <c r="X831" s="101"/>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row>
    <row r="832" spans="1:64" ht="12.75" x14ac:dyDescent="0.2">
      <c r="J832" s="2"/>
      <c r="K832" s="2"/>
      <c r="L832" s="2"/>
      <c r="M832" s="95"/>
      <c r="N832" s="119"/>
      <c r="O832" s="120">
        <f>IF(P832="","",1)</f>
        <v>1</v>
      </c>
      <c r="P832" s="121">
        <f>IF(O830&gt;4,1,"")</f>
        <v>1</v>
      </c>
      <c r="Q832" s="113">
        <f>O832</f>
        <v>1</v>
      </c>
      <c r="R832" s="113"/>
      <c r="S832" s="113"/>
      <c r="T832" s="234" t="str">
        <f>UPPER(IF(O832="","",IF(ISTEXT(N832),N832,IF(AND(N830&gt;0,O832&gt;0),VLOOKUP(N830&amp;O832&amp;N831,I:K,2,FALSE),""))))</f>
        <v>P5025</v>
      </c>
      <c r="U832" s="235"/>
      <c r="V832" s="122" t="str">
        <f>IF(T832&lt;&gt;"",CONCATENATE(VLOOKUP(T832,[1]zawodnicy!$A$1:$E$65536,2,FALSE)," ",VLOOKUP(T832,[1]zawodnicy!$A$1:$E$65536,3,FALSE)," - ",VLOOKUP(T832,[1]zawodnicy!$A$1:$E$65536,4,FALSE)),"")</f>
        <v>Jakub PLASZCZYK - MKS Strzelce Opolskie</v>
      </c>
      <c r="W832" s="123"/>
      <c r="X832" s="228" t="str">
        <f>IF(ISBLANK(W833),IF(AND(LEN(T832)&gt;0,LEN(T834)=0),VLOOKUP(T832,[1]zawodnicy!$A$1:$E$65536,3,FALSE),IF(AND(LEN(T834)&gt;0,LEN(T832)=0),VLOOKUP(T834,[1]zawodnicy!$A$1:$E$65536,3,FALSE),"")),IF((VLOOKUP(W833,'[1]plan gier'!$X$1:$AF$65536,7,FALSE))="","",VLOOKUP(VLOOKUP(W833,'[1]plan gier'!$X$1:$AF$65536,7,FALSE),[1]zawodnicy!$A$1:$E$65536,3,FALSE)))</f>
        <v>PLASZCZYK</v>
      </c>
      <c r="Y832" s="229"/>
      <c r="Z832" s="229"/>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row>
    <row r="833" spans="1:63" ht="12.75" x14ac:dyDescent="0.2">
      <c r="A833" s="102">
        <f>W833</f>
        <v>0</v>
      </c>
      <c r="B833" s="2" t="str">
        <f>IF(TYPE(T832)=16,"",T832)</f>
        <v>P5025</v>
      </c>
      <c r="C833" s="2" t="str">
        <f>IF(TYPE(T833)=16,"",T833)</f>
        <v>J5024</v>
      </c>
      <c r="D833" s="2" t="str">
        <f>IF(TYPE(T834)=16,"",T834)</f>
        <v/>
      </c>
      <c r="E833" s="2" t="str">
        <f>IF(TYPE(T835)=16,"",T835)</f>
        <v/>
      </c>
      <c r="F833" s="2" t="str">
        <f>IF(A833=0,IF(AND(LEN(B833)&gt;1,LEN(D833)=0),VLOOKUP(B833,[1]zawodnicy!$A$1:$E$65536,1,FALSE),IF(AND(LEN(D833)&gt;1,LEN(B833)=0),VLOOKUP(D833,[1]zawodnicy!$A$1:$E$65536,1,FALSE),"")),IF((VLOOKUP(A833,'[1]plan gier'!$X$1:$AF$65536,7,FALSE))="","",VLOOKUP(VLOOKUP(A833,'[1]plan gier'!$X$1:$AF$65536,7,FALSE),[1]zawodnicy!$A$1:$E$65536,1,FALSE)))</f>
        <v>P5025</v>
      </c>
      <c r="G833" s="2" t="str">
        <f>IF(A833=0,IF(AND(LEN(C833)&gt;1,LEN(E833)=0),VLOOKUP(C833,[1]zawodnicy!$A$1:$E$65536,1,FALSE),IF(AND(LEN(E833)&gt;1,LEN(C833)=0),VLOOKUP(E833,[1]zawodnicy!$A$1:$E$65536,1,FALSE),"")),IF((VLOOKUP(A833,'[1]plan gier'!$X$1:$AF$65536,8,FALSE))="","",VLOOKUP(VLOOKUP(A833,'[1]plan gier'!$X$1:$AF$65536,8,FALSE),[1]zawodnicy!$A$1:$E$65536,1,FALSE)))</f>
        <v>J5024</v>
      </c>
      <c r="H833" s="2" t="str">
        <f>IF(A833=0,"",IF((VLOOKUP(A833,'[1]plan gier'!$X$1:$AF$65536,7,FALSE))="","",VLOOKUP(A833,'[1]plan gier'!$X$1:$AF$65536,9,FALSE)))</f>
        <v/>
      </c>
      <c r="L833" s="124" t="str">
        <f>IF(A833=0,"",IF(VLOOKUP(A833,'[1]plan gier'!A$1:S$65536,19,FALSE)="","",VLOOKUP(A833,'[1]plan gier'!A$1:S$65536,19,FALSE)))</f>
        <v/>
      </c>
      <c r="M833" s="2" t="str">
        <f>N831</f>
        <v>mieszana MM</v>
      </c>
      <c r="N833" s="125"/>
      <c r="O833" s="121"/>
      <c r="P833" s="121"/>
      <c r="Q833" s="114"/>
      <c r="R833" s="114"/>
      <c r="S833" s="114"/>
      <c r="T833" s="224" t="str">
        <f>UPPER(IF(O832="","",IF(ISTEXT(N833),N833,IF(AND(N830&gt;0,O832&gt;0),VLOOKUP(N830&amp;O832&amp;N831,I:K,3,FALSE),""))))</f>
        <v>J5024</v>
      </c>
      <c r="U833" s="225"/>
      <c r="V833" s="126" t="str">
        <f>IF(T833&lt;&gt;"",CONCATENATE(VLOOKUP(T833,[1]zawodnicy!$A$1:$E$65536,2,FALSE)," ",VLOOKUP(T833,[1]zawodnicy!$A$1:$E$65536,3,FALSE)," - ",VLOOKUP(T833,[1]zawodnicy!$A$1:$E$65536,4,FALSE)),"")</f>
        <v>Zuzanna JANKOWSKA - MKS Strzelce Opolskie</v>
      </c>
      <c r="W833" s="127"/>
      <c r="X833" s="231" t="str">
        <f>IF(ISBLANK(W833),IF(AND(LEN(T833)&gt;0,LEN(T835)=0),VLOOKUP(T833,[1]zawodnicy!$A$1:$E$65536,3,FALSE),IF(AND(LEN(T835)&gt;0,LEN(T833)=0),VLOOKUP(T835,[1]zawodnicy!$A$1:$E$65536,3,FALSE),"")),IF((VLOOKUP(W833,'[1]plan gier'!$X$1:$AF$65536,8,FALSE))="","",VLOOKUP(VLOOKUP(W833,'[1]plan gier'!$X$1:$AF$65536,8,FALSE),[1]zawodnicy!$A$1:$E$65536,3,FALSE)))</f>
        <v>JANKOWSKA</v>
      </c>
      <c r="Y833" s="232"/>
      <c r="Z833" s="23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row>
    <row r="834" spans="1:63" ht="12.75" x14ac:dyDescent="0.2">
      <c r="J834" s="2"/>
      <c r="K834" s="2"/>
      <c r="L834" s="2"/>
      <c r="M834" s="95"/>
      <c r="N834" s="125"/>
      <c r="O834" s="120" t="str">
        <f>IF(P834="","",MAX(O832:O833)+1)</f>
        <v/>
      </c>
      <c r="P834" s="121" t="str">
        <f>IF(O830&gt;7,5,"")</f>
        <v/>
      </c>
      <c r="Q834" s="113" t="str">
        <f>O834</f>
        <v/>
      </c>
      <c r="R834" s="113"/>
      <c r="S834" s="113"/>
      <c r="T834" s="234" t="str">
        <f>UPPER(IF(O834="","",IF(ISTEXT(N834),N834,IF(AND(N830&gt;0,O834&gt;0),VLOOKUP(N830&amp;O834&amp;N831,I:K,2,FALSE),""))))</f>
        <v/>
      </c>
      <c r="U834" s="235"/>
      <c r="V834" s="122" t="str">
        <f>IF(T834&lt;&gt;"",CONCATENATE(VLOOKUP(T834,[1]zawodnicy!$A$1:$E$65536,2,FALSE)," ",VLOOKUP(T834,[1]zawodnicy!$A$1:$E$65536,3,FALSE)," - ",VLOOKUP(T834,[1]zawodnicy!$A$1:$E$65536,4,FALSE)),"")</f>
        <v/>
      </c>
      <c r="W834" s="128"/>
      <c r="X834" s="237" t="str">
        <f>IF(ISBLANK(W833),"",IF((VLOOKUP(W833,'[1]plan gier'!$X$1:$AF$65536,7,FALSE))="",L833,VLOOKUP(W833,'[1]plan gier'!$X$1:$AF$65536,9,FALSE)))</f>
        <v/>
      </c>
      <c r="Y834" s="237"/>
      <c r="Z834" s="240"/>
      <c r="AA834" s="229" t="str">
        <f>IF(ISBLANK(Z835),IF(AND(LEN(X832)&gt;0,LEN(X836)=0),X832,IF(AND(LEN(X836)&gt;0,LEN(X832)=0),X836,"")),IF((VLOOKUP(Z835,'[1]plan gier'!$X$1:$AF$65536,7,FALSE))="","",VLOOKUP(VLOOKUP(Z835,'[1]plan gier'!$X$1:$AF$65536,7,FALSE),[1]zawodnicy!$A$1:$E$65536,3,FALSE)))</f>
        <v>MATUSZ</v>
      </c>
      <c r="AB834" s="229"/>
      <c r="AC834" s="229"/>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row>
    <row r="835" spans="1:63" ht="13.5" thickBot="1" x14ac:dyDescent="0.25">
      <c r="A835" s="111">
        <f>Z835</f>
        <v>400</v>
      </c>
      <c r="B835" s="2" t="str">
        <f>F833</f>
        <v>P5025</v>
      </c>
      <c r="C835" s="2" t="str">
        <f>G833</f>
        <v>J5024</v>
      </c>
      <c r="D835" s="2" t="str">
        <f>F837</f>
        <v>M4565</v>
      </c>
      <c r="E835" s="2" t="str">
        <f>G837</f>
        <v>X05</v>
      </c>
      <c r="F835" s="2" t="str">
        <f>IF(A835=0,IF(AND(LEN(B835)&gt;0,LEN(D835)=0),B835,IF(AND(LEN(D835)&gt;0,LEN(B835)=0),D835,"")),IF((VLOOKUP(A835,'[1]plan gier'!$X$1:$AF$65536,7,FALSE))="","",VLOOKUP(VLOOKUP(A835,'[1]plan gier'!$X$1:$AF$65536,7,FALSE),[1]zawodnicy!$A$1:$E$65536,1,FALSE)))</f>
        <v>M4565</v>
      </c>
      <c r="G835" s="2" t="str">
        <f>IF(A835=0,IF(AND(LEN(C835)&gt;0,LEN(E835)=0),C835,IF(AND(LEN(E835)&gt;0,LEN(C835)=0),E835,"")),IF((VLOOKUP(A835,'[1]plan gier'!$X$1:$AF$65536,8,FALSE))="","",VLOOKUP(VLOOKUP(A835,'[1]plan gier'!$X$1:$AF$65536,8,FALSE),[1]zawodnicy!$A$1:$E$65536,1,FALSE)))</f>
        <v>X05</v>
      </c>
      <c r="H835" s="2" t="str">
        <f>IF(A835=0,"",IF((VLOOKUP(A835,'[1]plan gier'!$X$1:$AF$65536,7,FALSE))="","",VLOOKUP(A835,'[1]plan gier'!$X$1:$AF$65536,9,FALSE)))</f>
        <v>21:16,21:15</v>
      </c>
      <c r="L835" s="124" t="str">
        <f>IF(A835=0,"",IF(VLOOKUP(A835,'[1]plan gier'!A$1:S$65536,19,FALSE)="","",VLOOKUP(A835,'[1]plan gier'!A$1:S$65536,19,FALSE)))</f>
        <v>sob 19:45</v>
      </c>
      <c r="M835" s="2" t="str">
        <f>N831</f>
        <v>mieszana MM</v>
      </c>
      <c r="N835" s="129"/>
      <c r="O835" s="121"/>
      <c r="P835" s="121"/>
      <c r="Q835" s="114"/>
      <c r="R835" s="114"/>
      <c r="S835" s="114"/>
      <c r="T835" s="238" t="str">
        <f>UPPER(IF(O834="","",IF(ISTEXT(N835),N835,IF(AND(N830&gt;0,O834&gt;0),VLOOKUP(N830&amp;O834&amp;N831,I:K,3,FALSE),""))))</f>
        <v/>
      </c>
      <c r="U835" s="239"/>
      <c r="V835" s="130" t="str">
        <f>IF(T835&lt;&gt;"",CONCATENATE(VLOOKUP(T835,[1]zawodnicy!$A$1:$E$65536,2,FALSE)," ",VLOOKUP(T835,[1]zawodnicy!$A$1:$E$65536,3,FALSE)," - ",VLOOKUP(T835,[1]zawodnicy!$A$1:$E$65536,4,FALSE)),"")</f>
        <v/>
      </c>
      <c r="W835" s="131"/>
      <c r="X835" s="114"/>
      <c r="Y835" s="10"/>
      <c r="Z835" s="115">
        <v>400</v>
      </c>
      <c r="AA835" s="231" t="str">
        <f>IF(ISBLANK(Z835),IF(AND(LEN(X833)&gt;0,LEN(X837)=0),X833,IF(AND(LEN(X837)&gt;0,LEN(X833)=0),X837,"")),IF((VLOOKUP(Z835,'[1]plan gier'!$X$1:$AF$65536,8,FALSE))="","",VLOOKUP(VLOOKUP(Z835,'[1]plan gier'!$X$1:$AF$65536,8,FALSE),[1]zawodnicy!$A$1:$E$65536,3,FALSE)))</f>
        <v>KRAMCHANINA</v>
      </c>
      <c r="AB835" s="232"/>
      <c r="AC835" s="23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row>
    <row r="836" spans="1:63" ht="13.5" thickTop="1" x14ac:dyDescent="0.2">
      <c r="J836" s="2"/>
      <c r="K836" s="2"/>
      <c r="L836" s="2"/>
      <c r="M836" s="95"/>
      <c r="N836" s="132"/>
      <c r="O836" s="120">
        <f>IF(P836="","",MAX(O832:O835)+1)</f>
        <v>2</v>
      </c>
      <c r="P836" s="121">
        <f>IF(O830&gt;4,9,"")</f>
        <v>9</v>
      </c>
      <c r="Q836" s="113">
        <f>O836</f>
        <v>2</v>
      </c>
      <c r="R836" s="113"/>
      <c r="S836" s="113"/>
      <c r="T836" s="226" t="str">
        <f>UPPER(IF(O836="","",IF(ISTEXT(N836),N836,IF(AND(N830&gt;0,O836&gt;0),VLOOKUP(N830&amp;O836&amp;N831,I:K,2,FALSE),""))))</f>
        <v>G4725</v>
      </c>
      <c r="U836" s="227"/>
      <c r="V836" s="133" t="str">
        <f>IF(T836&lt;&gt;"",CONCATENATE(VLOOKUP(T836,[1]zawodnicy!$A$1:$E$65536,2,FALSE)," ",VLOOKUP(T836,[1]zawodnicy!$A$1:$E$65536,3,FALSE)," - ",VLOOKUP(T836,[1]zawodnicy!$A$1:$E$65536,4,FALSE)),"")</f>
        <v>Bartosz GAŁĄZKA - LKS Technik Głubczyce</v>
      </c>
      <c r="W836" s="134"/>
      <c r="X836" s="228" t="str">
        <f>IF(ISBLANK(W837),IF(AND(LEN(T836)&gt;0,LEN(T838)=0),VLOOKUP(T836,[1]zawodnicy!$A$1:$E$65536,3,FALSE),IF(AND(LEN(T838)&gt;0,LEN(T836)=0),VLOOKUP(T838,[1]zawodnicy!$A$1:$E$65536,3,FALSE),"")),IF((VLOOKUP(W837,'[1]plan gier'!$X$1:$AF$65536,7,FALSE))="","",VLOOKUP(VLOOKUP(W837,'[1]plan gier'!$X$1:$AF$65536,7,FALSE),[1]zawodnicy!$A$1:$E$65536,3,FALSE)))</f>
        <v>MATUSZ</v>
      </c>
      <c r="Y836" s="229"/>
      <c r="Z836" s="230"/>
      <c r="AA836" s="229" t="str">
        <f>IF(ISBLANK(Z835),"",IF((VLOOKUP(Z835,'[1]plan gier'!$X$1:$AF$65536,7,FALSE))="",L835,VLOOKUP(Z835,'[1]plan gier'!$X$1:$AF$65536,9,FALSE)))</f>
        <v>21:16,21:15</v>
      </c>
      <c r="AB836" s="229"/>
      <c r="AC836" s="230"/>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row>
    <row r="837" spans="1:63" ht="12.75" x14ac:dyDescent="0.2">
      <c r="A837" s="102">
        <f>W837</f>
        <v>385</v>
      </c>
      <c r="B837" s="2" t="str">
        <f>IF(TYPE(T836)=16,"",T836)</f>
        <v>G4725</v>
      </c>
      <c r="C837" s="2" t="str">
        <f>IF(TYPE(T837)=16,"",T837)</f>
        <v>K5208</v>
      </c>
      <c r="D837" s="2" t="str">
        <f>IF(TYPE(T838)=16,"",T838)</f>
        <v>M4565</v>
      </c>
      <c r="E837" s="2" t="str">
        <f>IF(TYPE(T839)=16,"",T839)</f>
        <v>X05</v>
      </c>
      <c r="F837" s="2" t="str">
        <f>IF(A837=0,IF(AND(LEN(B837)&gt;1,LEN(D837)=0),VLOOKUP(B837,[1]zawodnicy!$A$1:$E$65536,1,FALSE),IF(AND(LEN(D837)&gt;1,LEN(B837)=0),VLOOKUP(D837,[1]zawodnicy!$A$1:$E$65536,1,FALSE),"")),IF((VLOOKUP(A837,'[1]plan gier'!$X$1:$AF$65536,7,FALSE))="","",VLOOKUP(VLOOKUP(A837,'[1]plan gier'!$X$1:$AF$65536,7,FALSE),[1]zawodnicy!$A$1:$E$65536,1,FALSE)))</f>
        <v>M4565</v>
      </c>
      <c r="G837" s="2" t="str">
        <f>IF(A837=0,IF(AND(LEN(C837)&gt;1,LEN(E837)=0),VLOOKUP(C837,[1]zawodnicy!$A$1:$E$65536,1,FALSE),IF(AND(LEN(E837)&gt;1,LEN(C837)=0),VLOOKUP(E837,[1]zawodnicy!$A$1:$E$65536,1,FALSE),"")),IF((VLOOKUP(A837,'[1]plan gier'!$X$1:$AF$65536,8,FALSE))="","",VLOOKUP(VLOOKUP(A837,'[1]plan gier'!$X$1:$AF$65536,8,FALSE),[1]zawodnicy!$A$1:$E$65536,1,FALSE)))</f>
        <v>X05</v>
      </c>
      <c r="H837" s="2" t="str">
        <f>IF(A837=0,"",IF((VLOOKUP(A837,'[1]plan gier'!$X$1:$AF$65536,7,FALSE))="","",VLOOKUP(A837,'[1]plan gier'!$X$1:$AF$65536,9,FALSE)))</f>
        <v>21:10,21:13</v>
      </c>
      <c r="L837" s="124" t="str">
        <f>IF(A837=0,"",IF(VLOOKUP(A837,'[1]plan gier'!A$1:S$65536,19,FALSE)="","",VLOOKUP(A837,'[1]plan gier'!A$1:S$65536,19,FALSE)))</f>
        <v>sob 18:30</v>
      </c>
      <c r="M837" s="2" t="str">
        <f>N831</f>
        <v>mieszana MM</v>
      </c>
      <c r="N837" s="125"/>
      <c r="O837" s="121"/>
      <c r="P837" s="121"/>
      <c r="Q837" s="114"/>
      <c r="R837" s="114"/>
      <c r="S837" s="114"/>
      <c r="T837" s="224" t="str">
        <f>UPPER(IF(O836="","",IF(ISTEXT(N837),N837,IF(AND(N830&gt;0,O836&gt;0),VLOOKUP(N830&amp;O836&amp;N831,I:K,3,FALSE),""))))</f>
        <v>K5208</v>
      </c>
      <c r="U837" s="225"/>
      <c r="V837" s="126" t="str">
        <f>IF(T837&lt;&gt;"",CONCATENATE(VLOOKUP(T837,[1]zawodnicy!$A$1:$E$65536,2,FALSE)," ",VLOOKUP(T837,[1]zawodnicy!$A$1:$E$65536,3,FALSE)," - ",VLOOKUP(T837,[1]zawodnicy!$A$1:$E$65536,4,FALSE)),"")</f>
        <v>Dominika KWAŚNIK - UKS Feniks Kędzierzyn-Koźle</v>
      </c>
      <c r="W837" s="127">
        <v>385</v>
      </c>
      <c r="X837" s="231" t="str">
        <f>IF(ISBLANK(W837),IF(AND(LEN(T837)&gt;0,LEN(T839)=0),VLOOKUP(T837,[1]zawodnicy!$A$1:$E$65536,3,FALSE),IF(AND(LEN(T839)&gt;0,LEN(T837)=0),VLOOKUP(T839,[1]zawodnicy!$A$1:$E$65536,3,FALSE),"")),IF((VLOOKUP(W837,'[1]plan gier'!$X$1:$AF$65536,8,FALSE))="","",VLOOKUP(VLOOKUP(W837,'[1]plan gier'!$X$1:$AF$65536,8,FALSE),[1]zawodnicy!$A$1:$E$65536,3,FALSE)))</f>
        <v>KRAMCHANINA</v>
      </c>
      <c r="Y837" s="232"/>
      <c r="Z837" s="233"/>
      <c r="AA837" s="10"/>
      <c r="AB837" s="10"/>
      <c r="AC837" s="117"/>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row>
    <row r="838" spans="1:63" ht="12.75" x14ac:dyDescent="0.2">
      <c r="J838" s="2"/>
      <c r="K838" s="2"/>
      <c r="L838" s="2"/>
      <c r="M838" s="95"/>
      <c r="N838" s="125"/>
      <c r="O838" s="120">
        <f>IF(P838="","",MAX(O832:O837)+1)</f>
        <v>3</v>
      </c>
      <c r="P838" s="121">
        <f>IF(O830&gt;5,13,"")</f>
        <v>13</v>
      </c>
      <c r="Q838" s="113">
        <f>O838</f>
        <v>3</v>
      </c>
      <c r="R838" s="113"/>
      <c r="S838" s="113"/>
      <c r="T838" s="234" t="str">
        <f>UPPER(IF(O838="","",IF(ISTEXT(N838),N838,IF(AND(N830&gt;0,O838&gt;0),VLOOKUP(N830&amp;O838&amp;N831,I:K,2,FALSE),""))))</f>
        <v>M4565</v>
      </c>
      <c r="U838" s="235"/>
      <c r="V838" s="122" t="str">
        <f>IF(T838&lt;&gt;"",CONCATENATE(VLOOKUP(T838,[1]zawodnicy!$A$1:$E$65536,2,FALSE)," ",VLOOKUP(T838,[1]zawodnicy!$A$1:$E$65536,3,FALSE)," - ",VLOOKUP(T838,[1]zawodnicy!$A$1:$E$65536,4,FALSE)),"")</f>
        <v>Maciej MATUSZ - LKS Technik Głubczyce</v>
      </c>
      <c r="W838" s="128"/>
      <c r="X838" s="236" t="str">
        <f>IF(ISBLANK(W837),"",IF((VLOOKUP(W837,'[1]plan gier'!$X$1:$AF$65536,7,FALSE))="",L837,VLOOKUP(W837,'[1]plan gier'!$X$1:$AF$65536,9,FALSE)))</f>
        <v>21:10,21:13</v>
      </c>
      <c r="Y838" s="237"/>
      <c r="Z838" s="237"/>
      <c r="AA838" s="10"/>
      <c r="AB838" s="10"/>
      <c r="AC838" s="116"/>
      <c r="AD838" s="229" t="str">
        <f>IF(ISBLANK(AC839),IF(AND(LEN(AA834)&gt;0,LEN(AA842)=0),AA834,IF(AND(LEN(AA842)&gt;0,LEN(AA834)=0),AA842,"")),IF((VLOOKUP(AC839,'[1]plan gier'!$X$1:$AF$65536,7,FALSE))="","",VLOOKUP(VLOOKUP(AC839,'[1]plan gier'!$X$1:$AF$65536,7,FALSE),[1]zawodnicy!$A$1:$E$65536,3,FALSE)))</f>
        <v>MATUSZ</v>
      </c>
      <c r="AE838" s="229"/>
      <c r="AF838" s="229"/>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row>
    <row r="839" spans="1:63" ht="13.5" thickBot="1" x14ac:dyDescent="0.25">
      <c r="A839" s="171">
        <f>AC839</f>
        <v>412</v>
      </c>
      <c r="B839" s="2" t="str">
        <f>F835</f>
        <v>M4565</v>
      </c>
      <c r="C839" s="2" t="str">
        <f>G835</f>
        <v>X05</v>
      </c>
      <c r="D839" s="2" t="str">
        <f>F843</f>
        <v>R4145</v>
      </c>
      <c r="E839" s="2" t="str">
        <f>G843</f>
        <v>P4759</v>
      </c>
      <c r="F839" s="2" t="str">
        <f>IF(A839=0,IF(AND(LEN(B839)&gt;0,LEN(D839)=0),B839,IF(AND(LEN(D839)&gt;0,LEN(B839)=0),D839,"")),IF((VLOOKUP(A839,'[1]plan gier'!$X$1:$AF$65536,7,FALSE))="","",VLOOKUP(VLOOKUP(A839,'[1]plan gier'!$X$1:$AF$65536,7,FALSE),[1]zawodnicy!$A$1:$E$65536,1,FALSE)))</f>
        <v>M4565</v>
      </c>
      <c r="G839" s="2" t="str">
        <f>IF(A839=0,IF(AND(LEN(C839)&gt;0,LEN(E839)=0),C839,IF(AND(LEN(E839)&gt;0,LEN(C839)=0),E839,"")),IF((VLOOKUP(A839,'[1]plan gier'!$X$1:$AF$65536,8,FALSE))="","",VLOOKUP(VLOOKUP(A839,'[1]plan gier'!$X$1:$AF$65536,8,FALSE),[1]zawodnicy!$A$1:$E$65536,1,FALSE)))</f>
        <v>X05</v>
      </c>
      <c r="H839" s="2" t="str">
        <f>IF(A839=0,"",IF((VLOOKUP(A839,'[1]plan gier'!$X$1:$AF$65536,7,FALSE))="","",VLOOKUP(A839,'[1]plan gier'!$X$1:$AF$65536,9,FALSE)))</f>
        <v>21:13,21:3</v>
      </c>
      <c r="L839" s="124" t="str">
        <f>IF(A839=0,"",IF(VLOOKUP(A839,'[1]plan gier'!A$1:S$65536,19,FALSE)="","",VLOOKUP(A839,'[1]plan gier'!A$1:S$65536,19,FALSE)))</f>
        <v>sob 20:15</v>
      </c>
      <c r="M839" s="2" t="str">
        <f>N831</f>
        <v>mieszana MM</v>
      </c>
      <c r="N839" s="129"/>
      <c r="O839" s="121"/>
      <c r="P839" s="121"/>
      <c r="Q839" s="114"/>
      <c r="R839" s="114"/>
      <c r="S839" s="114"/>
      <c r="T839" s="238" t="str">
        <f>UPPER(IF(O838="","",IF(ISTEXT(N839),N839,IF(AND(N830&gt;0,O838&gt;0),VLOOKUP(N830&amp;O838&amp;N831,I:K,3,FALSE),""))))</f>
        <v>X05</v>
      </c>
      <c r="U839" s="239"/>
      <c r="V839" s="130" t="str">
        <f>IF(T839&lt;&gt;"",CONCATENATE(VLOOKUP(T839,[1]zawodnicy!$A$1:$E$65536,2,FALSE)," ",VLOOKUP(T839,[1]zawodnicy!$A$1:$E$65536,3,FALSE)," - ",VLOOKUP(T839,[1]zawodnicy!$A$1:$E$65536,4,FALSE)),"")</f>
        <v>Alesia  KRAMCHANINA - Białoruś</v>
      </c>
      <c r="W839" s="131"/>
      <c r="X839" s="10"/>
      <c r="Y839" s="10"/>
      <c r="Z839" s="10"/>
      <c r="AA839" s="10"/>
      <c r="AB839" s="10"/>
      <c r="AC839" s="115">
        <v>412</v>
      </c>
      <c r="AD839" s="231" t="str">
        <f>IF(ISBLANK(AC839),IF(AND(LEN(AA835)&gt;0,LEN(AA843)=0),AA835,IF(AND(LEN(AA843)&gt;0,LEN(AA835)=0),AA843,"")),IF((VLOOKUP(AC839,'[1]plan gier'!$X$1:$AF$65536,8,FALSE))="","",VLOOKUP(VLOOKUP(AC839,'[1]plan gier'!$X$1:$AF$65536,8,FALSE),[1]zawodnicy!$A$1:$E$65536,3,FALSE)))</f>
        <v>KRAMCHANINA</v>
      </c>
      <c r="AE839" s="232"/>
      <c r="AF839" s="23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row>
    <row r="840" spans="1:63" ht="13.5" thickTop="1" x14ac:dyDescent="0.2">
      <c r="J840" s="2"/>
      <c r="K840" s="2"/>
      <c r="L840" s="2"/>
      <c r="M840" s="95"/>
      <c r="N840" s="132"/>
      <c r="O840" s="120">
        <f>IF(P840="","",MAX(O832:O839)+1)</f>
        <v>4</v>
      </c>
      <c r="P840" s="121">
        <f>IF(O830&gt;4,20,"")</f>
        <v>20</v>
      </c>
      <c r="Q840" s="113">
        <f>O840</f>
        <v>4</v>
      </c>
      <c r="R840" s="113"/>
      <c r="S840" s="113"/>
      <c r="T840" s="226" t="str">
        <f>UPPER(IF(O840="","",IF(ISTEXT(N840),N840,IF(AND(N830&gt;0,O840&gt;0),VLOOKUP(N830&amp;O840&amp;N831,I:K,2,FALSE),""))))</f>
        <v>Z4312</v>
      </c>
      <c r="U840" s="227"/>
      <c r="V840" s="133" t="str">
        <f>IF(T840&lt;&gt;"",CONCATENATE(VLOOKUP(T840,[1]zawodnicy!$A$1:$E$65536,2,FALSE)," ",VLOOKUP(T840,[1]zawodnicy!$A$1:$E$65536,3,FALSE)," - ",VLOOKUP(T840,[1]zawodnicy!$A$1:$E$65536,4,FALSE)),"")</f>
        <v>Łukasz ZWIERZCHOWSKI - UKSB Milenium Warszawa</v>
      </c>
      <c r="W840" s="134"/>
      <c r="X840" s="228" t="str">
        <f>IF(ISBLANK(W841),IF(AND(LEN(T840)&gt;0,LEN(T842)=0),VLOOKUP(T840,[1]zawodnicy!$A$1:$E$65536,3,FALSE),IF(AND(LEN(T842)&gt;0,LEN(T840)=0),VLOOKUP(T842,[1]zawodnicy!$A$1:$E$65536,3,FALSE),"")),IF((VLOOKUP(W841,'[1]plan gier'!$X$1:$AF$65536,7,FALSE))="","",VLOOKUP(VLOOKUP(W841,'[1]plan gier'!$X$1:$AF$65536,7,FALSE),[1]zawodnicy!$A$1:$E$65536,3,FALSE)))</f>
        <v>ZWIERZCHOWSKI</v>
      </c>
      <c r="Y840" s="229"/>
      <c r="Z840" s="229"/>
      <c r="AA840" s="10"/>
      <c r="AB840" s="10"/>
      <c r="AC840" s="116"/>
      <c r="AD840" s="229" t="str">
        <f>IF(ISBLANK(AC839),"",IF((VLOOKUP(AC839,'[1]plan gier'!$X$1:$AF$65536,7,FALSE))="",L839,VLOOKUP(AC839,'[1]plan gier'!$X$1:$AF$65536,9,FALSE)))</f>
        <v>21:13,21:3</v>
      </c>
      <c r="AE840" s="229"/>
      <c r="AF840" s="229"/>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row>
    <row r="841" spans="1:63" ht="12.75" x14ac:dyDescent="0.2">
      <c r="A841" s="102">
        <f>W841</f>
        <v>386</v>
      </c>
      <c r="B841" s="2" t="str">
        <f>IF(TYPE(T840)=16,"",T840)</f>
        <v>Z4312</v>
      </c>
      <c r="C841" s="2" t="str">
        <f>IF(TYPE(T841)=16,"",T841)</f>
        <v>H5946</v>
      </c>
      <c r="D841" s="2" t="str">
        <f>IF(TYPE(T842)=16,"",T842)</f>
        <v>M4698</v>
      </c>
      <c r="E841" s="2" t="str">
        <f>IF(TYPE(T843)=16,"",T843)</f>
        <v>X16</v>
      </c>
      <c r="F841" s="2" t="str">
        <f>IF(A841=0,IF(AND(LEN(B841)&gt;1,LEN(D841)=0),VLOOKUP(B841,[1]zawodnicy!$A$1:$E$65536,1,FALSE),IF(AND(LEN(D841)&gt;1,LEN(B841)=0),VLOOKUP(D841,[1]zawodnicy!$A$1:$E$65536,1,FALSE),"")),IF((VLOOKUP(A841,'[1]plan gier'!$X$1:$AF$65536,7,FALSE))="","",VLOOKUP(VLOOKUP(A841,'[1]plan gier'!$X$1:$AF$65536,7,FALSE),[1]zawodnicy!$A$1:$E$65536,1,FALSE)))</f>
        <v>Z4312</v>
      </c>
      <c r="G841" s="2" t="str">
        <f>IF(A841=0,IF(AND(LEN(C841)&gt;1,LEN(E841)=0),VLOOKUP(C841,[1]zawodnicy!$A$1:$E$65536,1,FALSE),IF(AND(LEN(E841)&gt;1,LEN(C841)=0),VLOOKUP(E841,[1]zawodnicy!$A$1:$E$65536,1,FALSE),"")),IF((VLOOKUP(A841,'[1]plan gier'!$X$1:$AF$65536,8,FALSE))="","",VLOOKUP(VLOOKUP(A841,'[1]plan gier'!$X$1:$AF$65536,8,FALSE),[1]zawodnicy!$A$1:$E$65536,1,FALSE)))</f>
        <v>H5946</v>
      </c>
      <c r="H841" s="2" t="str">
        <f>IF(A841=0,"",IF((VLOOKUP(A841,'[1]plan gier'!$X$1:$AF$65536,7,FALSE))="","",VLOOKUP(A841,'[1]plan gier'!$X$1:$AF$65536,9,FALSE)))</f>
        <v>21:17,21:15</v>
      </c>
      <c r="L841" s="124" t="str">
        <f>IF(A841=0,"",IF(VLOOKUP(A841,'[1]plan gier'!A$1:S$65536,19,FALSE)="","",VLOOKUP(A841,'[1]plan gier'!A$1:S$65536,19,FALSE)))</f>
        <v>sob 18:30</v>
      </c>
      <c r="M841" s="2" t="str">
        <f>N831</f>
        <v>mieszana MM</v>
      </c>
      <c r="N841" s="125"/>
      <c r="O841" s="121"/>
      <c r="P841" s="121"/>
      <c r="Q841" s="114"/>
      <c r="R841" s="114"/>
      <c r="S841" s="114"/>
      <c r="T841" s="224" t="str">
        <f>UPPER(IF(O840="","",IF(ISTEXT(N841),N841,IF(AND(N830&gt;0,O840&gt;0),VLOOKUP(N830&amp;O840&amp;N831,I:K,3,FALSE),""))))</f>
        <v>H5946</v>
      </c>
      <c r="U841" s="225"/>
      <c r="V841" s="126" t="str">
        <f>IF(T841&lt;&gt;"",CONCATENATE(VLOOKUP(T841,[1]zawodnicy!$A$1:$E$65536,2,FALSE)," ",VLOOKUP(T841,[1]zawodnicy!$A$1:$E$65536,3,FALSE)," - ",VLOOKUP(T841,[1]zawodnicy!$A$1:$E$65536,4,FALSE)),"")</f>
        <v>Paulina HANKIEWICZ - UKSB Milenium Warszawa</v>
      </c>
      <c r="W841" s="127">
        <v>386</v>
      </c>
      <c r="X841" s="231" t="str">
        <f>IF(ISBLANK(W841),IF(AND(LEN(T841)&gt;0,LEN(T843)=0),VLOOKUP(T841,[1]zawodnicy!$A$1:$E$65536,3,FALSE),IF(AND(LEN(T843)&gt;0,LEN(T841)=0),VLOOKUP(T843,[1]zawodnicy!$A$1:$E$65536,3,FALSE),"")),IF((VLOOKUP(W841,'[1]plan gier'!$X$1:$AF$65536,8,FALSE))="","",VLOOKUP(VLOOKUP(W841,'[1]plan gier'!$X$1:$AF$65536,8,FALSE),[1]zawodnicy!$A$1:$E$65536,3,FALSE)))</f>
        <v>HANKIEWICZ</v>
      </c>
      <c r="Y841" s="232"/>
      <c r="Z841" s="232"/>
      <c r="AA841" s="10"/>
      <c r="AB841" s="10"/>
      <c r="AC841" s="117"/>
      <c r="AD841" s="10"/>
      <c r="AE841" s="10"/>
      <c r="AF841" s="10"/>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row>
    <row r="842" spans="1:63" ht="12.75" x14ac:dyDescent="0.2">
      <c r="J842" s="2"/>
      <c r="K842" s="2"/>
      <c r="L842" s="2"/>
      <c r="M842" s="95"/>
      <c r="N842" s="125"/>
      <c r="O842" s="120">
        <f>IF(P842="","",MAX(O832:O841)+1)</f>
        <v>5</v>
      </c>
      <c r="P842" s="121">
        <f>IF(O830&gt;4,24,"")</f>
        <v>24</v>
      </c>
      <c r="Q842" s="113">
        <f>O842</f>
        <v>5</v>
      </c>
      <c r="R842" s="113"/>
      <c r="S842" s="113"/>
      <c r="T842" s="234" t="str">
        <f>UPPER(IF(O842="","",IF(ISTEXT(N842),N842,IF(AND(N830&gt;0,O842&gt;0),VLOOKUP(N830&amp;O842&amp;N831,I:K,2,FALSE),""))))</f>
        <v>M4698</v>
      </c>
      <c r="U842" s="235"/>
      <c r="V842" s="122" t="str">
        <f>IF(T842&lt;&gt;"",CONCATENATE(VLOOKUP(T842,[1]zawodnicy!$A$1:$E$65536,2,FALSE)," ",VLOOKUP(T842,[1]zawodnicy!$A$1:$E$65536,3,FALSE)," - ",VLOOKUP(T842,[1]zawodnicy!$A$1:$E$65536,4,FALSE)),"")</f>
        <v>Norbert MARKOWSKI - UKS Kometa Sianów</v>
      </c>
      <c r="W842" s="128"/>
      <c r="X842" s="237" t="str">
        <f>IF(ISBLANK(W841),"",IF((VLOOKUP(W841,'[1]plan gier'!$X$1:$AF$65536,7,FALSE))="",L841,VLOOKUP(W841,'[1]plan gier'!$X$1:$AF$65536,9,FALSE)))</f>
        <v>21:17,21:15</v>
      </c>
      <c r="Y842" s="237"/>
      <c r="Z842" s="240"/>
      <c r="AA842" s="229" t="str">
        <f>IF(ISBLANK(Z843),IF(AND(LEN(X840)&gt;0,LEN(X844)=0),X840,IF(AND(LEN(X844)&gt;0,LEN(X840)=0),X844,"")),IF((VLOOKUP(Z843,'[1]plan gier'!$X$1:$AF$65536,7,FALSE))="","",VLOOKUP(VLOOKUP(Z843,'[1]plan gier'!$X$1:$AF$65536,7,FALSE),[1]zawodnicy!$A$1:$E$65536,3,FALSE)))</f>
        <v>RECKI</v>
      </c>
      <c r="AB842" s="229"/>
      <c r="AC842" s="230"/>
      <c r="AD842" s="10"/>
      <c r="AE842" s="10"/>
      <c r="AF842" s="10"/>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row>
    <row r="843" spans="1:63" ht="13.5" thickBot="1" x14ac:dyDescent="0.25">
      <c r="A843" s="111">
        <f>Z843</f>
        <v>401</v>
      </c>
      <c r="B843" s="2" t="str">
        <f>F841</f>
        <v>Z4312</v>
      </c>
      <c r="C843" s="2" t="str">
        <f>G841</f>
        <v>H5946</v>
      </c>
      <c r="D843" s="2" t="str">
        <f>F845</f>
        <v>R4145</v>
      </c>
      <c r="E843" s="2" t="str">
        <f>G845</f>
        <v>P4759</v>
      </c>
      <c r="F843" s="2" t="str">
        <f>IF(A843=0,IF(AND(LEN(B843)&gt;0,LEN(D843)=0),B843,IF(AND(LEN(D843)&gt;0,LEN(B843)=0),D843,"")),IF((VLOOKUP(A843,'[1]plan gier'!$X$1:$AF$65536,7,FALSE))="","",VLOOKUP(VLOOKUP(A843,'[1]plan gier'!$X$1:$AF$65536,7,FALSE),[1]zawodnicy!$A$1:$E$65536,1,FALSE)))</f>
        <v>R4145</v>
      </c>
      <c r="G843" s="2" t="str">
        <f>IF(A843=0,IF(AND(LEN(C843)&gt;0,LEN(E843)=0),C843,IF(AND(LEN(E843)&gt;0,LEN(C843)=0),E843,"")),IF((VLOOKUP(A843,'[1]plan gier'!$X$1:$AF$65536,8,FALSE))="","",VLOOKUP(VLOOKUP(A843,'[1]plan gier'!$X$1:$AF$65536,8,FALSE),[1]zawodnicy!$A$1:$E$65536,1,FALSE)))</f>
        <v>P4759</v>
      </c>
      <c r="H843" s="2" t="str">
        <f>IF(A843=0,"",IF((VLOOKUP(A843,'[1]plan gier'!$X$1:$AF$65536,7,FALSE))="","",VLOOKUP(A843,'[1]plan gier'!$X$1:$AF$65536,9,FALSE)))</f>
        <v>21:11,21:10</v>
      </c>
      <c r="L843" s="124" t="str">
        <f>IF(A843=0,"",IF(VLOOKUP(A843,'[1]plan gier'!A$1:S$65536,19,FALSE)="","",VLOOKUP(A843,'[1]plan gier'!A$1:S$65536,19,FALSE)))</f>
        <v>sob 19:45</v>
      </c>
      <c r="M843" s="2" t="str">
        <f>N831</f>
        <v>mieszana MM</v>
      </c>
      <c r="N843" s="129"/>
      <c r="O843" s="121"/>
      <c r="P843" s="121"/>
      <c r="Q843" s="114"/>
      <c r="R843" s="114"/>
      <c r="S843" s="114"/>
      <c r="T843" s="238" t="str">
        <f>UPPER(IF(O842="","",IF(ISTEXT(N843),N843,IF(AND(N830&gt;0,O842&gt;0),VLOOKUP(N830&amp;O842&amp;N831,I:K,3,FALSE),""))))</f>
        <v>X16</v>
      </c>
      <c r="U843" s="239"/>
      <c r="V843" s="130" t="str">
        <f>IF(T843&lt;&gt;"",CONCATENATE(VLOOKUP(T843,[1]zawodnicy!$A$1:$E$65536,2,FALSE)," ",VLOOKUP(T843,[1]zawodnicy!$A$1:$E$65536,3,FALSE)," - ",VLOOKUP(T843,[1]zawodnicy!$A$1:$E$65536,4,FALSE)),"")</f>
        <v>Yelizaveta KAMINSKAYA - Mińsk Białoruś</v>
      </c>
      <c r="W843" s="131"/>
      <c r="X843" s="114"/>
      <c r="Y843" s="10"/>
      <c r="Z843" s="115">
        <v>401</v>
      </c>
      <c r="AA843" s="231" t="str">
        <f>IF(ISBLANK(Z843),IF(AND(LEN(X841)&gt;0,LEN(X845)=0),X841,IF(AND(LEN(X845)&gt;0,LEN(X841)=0),X845,"")),IF((VLOOKUP(Z843,'[1]plan gier'!$X$1:$AF$65536,8,FALSE))="","",VLOOKUP(VLOOKUP(Z843,'[1]plan gier'!$X$1:$AF$65536,8,FALSE),[1]zawodnicy!$A$1:$E$65536,3,FALSE)))</f>
        <v>PIETRZAK</v>
      </c>
      <c r="AB843" s="232"/>
      <c r="AC843" s="233"/>
      <c r="AD843" s="10"/>
      <c r="AE843" s="10"/>
      <c r="AF843" s="10"/>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row>
    <row r="844" spans="1:63" ht="13.5" thickTop="1" x14ac:dyDescent="0.2">
      <c r="J844" s="2"/>
      <c r="K844" s="2"/>
      <c r="L844" s="2"/>
      <c r="M844" s="95"/>
      <c r="N844" s="132"/>
      <c r="O844" s="120">
        <f>IF(P844="","",MAX(O832:O843)+1)</f>
        <v>6</v>
      </c>
      <c r="P844" s="121">
        <f>IF(O830&gt;6,28,"")</f>
        <v>28</v>
      </c>
      <c r="Q844" s="113">
        <f>O844</f>
        <v>6</v>
      </c>
      <c r="R844" s="113"/>
      <c r="S844" s="113"/>
      <c r="T844" s="226" t="str">
        <f>UPPER(IF(O844="","",IF(ISTEXT(N844),N844,IF(AND(N830&gt;0,O844&gt;0),VLOOKUP(N830&amp;O844&amp;N831,I:K,2,FALSE),""))))</f>
        <v>T5801</v>
      </c>
      <c r="U844" s="227"/>
      <c r="V844" s="133" t="str">
        <f>IF(T844&lt;&gt;"",CONCATENATE(VLOOKUP(T844,[1]zawodnicy!$A$1:$E$65536,2,FALSE)," ",VLOOKUP(T844,[1]zawodnicy!$A$1:$E$65536,3,FALSE)," - ",VLOOKUP(T844,[1]zawodnicy!$A$1:$E$65536,4,FALSE)),"")</f>
        <v>Wiktor TRECKI - UKS Unia Bieruń</v>
      </c>
      <c r="W844" s="134"/>
      <c r="X844" s="228" t="str">
        <f>IF(ISBLANK(W845),IF(AND(LEN(T844)&gt;0,LEN(T846)=0),VLOOKUP(T844,[1]zawodnicy!$A$1:$E$65536,3,FALSE),IF(AND(LEN(T846)&gt;0,LEN(T844)=0),VLOOKUP(T846,[1]zawodnicy!$A$1:$E$65536,3,FALSE),"")),IF((VLOOKUP(W845,'[1]plan gier'!$X$1:$AF$65536,7,FALSE))="","",VLOOKUP(VLOOKUP(W845,'[1]plan gier'!$X$1:$AF$65536,7,FALSE),[1]zawodnicy!$A$1:$E$65536,3,FALSE)))</f>
        <v>RECKI</v>
      </c>
      <c r="Y844" s="229"/>
      <c r="Z844" s="230"/>
      <c r="AA844" s="229" t="str">
        <f>IF(ISBLANK(Z843),"",IF((VLOOKUP(Z843,'[1]plan gier'!$X$1:$AF$65536,7,FALSE))="",L843,VLOOKUP(Z843,'[1]plan gier'!$X$1:$AF$65536,9,FALSE)))</f>
        <v>21:11,21:10</v>
      </c>
      <c r="AB844" s="229"/>
      <c r="AC844" s="229"/>
      <c r="AD844" s="114"/>
      <c r="AE844" s="114"/>
      <c r="AF844" s="114"/>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row>
    <row r="845" spans="1:63" ht="12.75" x14ac:dyDescent="0.2">
      <c r="A845" s="102">
        <f>W845</f>
        <v>387</v>
      </c>
      <c r="B845" s="2" t="str">
        <f>IF(TYPE(T844)=16,"",T844)</f>
        <v>T5801</v>
      </c>
      <c r="C845" s="2" t="str">
        <f>IF(TYPE(T845)=16,"",T845)</f>
        <v>T5222</v>
      </c>
      <c r="D845" s="2" t="str">
        <f>IF(TYPE(T846)=16,"",T846)</f>
        <v>R4145</v>
      </c>
      <c r="E845" s="2" t="str">
        <f>IF(TYPE(T847)=16,"",T847)</f>
        <v>P4759</v>
      </c>
      <c r="F845" s="2" t="str">
        <f>IF(A845=0,IF(AND(LEN(B845)&gt;1,LEN(D845)=0),VLOOKUP(B845,[1]zawodnicy!$A$1:$E$65536,1,FALSE),IF(AND(LEN(D845)&gt;1,LEN(B845)=0),VLOOKUP(D845,[1]zawodnicy!$A$1:$E$65536,1,FALSE),"")),IF((VLOOKUP(A845,'[1]plan gier'!$X$1:$AF$65536,7,FALSE))="","",VLOOKUP(VLOOKUP(A845,'[1]plan gier'!$X$1:$AF$65536,7,FALSE),[1]zawodnicy!$A$1:$E$65536,1,FALSE)))</f>
        <v>R4145</v>
      </c>
      <c r="G845" s="2" t="str">
        <f>IF(A845=0,IF(AND(LEN(C845)&gt;1,LEN(E845)=0),VLOOKUP(C845,[1]zawodnicy!$A$1:$E$65536,1,FALSE),IF(AND(LEN(E845)&gt;1,LEN(C845)=0),VLOOKUP(E845,[1]zawodnicy!$A$1:$E$65536,1,FALSE),"")),IF((VLOOKUP(A845,'[1]plan gier'!$X$1:$AF$65536,8,FALSE))="","",VLOOKUP(VLOOKUP(A845,'[1]plan gier'!$X$1:$AF$65536,8,FALSE),[1]zawodnicy!$A$1:$E$65536,1,FALSE)))</f>
        <v>P4759</v>
      </c>
      <c r="H845" s="2" t="str">
        <f>IF(A845=0,"",IF((VLOOKUP(A845,'[1]plan gier'!$X$1:$AF$65536,7,FALSE))="","",VLOOKUP(A845,'[1]plan gier'!$X$1:$AF$65536,9,FALSE)))</f>
        <v>21:15,21:6</v>
      </c>
      <c r="L845" s="124" t="str">
        <f>IF(A845=0,"",IF(VLOOKUP(A845,'[1]plan gier'!A$1:S$65536,19,FALSE)="","",VLOOKUP(A845,'[1]plan gier'!A$1:S$65536,19,FALSE)))</f>
        <v>sob 18:30</v>
      </c>
      <c r="M845" s="2" t="str">
        <f>N831</f>
        <v>mieszana MM</v>
      </c>
      <c r="N845" s="125"/>
      <c r="O845" s="121"/>
      <c r="P845" s="121"/>
      <c r="Q845" s="114"/>
      <c r="R845" s="114"/>
      <c r="S845" s="114"/>
      <c r="T845" s="224" t="str">
        <f>UPPER(IF(O844="","",IF(ISTEXT(N845),N845,IF(AND(N830&gt;0,O844&gt;0),VLOOKUP(N830&amp;O844&amp;N831,I:K,3,FALSE),""))))</f>
        <v>T5222</v>
      </c>
      <c r="U845" s="225"/>
      <c r="V845" s="126" t="str">
        <f>IF(T845&lt;&gt;"",CONCATENATE(VLOOKUP(T845,[1]zawodnicy!$A$1:$E$65536,2,FALSE)," ",VLOOKUP(T845,[1]zawodnicy!$A$1:$E$65536,3,FALSE)," - ",VLOOKUP(T845,[1]zawodnicy!$A$1:$E$65536,4,FALSE)),"")</f>
        <v>Miriam TOMALA - UKS Unia Bieruń</v>
      </c>
      <c r="W845" s="127">
        <v>387</v>
      </c>
      <c r="X845" s="231" t="str">
        <f>IF(ISBLANK(W845),IF(AND(LEN(T845)&gt;0,LEN(T847)=0),VLOOKUP(T845,[1]zawodnicy!$A$1:$E$65536,3,FALSE),IF(AND(LEN(T847)&gt;0,LEN(T845)=0),VLOOKUP(T847,[1]zawodnicy!$A$1:$E$65536,3,FALSE),"")),IF((VLOOKUP(W845,'[1]plan gier'!$X$1:$AF$65536,8,FALSE))="","",VLOOKUP(VLOOKUP(W845,'[1]plan gier'!$X$1:$AF$65536,8,FALSE),[1]zawodnicy!$A$1:$E$65536,3,FALSE)))</f>
        <v>PIETRZAK</v>
      </c>
      <c r="Y845" s="232"/>
      <c r="Z845" s="233"/>
      <c r="AA845" s="2"/>
      <c r="AB845" s="2"/>
      <c r="AC845" s="2"/>
      <c r="AD845" s="10"/>
      <c r="AE845" s="10"/>
      <c r="AF845" s="10"/>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row>
    <row r="846" spans="1:63" ht="12.75" x14ac:dyDescent="0.2">
      <c r="J846" s="2"/>
      <c r="K846" s="2"/>
      <c r="L846" s="2"/>
      <c r="M846" s="95"/>
      <c r="N846" s="125"/>
      <c r="O846" s="120">
        <f>IF(P846="","",MAX(O832:O845)+1)</f>
        <v>7</v>
      </c>
      <c r="P846" s="121">
        <f>IF(O830&gt;4,32,"")</f>
        <v>32</v>
      </c>
      <c r="Q846" s="113">
        <f>O846</f>
        <v>7</v>
      </c>
      <c r="R846" s="113"/>
      <c r="S846" s="113"/>
      <c r="T846" s="234" t="str">
        <f>UPPER(IF(O846="","",IF(ISTEXT(N846),N846,IF(AND(N830&gt;0,O846&gt;0),VLOOKUP(N830&amp;O846&amp;N831,I:K,2,FALSE),""))))</f>
        <v>R4145</v>
      </c>
      <c r="U846" s="235"/>
      <c r="V846" s="122" t="str">
        <f>IF(T846&lt;&gt;"",CONCATENATE(VLOOKUP(T846,[1]zawodnicy!$A$1:$E$65536,2,FALSE)," ",VLOOKUP(T846,[1]zawodnicy!$A$1:$E$65536,3,FALSE)," - ",VLOOKUP(T846,[1]zawodnicy!$A$1:$E$65536,4,FALSE)),"")</f>
        <v>Michał RECKI - UKS Lotka Lubiewo</v>
      </c>
      <c r="W846" s="128"/>
      <c r="X846" s="236" t="str">
        <f>IF(ISBLANK(W845),"",IF((VLOOKUP(W845,'[1]plan gier'!$X$1:$AF$65536,7,FALSE))="",L845,VLOOKUP(W845,'[1]plan gier'!$X$1:$AF$65536,9,FALSE)))</f>
        <v>21:15,21:6</v>
      </c>
      <c r="Y846" s="237"/>
      <c r="Z846" s="237"/>
      <c r="AA846" s="2"/>
      <c r="AB846" s="2"/>
      <c r="AC846" s="114"/>
      <c r="AD846" s="114"/>
      <c r="AE846" s="114"/>
      <c r="AF846" s="114"/>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row>
    <row r="847" spans="1:63" ht="12.75" x14ac:dyDescent="0.2">
      <c r="A847" s="135"/>
      <c r="B847" s="16"/>
      <c r="C847" s="16"/>
      <c r="D847" s="16"/>
      <c r="E847" s="16"/>
      <c r="F847" s="16"/>
      <c r="G847" s="16"/>
      <c r="H847" s="16"/>
      <c r="I847" s="16"/>
      <c r="M847" s="16"/>
      <c r="N847" s="125"/>
      <c r="O847" s="121"/>
      <c r="P847" s="121"/>
      <c r="Q847" s="114"/>
      <c r="R847" s="114"/>
      <c r="S847" s="114"/>
      <c r="T847" s="224" t="str">
        <f>UPPER(IF(O846="","",IF(ISTEXT(N847),N847,IF(AND(N830&gt;0,O846&gt;0),VLOOKUP(N830&amp;O846&amp;N831,I:K,3,FALSE),""))))</f>
        <v>P4759</v>
      </c>
      <c r="U847" s="225"/>
      <c r="V847" s="126" t="str">
        <f>IF(T847&lt;&gt;"",CONCATENATE(VLOOKUP(T847,[1]zawodnicy!$A$1:$E$65536,2,FALSE)," ",VLOOKUP(T847,[1]zawodnicy!$A$1:$E$65536,3,FALSE)," - ",VLOOKUP(T847,[1]zawodnicy!$A$1:$E$65536,4,FALSE)),"")</f>
        <v>Martyna PIETRZAK - MLKS Solec Kuj.</v>
      </c>
      <c r="W847" s="136"/>
      <c r="X847" s="10"/>
      <c r="Y847" s="10"/>
      <c r="Z847" s="10"/>
      <c r="AA847" s="2"/>
      <c r="AB847" s="2"/>
      <c r="AC847" s="137"/>
      <c r="AD847" s="114"/>
      <c r="AE847" s="114"/>
      <c r="AF847" s="114"/>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row>
    <row r="849" spans="1:64" ht="11.45" customHeight="1" x14ac:dyDescent="0.2">
      <c r="M849" s="16"/>
      <c r="N849" s="17" t="s">
        <v>378</v>
      </c>
      <c r="R849" s="18"/>
      <c r="S849" s="18"/>
      <c r="T849" s="277" t="str">
        <f>"Gra "&amp;N849</f>
        <v>Gra pojedyncza dziewcząt Ż</v>
      </c>
      <c r="U849" s="277"/>
      <c r="V849" s="277"/>
      <c r="W849" s="277"/>
      <c r="X849" s="277"/>
      <c r="Y849" s="277"/>
      <c r="Z849" s="277"/>
      <c r="AA849" s="277"/>
      <c r="AB849" s="277"/>
      <c r="AC849" s="277"/>
      <c r="AD849" s="277"/>
      <c r="AE849" s="18"/>
    </row>
    <row r="850" spans="1:64" ht="11.45" customHeight="1" thickBot="1" x14ac:dyDescent="0.25"/>
    <row r="851" spans="1:64" ht="11.45" customHeight="1" thickBot="1" x14ac:dyDescent="0.25">
      <c r="B851" s="2" t="s">
        <v>63</v>
      </c>
      <c r="N851" s="138"/>
      <c r="O851" s="21">
        <v>1</v>
      </c>
      <c r="Q851" s="277" t="str">
        <f>"Grupa "&amp;O851&amp;"."</f>
        <v>Grupa 1.</v>
      </c>
      <c r="R851" s="277"/>
      <c r="S851" s="277"/>
      <c r="T851" s="22" t="s">
        <v>1</v>
      </c>
      <c r="U851" s="278" t="s">
        <v>2</v>
      </c>
      <c r="V851" s="279"/>
      <c r="W851" s="280"/>
      <c r="X851" s="22">
        <v>1</v>
      </c>
      <c r="Y851" s="139">
        <v>2</v>
      </c>
      <c r="Z851" s="23">
        <v>3</v>
      </c>
      <c r="AA851" s="140">
        <v>4</v>
      </c>
      <c r="AB851" s="141" t="s">
        <v>3</v>
      </c>
      <c r="AC851" s="142" t="s">
        <v>4</v>
      </c>
      <c r="AD851" s="26" t="s">
        <v>5</v>
      </c>
      <c r="AE851" s="143" t="s">
        <v>6</v>
      </c>
      <c r="AF851" s="12"/>
      <c r="AG851" s="12"/>
      <c r="AI851" s="273" t="s">
        <v>9</v>
      </c>
      <c r="AJ851" s="273"/>
      <c r="AK851" s="273"/>
      <c r="AL851" s="273"/>
      <c r="AM851" s="273"/>
      <c r="AN851" s="273"/>
      <c r="AO851" s="273" t="s">
        <v>10</v>
      </c>
      <c r="AP851" s="273"/>
      <c r="AQ851" s="273"/>
      <c r="AR851" s="273"/>
      <c r="AS851" s="273"/>
      <c r="AT851" s="273"/>
      <c r="BK851" s="19"/>
      <c r="BL851" s="20"/>
    </row>
    <row r="852" spans="1:64" ht="11.45" customHeight="1" x14ac:dyDescent="0.2">
      <c r="N852" s="29" t="s">
        <v>378</v>
      </c>
      <c r="Q852" s="274" t="s">
        <v>7</v>
      </c>
      <c r="R852" s="274"/>
      <c r="S852" s="275" t="s">
        <v>8</v>
      </c>
      <c r="T852" s="242">
        <v>1</v>
      </c>
      <c r="U852" s="244" t="str">
        <f>IF(AND(N853&lt;&gt;"",N854&lt;&gt;""),CONCATENATE(VLOOKUP(N853,[1]zawodnicy!$A$1:$E$65536,1,FALSE)," ",VLOOKUP(N853,[1]zawodnicy!$A$1:$E$65536,2,FALSE)," ",VLOOKUP(N853,[1]zawodnicy!$A$1:$E$65536,3,FALSE)," - ",VLOOKUP(N853,[1]zawodnicy!$A$1:$E$65536,4,FALSE)),"")</f>
        <v/>
      </c>
      <c r="V852" s="245"/>
      <c r="W852" s="246"/>
      <c r="X852" s="35"/>
      <c r="Y852" s="36" t="str">
        <f>IF(SUM(AO860:AP860)=0,"",AO860&amp;":"&amp;AP860)</f>
        <v>21:10</v>
      </c>
      <c r="Z852" s="36" t="str">
        <f>IF(SUM(AO855:AP855)=0,"",AO855&amp;":"&amp;AP855)</f>
        <v>21:0</v>
      </c>
      <c r="AA852" s="144" t="str">
        <f>IF(SUM(AO857:AP857)=0,"",AO857&amp;":"&amp;AP857)</f>
        <v>23:21</v>
      </c>
      <c r="AB852" s="242" t="str">
        <f>IF(SUM(AY855:BD855)=0,"",BE855&amp;":"&amp;BF855)</f>
        <v>128:57</v>
      </c>
      <c r="AC852" s="251" t="str">
        <f>IF(SUM(AY855:BD855)=0,"",BG855&amp;":"&amp;BH855)</f>
        <v>6:0</v>
      </c>
      <c r="AD852" s="251" t="str">
        <f>IF(SUM(AY855:BD855)=0,"",BI855&amp;":"&amp;BJ855)</f>
        <v>3:0</v>
      </c>
      <c r="AE852" s="254">
        <f>IF(SUM(BI855:BI858)&gt;0,BK855,"")</f>
        <v>1</v>
      </c>
      <c r="AF852" s="12"/>
      <c r="AG852" s="12"/>
      <c r="BK852" s="19"/>
      <c r="BL852" s="20"/>
    </row>
    <row r="853" spans="1:64" ht="11.45" customHeight="1" thickBot="1" x14ac:dyDescent="0.25">
      <c r="H853" s="10"/>
      <c r="I853" s="2" t="str">
        <f>"1"&amp;O851&amp;N852</f>
        <v>11pojedyncza dziewcząt Ż</v>
      </c>
      <c r="J853" s="10" t="str">
        <f>IF(AE852="","",IF(AE852=1,N853,IF(AE855=1,N856,IF(AE858=1,N859,IF(AE861=1,N862,"")))))</f>
        <v>N5113</v>
      </c>
      <c r="K853" s="10">
        <f>IF(AE852="","",IF(AE852=1,N854,IF(AE855=1,N857,IF(AE858=1,N860,IF(AE861=1,N863,"")))))</f>
        <v>0</v>
      </c>
      <c r="L853" s="10"/>
      <c r="N853" s="33" t="s">
        <v>379</v>
      </c>
      <c r="O853" s="34">
        <f>IF(O851&gt;0,(O851&amp;1)*1,"")</f>
        <v>11</v>
      </c>
      <c r="Q853" s="274"/>
      <c r="R853" s="274"/>
      <c r="S853" s="275"/>
      <c r="T853" s="242"/>
      <c r="U853" s="244" t="str">
        <f>IF(AND(N853&lt;&gt;"",N854=""),CONCATENATE(VLOOKUP(N853,[1]zawodnicy!$A$1:$E$65536,1,FALSE)," ",VLOOKUP(N853,[1]zawodnicy!$A$1:$E$65536,2,FALSE)," ",VLOOKUP(N853,[1]zawodnicy!$A$1:$E$65536,3,FALSE)," - ",VLOOKUP(N853,[1]zawodnicy!$A$1:$E$65536,4,FALSE)),"")</f>
        <v>N5113 Weronika NIKLAS - ULKS U-2 Lotka Bytów</v>
      </c>
      <c r="V853" s="245"/>
      <c r="W853" s="246"/>
      <c r="X853" s="35"/>
      <c r="Y853" s="36" t="str">
        <f>IF(SUM(AQ860:AR860)=0,"",AQ860&amp;":"&amp;AR860)</f>
        <v>21:18</v>
      </c>
      <c r="Z853" s="36" t="str">
        <f>IF(SUM(AQ855:AR855)=0,"",AQ855&amp;":"&amp;AR855)</f>
        <v>21:0</v>
      </c>
      <c r="AA853" s="144" t="str">
        <f>IF(SUM(AQ857:AR857)=0,"",AQ857&amp;":"&amp;AR857)</f>
        <v>21:8</v>
      </c>
      <c r="AB853" s="242"/>
      <c r="AC853" s="251"/>
      <c r="AD853" s="251"/>
      <c r="AE853" s="254"/>
      <c r="AF853" s="12"/>
      <c r="AG853" s="12"/>
      <c r="BK853" s="19"/>
      <c r="BL853" s="20"/>
    </row>
    <row r="854" spans="1:64" ht="11.45" customHeight="1" thickBot="1" x14ac:dyDescent="0.25">
      <c r="J854" s="10"/>
      <c r="K854" s="28"/>
      <c r="L854" s="28"/>
      <c r="N854" s="38"/>
      <c r="O854" s="28"/>
      <c r="P854" s="28"/>
      <c r="Q854" s="274"/>
      <c r="R854" s="274"/>
      <c r="S854" s="275"/>
      <c r="T854" s="261"/>
      <c r="U854" s="265" t="str">
        <f>IF(N854&lt;&gt;"",CONCATENATE(VLOOKUP(N854,[1]zawodnicy!$A$1:$E$65536,1,FALSE)," ",VLOOKUP(N854,[1]zawodnicy!$A$1:$E$65536,2,FALSE)," ",VLOOKUP(N854,[1]zawodnicy!$A$1:$E$65536,3,FALSE)," - ",VLOOKUP(N854,[1]zawodnicy!$A$1:$E$65536,4,FALSE)),"")</f>
        <v/>
      </c>
      <c r="V854" s="266"/>
      <c r="W854" s="267"/>
      <c r="X854" s="35"/>
      <c r="Y854" s="39" t="str">
        <f>IF(SUM(AS860:AT860)=0,"",AS860&amp;":"&amp;AT860)</f>
        <v/>
      </c>
      <c r="Z854" s="39" t="str">
        <f>IF(SUM(AS855:AT855)=0,"",AS855&amp;":"&amp;AT855)</f>
        <v/>
      </c>
      <c r="AA854" s="145" t="str">
        <f>IF(SUM(AS857:AT857)=0,"",AS857&amp;":"&amp;AT857)</f>
        <v/>
      </c>
      <c r="AB854" s="242"/>
      <c r="AC854" s="251"/>
      <c r="AD854" s="251"/>
      <c r="AE854" s="254"/>
      <c r="AF854" s="12"/>
      <c r="AG854" s="12"/>
      <c r="AI854" s="283" t="s">
        <v>12</v>
      </c>
      <c r="AJ854" s="281"/>
      <c r="AK854" s="281" t="s">
        <v>13</v>
      </c>
      <c r="AL854" s="281"/>
      <c r="AM854" s="281" t="s">
        <v>14</v>
      </c>
      <c r="AN854" s="281"/>
      <c r="AO854" s="283" t="s">
        <v>12</v>
      </c>
      <c r="AP854" s="281"/>
      <c r="AQ854" s="281" t="s">
        <v>13</v>
      </c>
      <c r="AR854" s="281"/>
      <c r="AS854" s="281" t="s">
        <v>14</v>
      </c>
      <c r="AT854" s="282"/>
      <c r="AW854" s="283">
        <v>1</v>
      </c>
      <c r="AX854" s="281"/>
      <c r="AY854" s="281">
        <v>2</v>
      </c>
      <c r="AZ854" s="281"/>
      <c r="BA854" s="281">
        <v>3</v>
      </c>
      <c r="BB854" s="281"/>
      <c r="BC854" s="281">
        <v>4</v>
      </c>
      <c r="BD854" s="282"/>
      <c r="BE854" s="283" t="s">
        <v>3</v>
      </c>
      <c r="BF854" s="282"/>
      <c r="BG854" s="283" t="s">
        <v>4</v>
      </c>
      <c r="BH854" s="282"/>
      <c r="BI854" s="283" t="s">
        <v>5</v>
      </c>
      <c r="BJ854" s="268"/>
      <c r="BK854" s="41" t="s">
        <v>6</v>
      </c>
      <c r="BL854" s="20"/>
    </row>
    <row r="855" spans="1:64" ht="11.45" customHeight="1" x14ac:dyDescent="0.2">
      <c r="A855" s="19">
        <f t="shared" ref="A855:A860" si="82">S855</f>
        <v>249</v>
      </c>
      <c r="B855" s="19" t="str">
        <f>IF(N853="","",N853)</f>
        <v>N5113</v>
      </c>
      <c r="C855" s="19" t="str">
        <f>IF(N854="","",N854)</f>
        <v/>
      </c>
      <c r="D855" s="19" t="str">
        <f>IF(N859="","",N859)</f>
        <v>C5991</v>
      </c>
      <c r="E855" s="19" t="str">
        <f>IF(N860="","",N860)</f>
        <v/>
      </c>
      <c r="H855" s="10"/>
      <c r="I855" s="2" t="str">
        <f>"2"&amp;O851&amp;N852</f>
        <v>21pojedyncza dziewcząt Ż</v>
      </c>
      <c r="J855" s="10" t="str">
        <f>IF(AE855="","",IF(AE852=2,N853,IF(AE855=2,N856,IF(AE858=2,N859,IF(AE861=2,N862,"")))))</f>
        <v>X64</v>
      </c>
      <c r="K855" s="10">
        <f>IF(AE855="","",IF(AE852=2,N854,IF(AE855=2,N857,IF(AE858=2,N860,IF(AE861=2,N863,"")))))</f>
        <v>0</v>
      </c>
      <c r="L855" s="10"/>
      <c r="M855" s="42" t="str">
        <f>N852</f>
        <v>pojedyncza dziewcząt Ż</v>
      </c>
      <c r="O855" s="28"/>
      <c r="P855" s="28"/>
      <c r="Q855" s="43" t="str">
        <f>IF(AU855&gt;0,"",IF(A855=0,"",IF(VLOOKUP(A855,'[1]plan gier'!A$1:S$65536,19,FALSE)="","",VLOOKUP(A855,'[1]plan gier'!A$1:S$65536,19,FALSE))))</f>
        <v/>
      </c>
      <c r="R855" s="44" t="s">
        <v>15</v>
      </c>
      <c r="S855" s="146">
        <v>249</v>
      </c>
      <c r="T855" s="241">
        <v>2</v>
      </c>
      <c r="U855" s="244" t="str">
        <f>IF(AND(N856&lt;&gt;"",N857&lt;&gt;""),CONCATENATE(VLOOKUP(N856,[1]zawodnicy!$A$1:$E$65536,1,FALSE)," ",VLOOKUP(N856,[1]zawodnicy!$A$1:$E$65536,2,FALSE)," ",VLOOKUP(N856,[1]zawodnicy!$A$1:$E$65536,3,FALSE)," - ",VLOOKUP(N856,[1]zawodnicy!$A$1:$E$65536,4,FALSE)),"")</f>
        <v/>
      </c>
      <c r="V855" s="245"/>
      <c r="W855" s="246"/>
      <c r="X855" s="46" t="str">
        <f>IF(SUM(AO860:AP860)=0,"",AP860&amp;":"&amp;AO860)</f>
        <v>10:21</v>
      </c>
      <c r="Y855" s="147"/>
      <c r="Z855" s="83" t="str">
        <f>IF(SUM(AO858:AP858)=0,"",AO858&amp;":"&amp;AP858)</f>
        <v>21:0</v>
      </c>
      <c r="AA855" s="48" t="str">
        <f>IF(SUM(AO856:AP856)=0,"",AO856&amp;":"&amp;AP856)</f>
        <v>22:20</v>
      </c>
      <c r="AB855" s="241" t="str">
        <f>IF(SUM(AW856:AX856,BA856:BD856)=0,"",BE856&amp;":"&amp;BF856)</f>
        <v>113:73</v>
      </c>
      <c r="AC855" s="250" t="str">
        <f>IF(SUM(AW856:AX856,BA856:BD856)=0,"",BG856&amp;":"&amp;BH856)</f>
        <v>4:2</v>
      </c>
      <c r="AD855" s="250" t="str">
        <f>IF(SUM(AW856:AX856,BA856:BD856)=0,"",BI856&amp;":"&amp;BJ856)</f>
        <v>2:1</v>
      </c>
      <c r="AE855" s="253">
        <f>IF(SUM(BI855:BI858)&gt;0,BK856,"")</f>
        <v>2</v>
      </c>
      <c r="AF855" s="12"/>
      <c r="AG855" s="12"/>
      <c r="AH855" s="44" t="s">
        <v>15</v>
      </c>
      <c r="AI855" s="148">
        <f>IF(ISBLANK(S855),"",VLOOKUP(S855,'[1]plan gier'!$X$1:$AN$65536,12,FALSE))</f>
        <v>21</v>
      </c>
      <c r="AJ855" s="52">
        <f>IF(ISBLANK(S855),"",VLOOKUP(S855,'[1]plan gier'!$X$1:$AN$65536,13,FALSE))</f>
        <v>0</v>
      </c>
      <c r="AK855" s="52">
        <f>IF(ISBLANK(S855),"",VLOOKUP(S855,'[1]plan gier'!$X$1:$AN$65536,14,FALSE))</f>
        <v>21</v>
      </c>
      <c r="AL855" s="52">
        <f>IF(ISBLANK(S855),"",VLOOKUP(S855,'[1]plan gier'!$X$1:$AN$65536,15,FALSE))</f>
        <v>0</v>
      </c>
      <c r="AM855" s="52">
        <f>IF(ISBLANK(S855),"",VLOOKUP(S855,'[1]plan gier'!$X$1:$AN$65536,16,FALSE))</f>
        <v>0</v>
      </c>
      <c r="AN855" s="52">
        <f>IF(ISBLANK(S855),"",VLOOKUP(S855,'[1]plan gier'!$X$1:$AN$65536,17,FALSE))</f>
        <v>0</v>
      </c>
      <c r="AO855" s="49">
        <f t="shared" ref="AO855:AT860" si="83">IF(AI855="",0,AI855)</f>
        <v>21</v>
      </c>
      <c r="AP855" s="50">
        <f t="shared" si="83"/>
        <v>0</v>
      </c>
      <c r="AQ855" s="50">
        <f t="shared" si="83"/>
        <v>21</v>
      </c>
      <c r="AR855" s="50">
        <f t="shared" si="83"/>
        <v>0</v>
      </c>
      <c r="AS855" s="50">
        <f t="shared" si="83"/>
        <v>0</v>
      </c>
      <c r="AT855" s="57">
        <f t="shared" si="83"/>
        <v>0</v>
      </c>
      <c r="AU855" s="149">
        <f t="shared" ref="AU855:AU860" si="84">SUM(AO855:AT855)</f>
        <v>42</v>
      </c>
      <c r="AV855" s="5">
        <v>1</v>
      </c>
      <c r="AW855" s="284"/>
      <c r="AX855" s="285"/>
      <c r="AY855" s="50">
        <f>IF(AI860&gt;AJ860,1,0)+IF(AK860&gt;AL860,1,0)+IF(AM860&gt;AN860,1,0)</f>
        <v>2</v>
      </c>
      <c r="AZ855" s="50">
        <f>AW856</f>
        <v>0</v>
      </c>
      <c r="BA855" s="50">
        <f>IF(AI855&gt;AJ855,1,0)+IF(AK855&gt;AL855,1,0)+IF(AM855&gt;AN855,1,0)</f>
        <v>2</v>
      </c>
      <c r="BB855" s="52">
        <f>AW857</f>
        <v>0</v>
      </c>
      <c r="BC855" s="150">
        <f>IF(AI857&gt;AJ857,1,0)+IF(AK857&gt;AL857,1,0)+IF(AM857&gt;AN857,1,0)</f>
        <v>2</v>
      </c>
      <c r="BD855" s="58">
        <f>AW858</f>
        <v>0</v>
      </c>
      <c r="BE855" s="148">
        <f>AO855+AQ855+AS855+AO857+AQ857+AS857+AO860+AQ860+AS860</f>
        <v>128</v>
      </c>
      <c r="BF855" s="151">
        <f>AP855+AR855+AT855+AP857+AR857+AT857+AP860+AR860+AT860</f>
        <v>57</v>
      </c>
      <c r="BG855" s="148">
        <f>AY855+BA855+BC855</f>
        <v>6</v>
      </c>
      <c r="BH855" s="152">
        <f>AZ855+BB855+BD855</f>
        <v>0</v>
      </c>
      <c r="BI855" s="148">
        <f>IF(AY855&gt;AZ855,1,0)+IF(BA855&gt;BB855,1,0)+IF(BC855&gt;BD855,1,0)</f>
        <v>3</v>
      </c>
      <c r="BJ855" s="152">
        <f>IF(AZ855&gt;AY855,1,0)+IF(BB855&gt;BA855,1,0)+IF(BD855&gt;BC855,1,0)</f>
        <v>0</v>
      </c>
      <c r="BK855" s="153">
        <f>IF(BI855+BJ855=0,"",IF(BL855=MAX(BL855:BL858),1,IF(BL855=LARGE(BL855:BL858,2),2,IF(BL855=MIN(BL855:BL858),4,3))))</f>
        <v>1</v>
      </c>
      <c r="BL855" s="60">
        <f>IF(BI855+BJ855&lt;&gt;0,BI855+1+(BG855-BH855)/100+(BE855-BF855)/100000+(BE855/BF855)/1000000,0)</f>
        <v>4.0607122456140345</v>
      </c>
    </row>
    <row r="856" spans="1:64" ht="11.45" customHeight="1" x14ac:dyDescent="0.2">
      <c r="A856" s="19">
        <f t="shared" si="82"/>
        <v>250</v>
      </c>
      <c r="B856" s="19" t="str">
        <f>IF(N856="","",N856)</f>
        <v>X64</v>
      </c>
      <c r="C856" s="19" t="str">
        <f>IF(N857="","",N857)</f>
        <v/>
      </c>
      <c r="D856" s="19" t="str">
        <f>IF(N862="","",N862)</f>
        <v>W5473</v>
      </c>
      <c r="E856" s="19" t="str">
        <f>IF(N863="","",N863)</f>
        <v/>
      </c>
      <c r="J856" s="10"/>
      <c r="K856" s="19"/>
      <c r="L856" s="19"/>
      <c r="M856" s="42" t="str">
        <f>N852</f>
        <v>pojedyncza dziewcząt Ż</v>
      </c>
      <c r="N856" s="33" t="s">
        <v>380</v>
      </c>
      <c r="O856" s="34">
        <f>IF(O851&gt;0,(O851&amp;2)*1,"")</f>
        <v>12</v>
      </c>
      <c r="Q856" s="43" t="str">
        <f>IF(AU856&gt;0,"",IF(A856=0,"",IF(VLOOKUP(A856,'[1]plan gier'!A$1:S$65536,19,FALSE)="","",VLOOKUP(A856,'[1]plan gier'!A$1:S$65536,19,FALSE))))</f>
        <v/>
      </c>
      <c r="R856" s="44" t="s">
        <v>66</v>
      </c>
      <c r="S856" s="146">
        <v>250</v>
      </c>
      <c r="T856" s="242"/>
      <c r="U856" s="244" t="str">
        <f>IF(AND(N856&lt;&gt;"",N857=""),CONCATENATE(VLOOKUP(N856,[1]zawodnicy!$A$1:$E$65536,1,FALSE)," ",VLOOKUP(N856,[1]zawodnicy!$A$1:$E$65536,2,FALSE)," ",VLOOKUP(N856,[1]zawodnicy!$A$1:$E$65536,3,FALSE)," - ",VLOOKUP(N856,[1]zawodnicy!$A$1:$E$65536,4,FALSE)),"")</f>
        <v>X64 Ulyana VOLSKAYA - Brześć 2 Białoruś</v>
      </c>
      <c r="V856" s="245"/>
      <c r="W856" s="246"/>
      <c r="X856" s="61" t="str">
        <f>IF(SUM(AQ860:AR860)=0,"",AR860&amp;":"&amp;AQ860)</f>
        <v>18:21</v>
      </c>
      <c r="Y856" s="154"/>
      <c r="Z856" s="36" t="str">
        <f>IF(SUM(AQ858:AR858)=0,"",AQ858&amp;":"&amp;AR858)</f>
        <v>21:0</v>
      </c>
      <c r="AA856" s="37" t="str">
        <f>IF(SUM(AQ856:AR856)=0,"",AQ856&amp;":"&amp;AR856)</f>
        <v>21:11</v>
      </c>
      <c r="AB856" s="242"/>
      <c r="AC856" s="251"/>
      <c r="AD856" s="251"/>
      <c r="AE856" s="254"/>
      <c r="AF856" s="12"/>
      <c r="AG856" s="12"/>
      <c r="AH856" s="44" t="s">
        <v>66</v>
      </c>
      <c r="AI856" s="49">
        <f>IF(ISBLANK(S856),"",VLOOKUP(S856,'[1]plan gier'!$X$1:$AN$65536,12,FALSE))</f>
        <v>22</v>
      </c>
      <c r="AJ856" s="50">
        <f>IF(ISBLANK(S856),"",VLOOKUP(S856,'[1]plan gier'!$X$1:$AN$65536,13,FALSE))</f>
        <v>20</v>
      </c>
      <c r="AK856" s="50">
        <f>IF(ISBLANK(S856),"",VLOOKUP(S856,'[1]plan gier'!$X$1:$AN$65536,14,FALSE))</f>
        <v>21</v>
      </c>
      <c r="AL856" s="50">
        <f>IF(ISBLANK(S856),"",VLOOKUP(S856,'[1]plan gier'!$X$1:$AN$65536,15,FALSE))</f>
        <v>11</v>
      </c>
      <c r="AM856" s="50">
        <f>IF(ISBLANK(S856),"",VLOOKUP(S856,'[1]plan gier'!$X$1:$AN$65536,16,FALSE))</f>
        <v>0</v>
      </c>
      <c r="AN856" s="50">
        <f>IF(ISBLANK(S856),"",VLOOKUP(S856,'[1]plan gier'!$X$1:$AN$65536,17,FALSE))</f>
        <v>0</v>
      </c>
      <c r="AO856" s="63">
        <f t="shared" si="83"/>
        <v>22</v>
      </c>
      <c r="AP856" s="64">
        <f t="shared" si="83"/>
        <v>20</v>
      </c>
      <c r="AQ856" s="64">
        <f t="shared" si="83"/>
        <v>21</v>
      </c>
      <c r="AR856" s="64">
        <f t="shared" si="83"/>
        <v>11</v>
      </c>
      <c r="AS856" s="64">
        <f t="shared" si="83"/>
        <v>0</v>
      </c>
      <c r="AT856" s="69">
        <f t="shared" si="83"/>
        <v>0</v>
      </c>
      <c r="AU856" s="149">
        <f t="shared" si="84"/>
        <v>74</v>
      </c>
      <c r="AV856" s="5">
        <v>2</v>
      </c>
      <c r="AW856" s="63">
        <f>IF(AI860&lt;AJ860,1,0)+IF(AK860&lt;AL860,1,0)+IF(AM860&lt;AN860,1,0)</f>
        <v>0</v>
      </c>
      <c r="AX856" s="64">
        <f>AY855</f>
        <v>2</v>
      </c>
      <c r="AY856" s="155"/>
      <c r="AZ856" s="156"/>
      <c r="BA856" s="64">
        <f>IF(AI858&gt;AJ858,1,0)+IF(AK858&gt;AL858,1,0)+IF(AM858&gt;AN858,1,0)</f>
        <v>2</v>
      </c>
      <c r="BB856" s="64">
        <f>AY857</f>
        <v>0</v>
      </c>
      <c r="BC856" s="157">
        <f>IF(AI856&gt;AJ856,1,0)+IF(AK856&gt;AL856,1,0)+IF(AM856&gt;AN856,1,0)</f>
        <v>2</v>
      </c>
      <c r="BD856" s="70">
        <f>AY858</f>
        <v>0</v>
      </c>
      <c r="BE856" s="63">
        <f>AO856+AQ856+AS856+AO858+AQ858+AS858+AP860+AR860+AT860</f>
        <v>113</v>
      </c>
      <c r="BF856" s="70">
        <f>AP856+AR856+AT856+AP858+AR858+AT858+AO860+AQ860+AS860</f>
        <v>73</v>
      </c>
      <c r="BG856" s="63">
        <f>AW856+BA856+BC856</f>
        <v>4</v>
      </c>
      <c r="BH856" s="69">
        <f>AX856+BB856+BD856</f>
        <v>2</v>
      </c>
      <c r="BI856" s="63">
        <f>IF(AW856&gt;AX856,1,0)+IF(BA856&gt;BB856,1,0)+IF(BC856&gt;BD856,1,0)</f>
        <v>2</v>
      </c>
      <c r="BJ856" s="69">
        <f>IF(AX856&gt;AW856,1,0)+IF(BB856&gt;BA856,1,0)+IF(BD856&gt;BC856,1,0)</f>
        <v>1</v>
      </c>
      <c r="BK856" s="71">
        <f>IF(BI856+BJ856=0,"",IF(BL856=MAX(BL855:BL858),1,IF(BL856=LARGE(BL855:BL858,2),2,IF(BL856=MIN(BL855:BL858),4,3))))</f>
        <v>2</v>
      </c>
      <c r="BL856" s="60">
        <f>IF(BI856+BJ856&lt;&gt;0,BI856+1+(BG856-BH856)/100+(BE856-BF856)/100000+(BE856/BF856)/1000000,0)</f>
        <v>3.0204015479452053</v>
      </c>
    </row>
    <row r="857" spans="1:64" ht="11.45" customHeight="1" x14ac:dyDescent="0.2">
      <c r="A857" s="19">
        <f t="shared" si="82"/>
        <v>291</v>
      </c>
      <c r="B857" s="19" t="str">
        <f>IF(N853="","",N853)</f>
        <v>N5113</v>
      </c>
      <c r="C857" s="19" t="str">
        <f>IF(N854="","",N854)</f>
        <v/>
      </c>
      <c r="D857" s="19" t="str">
        <f>IF(N862="","",N862)</f>
        <v>W5473</v>
      </c>
      <c r="E857" s="19" t="str">
        <f>IF(N863="","",N863)</f>
        <v/>
      </c>
      <c r="H857" s="10"/>
      <c r="I857" s="2" t="str">
        <f>"3"&amp;O851&amp;N852</f>
        <v>31pojedyncza dziewcząt Ż</v>
      </c>
      <c r="J857" s="10" t="str">
        <f>IF(AE858="","",IF(AE852=3,N853,IF(AE855=3,N856,IF(AE858=3,N859,IF(AE861=3,N862,"")))))</f>
        <v>W5473</v>
      </c>
      <c r="K857" s="10">
        <f>IF(AE858="","",IF(AE852=3,N854,IF(AE855=3,N857,IF(AE858=3,N860,IF(AE861=3,N863,"")))))</f>
        <v>0</v>
      </c>
      <c r="L857" s="10"/>
      <c r="M857" s="42" t="str">
        <f>N852</f>
        <v>pojedyncza dziewcząt Ż</v>
      </c>
      <c r="N857" s="38"/>
      <c r="O857" s="28"/>
      <c r="P857" s="28"/>
      <c r="Q857" s="43" t="str">
        <f>IF(AU857&gt;0,"",IF(A857=0,"",IF(VLOOKUP(A857,'[1]plan gier'!A$1:S$65536,19,FALSE)="","",VLOOKUP(A857,'[1]plan gier'!A$1:S$65536,19,FALSE))))</f>
        <v/>
      </c>
      <c r="R857" s="44" t="s">
        <v>68</v>
      </c>
      <c r="S857" s="146">
        <v>291</v>
      </c>
      <c r="T857" s="261"/>
      <c r="U857" s="265" t="str">
        <f>IF(N857&lt;&gt;"",CONCATENATE(VLOOKUP(N857,[1]zawodnicy!$A$1:$E$65536,1,FALSE)," ",VLOOKUP(N857,[1]zawodnicy!$A$1:$E$65536,2,FALSE)," ",VLOOKUP(N857,[1]zawodnicy!$A$1:$E$65536,3,FALSE)," - ",VLOOKUP(N857,[1]zawodnicy!$A$1:$E$65536,4,FALSE)),"")</f>
        <v/>
      </c>
      <c r="V857" s="266"/>
      <c r="W857" s="267"/>
      <c r="X857" s="73" t="str">
        <f>IF(SUM(AS860:AT860)=0,"",AT860&amp;":"&amp;AS860)</f>
        <v/>
      </c>
      <c r="Y857" s="154"/>
      <c r="Z857" s="39" t="str">
        <f>IF(SUM(AS858:AT858)=0,"",AS858&amp;":"&amp;AT858)</f>
        <v/>
      </c>
      <c r="AA857" s="40" t="str">
        <f>IF(SUM(AS856:AT856)=0,"",AS856&amp;":"&amp;AT856)</f>
        <v/>
      </c>
      <c r="AB857" s="242"/>
      <c r="AC857" s="251"/>
      <c r="AD857" s="251"/>
      <c r="AE857" s="254"/>
      <c r="AF857" s="12"/>
      <c r="AG857" s="12"/>
      <c r="AH857" s="44" t="s">
        <v>68</v>
      </c>
      <c r="AI857" s="49">
        <f>IF(ISBLANK(S857),"",VLOOKUP(S857,'[1]plan gier'!$X$1:$AN$65536,12,FALSE))</f>
        <v>23</v>
      </c>
      <c r="AJ857" s="50">
        <f>IF(ISBLANK(S857),"",VLOOKUP(S857,'[1]plan gier'!$X$1:$AN$65536,13,FALSE))</f>
        <v>21</v>
      </c>
      <c r="AK857" s="50">
        <f>IF(ISBLANK(S857),"",VLOOKUP(S857,'[1]plan gier'!$X$1:$AN$65536,14,FALSE))</f>
        <v>21</v>
      </c>
      <c r="AL857" s="50">
        <f>IF(ISBLANK(S857),"",VLOOKUP(S857,'[1]plan gier'!$X$1:$AN$65536,15,FALSE))</f>
        <v>8</v>
      </c>
      <c r="AM857" s="50">
        <f>IF(ISBLANK(S857),"",VLOOKUP(S857,'[1]plan gier'!$X$1:$AN$65536,16,FALSE))</f>
        <v>0</v>
      </c>
      <c r="AN857" s="50">
        <f>IF(ISBLANK(S857),"",VLOOKUP(S857,'[1]plan gier'!$X$1:$AN$65536,17,FALSE))</f>
        <v>0</v>
      </c>
      <c r="AO857" s="63">
        <f t="shared" si="83"/>
        <v>23</v>
      </c>
      <c r="AP857" s="64">
        <f t="shared" si="83"/>
        <v>21</v>
      </c>
      <c r="AQ857" s="64">
        <f t="shared" si="83"/>
        <v>21</v>
      </c>
      <c r="AR857" s="64">
        <f t="shared" si="83"/>
        <v>8</v>
      </c>
      <c r="AS857" s="64">
        <f t="shared" si="83"/>
        <v>0</v>
      </c>
      <c r="AT857" s="69">
        <f t="shared" si="83"/>
        <v>0</v>
      </c>
      <c r="AU857" s="149">
        <f t="shared" si="84"/>
        <v>73</v>
      </c>
      <c r="AV857" s="5">
        <v>3</v>
      </c>
      <c r="AW857" s="63">
        <f>IF(AI855&lt;AJ855,1,0)+IF(AK855&lt;AL855,1,0)+IF(AM855&lt;AN855,1,0)</f>
        <v>0</v>
      </c>
      <c r="AX857" s="64">
        <f>BA855</f>
        <v>2</v>
      </c>
      <c r="AY857" s="64">
        <f>IF(AI858&lt;AJ858,1,0)+IF(AK858&lt;AL858,1,0)+IF(AM858&lt;AN858,1,0)</f>
        <v>0</v>
      </c>
      <c r="AZ857" s="64">
        <f>BA856</f>
        <v>2</v>
      </c>
      <c r="BA857" s="155"/>
      <c r="BB857" s="156"/>
      <c r="BC857" s="64">
        <f>IF(AI859&gt;AJ859,1,0)+IF(AK859&gt;AL859,1,0)+IF(AM859&gt;AN859,1,0)</f>
        <v>0</v>
      </c>
      <c r="BD857" s="70">
        <f>BA858</f>
        <v>2</v>
      </c>
      <c r="BE857" s="158">
        <f>AP855+AR855+AT855+AP858+AR858+AT858+AO859+AQ859+AS859</f>
        <v>0</v>
      </c>
      <c r="BF857" s="159">
        <f>AO855+AQ855+AS855+AO858+AQ858+AS858+AP859+AR859+AT859</f>
        <v>126</v>
      </c>
      <c r="BG857" s="158">
        <f>AW857+AY857+BC857</f>
        <v>0</v>
      </c>
      <c r="BH857" s="160">
        <f>AX857+AZ857+BD857</f>
        <v>6</v>
      </c>
      <c r="BI857" s="63">
        <f>IF(AW857&gt;AX857,1,0)+IF(AY857&gt;AZ857,1,0)+IF(BC857&gt;BD857,1,0)</f>
        <v>0</v>
      </c>
      <c r="BJ857" s="69">
        <f>IF(AX857&gt;AW857,1,0)+IF(AZ857&gt;AY857,1,0)+IF(BD857&gt;BC857,1,0)</f>
        <v>3</v>
      </c>
      <c r="BK857" s="71">
        <f>IF(BI857+BJ857=0,"",IF(BL857=MAX(BL855:BL858),1,IF(BL857=LARGE(BL855:BL858,2),2,IF(BL857=MIN(BL855:BL858),4,3))))</f>
        <v>4</v>
      </c>
      <c r="BL857" s="60">
        <f>IF(BI857+BJ857&lt;&gt;0,BI857+1+(BG857-BH857)/100+(BE857-BF857)/100000+(BE857/BF857)/1000000,0)</f>
        <v>0.93873999999999991</v>
      </c>
    </row>
    <row r="858" spans="1:64" ht="11.45" customHeight="1" thickBot="1" x14ac:dyDescent="0.25">
      <c r="A858" s="19">
        <f t="shared" si="82"/>
        <v>292</v>
      </c>
      <c r="B858" s="19" t="str">
        <f>IF(N856="","",N856)</f>
        <v>X64</v>
      </c>
      <c r="C858" s="19" t="str">
        <f>IF(N857="","",N857)</f>
        <v/>
      </c>
      <c r="D858" s="19" t="str">
        <f>IF(N859="","",N859)</f>
        <v>C5991</v>
      </c>
      <c r="E858" s="19" t="str">
        <f>IF(N860="","",N860)</f>
        <v/>
      </c>
      <c r="J858" s="10"/>
      <c r="K858" s="28"/>
      <c r="L858" s="28"/>
      <c r="M858" s="42" t="str">
        <f>N852</f>
        <v>pojedyncza dziewcząt Ż</v>
      </c>
      <c r="O858" s="28"/>
      <c r="P858" s="28"/>
      <c r="Q858" s="43" t="str">
        <f>IF(AU858&gt;0,"",IF(A858=0,"",IF(VLOOKUP(A858,'[1]plan gier'!A$1:S$65536,19,FALSE)="","",VLOOKUP(A858,'[1]plan gier'!A$1:S$65536,19,FALSE))))</f>
        <v/>
      </c>
      <c r="R858" s="44" t="s">
        <v>17</v>
      </c>
      <c r="S858" s="146">
        <v>292</v>
      </c>
      <c r="T858" s="241">
        <v>3</v>
      </c>
      <c r="U858" s="244" t="str">
        <f>IF(AND(N859&lt;&gt;"",N860&lt;&gt;""),CONCATENATE(VLOOKUP(N859,[1]zawodnicy!$A$1:$E$65536,1,FALSE)," ",VLOOKUP(N859,[1]zawodnicy!$A$1:$E$65536,2,FALSE)," ",VLOOKUP(N859,[1]zawodnicy!$A$1:$E$65536,3,FALSE)," - ",VLOOKUP(N859,[1]zawodnicy!$A$1:$E$65536,4,FALSE)),"")</f>
        <v/>
      </c>
      <c r="V858" s="245"/>
      <c r="W858" s="246"/>
      <c r="X858" s="46" t="str">
        <f>IF(SUM(AO855:AP855)=0,"",AP855&amp;":"&amp;AO855)</f>
        <v>0:21</v>
      </c>
      <c r="Y858" s="83" t="str">
        <f>IF(SUM(AO858:AP858)=0,"",AP858&amp;":"&amp;AO858)</f>
        <v>0:21</v>
      </c>
      <c r="Z858" s="47"/>
      <c r="AA858" s="48" t="str">
        <f>IF(SUM(AO859:AP859)=0,"",AO859&amp;":"&amp;AP859)</f>
        <v>0:21</v>
      </c>
      <c r="AB858" s="241" t="str">
        <f>IF(SUM(AW857:AZ857,BC857:BD857)=0,"",BE857&amp;":"&amp;BF857)</f>
        <v>0:126</v>
      </c>
      <c r="AC858" s="250" t="str">
        <f>IF(SUM(AW857:AZ857,BC857:BD857)=0,"",BG857&amp;":"&amp;BH857)</f>
        <v>0:6</v>
      </c>
      <c r="AD858" s="250" t="str">
        <f>IF(SUM(AW857:AZ857,BC857:BD857)=0,"",BI857&amp;":"&amp;BJ857)</f>
        <v>0:3</v>
      </c>
      <c r="AE858" s="253">
        <f>IF(SUM(BI855:BI858)&gt;0,BK857,"")</f>
        <v>4</v>
      </c>
      <c r="AF858" s="12"/>
      <c r="AG858" s="12"/>
      <c r="AH858" s="44" t="s">
        <v>17</v>
      </c>
      <c r="AI858" s="49">
        <f>IF(ISBLANK(S858),"",VLOOKUP(S858,'[1]plan gier'!$X$1:$AN$65536,12,FALSE))</f>
        <v>21</v>
      </c>
      <c r="AJ858" s="50">
        <f>IF(ISBLANK(S858),"",VLOOKUP(S858,'[1]plan gier'!$X$1:$AN$65536,13,FALSE))</f>
        <v>0</v>
      </c>
      <c r="AK858" s="50">
        <f>IF(ISBLANK(S858),"",VLOOKUP(S858,'[1]plan gier'!$X$1:$AN$65536,14,FALSE))</f>
        <v>21</v>
      </c>
      <c r="AL858" s="50">
        <f>IF(ISBLANK(S858),"",VLOOKUP(S858,'[1]plan gier'!$X$1:$AN$65536,15,FALSE))</f>
        <v>0</v>
      </c>
      <c r="AM858" s="50">
        <f>IF(ISBLANK(S858),"",VLOOKUP(S858,'[1]plan gier'!$X$1:$AN$65536,16,FALSE))</f>
        <v>0</v>
      </c>
      <c r="AN858" s="50">
        <f>IF(ISBLANK(S858),"",VLOOKUP(S858,'[1]plan gier'!$X$1:$AN$65536,17,FALSE))</f>
        <v>0</v>
      </c>
      <c r="AO858" s="63">
        <f t="shared" si="83"/>
        <v>21</v>
      </c>
      <c r="AP858" s="64">
        <f t="shared" si="83"/>
        <v>0</v>
      </c>
      <c r="AQ858" s="64">
        <f t="shared" si="83"/>
        <v>21</v>
      </c>
      <c r="AR858" s="64">
        <f t="shared" si="83"/>
        <v>0</v>
      </c>
      <c r="AS858" s="64">
        <f t="shared" si="83"/>
        <v>0</v>
      </c>
      <c r="AT858" s="69">
        <f t="shared" si="83"/>
        <v>0</v>
      </c>
      <c r="AU858" s="149">
        <f t="shared" si="84"/>
        <v>42</v>
      </c>
      <c r="AV858" s="5">
        <v>4</v>
      </c>
      <c r="AW858" s="161">
        <f>IF(AI857&lt;AJ857,1,0)+IF(AK857&lt;AL857,1,0)+IF(AM857&lt;AN857,1,0)</f>
        <v>0</v>
      </c>
      <c r="AX858" s="162">
        <f>BC855</f>
        <v>2</v>
      </c>
      <c r="AY858" s="162">
        <f>IF(AI856&lt;AJ856,1,0)+IF(AK856&lt;AL856,1,0)+IF(AM856&lt;AN856,1,0)</f>
        <v>0</v>
      </c>
      <c r="AZ858" s="162">
        <f>BC856</f>
        <v>2</v>
      </c>
      <c r="BA858" s="75">
        <f>IF(AI859&lt;AJ859,1,0)+IF(AK859&lt;AL859,1,0)+IF(AM859&lt;AN859,1,0)</f>
        <v>2</v>
      </c>
      <c r="BB858" s="75">
        <f>BC857</f>
        <v>0</v>
      </c>
      <c r="BC858" s="163"/>
      <c r="BD858" s="164"/>
      <c r="BE858" s="74">
        <f>AP856+AR856+AT856+AP857+AR857+AT857+AP859+AR859+AT859</f>
        <v>102</v>
      </c>
      <c r="BF858" s="81">
        <f>AO856+AQ856+AS856+AO857+AQ857+AS857+AO859+AQ859+AS859</f>
        <v>87</v>
      </c>
      <c r="BG858" s="74">
        <f>AW858+AY858+BA858</f>
        <v>2</v>
      </c>
      <c r="BH858" s="80">
        <f>AX858+AZ858+BB858</f>
        <v>4</v>
      </c>
      <c r="BI858" s="74">
        <f>IF(AW858&gt;AX858,1,0)+IF(AY858&gt;AZ858,1,0)+IF(BA858&gt;BB858,1,0)</f>
        <v>1</v>
      </c>
      <c r="BJ858" s="80">
        <f>IF(AX858&gt;AW858,1,0)+IF(AZ858&gt;AY858,1,0)+IF(BB858&gt;BA858,1,0)</f>
        <v>2</v>
      </c>
      <c r="BK858" s="82">
        <f>IF(BI858+BJ858=0,"",IF(BL858=MAX(BL855:BL858),1,IF(BL858=LARGE(BL855:BL858,2),2,IF(BL858=MIN(BL855:BL858),4,3))))</f>
        <v>3</v>
      </c>
      <c r="BL858" s="60">
        <f>IF(BI858+BJ858&lt;&gt;0,BI858+1+(BG858-BH858)/100+(BE858-BF858)/100000+(BE858/BF858)/1000000,0)</f>
        <v>1.9801511724137932</v>
      </c>
    </row>
    <row r="859" spans="1:64" ht="11.45" customHeight="1" x14ac:dyDescent="0.2">
      <c r="A859" s="19">
        <f t="shared" si="82"/>
        <v>349</v>
      </c>
      <c r="B859" s="19" t="str">
        <f>IF(N859="","",N859)</f>
        <v>C5991</v>
      </c>
      <c r="C859" s="19" t="str">
        <f>IF(N860="","",N860)</f>
        <v/>
      </c>
      <c r="D859" s="19" t="str">
        <f>IF(N862="","",N862)</f>
        <v>W5473</v>
      </c>
      <c r="E859" s="19" t="str">
        <f>IF(N863="","",N863)</f>
        <v/>
      </c>
      <c r="H859" s="10"/>
      <c r="I859" s="2" t="str">
        <f>"4"&amp;O851&amp;N852</f>
        <v>41pojedyncza dziewcząt Ż</v>
      </c>
      <c r="J859" s="10" t="str">
        <f>IF(AE861="","",IF(AE852=4,N853,IF(AE855=4,N856,IF(AE858=4,N859,IF(AE861=4,N862,"")))))</f>
        <v>C5991</v>
      </c>
      <c r="K859" s="10">
        <f>IF(AE861="","",IF(AE852=4,N854,IF(AE855=4,N857,IF(AE858=4,N860,IF(AE861=4,N863,"")))))</f>
        <v>0</v>
      </c>
      <c r="L859" s="10"/>
      <c r="M859" s="42" t="str">
        <f>N852</f>
        <v>pojedyncza dziewcząt Ż</v>
      </c>
      <c r="N859" s="33" t="s">
        <v>381</v>
      </c>
      <c r="O859" s="34">
        <f>IF(O851&gt;0,(O851&amp;3)*1,"")</f>
        <v>13</v>
      </c>
      <c r="Q859" s="43" t="str">
        <f>IF(AU859&gt;0,"",IF(A859=0,"",IF(VLOOKUP(A859,'[1]plan gier'!A$1:S$65536,19,FALSE)="","",VLOOKUP(A859,'[1]plan gier'!A$1:S$65536,19,FALSE))))</f>
        <v/>
      </c>
      <c r="R859" s="44" t="s">
        <v>69</v>
      </c>
      <c r="S859" s="146">
        <v>349</v>
      </c>
      <c r="T859" s="242"/>
      <c r="U859" s="244" t="str">
        <f>IF(AND(N859&lt;&gt;"",N860=""),CONCATENATE(VLOOKUP(N859,[1]zawodnicy!$A$1:$E$65536,1,FALSE)," ",VLOOKUP(N859,[1]zawodnicy!$A$1:$E$65536,2,FALSE)," ",VLOOKUP(N859,[1]zawodnicy!$A$1:$E$65536,3,FALSE)," - ",VLOOKUP(N859,[1]zawodnicy!$A$1:$E$65536,4,FALSE)),"")</f>
        <v>C5991 Gabriela CZARNECKA - KSR Wolant Łódź</v>
      </c>
      <c r="V859" s="245"/>
      <c r="W859" s="246"/>
      <c r="X859" s="61" t="str">
        <f>IF(SUM(AQ855:AR855)=0,"",AR855&amp;":"&amp;AQ855)</f>
        <v>0:21</v>
      </c>
      <c r="Y859" s="36" t="str">
        <f>IF(SUM(AQ858:AR858)=0,"",AR858&amp;":"&amp;AQ858)</f>
        <v>0:21</v>
      </c>
      <c r="Z859" s="62"/>
      <c r="AA859" s="37" t="str">
        <f>IF(SUM(AQ859:AR859)=0,"",AQ859&amp;":"&amp;AR859)</f>
        <v>0:21</v>
      </c>
      <c r="AB859" s="242"/>
      <c r="AC859" s="251"/>
      <c r="AD859" s="251"/>
      <c r="AE859" s="254"/>
      <c r="AF859" s="12"/>
      <c r="AG859" s="12"/>
      <c r="AH859" s="44" t="s">
        <v>69</v>
      </c>
      <c r="AI859" s="49">
        <f>IF(ISBLANK(S859),"",VLOOKUP(S859,'[1]plan gier'!$X$1:$AN$65536,12,FALSE))</f>
        <v>0</v>
      </c>
      <c r="AJ859" s="50">
        <f>IF(ISBLANK(S859),"",VLOOKUP(S859,'[1]plan gier'!$X$1:$AN$65536,13,FALSE))</f>
        <v>21</v>
      </c>
      <c r="AK859" s="50">
        <f>IF(ISBLANK(S859),"",VLOOKUP(S859,'[1]plan gier'!$X$1:$AN$65536,14,FALSE))</f>
        <v>0</v>
      </c>
      <c r="AL859" s="50">
        <f>IF(ISBLANK(S859),"",VLOOKUP(S859,'[1]plan gier'!$X$1:$AN$65536,15,FALSE))</f>
        <v>21</v>
      </c>
      <c r="AM859" s="50">
        <f>IF(ISBLANK(S859),"",VLOOKUP(S859,'[1]plan gier'!$X$1:$AN$65536,16,FALSE))</f>
        <v>0</v>
      </c>
      <c r="AN859" s="50">
        <f>IF(ISBLANK(S859),"",VLOOKUP(S859,'[1]plan gier'!$X$1:$AN$65536,17,FALSE))</f>
        <v>0</v>
      </c>
      <c r="AO859" s="63">
        <f t="shared" si="83"/>
        <v>0</v>
      </c>
      <c r="AP859" s="64">
        <f t="shared" si="83"/>
        <v>21</v>
      </c>
      <c r="AQ859" s="64">
        <f t="shared" si="83"/>
        <v>0</v>
      </c>
      <c r="AR859" s="64">
        <f t="shared" si="83"/>
        <v>21</v>
      </c>
      <c r="AS859" s="64">
        <f t="shared" si="83"/>
        <v>0</v>
      </c>
      <c r="AT859" s="69">
        <f t="shared" si="83"/>
        <v>0</v>
      </c>
      <c r="AU859" s="149">
        <f t="shared" si="84"/>
        <v>42</v>
      </c>
      <c r="BE859" s="19">
        <f t="shared" ref="BE859:BJ859" si="85">SUM(BE855:BE858)</f>
        <v>343</v>
      </c>
      <c r="BF859" s="19">
        <f t="shared" si="85"/>
        <v>343</v>
      </c>
      <c r="BG859" s="19">
        <f t="shared" si="85"/>
        <v>12</v>
      </c>
      <c r="BH859" s="19">
        <f t="shared" si="85"/>
        <v>12</v>
      </c>
      <c r="BI859" s="19">
        <f t="shared" si="85"/>
        <v>6</v>
      </c>
      <c r="BJ859" s="19">
        <f t="shared" si="85"/>
        <v>6</v>
      </c>
      <c r="BK859" s="19"/>
      <c r="BL859" s="20"/>
    </row>
    <row r="860" spans="1:64" ht="11.45" customHeight="1" thickBot="1" x14ac:dyDescent="0.25">
      <c r="A860" s="19">
        <f t="shared" si="82"/>
        <v>350</v>
      </c>
      <c r="B860" s="19" t="str">
        <f>IF(N853="","",N853)</f>
        <v>N5113</v>
      </c>
      <c r="C860" s="19" t="str">
        <f>IF(N854="","",N854)</f>
        <v/>
      </c>
      <c r="D860" s="19" t="str">
        <f>IF(N856="","",N856)</f>
        <v>X64</v>
      </c>
      <c r="E860" s="19" t="str">
        <f>IF(N857="","",N857)</f>
        <v/>
      </c>
      <c r="J860" s="28"/>
      <c r="K860" s="28"/>
      <c r="L860" s="28"/>
      <c r="M860" s="42" t="str">
        <f>N852</f>
        <v>pojedyncza dziewcząt Ż</v>
      </c>
      <c r="N860" s="38"/>
      <c r="O860" s="28"/>
      <c r="P860" s="28"/>
      <c r="Q860" s="43" t="str">
        <f>IF(AU860&gt;0,"",IF(A860=0,"",IF(VLOOKUP(A860,'[1]plan gier'!A$1:S$65536,19,FALSE)="","",VLOOKUP(A860,'[1]plan gier'!A$1:S$65536,19,FALSE))))</f>
        <v/>
      </c>
      <c r="R860" s="44" t="s">
        <v>18</v>
      </c>
      <c r="S860" s="146">
        <v>350</v>
      </c>
      <c r="T860" s="261"/>
      <c r="U860" s="265" t="str">
        <f>IF(N860&lt;&gt;"",CONCATENATE(VLOOKUP(N860,[1]zawodnicy!$A$1:$E$65536,1,FALSE)," ",VLOOKUP(N860,[1]zawodnicy!$A$1:$E$65536,2,FALSE)," ",VLOOKUP(N860,[1]zawodnicy!$A$1:$E$65536,3,FALSE)," - ",VLOOKUP(N860,[1]zawodnicy!$A$1:$E$65536,4,FALSE)),"")</f>
        <v/>
      </c>
      <c r="V860" s="266"/>
      <c r="W860" s="267"/>
      <c r="X860" s="73" t="str">
        <f>IF(SUM(AS855:AT855)=0,"",AT855&amp;":"&amp;AS855)</f>
        <v/>
      </c>
      <c r="Y860" s="39" t="str">
        <f>IF(SUM(AS858:AT858)=0,"",AT858&amp;":"&amp;AS858)</f>
        <v/>
      </c>
      <c r="Z860" s="62"/>
      <c r="AA860" s="40" t="str">
        <f>IF(SUM(AS859:AT859)=0,"",AS859&amp;":"&amp;AT859)</f>
        <v/>
      </c>
      <c r="AB860" s="242"/>
      <c r="AC860" s="251"/>
      <c r="AD860" s="251"/>
      <c r="AE860" s="254"/>
      <c r="AF860" s="12"/>
      <c r="AG860" s="12"/>
      <c r="AH860" s="44" t="s">
        <v>18</v>
      </c>
      <c r="AI860" s="161">
        <f>IF(ISBLANK(S860),"",VLOOKUP(S860,'[1]plan gier'!$X$1:$AN$65536,12,FALSE))</f>
        <v>21</v>
      </c>
      <c r="AJ860" s="162">
        <f>IF(ISBLANK(S860),"",VLOOKUP(S860,'[1]plan gier'!$X$1:$AN$65536,13,FALSE))</f>
        <v>10</v>
      </c>
      <c r="AK860" s="162">
        <f>IF(ISBLANK(S860),"",VLOOKUP(S860,'[1]plan gier'!$X$1:$AN$65536,14,FALSE))</f>
        <v>21</v>
      </c>
      <c r="AL860" s="162">
        <f>IF(ISBLANK(S860),"",VLOOKUP(S860,'[1]plan gier'!$X$1:$AN$65536,15,FALSE))</f>
        <v>18</v>
      </c>
      <c r="AM860" s="162">
        <f>IF(ISBLANK(S860),"",VLOOKUP(S860,'[1]plan gier'!$X$1:$AN$65536,16,FALSE))</f>
        <v>0</v>
      </c>
      <c r="AN860" s="162">
        <f>IF(ISBLANK(S860),"",VLOOKUP(S860,'[1]plan gier'!$X$1:$AN$65536,17,FALSE))</f>
        <v>0</v>
      </c>
      <c r="AO860" s="74">
        <f t="shared" si="83"/>
        <v>21</v>
      </c>
      <c r="AP860" s="75">
        <f t="shared" si="83"/>
        <v>10</v>
      </c>
      <c r="AQ860" s="75">
        <f t="shared" si="83"/>
        <v>21</v>
      </c>
      <c r="AR860" s="75">
        <f t="shared" si="83"/>
        <v>18</v>
      </c>
      <c r="AS860" s="75">
        <f t="shared" si="83"/>
        <v>0</v>
      </c>
      <c r="AT860" s="80">
        <f t="shared" si="83"/>
        <v>0</v>
      </c>
      <c r="AU860" s="149">
        <f t="shared" si="84"/>
        <v>70</v>
      </c>
      <c r="BK860" s="19"/>
      <c r="BL860" s="20"/>
    </row>
    <row r="861" spans="1:64" ht="11.45" customHeight="1" x14ac:dyDescent="0.2">
      <c r="A861" s="2"/>
      <c r="J861" s="28"/>
      <c r="K861" s="28"/>
      <c r="L861" s="28"/>
      <c r="O861" s="28"/>
      <c r="P861" s="28"/>
      <c r="Q861" s="2"/>
      <c r="R861" s="2"/>
      <c r="S861" s="2"/>
      <c r="T861" s="241">
        <v>4</v>
      </c>
      <c r="U861" s="244" t="str">
        <f>IF(AND(N862&lt;&gt;"",N863&lt;&gt;""),CONCATENATE(VLOOKUP(N862,[1]zawodnicy!$A$1:$E$65536,1,FALSE)," ",VLOOKUP(N862,[1]zawodnicy!$A$1:$E$65536,2,FALSE)," ",VLOOKUP(N862,[1]zawodnicy!$A$1:$E$65536,3,FALSE)," - ",VLOOKUP(N862,[1]zawodnicy!$A$1:$E$65536,4,FALSE)),"")</f>
        <v/>
      </c>
      <c r="V861" s="245"/>
      <c r="W861" s="246"/>
      <c r="X861" s="46" t="str">
        <f>IF(SUM(AO857:AP857)=0,"",AP857&amp;":"&amp;AO857)</f>
        <v>21:23</v>
      </c>
      <c r="Y861" s="83" t="str">
        <f>IF(SUM(AO856:AP856)=0,"",AP856&amp;":"&amp;AO856)</f>
        <v>20:22</v>
      </c>
      <c r="Z861" s="83" t="str">
        <f>IF(SUM(AO859:AP859)=0,"",AP859&amp;":"&amp;AO859)</f>
        <v>21:0</v>
      </c>
      <c r="AA861" s="165"/>
      <c r="AB861" s="241" t="str">
        <f>IF(SUM(AW858:BB858)=0,"",BE858&amp;":"&amp;BF858)</f>
        <v>102:87</v>
      </c>
      <c r="AC861" s="250" t="str">
        <f>IF(SUM(AW858:BB858)=0,"",BG858&amp;":"&amp;BH858)</f>
        <v>2:4</v>
      </c>
      <c r="AD861" s="250" t="str">
        <f>IF(SUM(AW858:BB858)=0,"",BI858&amp;":"&amp;BJ858)</f>
        <v>1:2</v>
      </c>
      <c r="AE861" s="253">
        <f>IF(SUM(BI855:BI858)&gt;0,BK858,"")</f>
        <v>3</v>
      </c>
      <c r="AF861" s="12"/>
      <c r="AG861" s="12"/>
      <c r="AH861" s="2"/>
      <c r="AI861" s="2"/>
      <c r="AJ861" s="2"/>
      <c r="AK861" s="2"/>
      <c r="AL861" s="2"/>
      <c r="AM861" s="2"/>
      <c r="AN861" s="2"/>
      <c r="AO861" s="2"/>
      <c r="AP861" s="2"/>
      <c r="AQ861" s="2"/>
      <c r="AR861" s="2"/>
      <c r="AS861" s="2"/>
      <c r="AT861" s="2"/>
      <c r="AU861" s="2"/>
      <c r="BK861" s="19"/>
      <c r="BL861" s="20"/>
    </row>
    <row r="862" spans="1:64" ht="11.45" customHeight="1" x14ac:dyDescent="0.2">
      <c r="A862" s="19"/>
      <c r="B862" s="19"/>
      <c r="C862" s="19"/>
      <c r="D862" s="19"/>
      <c r="E862" s="19"/>
      <c r="H862" s="10"/>
      <c r="J862" s="19"/>
      <c r="K862" s="19"/>
      <c r="L862" s="19"/>
      <c r="N862" s="33" t="s">
        <v>309</v>
      </c>
      <c r="O862" s="34">
        <f>IF(O851&gt;0,(O851&amp;4)*1,"")</f>
        <v>14</v>
      </c>
      <c r="Q862" s="85"/>
      <c r="R862" s="85"/>
      <c r="S862" s="85"/>
      <c r="T862" s="242"/>
      <c r="U862" s="244" t="str">
        <f>IF(AND(N862&lt;&gt;"",N863=""),CONCATENATE(VLOOKUP(N862,[1]zawodnicy!$A$1:$E$65536,1,FALSE)," ",VLOOKUP(N862,[1]zawodnicy!$A$1:$E$65536,2,FALSE)," ",VLOOKUP(N862,[1]zawodnicy!$A$1:$E$65536,3,FALSE)," - ",VLOOKUP(N862,[1]zawodnicy!$A$1:$E$65536,4,FALSE)),"")</f>
        <v>W5473 Paulina WUDARSKA - UKS Iskra Sarbice</v>
      </c>
      <c r="V862" s="245"/>
      <c r="W862" s="246"/>
      <c r="X862" s="61" t="str">
        <f>IF(SUM(AQ857:AR857)=0,"",AR857&amp;":"&amp;AQ857)</f>
        <v>8:21</v>
      </c>
      <c r="Y862" s="36" t="str">
        <f>IF(SUM(AQ856:AR856)=0,"",AR856&amp;":"&amp;AQ856)</f>
        <v>11:21</v>
      </c>
      <c r="Z862" s="36" t="str">
        <f>IF(SUM(AQ859:AR859)=0,"",AR859&amp;":"&amp;AQ859)</f>
        <v>21:0</v>
      </c>
      <c r="AA862" s="166"/>
      <c r="AB862" s="242"/>
      <c r="AC862" s="251"/>
      <c r="AD862" s="251"/>
      <c r="AE862" s="254"/>
      <c r="AF862" s="12"/>
      <c r="AG862" s="1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row>
    <row r="863" spans="1:64" ht="11.45" customHeight="1" thickBot="1" x14ac:dyDescent="0.25">
      <c r="A863" s="2"/>
      <c r="J863" s="28"/>
      <c r="K863" s="28"/>
      <c r="L863" s="28"/>
      <c r="N863" s="38"/>
      <c r="O863" s="28"/>
      <c r="P863" s="28"/>
      <c r="Q863" s="2"/>
      <c r="R863" s="2"/>
      <c r="S863" s="2"/>
      <c r="T863" s="243"/>
      <c r="U863" s="256" t="str">
        <f>IF(N863&lt;&gt;"",CONCATENATE(VLOOKUP(N863,[1]zawodnicy!$A$1:$E$65536,1,FALSE)," ",VLOOKUP(N863,[1]zawodnicy!$A$1:$E$65536,2,FALSE)," ",VLOOKUP(N863,[1]zawodnicy!$A$1:$E$65536,3,FALSE)," - ",VLOOKUP(N863,[1]zawodnicy!$A$1:$E$65536,4,FALSE)),"")</f>
        <v/>
      </c>
      <c r="V863" s="257"/>
      <c r="W863" s="258"/>
      <c r="X863" s="87" t="str">
        <f>IF(SUM(AS857:AT857)=0,"",AT857&amp;":"&amp;AS857)</f>
        <v/>
      </c>
      <c r="Y863" s="88" t="str">
        <f>IF(SUM(AS856:AT856)=0,"",AT856&amp;":"&amp;AS856)</f>
        <v/>
      </c>
      <c r="Z863" s="88" t="str">
        <f>IF(SUM(AS859:AT859)=0,"",AT859&amp;":"&amp;AS859)</f>
        <v/>
      </c>
      <c r="AA863" s="89"/>
      <c r="AB863" s="243"/>
      <c r="AC863" s="252"/>
      <c r="AD863" s="252"/>
      <c r="AE863" s="255"/>
      <c r="AF863" s="12"/>
      <c r="AG863" s="1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row>
    <row r="864" spans="1:64" ht="5.0999999999999996" customHeight="1" thickBot="1" x14ac:dyDescent="0.25">
      <c r="BK864" s="19"/>
      <c r="BL864" s="20"/>
    </row>
    <row r="865" spans="1:64" ht="11.45" customHeight="1" thickBot="1" x14ac:dyDescent="0.25">
      <c r="N865" s="11"/>
      <c r="O865" s="21">
        <v>2</v>
      </c>
      <c r="Q865" s="277" t="str">
        <f>"Grupa "&amp;O865&amp;"."</f>
        <v>Grupa 2.</v>
      </c>
      <c r="R865" s="277"/>
      <c r="S865" s="277"/>
      <c r="T865" s="22" t="s">
        <v>1</v>
      </c>
      <c r="U865" s="278" t="s">
        <v>2</v>
      </c>
      <c r="V865" s="279"/>
      <c r="W865" s="280"/>
      <c r="X865" s="22">
        <v>1</v>
      </c>
      <c r="Y865" s="23">
        <v>2</v>
      </c>
      <c r="Z865" s="24">
        <v>3</v>
      </c>
      <c r="AA865" s="25" t="s">
        <v>3</v>
      </c>
      <c r="AB865" s="26" t="s">
        <v>4</v>
      </c>
      <c r="AC865" s="26" t="s">
        <v>5</v>
      </c>
      <c r="AD865" s="27" t="s">
        <v>6</v>
      </c>
      <c r="AE865" s="2"/>
      <c r="AF865" s="12"/>
      <c r="AG865" s="12"/>
      <c r="BK865" s="19"/>
      <c r="BL865" s="20"/>
    </row>
    <row r="866" spans="1:64" ht="11.45" customHeight="1" x14ac:dyDescent="0.2">
      <c r="J866" s="28"/>
      <c r="K866" s="28"/>
      <c r="L866" s="28"/>
      <c r="N866" s="29" t="s">
        <v>378</v>
      </c>
      <c r="Q866" s="274" t="s">
        <v>7</v>
      </c>
      <c r="R866" s="274"/>
      <c r="S866" s="275" t="s">
        <v>8</v>
      </c>
      <c r="T866" s="276">
        <v>1</v>
      </c>
      <c r="U866" s="244" t="str">
        <f>IF(AND(N867&lt;&gt;"",N868&lt;&gt;""),CONCATENATE(VLOOKUP(N867,[1]zawodnicy!$A$1:$E$65536,1,FALSE)," ",VLOOKUP(N867,[1]zawodnicy!$A$1:$E$65536,2,FALSE)," ",VLOOKUP(N867,[1]zawodnicy!$A$1:$E$65536,3,FALSE)," - ",VLOOKUP(N867,[1]zawodnicy!$A$1:$E$65536,4,FALSE)),"")</f>
        <v/>
      </c>
      <c r="V866" s="245"/>
      <c r="W866" s="246"/>
      <c r="X866" s="30"/>
      <c r="Y866" s="31" t="str">
        <f>IF(SUM(AO871:AP871)=0,"",AO871&amp;":"&amp;AP871)</f>
        <v>21:16</v>
      </c>
      <c r="Z866" s="32" t="str">
        <f>IF(SUM(AO869:AP869)=0,"",AO869&amp;":"&amp;AP869)</f>
        <v>16:21</v>
      </c>
      <c r="AA866" s="270" t="str">
        <f>IF(SUM(AY869:BB869)=0,"",BE869&amp;":"&amp;BF869)</f>
        <v>78:79</v>
      </c>
      <c r="AB866" s="271" t="str">
        <f>IF(SUM(AY869:BB869)=0,"",BG869&amp;":"&amp;BH869)</f>
        <v>2:2</v>
      </c>
      <c r="AC866" s="271" t="str">
        <f>IF(SUM(AY869:BB869)=0,"",BI869&amp;":"&amp;BJ869)</f>
        <v>1:1</v>
      </c>
      <c r="AD866" s="272">
        <f>IF(SUM(BI869:BI871)&gt;0,BK869,"")</f>
        <v>2</v>
      </c>
      <c r="AE866" s="2"/>
      <c r="AF866" s="12"/>
      <c r="AG866" s="12"/>
      <c r="AH866" s="14"/>
      <c r="AI866" s="273" t="s">
        <v>9</v>
      </c>
      <c r="AJ866" s="273"/>
      <c r="AK866" s="273"/>
      <c r="AL866" s="273"/>
      <c r="AM866" s="273"/>
      <c r="AN866" s="273"/>
      <c r="AO866" s="273" t="s">
        <v>10</v>
      </c>
      <c r="AP866" s="273"/>
      <c r="AQ866" s="273"/>
      <c r="AR866" s="273"/>
      <c r="AS866" s="273"/>
      <c r="AT866" s="273"/>
      <c r="BK866" s="19"/>
      <c r="BL866" s="20"/>
    </row>
    <row r="867" spans="1:64" ht="11.45" customHeight="1" thickBot="1" x14ac:dyDescent="0.25">
      <c r="I867" s="2" t="str">
        <f>"1"&amp;O865&amp;N866</f>
        <v>12pojedyncza dziewcząt Ż</v>
      </c>
      <c r="J867" s="10" t="str">
        <f>IF(AD866="","",IF(AD866=1,N867,IF(AD869=1,N870,IF(AD872=1,N873,""))))</f>
        <v>Ł5765</v>
      </c>
      <c r="K867" s="10">
        <f>IF(AD866="","",IF(AD866=1,N868,IF(AD869=1,N871,IF(AD872=1,N874,""))))</f>
        <v>0</v>
      </c>
      <c r="L867" s="10"/>
      <c r="N867" s="33" t="s">
        <v>382</v>
      </c>
      <c r="O867" s="34">
        <f>IF(O865&gt;0,(O865&amp;1)*1,"")</f>
        <v>21</v>
      </c>
      <c r="Q867" s="274"/>
      <c r="R867" s="274"/>
      <c r="S867" s="275"/>
      <c r="T867" s="242"/>
      <c r="U867" s="244" t="str">
        <f>IF(AND(N867&lt;&gt;"",N868=""),CONCATENATE(VLOOKUP(N867,[1]zawodnicy!$A$1:$E$65536,1,FALSE)," ",VLOOKUP(N867,[1]zawodnicy!$A$1:$E$65536,2,FALSE)," ",VLOOKUP(N867,[1]zawodnicy!$A$1:$E$65536,3,FALSE)," - ",VLOOKUP(N867,[1]zawodnicy!$A$1:$E$65536,4,FALSE)),"")</f>
        <v>X37 Anastasiya POPAR - Białoruś</v>
      </c>
      <c r="V867" s="245"/>
      <c r="W867" s="246"/>
      <c r="X867" s="35"/>
      <c r="Y867" s="36" t="str">
        <f>IF(SUM(AQ871:AR871)=0,"",AQ871&amp;":"&amp;AR871)</f>
        <v>23:21</v>
      </c>
      <c r="Z867" s="37" t="str">
        <f>IF(SUM(AQ869:AR869)=0,"",AQ869&amp;":"&amp;AR869)</f>
        <v>18:21</v>
      </c>
      <c r="AA867" s="248"/>
      <c r="AB867" s="251"/>
      <c r="AC867" s="251"/>
      <c r="AD867" s="254"/>
      <c r="AE867" s="2"/>
      <c r="AF867" s="12"/>
      <c r="AG867" s="12"/>
      <c r="AH867" s="14"/>
      <c r="BE867" s="19">
        <f>SUM(BE869:BE871)</f>
        <v>221</v>
      </c>
      <c r="BF867" s="19">
        <f>SUM(BF869:BF871)</f>
        <v>221</v>
      </c>
      <c r="BG867" s="19">
        <f>SUM(BG869:BG871)</f>
        <v>6</v>
      </c>
      <c r="BH867" s="19">
        <f>SUM(BH869:BH871)</f>
        <v>6</v>
      </c>
      <c r="BK867" s="19"/>
      <c r="BL867" s="20"/>
    </row>
    <row r="868" spans="1:64" ht="11.45" customHeight="1" thickBot="1" x14ac:dyDescent="0.25">
      <c r="J868" s="10"/>
      <c r="K868" s="28"/>
      <c r="L868" s="28"/>
      <c r="N868" s="38"/>
      <c r="O868" s="28"/>
      <c r="P868" s="28"/>
      <c r="Q868" s="274"/>
      <c r="R868" s="274"/>
      <c r="S868" s="275"/>
      <c r="T868" s="261"/>
      <c r="U868" s="265" t="str">
        <f>IF(N868&lt;&gt;"",CONCATENATE(VLOOKUP(N868,[1]zawodnicy!$A$1:$E$65536,1,FALSE)," ",VLOOKUP(N868,[1]zawodnicy!$A$1:$E$65536,2,FALSE)," ",VLOOKUP(N868,[1]zawodnicy!$A$1:$E$65536,3,FALSE)," - ",VLOOKUP(N868,[1]zawodnicy!$A$1:$E$65536,4,FALSE)),"")</f>
        <v/>
      </c>
      <c r="V868" s="266"/>
      <c r="W868" s="267"/>
      <c r="X868" s="35"/>
      <c r="Y868" s="39" t="str">
        <f>IF(SUM(AS871:AT871)=0,"",AS871&amp;":"&amp;AT871)</f>
        <v/>
      </c>
      <c r="Z868" s="40" t="str">
        <f>IF(SUM(AS869:AT869)=0,"",AS869&amp;":"&amp;AT869)</f>
        <v/>
      </c>
      <c r="AA868" s="262"/>
      <c r="AB868" s="263"/>
      <c r="AC868" s="263"/>
      <c r="AD868" s="264"/>
      <c r="AE868" s="2"/>
      <c r="AF868" s="12"/>
      <c r="AG868" s="12"/>
      <c r="AH868" s="14"/>
      <c r="AI868" s="259" t="s">
        <v>12</v>
      </c>
      <c r="AJ868" s="269"/>
      <c r="AK868" s="268" t="s">
        <v>13</v>
      </c>
      <c r="AL868" s="269"/>
      <c r="AM868" s="268" t="s">
        <v>14</v>
      </c>
      <c r="AN868" s="260"/>
      <c r="AO868" s="259" t="s">
        <v>12</v>
      </c>
      <c r="AP868" s="269"/>
      <c r="AQ868" s="268" t="s">
        <v>13</v>
      </c>
      <c r="AR868" s="269"/>
      <c r="AS868" s="268" t="s">
        <v>14</v>
      </c>
      <c r="AT868" s="269"/>
      <c r="AU868" s="12"/>
      <c r="AV868" s="12"/>
      <c r="AW868" s="259">
        <v>1</v>
      </c>
      <c r="AX868" s="269"/>
      <c r="AY868" s="268">
        <v>2</v>
      </c>
      <c r="AZ868" s="269"/>
      <c r="BA868" s="268">
        <v>3</v>
      </c>
      <c r="BB868" s="260"/>
      <c r="BE868" s="259" t="s">
        <v>3</v>
      </c>
      <c r="BF868" s="260"/>
      <c r="BG868" s="259" t="s">
        <v>4</v>
      </c>
      <c r="BH868" s="260"/>
      <c r="BI868" s="259" t="s">
        <v>5</v>
      </c>
      <c r="BJ868" s="260"/>
      <c r="BK868" s="41" t="s">
        <v>6</v>
      </c>
      <c r="BL868" s="20"/>
    </row>
    <row r="869" spans="1:64" ht="11.45" customHeight="1" x14ac:dyDescent="0.2">
      <c r="A869" s="19">
        <f>S869</f>
        <v>251</v>
      </c>
      <c r="B869" s="2" t="str">
        <f>IF(N867="","",N867)</f>
        <v>X37</v>
      </c>
      <c r="C869" s="2" t="str">
        <f>IF(N868="","",N868)</f>
        <v/>
      </c>
      <c r="D869" s="2" t="str">
        <f>IF(N873="","",N873)</f>
        <v>Ł5765</v>
      </c>
      <c r="E869" s="2" t="str">
        <f>IF(N874="","",N874)</f>
        <v/>
      </c>
      <c r="I869" s="2" t="str">
        <f>"2"&amp;O865&amp;N866</f>
        <v>22pojedyncza dziewcząt Ż</v>
      </c>
      <c r="J869" s="10" t="str">
        <f>IF(AD869="","",IF(AD866=2,N867,IF(AD869=2,N870,IF(AD872=2,N873,""))))</f>
        <v>X37</v>
      </c>
      <c r="K869" s="10">
        <f>IF(AD869="","",IF(AD866=2,N868,IF(AD869=2,N871,IF(AD872=2,N874,""))))</f>
        <v>0</v>
      </c>
      <c r="M869" s="42" t="str">
        <f>N866</f>
        <v>pojedyncza dziewcząt Ż</v>
      </c>
      <c r="O869" s="28"/>
      <c r="P869" s="28"/>
      <c r="Q869" s="43" t="str">
        <f>IF(AU869&gt;0,"",IF(A869=0,"",IF(VLOOKUP(A869,'[1]plan gier'!A$1:S$65536,19,FALSE)="","",VLOOKUP(A869,'[1]plan gier'!A$1:S$65536,19,FALSE))))</f>
        <v/>
      </c>
      <c r="R869" s="44" t="s">
        <v>15</v>
      </c>
      <c r="S869" s="45">
        <v>251</v>
      </c>
      <c r="T869" s="241">
        <v>2</v>
      </c>
      <c r="U869" s="244" t="str">
        <f>IF(AND(N870&lt;&gt;"",N871&lt;&gt;""),CONCATENATE(VLOOKUP(N870,[1]zawodnicy!$A$1:$E$65536,1,FALSE)," ",VLOOKUP(N870,[1]zawodnicy!$A$1:$E$65536,2,FALSE)," ",VLOOKUP(N870,[1]zawodnicy!$A$1:$E$65536,3,FALSE)," - ",VLOOKUP(N870,[1]zawodnicy!$A$1:$E$65536,4,FALSE)),"")</f>
        <v/>
      </c>
      <c r="V869" s="245"/>
      <c r="W869" s="246"/>
      <c r="X869" s="46" t="str">
        <f>IF(SUM(AO871:AP871)=0,"",AP871&amp;":"&amp;AO871)</f>
        <v>16:21</v>
      </c>
      <c r="Y869" s="47"/>
      <c r="Z869" s="48" t="str">
        <f>IF(SUM(AO870:AP870)=0,"",AO870&amp;":"&amp;AP870)</f>
        <v>14:21</v>
      </c>
      <c r="AA869" s="247" t="str">
        <f>IF(SUM(AW870:AX870,BA870:BB870)=0,"",BE870&amp;":"&amp;BF870)</f>
        <v>59:86</v>
      </c>
      <c r="AB869" s="250" t="str">
        <f>IF(SUM(AW870:AX870,BA870:BB870)=0,"",BG870&amp;":"&amp;BH870)</f>
        <v>0:4</v>
      </c>
      <c r="AC869" s="250" t="str">
        <f>IF(SUM(AW870:AX870,BA870:BB870)=0,"",BI870&amp;":"&amp;BJ870)</f>
        <v>0:2</v>
      </c>
      <c r="AD869" s="253">
        <f>IF(SUM(BI869:BI871)&gt;0,BK870,"")</f>
        <v>3</v>
      </c>
      <c r="AE869" s="2"/>
      <c r="AF869" s="12"/>
      <c r="AG869" s="12"/>
      <c r="AH869" s="44" t="s">
        <v>15</v>
      </c>
      <c r="AI869" s="49">
        <f>IF(ISBLANK(S869),"",VLOOKUP(S869,'[1]plan gier'!$X$1:$AN$65536,12,FALSE))</f>
        <v>16</v>
      </c>
      <c r="AJ869" s="50">
        <f>IF(ISBLANK(S869),"",VLOOKUP(S869,'[1]plan gier'!$X$1:$AN$65536,13,FALSE))</f>
        <v>21</v>
      </c>
      <c r="AK869" s="50">
        <f>IF(ISBLANK(S869),"",VLOOKUP(S869,'[1]plan gier'!$X$1:$AN$65536,14,FALSE))</f>
        <v>18</v>
      </c>
      <c r="AL869" s="50">
        <f>IF(ISBLANK(S869),"",VLOOKUP(S869,'[1]plan gier'!$X$1:$AN$65536,15,FALSE))</f>
        <v>21</v>
      </c>
      <c r="AM869" s="50">
        <f>IF(ISBLANK(S869),"",VLOOKUP(S869,'[1]plan gier'!$X$1:$AN$65536,16,FALSE))</f>
        <v>0</v>
      </c>
      <c r="AN869" s="50">
        <f>IF(ISBLANK(S869),"",VLOOKUP(S869,'[1]plan gier'!$X$1:$AN$65536,17,FALSE))</f>
        <v>0</v>
      </c>
      <c r="AO869" s="51">
        <f t="shared" ref="AO869:AT871" si="86">IF(AI869="",0,AI869)</f>
        <v>16</v>
      </c>
      <c r="AP869" s="52">
        <f t="shared" si="86"/>
        <v>21</v>
      </c>
      <c r="AQ869" s="53">
        <f t="shared" si="86"/>
        <v>18</v>
      </c>
      <c r="AR869" s="52">
        <f t="shared" si="86"/>
        <v>21</v>
      </c>
      <c r="AS869" s="53">
        <f t="shared" si="86"/>
        <v>0</v>
      </c>
      <c r="AT869" s="52">
        <f t="shared" si="86"/>
        <v>0</v>
      </c>
      <c r="AU869" s="54">
        <f>SUM(AO869:AT869)</f>
        <v>76</v>
      </c>
      <c r="AV869" s="13">
        <v>1</v>
      </c>
      <c r="AW869" s="55"/>
      <c r="AX869" s="56"/>
      <c r="AY869" s="50">
        <f>IF(AI871&gt;AJ871,1,0)+IF(AK871&gt;AL871,1,0)+IF(AM871&gt;AN871,1,0)</f>
        <v>2</v>
      </c>
      <c r="AZ869" s="50">
        <f>AW870</f>
        <v>0</v>
      </c>
      <c r="BA869" s="50">
        <f>IF(AI869&gt;AJ869,1,0)+IF(AK869&gt;AL869,1,0)+IF(AM869&gt;AN869,1,0)</f>
        <v>0</v>
      </c>
      <c r="BB869" s="57">
        <f>AW871</f>
        <v>2</v>
      </c>
      <c r="BE869" s="49">
        <f>AO869+AQ869+AS869+AO871+AQ871+AS871</f>
        <v>78</v>
      </c>
      <c r="BF869" s="57">
        <f>AP869+AR869+AT869+AP871+AR871+AT871</f>
        <v>79</v>
      </c>
      <c r="BG869" s="49">
        <f>AY869+BA869</f>
        <v>2</v>
      </c>
      <c r="BH869" s="57">
        <f>AZ869+BB869</f>
        <v>2</v>
      </c>
      <c r="BI869" s="49">
        <f>IF(AY869&gt;AZ869,1,0)+IF(BA869&gt;BB869,1,0)</f>
        <v>1</v>
      </c>
      <c r="BJ869" s="58">
        <f>IF(AZ869&gt;AY869,1,0)+IF(BB869&gt;BA869,1,0)</f>
        <v>1</v>
      </c>
      <c r="BK869" s="59">
        <f>IF(BI869+BJ869=0,"",IF(BL869=MAX(BL869:BL871),1,IF(BL869=MIN(BL869:BL871),3,2)))</f>
        <v>2</v>
      </c>
      <c r="BL869" s="60">
        <f>IF(BI869+BJ869&lt;&gt;0,BI869+1+(BG869-BH869)/100+(BE869-BF869)/100000+(BE869/BF869)/1000000,0)</f>
        <v>1.9999909873417721</v>
      </c>
    </row>
    <row r="870" spans="1:64" ht="11.45" customHeight="1" x14ac:dyDescent="0.2">
      <c r="A870" s="19">
        <f>S870</f>
        <v>293</v>
      </c>
      <c r="B870" s="2" t="str">
        <f>IF(N870="","",N870)</f>
        <v>X45</v>
      </c>
      <c r="C870" s="2" t="str">
        <f>IF(N871="","",N871)</f>
        <v/>
      </c>
      <c r="D870" s="2" t="str">
        <f>IF(N873="","",N873)</f>
        <v>Ł5765</v>
      </c>
      <c r="E870" s="2" t="str">
        <f>IF(N874="","",N874)</f>
        <v/>
      </c>
      <c r="J870" s="10"/>
      <c r="K870" s="19"/>
      <c r="M870" s="42" t="str">
        <f>N866</f>
        <v>pojedyncza dziewcząt Ż</v>
      </c>
      <c r="N870" s="33" t="s">
        <v>383</v>
      </c>
      <c r="O870" s="34">
        <f>IF(O865&gt;0,(O865&amp;2)*1,"")</f>
        <v>22</v>
      </c>
      <c r="Q870" s="43" t="str">
        <f>IF(AU870&gt;0,"",IF(A870=0,"",IF(VLOOKUP(A870,'[1]plan gier'!A$1:S$65536,19,FALSE)="","",VLOOKUP(A870,'[1]plan gier'!A$1:S$65536,19,FALSE))))</f>
        <v/>
      </c>
      <c r="R870" s="44" t="s">
        <v>17</v>
      </c>
      <c r="S870" s="45">
        <v>293</v>
      </c>
      <c r="T870" s="242"/>
      <c r="U870" s="244" t="str">
        <f>IF(AND(N870&lt;&gt;"",N871=""),CONCATENATE(VLOOKUP(N870,[1]zawodnicy!$A$1:$E$65536,1,FALSE)," ",VLOOKUP(N870,[1]zawodnicy!$A$1:$E$65536,2,FALSE)," ",VLOOKUP(N870,[1]zawodnicy!$A$1:$E$65536,3,FALSE)," - ",VLOOKUP(N870,[1]zawodnicy!$A$1:$E$65536,4,FALSE)),"")</f>
        <v>X45 Marietta KAZIMIERCZAK - UKS Korona Pabianice</v>
      </c>
      <c r="V870" s="245"/>
      <c r="W870" s="246"/>
      <c r="X870" s="61" t="str">
        <f>IF(SUM(AQ871:AR871)=0,"",AR871&amp;":"&amp;AQ871)</f>
        <v>21:23</v>
      </c>
      <c r="Y870" s="62"/>
      <c r="Z870" s="37" t="str">
        <f>IF(SUM(AQ870:AR870)=0,"",AQ870&amp;":"&amp;AR870)</f>
        <v>8:21</v>
      </c>
      <c r="AA870" s="248"/>
      <c r="AB870" s="251"/>
      <c r="AC870" s="251"/>
      <c r="AD870" s="254"/>
      <c r="AE870" s="2"/>
      <c r="AF870" s="12"/>
      <c r="AG870" s="12"/>
      <c r="AH870" s="44" t="s">
        <v>17</v>
      </c>
      <c r="AI870" s="63">
        <f>IF(ISBLANK(S870),"",VLOOKUP(S870,'[1]plan gier'!$X$1:$AN$65536,12,FALSE))</f>
        <v>14</v>
      </c>
      <c r="AJ870" s="64">
        <f>IF(ISBLANK(S870),"",VLOOKUP(S870,'[1]plan gier'!$X$1:$AN$65536,13,FALSE))</f>
        <v>21</v>
      </c>
      <c r="AK870" s="64">
        <f>IF(ISBLANK(S870),"",VLOOKUP(S870,'[1]plan gier'!$X$1:$AN$65536,14,FALSE))</f>
        <v>8</v>
      </c>
      <c r="AL870" s="64">
        <f>IF(ISBLANK(S870),"",VLOOKUP(S870,'[1]plan gier'!$X$1:$AN$65536,15,FALSE))</f>
        <v>21</v>
      </c>
      <c r="AM870" s="64">
        <f>IF(ISBLANK(S870),"",VLOOKUP(S870,'[1]plan gier'!$X$1:$AN$65536,16,FALSE))</f>
        <v>0</v>
      </c>
      <c r="AN870" s="64">
        <f>IF(ISBLANK(S870),"",VLOOKUP(S870,'[1]plan gier'!$X$1:$AN$65536,17,FALSE))</f>
        <v>0</v>
      </c>
      <c r="AO870" s="65">
        <f t="shared" si="86"/>
        <v>14</v>
      </c>
      <c r="AP870" s="64">
        <f t="shared" si="86"/>
        <v>21</v>
      </c>
      <c r="AQ870" s="66">
        <f t="shared" si="86"/>
        <v>8</v>
      </c>
      <c r="AR870" s="64">
        <f t="shared" si="86"/>
        <v>21</v>
      </c>
      <c r="AS870" s="66">
        <f t="shared" si="86"/>
        <v>0</v>
      </c>
      <c r="AT870" s="64">
        <f t="shared" si="86"/>
        <v>0</v>
      </c>
      <c r="AU870" s="54">
        <f>SUM(AO870:AT870)</f>
        <v>64</v>
      </c>
      <c r="AV870" s="13">
        <v>2</v>
      </c>
      <c r="AW870" s="63">
        <f>IF(AI871&lt;AJ871,1,0)+IF(AK871&lt;AL871,1,0)+IF(AM871&lt;AN871,1,0)</f>
        <v>0</v>
      </c>
      <c r="AX870" s="64">
        <f>AY869</f>
        <v>2</v>
      </c>
      <c r="AY870" s="67"/>
      <c r="AZ870" s="68"/>
      <c r="BA870" s="64">
        <f>IF(AI870&gt;AJ870,1,0)+IF(AK870&gt;AL870,1,0)+IF(AM870&gt;AN870,1,0)</f>
        <v>0</v>
      </c>
      <c r="BB870" s="69">
        <f>AY871</f>
        <v>2</v>
      </c>
      <c r="BE870" s="63">
        <f>AO870+AQ870+AS870+AP871+AR871+AT871</f>
        <v>59</v>
      </c>
      <c r="BF870" s="69">
        <f>AP870+AR870+AT870+AO871+AQ871+AS871</f>
        <v>86</v>
      </c>
      <c r="BG870" s="63">
        <f>AW870+BA870</f>
        <v>0</v>
      </c>
      <c r="BH870" s="69">
        <f>AX870+BB870</f>
        <v>4</v>
      </c>
      <c r="BI870" s="63">
        <f>IF(AW870&gt;AX870,1,0)+IF(BA870&gt;BB870,1,0)</f>
        <v>0</v>
      </c>
      <c r="BJ870" s="70">
        <f>IF(AX870&gt;AW870,1,0)+IF(BB870&gt;BA870,1,0)</f>
        <v>2</v>
      </c>
      <c r="BK870" s="71">
        <f>IF(BI870+BJ870=0,"",IF(BL870=MAX(BL869:BL871),1,IF(BL870=MIN(BL869:BL871),3,2)))</f>
        <v>3</v>
      </c>
      <c r="BL870" s="60">
        <f>IF(BI870+BJ870&lt;&gt;0,BI870+1+(BG870-BH870)/100+(BE870-BF870)/100000+(BE870/BF870)/1000000,0)</f>
        <v>0.95973068604651157</v>
      </c>
    </row>
    <row r="871" spans="1:64" ht="11.45" customHeight="1" thickBot="1" x14ac:dyDescent="0.25">
      <c r="A871" s="19">
        <f>S871</f>
        <v>351</v>
      </c>
      <c r="B871" s="2" t="str">
        <f>IF(N867="","",N867)</f>
        <v>X37</v>
      </c>
      <c r="C871" s="2" t="str">
        <f>IF(N868="","",N868)</f>
        <v/>
      </c>
      <c r="D871" s="2" t="str">
        <f>IF(N870="","",N870)</f>
        <v>X45</v>
      </c>
      <c r="E871" s="2" t="str">
        <f>IF(N871="","",N871)</f>
        <v/>
      </c>
      <c r="I871" s="2" t="str">
        <f>"3"&amp;O865&amp;N866</f>
        <v>32pojedyncza dziewcząt Ż</v>
      </c>
      <c r="J871" s="10" t="str">
        <f>IF(AD872="","",IF(AD866=3,N867,IF(AD869=3,N870,IF(AD872=3,N873,""))))</f>
        <v>X45</v>
      </c>
      <c r="K871" s="10">
        <f>IF(AD872="","",IF(AD866=3,N868,IF(AD869=3,N871,IF(AD872=3,N874,""))))</f>
        <v>0</v>
      </c>
      <c r="M871" s="42" t="str">
        <f>N866</f>
        <v>pojedyncza dziewcząt Ż</v>
      </c>
      <c r="N871" s="38"/>
      <c r="O871" s="28"/>
      <c r="P871" s="28"/>
      <c r="Q871" s="43" t="str">
        <f>IF(AU871&gt;0,"",IF(A871=0,"",IF(VLOOKUP(A871,'[1]plan gier'!A$1:S$65536,19,FALSE)="","",VLOOKUP(A871,'[1]plan gier'!A$1:S$65536,19,FALSE))))</f>
        <v/>
      </c>
      <c r="R871" s="72" t="s">
        <v>18</v>
      </c>
      <c r="S871" s="45">
        <v>351</v>
      </c>
      <c r="T871" s="261"/>
      <c r="U871" s="265" t="str">
        <f>IF(N871&lt;&gt;"",CONCATENATE(VLOOKUP(N871,[1]zawodnicy!$A$1:$E$65536,1,FALSE)," ",VLOOKUP(N871,[1]zawodnicy!$A$1:$E$65536,2,FALSE)," ",VLOOKUP(N871,[1]zawodnicy!$A$1:$E$65536,3,FALSE)," - ",VLOOKUP(N871,[1]zawodnicy!$A$1:$E$65536,4,FALSE)),"")</f>
        <v/>
      </c>
      <c r="V871" s="266"/>
      <c r="W871" s="267"/>
      <c r="X871" s="73" t="str">
        <f>IF(SUM(AS871:AT871)=0,"",AT871&amp;":"&amp;AS871)</f>
        <v/>
      </c>
      <c r="Y871" s="62"/>
      <c r="Z871" s="40" t="str">
        <f>IF(SUM(AS870:AT870)=0,"",AS870&amp;":"&amp;AT870)</f>
        <v/>
      </c>
      <c r="AA871" s="262"/>
      <c r="AB871" s="263"/>
      <c r="AC871" s="263"/>
      <c r="AD871" s="264"/>
      <c r="AE871" s="2"/>
      <c r="AF871" s="12"/>
      <c r="AG871" s="12"/>
      <c r="AH871" s="72" t="s">
        <v>18</v>
      </c>
      <c r="AI871" s="74">
        <f>IF(ISBLANK(S871),"",VLOOKUP(S871,'[1]plan gier'!$X$1:$AN$65536,12,FALSE))</f>
        <v>21</v>
      </c>
      <c r="AJ871" s="75">
        <f>IF(ISBLANK(S871),"",VLOOKUP(S871,'[1]plan gier'!$X$1:$AN$65536,13,FALSE))</f>
        <v>16</v>
      </c>
      <c r="AK871" s="75">
        <f>IF(ISBLANK(S871),"",VLOOKUP(S871,'[1]plan gier'!$X$1:$AN$65536,14,FALSE))</f>
        <v>23</v>
      </c>
      <c r="AL871" s="75">
        <f>IF(ISBLANK(S871),"",VLOOKUP(S871,'[1]plan gier'!$X$1:$AN$65536,15,FALSE))</f>
        <v>21</v>
      </c>
      <c r="AM871" s="75">
        <f>IF(ISBLANK(S871),"",VLOOKUP(S871,'[1]plan gier'!$X$1:$AN$65536,16,FALSE))</f>
        <v>0</v>
      </c>
      <c r="AN871" s="75">
        <f>IF(ISBLANK(S871),"",VLOOKUP(S871,'[1]plan gier'!$X$1:$AN$65536,17,FALSE))</f>
        <v>0</v>
      </c>
      <c r="AO871" s="76">
        <f t="shared" si="86"/>
        <v>21</v>
      </c>
      <c r="AP871" s="75">
        <f t="shared" si="86"/>
        <v>16</v>
      </c>
      <c r="AQ871" s="77">
        <f t="shared" si="86"/>
        <v>23</v>
      </c>
      <c r="AR871" s="75">
        <f t="shared" si="86"/>
        <v>21</v>
      </c>
      <c r="AS871" s="77">
        <f t="shared" si="86"/>
        <v>0</v>
      </c>
      <c r="AT871" s="75">
        <f t="shared" si="86"/>
        <v>0</v>
      </c>
      <c r="AU871" s="54">
        <f>SUM(AO871:AT871)</f>
        <v>81</v>
      </c>
      <c r="AV871" s="13">
        <v>3</v>
      </c>
      <c r="AW871" s="74">
        <f>IF(AI869&lt;AJ869,1,0)+IF(AK869&lt;AL869,1,0)+IF(AM869&lt;AN869,1,0)</f>
        <v>2</v>
      </c>
      <c r="AX871" s="75">
        <f>BA869</f>
        <v>0</v>
      </c>
      <c r="AY871" s="75">
        <f>IF(AI870&lt;AJ870,1,0)+IF(AK870&lt;AL870,1,0)+IF(AM870&lt;AN870,1,0)</f>
        <v>2</v>
      </c>
      <c r="AZ871" s="75">
        <f>BA870</f>
        <v>0</v>
      </c>
      <c r="BA871" s="78"/>
      <c r="BB871" s="79"/>
      <c r="BE871" s="74">
        <f>AP869+AR869+AT869+AP870+AR870+AT870</f>
        <v>84</v>
      </c>
      <c r="BF871" s="80">
        <f>AO869+AQ869+AS869+AO870+AQ870+AS870</f>
        <v>56</v>
      </c>
      <c r="BG871" s="74">
        <f>AW871+AY871</f>
        <v>4</v>
      </c>
      <c r="BH871" s="80">
        <f>AX871+AZ871</f>
        <v>0</v>
      </c>
      <c r="BI871" s="74">
        <f>IF(AW871&gt;AX871,1,0)+IF(AY871&gt;AZ871,1,0)</f>
        <v>2</v>
      </c>
      <c r="BJ871" s="81">
        <f>IF(AX871&gt;AW871,1,0)+IF(AZ871&gt;AY871,1,0)</f>
        <v>0</v>
      </c>
      <c r="BK871" s="82">
        <f>IF(BI871+BJ871=0,"",IF(BL871=MAX(BL869:BL871),1,IF(BL871=MIN(BL869:BL871),3,2)))</f>
        <v>1</v>
      </c>
      <c r="BL871" s="60">
        <f>IF(BI871+BJ871&lt;&gt;0,BI871+1+(BG871-BH871)/100+(BE871-BF871)/100000+(BE871/BF871)/1000000,0)</f>
        <v>3.0402815000000003</v>
      </c>
    </row>
    <row r="872" spans="1:64" ht="11.45" customHeight="1" x14ac:dyDescent="0.2">
      <c r="A872" s="2"/>
      <c r="J872" s="28"/>
      <c r="K872" s="28"/>
      <c r="L872" s="28"/>
      <c r="O872" s="28"/>
      <c r="P872" s="28"/>
      <c r="Q872" s="2"/>
      <c r="R872" s="2"/>
      <c r="S872" s="2"/>
      <c r="T872" s="241">
        <v>3</v>
      </c>
      <c r="U872" s="244" t="str">
        <f>IF(AND(N873&lt;&gt;"",N874&lt;&gt;""),CONCATENATE(VLOOKUP(N873,[1]zawodnicy!$A$1:$E$65536,1,FALSE)," ",VLOOKUP(N873,[1]zawodnicy!$A$1:$E$65536,2,FALSE)," ",VLOOKUP(N873,[1]zawodnicy!$A$1:$E$65536,3,FALSE)," - ",VLOOKUP(N873,[1]zawodnicy!$A$1:$E$65536,4,FALSE)),"")</f>
        <v/>
      </c>
      <c r="V872" s="245"/>
      <c r="W872" s="246"/>
      <c r="X872" s="46" t="str">
        <f>IF(SUM(AO869:AP869)=0,"",AP869&amp;":"&amp;AO869)</f>
        <v>21:16</v>
      </c>
      <c r="Y872" s="83" t="str">
        <f>IF(SUM(AO870:AP870)=0,"",AP870&amp;":"&amp;AO870)</f>
        <v>21:14</v>
      </c>
      <c r="Z872" s="84"/>
      <c r="AA872" s="247" t="str">
        <f>IF(SUM(AW871:AZ871)=0,"",BE871&amp;":"&amp;BF871)</f>
        <v>84:56</v>
      </c>
      <c r="AB872" s="250" t="str">
        <f>IF(SUM(AW871:AZ871)=0,"",BG871&amp;":"&amp;BH871)</f>
        <v>4:0</v>
      </c>
      <c r="AC872" s="250" t="str">
        <f>IF(SUM(AW871:AZ871)=0,"",BI871&amp;":"&amp;BJ871)</f>
        <v>2:0</v>
      </c>
      <c r="AD872" s="253">
        <f>IF(SUM(BI869:BI871)&gt;0,BK871,"")</f>
        <v>1</v>
      </c>
      <c r="AE872" s="2"/>
      <c r="AF872" s="12"/>
      <c r="AG872" s="12"/>
      <c r="BE872" s="19">
        <f>SUM(BE869:BE871)</f>
        <v>221</v>
      </c>
      <c r="BF872" s="19">
        <f>SUM(BF869:BF871)</f>
        <v>221</v>
      </c>
      <c r="BG872" s="19">
        <f>SUM(BG869:BG871)</f>
        <v>6</v>
      </c>
      <c r="BH872" s="19">
        <f>SUM(BH869:BH871)</f>
        <v>6</v>
      </c>
      <c r="BK872" s="19"/>
      <c r="BL872" s="20"/>
    </row>
    <row r="873" spans="1:64" ht="11.45" customHeight="1" x14ac:dyDescent="0.2">
      <c r="A873" s="19"/>
      <c r="J873" s="19"/>
      <c r="K873" s="19"/>
      <c r="L873" s="19"/>
      <c r="N873" s="33" t="s">
        <v>384</v>
      </c>
      <c r="O873" s="34">
        <f>IF(O865&gt;0,(O865&amp;3)*1,"")</f>
        <v>23</v>
      </c>
      <c r="Q873" s="85"/>
      <c r="R873" s="85"/>
      <c r="S873" s="85"/>
      <c r="T873" s="242"/>
      <c r="U873" s="244" t="str">
        <f>IF(AND(N873&lt;&gt;"",N874=""),CONCATENATE(VLOOKUP(N873,[1]zawodnicy!$A$1:$E$65536,1,FALSE)," ",VLOOKUP(N873,[1]zawodnicy!$A$1:$E$65536,2,FALSE)," ",VLOOKUP(N873,[1]zawodnicy!$A$1:$E$65536,3,FALSE)," - ",VLOOKUP(N873,[1]zawodnicy!$A$1:$E$65536,4,FALSE)),"")</f>
        <v>Ł5765 Martyna ŁYŻWA - UKS Lotka Łódź</v>
      </c>
      <c r="V873" s="245"/>
      <c r="W873" s="246"/>
      <c r="X873" s="61" t="str">
        <f>IF(SUM(AQ869:AR869)=0,"",AR869&amp;":"&amp;AQ869)</f>
        <v>21:18</v>
      </c>
      <c r="Y873" s="36" t="str">
        <f>IF(SUM(AQ870:AR870)=0,"",AR870&amp;":"&amp;AQ870)</f>
        <v>21:8</v>
      </c>
      <c r="Z873" s="86"/>
      <c r="AA873" s="248"/>
      <c r="AB873" s="251"/>
      <c r="AC873" s="251"/>
      <c r="AD873" s="254"/>
      <c r="AE873" s="2"/>
      <c r="AF873" s="12"/>
      <c r="AG873" s="1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row>
    <row r="874" spans="1:64" ht="11.45" customHeight="1" thickBot="1" x14ac:dyDescent="0.25">
      <c r="A874" s="2"/>
      <c r="J874" s="28"/>
      <c r="K874" s="28"/>
      <c r="L874" s="28"/>
      <c r="N874" s="38"/>
      <c r="O874" s="28"/>
      <c r="P874" s="28"/>
      <c r="Q874" s="2"/>
      <c r="R874" s="2"/>
      <c r="S874" s="2"/>
      <c r="T874" s="243"/>
      <c r="U874" s="256" t="str">
        <f>IF(N874&lt;&gt;"",CONCATENATE(VLOOKUP(N874,[1]zawodnicy!$A$1:$E$65536,1,FALSE)," ",VLOOKUP(N874,[1]zawodnicy!$A$1:$E$65536,2,FALSE)," ",VLOOKUP(N874,[1]zawodnicy!$A$1:$E$65536,3,FALSE)," - ",VLOOKUP(N874,[1]zawodnicy!$A$1:$E$65536,4,FALSE)),"")</f>
        <v/>
      </c>
      <c r="V874" s="257"/>
      <c r="W874" s="258"/>
      <c r="X874" s="87" t="str">
        <f>IF(SUM(AS869:AT869)=0,"",AT869&amp;":"&amp;AS869)</f>
        <v/>
      </c>
      <c r="Y874" s="88" t="str">
        <f>IF(SUM(AS870:AT870)=0,"",AT870&amp;":"&amp;AS870)</f>
        <v/>
      </c>
      <c r="Z874" s="89"/>
      <c r="AA874" s="249"/>
      <c r="AB874" s="252"/>
      <c r="AC874" s="252"/>
      <c r="AD874" s="255"/>
      <c r="AE874" s="10"/>
      <c r="AF874" s="12"/>
      <c r="AG874" s="1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row>
    <row r="875" spans="1:64" s="19" customFormat="1" ht="5.0999999999999996" customHeight="1" thickBot="1" x14ac:dyDescent="0.25">
      <c r="M875" s="90"/>
      <c r="O875" s="90"/>
      <c r="P875" s="90"/>
      <c r="Q875" s="91"/>
      <c r="R875" s="91"/>
      <c r="S875" s="91"/>
      <c r="T875" s="91"/>
      <c r="U875" s="5"/>
      <c r="V875" s="5"/>
      <c r="W875" s="5"/>
      <c r="AA875" s="92"/>
      <c r="AB875" s="91"/>
      <c r="AC875" s="91"/>
      <c r="AD875" s="91"/>
      <c r="AE875" s="91"/>
      <c r="AF875" s="91"/>
      <c r="AI875" s="93"/>
      <c r="AJ875" s="94"/>
      <c r="AK875" s="94"/>
    </row>
    <row r="876" spans="1:64" ht="11.45" customHeight="1" thickBot="1" x14ac:dyDescent="0.25">
      <c r="N876" s="11"/>
      <c r="O876" s="21">
        <v>3</v>
      </c>
      <c r="Q876" s="277" t="str">
        <f>"Grupa "&amp;O876&amp;"."</f>
        <v>Grupa 3.</v>
      </c>
      <c r="R876" s="277"/>
      <c r="S876" s="277"/>
      <c r="T876" s="22" t="s">
        <v>1</v>
      </c>
      <c r="U876" s="278" t="s">
        <v>2</v>
      </c>
      <c r="V876" s="279"/>
      <c r="W876" s="280"/>
      <c r="X876" s="22">
        <v>1</v>
      </c>
      <c r="Y876" s="23">
        <v>2</v>
      </c>
      <c r="Z876" s="24">
        <v>3</v>
      </c>
      <c r="AA876" s="25" t="s">
        <v>3</v>
      </c>
      <c r="AB876" s="26" t="s">
        <v>4</v>
      </c>
      <c r="AC876" s="26" t="s">
        <v>5</v>
      </c>
      <c r="AD876" s="27" t="s">
        <v>6</v>
      </c>
      <c r="AE876" s="2"/>
      <c r="AF876" s="12"/>
      <c r="AG876" s="12"/>
      <c r="BK876" s="19"/>
      <c r="BL876" s="20"/>
    </row>
    <row r="877" spans="1:64" ht="11.45" customHeight="1" x14ac:dyDescent="0.2">
      <c r="J877" s="28"/>
      <c r="K877" s="28"/>
      <c r="L877" s="28"/>
      <c r="N877" s="29" t="s">
        <v>378</v>
      </c>
      <c r="Q877" s="274" t="s">
        <v>7</v>
      </c>
      <c r="R877" s="274"/>
      <c r="S877" s="275" t="s">
        <v>8</v>
      </c>
      <c r="T877" s="276">
        <v>1</v>
      </c>
      <c r="U877" s="244" t="str">
        <f>IF(AND(N878&lt;&gt;"",N879&lt;&gt;""),CONCATENATE(VLOOKUP(N878,[1]zawodnicy!$A$1:$E$65536,1,FALSE)," ",VLOOKUP(N878,[1]zawodnicy!$A$1:$E$65536,2,FALSE)," ",VLOOKUP(N878,[1]zawodnicy!$A$1:$E$65536,3,FALSE)," - ",VLOOKUP(N878,[1]zawodnicy!$A$1:$E$65536,4,FALSE)),"")</f>
        <v/>
      </c>
      <c r="V877" s="245"/>
      <c r="W877" s="246"/>
      <c r="X877" s="30"/>
      <c r="Y877" s="31" t="str">
        <f>IF(SUM(AO882:AP882)=0,"",AO882&amp;":"&amp;AP882)</f>
        <v>13:21</v>
      </c>
      <c r="Z877" s="32" t="str">
        <f>IF(SUM(AO880:AP880)=0,"",AO880&amp;":"&amp;AP880)</f>
        <v>21:12</v>
      </c>
      <c r="AA877" s="270" t="str">
        <f>IF(SUM(AY880:BB880)=0,"",BE880&amp;":"&amp;BF880)</f>
        <v>73:64</v>
      </c>
      <c r="AB877" s="271" t="str">
        <f>IF(SUM(AY880:BB880)=0,"",BG880&amp;":"&amp;BH880)</f>
        <v>2:2</v>
      </c>
      <c r="AC877" s="271" t="str">
        <f>IF(SUM(AY880:BB880)=0,"",BI880&amp;":"&amp;BJ880)</f>
        <v>1:1</v>
      </c>
      <c r="AD877" s="272">
        <f>IF(SUM(BI880:BI882)&gt;0,BK880,"")</f>
        <v>2</v>
      </c>
      <c r="AE877" s="2"/>
      <c r="AF877" s="12"/>
      <c r="AG877" s="12"/>
      <c r="AH877" s="14"/>
      <c r="AI877" s="273" t="s">
        <v>9</v>
      </c>
      <c r="AJ877" s="273"/>
      <c r="AK877" s="273"/>
      <c r="AL877" s="273"/>
      <c r="AM877" s="273"/>
      <c r="AN877" s="273"/>
      <c r="AO877" s="273" t="s">
        <v>10</v>
      </c>
      <c r="AP877" s="273"/>
      <c r="AQ877" s="273"/>
      <c r="AR877" s="273"/>
      <c r="AS877" s="273"/>
      <c r="AT877" s="273"/>
      <c r="BK877" s="19"/>
      <c r="BL877" s="20"/>
    </row>
    <row r="878" spans="1:64" ht="11.45" customHeight="1" thickBot="1" x14ac:dyDescent="0.25">
      <c r="I878" s="2" t="str">
        <f>"1"&amp;O876&amp;N877</f>
        <v>13pojedyncza dziewcząt Ż</v>
      </c>
      <c r="J878" s="10" t="str">
        <f>IF(AD877="","",IF(AD877=1,N878,IF(AD880=1,N881,IF(AD883=1,N884,""))))</f>
        <v>S5623</v>
      </c>
      <c r="K878" s="10">
        <f>IF(AD877="","",IF(AD877=1,N879,IF(AD880=1,N882,IF(AD883=1,N885,""))))</f>
        <v>0</v>
      </c>
      <c r="L878" s="10"/>
      <c r="N878" s="33" t="s">
        <v>326</v>
      </c>
      <c r="O878" s="34">
        <f>IF(O876&gt;0,(O876&amp;1)*1,"")</f>
        <v>31</v>
      </c>
      <c r="Q878" s="274"/>
      <c r="R878" s="274"/>
      <c r="S878" s="275"/>
      <c r="T878" s="242"/>
      <c r="U878" s="244" t="str">
        <f>IF(AND(N878&lt;&gt;"",N879=""),CONCATENATE(VLOOKUP(N878,[1]zawodnicy!$A$1:$E$65536,1,FALSE)," ",VLOOKUP(N878,[1]zawodnicy!$A$1:$E$65536,2,FALSE)," ",VLOOKUP(N878,[1]zawodnicy!$A$1:$E$65536,3,FALSE)," - ",VLOOKUP(N878,[1]zawodnicy!$A$1:$E$65536,4,FALSE)),"")</f>
        <v>X34 Marina YANBAYEVA - Białoruś</v>
      </c>
      <c r="V878" s="245"/>
      <c r="W878" s="246"/>
      <c r="X878" s="35"/>
      <c r="Y878" s="36" t="str">
        <f>IF(SUM(AQ882:AR882)=0,"",AQ882&amp;":"&amp;AR882)</f>
        <v>18:21</v>
      </c>
      <c r="Z878" s="37" t="str">
        <f>IF(SUM(AQ880:AR880)=0,"",AQ880&amp;":"&amp;AR880)</f>
        <v>21:10</v>
      </c>
      <c r="AA878" s="248"/>
      <c r="AB878" s="251"/>
      <c r="AC878" s="251"/>
      <c r="AD878" s="254"/>
      <c r="AE878" s="2"/>
      <c r="AF878" s="12"/>
      <c r="AG878" s="12"/>
      <c r="AH878" s="14"/>
      <c r="BE878" s="19">
        <f>SUM(BE880:BE882)</f>
        <v>192</v>
      </c>
      <c r="BF878" s="19">
        <f>SUM(BF880:BF882)</f>
        <v>192</v>
      </c>
      <c r="BG878" s="19">
        <f>SUM(BG880:BG882)</f>
        <v>6</v>
      </c>
      <c r="BH878" s="19">
        <f>SUM(BH880:BH882)</f>
        <v>6</v>
      </c>
      <c r="BK878" s="19"/>
      <c r="BL878" s="20"/>
    </row>
    <row r="879" spans="1:64" ht="11.45" customHeight="1" thickBot="1" x14ac:dyDescent="0.25">
      <c r="J879" s="10"/>
      <c r="K879" s="28"/>
      <c r="L879" s="28"/>
      <c r="N879" s="38"/>
      <c r="O879" s="28"/>
      <c r="P879" s="28"/>
      <c r="Q879" s="274"/>
      <c r="R879" s="274"/>
      <c r="S879" s="275"/>
      <c r="T879" s="261"/>
      <c r="U879" s="265" t="str">
        <f>IF(N879&lt;&gt;"",CONCATENATE(VLOOKUP(N879,[1]zawodnicy!$A$1:$E$65536,1,FALSE)," ",VLOOKUP(N879,[1]zawodnicy!$A$1:$E$65536,2,FALSE)," ",VLOOKUP(N879,[1]zawodnicy!$A$1:$E$65536,3,FALSE)," - ",VLOOKUP(N879,[1]zawodnicy!$A$1:$E$65536,4,FALSE)),"")</f>
        <v/>
      </c>
      <c r="V879" s="266"/>
      <c r="W879" s="267"/>
      <c r="X879" s="35"/>
      <c r="Y879" s="39" t="str">
        <f>IF(SUM(AS882:AT882)=0,"",AS882&amp;":"&amp;AT882)</f>
        <v/>
      </c>
      <c r="Z879" s="40" t="str">
        <f>IF(SUM(AS880:AT880)=0,"",AS880&amp;":"&amp;AT880)</f>
        <v/>
      </c>
      <c r="AA879" s="262"/>
      <c r="AB879" s="263"/>
      <c r="AC879" s="263"/>
      <c r="AD879" s="264"/>
      <c r="AE879" s="2"/>
      <c r="AF879" s="12"/>
      <c r="AG879" s="12"/>
      <c r="AH879" s="14"/>
      <c r="AI879" s="259" t="s">
        <v>12</v>
      </c>
      <c r="AJ879" s="269"/>
      <c r="AK879" s="268" t="s">
        <v>13</v>
      </c>
      <c r="AL879" s="269"/>
      <c r="AM879" s="268" t="s">
        <v>14</v>
      </c>
      <c r="AN879" s="260"/>
      <c r="AO879" s="259" t="s">
        <v>12</v>
      </c>
      <c r="AP879" s="269"/>
      <c r="AQ879" s="268" t="s">
        <v>13</v>
      </c>
      <c r="AR879" s="269"/>
      <c r="AS879" s="268" t="s">
        <v>14</v>
      </c>
      <c r="AT879" s="269"/>
      <c r="AU879" s="12"/>
      <c r="AV879" s="12"/>
      <c r="AW879" s="259">
        <v>1</v>
      </c>
      <c r="AX879" s="269"/>
      <c r="AY879" s="268">
        <v>2</v>
      </c>
      <c r="AZ879" s="269"/>
      <c r="BA879" s="268">
        <v>3</v>
      </c>
      <c r="BB879" s="260"/>
      <c r="BE879" s="259" t="s">
        <v>3</v>
      </c>
      <c r="BF879" s="260"/>
      <c r="BG879" s="259" t="s">
        <v>4</v>
      </c>
      <c r="BH879" s="260"/>
      <c r="BI879" s="259" t="s">
        <v>5</v>
      </c>
      <c r="BJ879" s="260"/>
      <c r="BK879" s="41" t="s">
        <v>6</v>
      </c>
      <c r="BL879" s="20"/>
    </row>
    <row r="880" spans="1:64" ht="11.45" customHeight="1" x14ac:dyDescent="0.2">
      <c r="A880" s="19">
        <f>S880</f>
        <v>252</v>
      </c>
      <c r="B880" s="2" t="str">
        <f>IF(N878="","",N878)</f>
        <v>X34</v>
      </c>
      <c r="C880" s="2" t="str">
        <f>IF(N879="","",N879)</f>
        <v/>
      </c>
      <c r="D880" s="2" t="str">
        <f>IF(N884="","",N884)</f>
        <v>X46</v>
      </c>
      <c r="E880" s="2" t="str">
        <f>IF(N885="","",N885)</f>
        <v/>
      </c>
      <c r="I880" s="2" t="str">
        <f>"2"&amp;O876&amp;N877</f>
        <v>23pojedyncza dziewcząt Ż</v>
      </c>
      <c r="J880" s="10" t="str">
        <f>IF(AD880="","",IF(AD877=2,N878,IF(AD880=2,N881,IF(AD883=2,N884,""))))</f>
        <v>X34</v>
      </c>
      <c r="K880" s="10">
        <f>IF(AD880="","",IF(AD877=2,N879,IF(AD880=2,N882,IF(AD883=2,N885,""))))</f>
        <v>0</v>
      </c>
      <c r="M880" s="42" t="str">
        <f>N877</f>
        <v>pojedyncza dziewcząt Ż</v>
      </c>
      <c r="O880" s="28"/>
      <c r="P880" s="28"/>
      <c r="Q880" s="43" t="str">
        <f>IF(AU880&gt;0,"",IF(A880=0,"",IF(VLOOKUP(A880,'[1]plan gier'!A$1:S$65536,19,FALSE)="","",VLOOKUP(A880,'[1]plan gier'!A$1:S$65536,19,FALSE))))</f>
        <v/>
      </c>
      <c r="R880" s="44" t="s">
        <v>15</v>
      </c>
      <c r="S880" s="45">
        <v>252</v>
      </c>
      <c r="T880" s="241">
        <v>2</v>
      </c>
      <c r="U880" s="244" t="str">
        <f>IF(AND(N881&lt;&gt;"",N882&lt;&gt;""),CONCATENATE(VLOOKUP(N881,[1]zawodnicy!$A$1:$E$65536,1,FALSE)," ",VLOOKUP(N881,[1]zawodnicy!$A$1:$E$65536,2,FALSE)," ",VLOOKUP(N881,[1]zawodnicy!$A$1:$E$65536,3,FALSE)," - ",VLOOKUP(N881,[1]zawodnicy!$A$1:$E$65536,4,FALSE)),"")</f>
        <v/>
      </c>
      <c r="V880" s="245"/>
      <c r="W880" s="246"/>
      <c r="X880" s="46" t="str">
        <f>IF(SUM(AO882:AP882)=0,"",AP882&amp;":"&amp;AO882)</f>
        <v>21:13</v>
      </c>
      <c r="Y880" s="47"/>
      <c r="Z880" s="48" t="str">
        <f>IF(SUM(AO881:AP881)=0,"",AO881&amp;":"&amp;AP881)</f>
        <v>21:4</v>
      </c>
      <c r="AA880" s="247" t="str">
        <f>IF(SUM(AW881:AX881,BA881:BB881)=0,"",BE881&amp;":"&amp;BF881)</f>
        <v>84:44</v>
      </c>
      <c r="AB880" s="250" t="str">
        <f>IF(SUM(AW881:AX881,BA881:BB881)=0,"",BG881&amp;":"&amp;BH881)</f>
        <v>4:0</v>
      </c>
      <c r="AC880" s="250" t="str">
        <f>IF(SUM(AW881:AX881,BA881:BB881)=0,"",BI881&amp;":"&amp;BJ881)</f>
        <v>2:0</v>
      </c>
      <c r="AD880" s="253">
        <f>IF(SUM(BI880:BI882)&gt;0,BK881,"")</f>
        <v>1</v>
      </c>
      <c r="AE880" s="2"/>
      <c r="AF880" s="12"/>
      <c r="AG880" s="12"/>
      <c r="AH880" s="44" t="s">
        <v>15</v>
      </c>
      <c r="AI880" s="49">
        <f>IF(ISBLANK(S880),"",VLOOKUP(S880,'[1]plan gier'!$X$1:$AN$65536,12,FALSE))</f>
        <v>21</v>
      </c>
      <c r="AJ880" s="50">
        <f>IF(ISBLANK(S880),"",VLOOKUP(S880,'[1]plan gier'!$X$1:$AN$65536,13,FALSE))</f>
        <v>12</v>
      </c>
      <c r="AK880" s="50">
        <f>IF(ISBLANK(S880),"",VLOOKUP(S880,'[1]plan gier'!$X$1:$AN$65536,14,FALSE))</f>
        <v>21</v>
      </c>
      <c r="AL880" s="50">
        <f>IF(ISBLANK(S880),"",VLOOKUP(S880,'[1]plan gier'!$X$1:$AN$65536,15,FALSE))</f>
        <v>10</v>
      </c>
      <c r="AM880" s="50">
        <f>IF(ISBLANK(S880),"",VLOOKUP(S880,'[1]plan gier'!$X$1:$AN$65536,16,FALSE))</f>
        <v>0</v>
      </c>
      <c r="AN880" s="50">
        <f>IF(ISBLANK(S880),"",VLOOKUP(S880,'[1]plan gier'!$X$1:$AN$65536,17,FALSE))</f>
        <v>0</v>
      </c>
      <c r="AO880" s="51">
        <f t="shared" ref="AO880:AT882" si="87">IF(AI880="",0,AI880)</f>
        <v>21</v>
      </c>
      <c r="AP880" s="52">
        <f t="shared" si="87"/>
        <v>12</v>
      </c>
      <c r="AQ880" s="53">
        <f t="shared" si="87"/>
        <v>21</v>
      </c>
      <c r="AR880" s="52">
        <f t="shared" si="87"/>
        <v>10</v>
      </c>
      <c r="AS880" s="53">
        <f t="shared" si="87"/>
        <v>0</v>
      </c>
      <c r="AT880" s="52">
        <f t="shared" si="87"/>
        <v>0</v>
      </c>
      <c r="AU880" s="54">
        <f>SUM(AO880:AT880)</f>
        <v>64</v>
      </c>
      <c r="AV880" s="13">
        <v>1</v>
      </c>
      <c r="AW880" s="55"/>
      <c r="AX880" s="56"/>
      <c r="AY880" s="50">
        <f>IF(AI882&gt;AJ882,1,0)+IF(AK882&gt;AL882,1,0)+IF(AM882&gt;AN882,1,0)</f>
        <v>0</v>
      </c>
      <c r="AZ880" s="50">
        <f>AW881</f>
        <v>2</v>
      </c>
      <c r="BA880" s="50">
        <f>IF(AI880&gt;AJ880,1,0)+IF(AK880&gt;AL880,1,0)+IF(AM880&gt;AN880,1,0)</f>
        <v>2</v>
      </c>
      <c r="BB880" s="57">
        <f>AW882</f>
        <v>0</v>
      </c>
      <c r="BE880" s="49">
        <f>AO880+AQ880+AS880+AO882+AQ882+AS882</f>
        <v>73</v>
      </c>
      <c r="BF880" s="57">
        <f>AP880+AR880+AT880+AP882+AR882+AT882</f>
        <v>64</v>
      </c>
      <c r="BG880" s="49">
        <f>AY880+BA880</f>
        <v>2</v>
      </c>
      <c r="BH880" s="57">
        <f>AZ880+BB880</f>
        <v>2</v>
      </c>
      <c r="BI880" s="49">
        <f>IF(AY880&gt;AZ880,1,0)+IF(BA880&gt;BB880,1,0)</f>
        <v>1</v>
      </c>
      <c r="BJ880" s="58">
        <f>IF(AZ880&gt;AY880,1,0)+IF(BB880&gt;BA880,1,0)</f>
        <v>1</v>
      </c>
      <c r="BK880" s="59">
        <f>IF(BI880+BJ880=0,"",IF(BL880=MAX(BL880:BL882),1,IF(BL880=MIN(BL880:BL882),3,2)))</f>
        <v>2</v>
      </c>
      <c r="BL880" s="60">
        <f>IF(BI880+BJ880&lt;&gt;0,BI880+1+(BG880-BH880)/100+(BE880-BF880)/100000+(BE880/BF880)/1000000,0)</f>
        <v>2.0000911406249999</v>
      </c>
    </row>
    <row r="881" spans="1:64" ht="11.45" customHeight="1" x14ac:dyDescent="0.2">
      <c r="A881" s="19">
        <f>S881</f>
        <v>294</v>
      </c>
      <c r="B881" s="2" t="str">
        <f>IF(N881="","",N881)</f>
        <v>S5623</v>
      </c>
      <c r="C881" s="2" t="str">
        <f>IF(N882="","",N882)</f>
        <v/>
      </c>
      <c r="D881" s="2" t="str">
        <f>IF(N884="","",N884)</f>
        <v>X46</v>
      </c>
      <c r="E881" s="2" t="str">
        <f>IF(N885="","",N885)</f>
        <v/>
      </c>
      <c r="J881" s="10"/>
      <c r="K881" s="19"/>
      <c r="M881" s="42" t="str">
        <f>N877</f>
        <v>pojedyncza dziewcząt Ż</v>
      </c>
      <c r="N881" s="33" t="s">
        <v>385</v>
      </c>
      <c r="O881" s="34">
        <f>IF(O876&gt;0,(O876&amp;2)*1,"")</f>
        <v>32</v>
      </c>
      <c r="Q881" s="43" t="str">
        <f>IF(AU881&gt;0,"",IF(A881=0,"",IF(VLOOKUP(A881,'[1]plan gier'!A$1:S$65536,19,FALSE)="","",VLOOKUP(A881,'[1]plan gier'!A$1:S$65536,19,FALSE))))</f>
        <v/>
      </c>
      <c r="R881" s="44" t="s">
        <v>17</v>
      </c>
      <c r="S881" s="45">
        <v>294</v>
      </c>
      <c r="T881" s="242"/>
      <c r="U881" s="244" t="str">
        <f>IF(AND(N881&lt;&gt;"",N882=""),CONCATENATE(VLOOKUP(N881,[1]zawodnicy!$A$1:$E$65536,1,FALSE)," ",VLOOKUP(N881,[1]zawodnicy!$A$1:$E$65536,2,FALSE)," ",VLOOKUP(N881,[1]zawodnicy!$A$1:$E$65536,3,FALSE)," - ",VLOOKUP(N881,[1]zawodnicy!$A$1:$E$65536,4,FALSE)),"")</f>
        <v>S5623 Weronika SZEMPLIŃSKA - UKS Badminton Stare Babice</v>
      </c>
      <c r="V881" s="245"/>
      <c r="W881" s="246"/>
      <c r="X881" s="61" t="str">
        <f>IF(SUM(AQ882:AR882)=0,"",AR882&amp;":"&amp;AQ882)</f>
        <v>21:18</v>
      </c>
      <c r="Y881" s="62"/>
      <c r="Z881" s="37" t="str">
        <f>IF(SUM(AQ881:AR881)=0,"",AQ881&amp;":"&amp;AR881)</f>
        <v>21:9</v>
      </c>
      <c r="AA881" s="248"/>
      <c r="AB881" s="251"/>
      <c r="AC881" s="251"/>
      <c r="AD881" s="254"/>
      <c r="AE881" s="2"/>
      <c r="AF881" s="12"/>
      <c r="AG881" s="12"/>
      <c r="AH881" s="44" t="s">
        <v>17</v>
      </c>
      <c r="AI881" s="63">
        <f>IF(ISBLANK(S881),"",VLOOKUP(S881,'[1]plan gier'!$X$1:$AN$65536,12,FALSE))</f>
        <v>21</v>
      </c>
      <c r="AJ881" s="64">
        <f>IF(ISBLANK(S881),"",VLOOKUP(S881,'[1]plan gier'!$X$1:$AN$65536,13,FALSE))</f>
        <v>4</v>
      </c>
      <c r="AK881" s="64">
        <f>IF(ISBLANK(S881),"",VLOOKUP(S881,'[1]plan gier'!$X$1:$AN$65536,14,FALSE))</f>
        <v>21</v>
      </c>
      <c r="AL881" s="64">
        <f>IF(ISBLANK(S881),"",VLOOKUP(S881,'[1]plan gier'!$X$1:$AN$65536,15,FALSE))</f>
        <v>9</v>
      </c>
      <c r="AM881" s="64">
        <f>IF(ISBLANK(S881),"",VLOOKUP(S881,'[1]plan gier'!$X$1:$AN$65536,16,FALSE))</f>
        <v>0</v>
      </c>
      <c r="AN881" s="64">
        <f>IF(ISBLANK(S881),"",VLOOKUP(S881,'[1]plan gier'!$X$1:$AN$65536,17,FALSE))</f>
        <v>0</v>
      </c>
      <c r="AO881" s="65">
        <f t="shared" si="87"/>
        <v>21</v>
      </c>
      <c r="AP881" s="64">
        <f t="shared" si="87"/>
        <v>4</v>
      </c>
      <c r="AQ881" s="66">
        <f t="shared" si="87"/>
        <v>21</v>
      </c>
      <c r="AR881" s="64">
        <f t="shared" si="87"/>
        <v>9</v>
      </c>
      <c r="AS881" s="66">
        <f t="shared" si="87"/>
        <v>0</v>
      </c>
      <c r="AT881" s="64">
        <f t="shared" si="87"/>
        <v>0</v>
      </c>
      <c r="AU881" s="54">
        <f>SUM(AO881:AT881)</f>
        <v>55</v>
      </c>
      <c r="AV881" s="13">
        <v>2</v>
      </c>
      <c r="AW881" s="63">
        <f>IF(AI882&lt;AJ882,1,0)+IF(AK882&lt;AL882,1,0)+IF(AM882&lt;AN882,1,0)</f>
        <v>2</v>
      </c>
      <c r="AX881" s="64">
        <f>AY880</f>
        <v>0</v>
      </c>
      <c r="AY881" s="67"/>
      <c r="AZ881" s="68"/>
      <c r="BA881" s="64">
        <f>IF(AI881&gt;AJ881,1,0)+IF(AK881&gt;AL881,1,0)+IF(AM881&gt;AN881,1,0)</f>
        <v>2</v>
      </c>
      <c r="BB881" s="69">
        <f>AY882</f>
        <v>0</v>
      </c>
      <c r="BE881" s="63">
        <f>AO881+AQ881+AS881+AP882+AR882+AT882</f>
        <v>84</v>
      </c>
      <c r="BF881" s="69">
        <f>AP881+AR881+AT881+AO882+AQ882+AS882</f>
        <v>44</v>
      </c>
      <c r="BG881" s="63">
        <f>AW881+BA881</f>
        <v>4</v>
      </c>
      <c r="BH881" s="69">
        <f>AX881+BB881</f>
        <v>0</v>
      </c>
      <c r="BI881" s="63">
        <f>IF(AW881&gt;AX881,1,0)+IF(BA881&gt;BB881,1,0)</f>
        <v>2</v>
      </c>
      <c r="BJ881" s="70">
        <f>IF(AX881&gt;AW881,1,0)+IF(BB881&gt;BA881,1,0)</f>
        <v>0</v>
      </c>
      <c r="BK881" s="71">
        <f>IF(BI881+BJ881=0,"",IF(BL881=MAX(BL880:BL882),1,IF(BL881=MIN(BL880:BL882),3,2)))</f>
        <v>1</v>
      </c>
      <c r="BL881" s="60">
        <f>IF(BI881+BJ881&lt;&gt;0,BI881+1+(BG881-BH881)/100+(BE881-BF881)/100000+(BE881/BF881)/1000000,0)</f>
        <v>3.0404019090909089</v>
      </c>
    </row>
    <row r="882" spans="1:64" ht="11.45" customHeight="1" thickBot="1" x14ac:dyDescent="0.25">
      <c r="A882" s="19">
        <f>S882</f>
        <v>352</v>
      </c>
      <c r="B882" s="2" t="str">
        <f>IF(N878="","",N878)</f>
        <v>X34</v>
      </c>
      <c r="C882" s="2" t="str">
        <f>IF(N879="","",N879)</f>
        <v/>
      </c>
      <c r="D882" s="2" t="str">
        <f>IF(N881="","",N881)</f>
        <v>S5623</v>
      </c>
      <c r="E882" s="2" t="str">
        <f>IF(N882="","",N882)</f>
        <v/>
      </c>
      <c r="I882" s="2" t="str">
        <f>"3"&amp;O876&amp;N877</f>
        <v>33pojedyncza dziewcząt Ż</v>
      </c>
      <c r="J882" s="10" t="str">
        <f>IF(AD883="","",IF(AD877=3,N878,IF(AD880=3,N881,IF(AD883=3,N884,""))))</f>
        <v>X46</v>
      </c>
      <c r="K882" s="10">
        <f>IF(AD883="","",IF(AD877=3,N879,IF(AD880=3,N882,IF(AD883=3,N885,""))))</f>
        <v>0</v>
      </c>
      <c r="M882" s="42" t="str">
        <f>N877</f>
        <v>pojedyncza dziewcząt Ż</v>
      </c>
      <c r="N882" s="38"/>
      <c r="O882" s="28"/>
      <c r="P882" s="28"/>
      <c r="Q882" s="43" t="str">
        <f>IF(AU882&gt;0,"",IF(A882=0,"",IF(VLOOKUP(A882,'[1]plan gier'!A$1:S$65536,19,FALSE)="","",VLOOKUP(A882,'[1]plan gier'!A$1:S$65536,19,FALSE))))</f>
        <v/>
      </c>
      <c r="R882" s="72" t="s">
        <v>18</v>
      </c>
      <c r="S882" s="45">
        <v>352</v>
      </c>
      <c r="T882" s="261"/>
      <c r="U882" s="265" t="str">
        <f>IF(N882&lt;&gt;"",CONCATENATE(VLOOKUP(N882,[1]zawodnicy!$A$1:$E$65536,1,FALSE)," ",VLOOKUP(N882,[1]zawodnicy!$A$1:$E$65536,2,FALSE)," ",VLOOKUP(N882,[1]zawodnicy!$A$1:$E$65536,3,FALSE)," - ",VLOOKUP(N882,[1]zawodnicy!$A$1:$E$65536,4,FALSE)),"")</f>
        <v/>
      </c>
      <c r="V882" s="266"/>
      <c r="W882" s="267"/>
      <c r="X882" s="73" t="str">
        <f>IF(SUM(AS882:AT882)=0,"",AT882&amp;":"&amp;AS882)</f>
        <v/>
      </c>
      <c r="Y882" s="62"/>
      <c r="Z882" s="40" t="str">
        <f>IF(SUM(AS881:AT881)=0,"",AS881&amp;":"&amp;AT881)</f>
        <v/>
      </c>
      <c r="AA882" s="262"/>
      <c r="AB882" s="263"/>
      <c r="AC882" s="263"/>
      <c r="AD882" s="264"/>
      <c r="AE882" s="2"/>
      <c r="AF882" s="12"/>
      <c r="AG882" s="12"/>
      <c r="AH882" s="72" t="s">
        <v>18</v>
      </c>
      <c r="AI882" s="74">
        <f>IF(ISBLANK(S882),"",VLOOKUP(S882,'[1]plan gier'!$X$1:$AN$65536,12,FALSE))</f>
        <v>13</v>
      </c>
      <c r="AJ882" s="75">
        <f>IF(ISBLANK(S882),"",VLOOKUP(S882,'[1]plan gier'!$X$1:$AN$65536,13,FALSE))</f>
        <v>21</v>
      </c>
      <c r="AK882" s="75">
        <f>IF(ISBLANK(S882),"",VLOOKUP(S882,'[1]plan gier'!$X$1:$AN$65536,14,FALSE))</f>
        <v>18</v>
      </c>
      <c r="AL882" s="75">
        <f>IF(ISBLANK(S882),"",VLOOKUP(S882,'[1]plan gier'!$X$1:$AN$65536,15,FALSE))</f>
        <v>21</v>
      </c>
      <c r="AM882" s="75">
        <f>IF(ISBLANK(S882),"",VLOOKUP(S882,'[1]plan gier'!$X$1:$AN$65536,16,FALSE))</f>
        <v>0</v>
      </c>
      <c r="AN882" s="75">
        <f>IF(ISBLANK(S882),"",VLOOKUP(S882,'[1]plan gier'!$X$1:$AN$65536,17,FALSE))</f>
        <v>0</v>
      </c>
      <c r="AO882" s="76">
        <f t="shared" si="87"/>
        <v>13</v>
      </c>
      <c r="AP882" s="75">
        <f t="shared" si="87"/>
        <v>21</v>
      </c>
      <c r="AQ882" s="77">
        <f t="shared" si="87"/>
        <v>18</v>
      </c>
      <c r="AR882" s="75">
        <f t="shared" si="87"/>
        <v>21</v>
      </c>
      <c r="AS882" s="77">
        <f t="shared" si="87"/>
        <v>0</v>
      </c>
      <c r="AT882" s="75">
        <f t="shared" si="87"/>
        <v>0</v>
      </c>
      <c r="AU882" s="54">
        <f>SUM(AO882:AT882)</f>
        <v>73</v>
      </c>
      <c r="AV882" s="13">
        <v>3</v>
      </c>
      <c r="AW882" s="74">
        <f>IF(AI880&lt;AJ880,1,0)+IF(AK880&lt;AL880,1,0)+IF(AM880&lt;AN880,1,0)</f>
        <v>0</v>
      </c>
      <c r="AX882" s="75">
        <f>BA880</f>
        <v>2</v>
      </c>
      <c r="AY882" s="75">
        <f>IF(AI881&lt;AJ881,1,0)+IF(AK881&lt;AL881,1,0)+IF(AM881&lt;AN881,1,0)</f>
        <v>0</v>
      </c>
      <c r="AZ882" s="75">
        <f>BA881</f>
        <v>2</v>
      </c>
      <c r="BA882" s="78"/>
      <c r="BB882" s="79"/>
      <c r="BE882" s="74">
        <f>AP880+AR880+AT880+AP881+AR881+AT881</f>
        <v>35</v>
      </c>
      <c r="BF882" s="80">
        <f>AO880+AQ880+AS880+AO881+AQ881+AS881</f>
        <v>84</v>
      </c>
      <c r="BG882" s="74">
        <f>AW882+AY882</f>
        <v>0</v>
      </c>
      <c r="BH882" s="80">
        <f>AX882+AZ882</f>
        <v>4</v>
      </c>
      <c r="BI882" s="74">
        <f>IF(AW882&gt;AX882,1,0)+IF(AY882&gt;AZ882,1,0)</f>
        <v>0</v>
      </c>
      <c r="BJ882" s="81">
        <f>IF(AX882&gt;AW882,1,0)+IF(AZ882&gt;AY882,1,0)</f>
        <v>2</v>
      </c>
      <c r="BK882" s="82">
        <f>IF(BI882+BJ882=0,"",IF(BL882=MAX(BL880:BL882),1,IF(BL882=MIN(BL880:BL882),3,2)))</f>
        <v>3</v>
      </c>
      <c r="BL882" s="60">
        <f>IF(BI882+BJ882&lt;&gt;0,BI882+1+(BG882-BH882)/100+(BE882-BF882)/100000+(BE882/BF882)/1000000,0)</f>
        <v>0.95951041666666659</v>
      </c>
    </row>
    <row r="883" spans="1:64" ht="11.45" customHeight="1" x14ac:dyDescent="0.2">
      <c r="A883" s="2"/>
      <c r="J883" s="28"/>
      <c r="K883" s="28"/>
      <c r="L883" s="28"/>
      <c r="O883" s="28"/>
      <c r="P883" s="28"/>
      <c r="Q883" s="2"/>
      <c r="R883" s="2"/>
      <c r="S883" s="2"/>
      <c r="T883" s="241">
        <v>3</v>
      </c>
      <c r="U883" s="244" t="str">
        <f>IF(AND(N884&lt;&gt;"",N885&lt;&gt;""),CONCATENATE(VLOOKUP(N884,[1]zawodnicy!$A$1:$E$65536,1,FALSE)," ",VLOOKUP(N884,[1]zawodnicy!$A$1:$E$65536,2,FALSE)," ",VLOOKUP(N884,[1]zawodnicy!$A$1:$E$65536,3,FALSE)," - ",VLOOKUP(N884,[1]zawodnicy!$A$1:$E$65536,4,FALSE)),"")</f>
        <v/>
      </c>
      <c r="V883" s="245"/>
      <c r="W883" s="246"/>
      <c r="X883" s="46" t="str">
        <f>IF(SUM(AO880:AP880)=0,"",AP880&amp;":"&amp;AO880)</f>
        <v>12:21</v>
      </c>
      <c r="Y883" s="83" t="str">
        <f>IF(SUM(AO881:AP881)=0,"",AP881&amp;":"&amp;AO881)</f>
        <v>4:21</v>
      </c>
      <c r="Z883" s="84"/>
      <c r="AA883" s="247" t="str">
        <f>IF(SUM(AW882:AZ882)=0,"",BE882&amp;":"&amp;BF882)</f>
        <v>35:84</v>
      </c>
      <c r="AB883" s="250" t="str">
        <f>IF(SUM(AW882:AZ882)=0,"",BG882&amp;":"&amp;BH882)</f>
        <v>0:4</v>
      </c>
      <c r="AC883" s="250" t="str">
        <f>IF(SUM(AW882:AZ882)=0,"",BI882&amp;":"&amp;BJ882)</f>
        <v>0:2</v>
      </c>
      <c r="AD883" s="253">
        <f>IF(SUM(BI880:BI882)&gt;0,BK882,"")</f>
        <v>3</v>
      </c>
      <c r="AE883" s="2"/>
      <c r="AF883" s="12"/>
      <c r="AG883" s="12"/>
      <c r="BE883" s="19">
        <f>SUM(BE880:BE882)</f>
        <v>192</v>
      </c>
      <c r="BF883" s="19">
        <f>SUM(BF880:BF882)</f>
        <v>192</v>
      </c>
      <c r="BG883" s="19">
        <f>SUM(BG880:BG882)</f>
        <v>6</v>
      </c>
      <c r="BH883" s="19">
        <f>SUM(BH880:BH882)</f>
        <v>6</v>
      </c>
      <c r="BK883" s="19"/>
      <c r="BL883" s="20"/>
    </row>
    <row r="884" spans="1:64" ht="11.45" customHeight="1" x14ac:dyDescent="0.2">
      <c r="A884" s="19"/>
      <c r="J884" s="19"/>
      <c r="K884" s="19"/>
      <c r="L884" s="19"/>
      <c r="N884" s="33" t="s">
        <v>386</v>
      </c>
      <c r="O884" s="34">
        <f>IF(O876&gt;0,(O876&amp;3)*1,"")</f>
        <v>33</v>
      </c>
      <c r="Q884" s="85"/>
      <c r="R884" s="85"/>
      <c r="S884" s="85"/>
      <c r="T884" s="242"/>
      <c r="U884" s="244" t="str">
        <f>IF(AND(N884&lt;&gt;"",N885=""),CONCATENATE(VLOOKUP(N884,[1]zawodnicy!$A$1:$E$65536,1,FALSE)," ",VLOOKUP(N884,[1]zawodnicy!$A$1:$E$65536,2,FALSE)," ",VLOOKUP(N884,[1]zawodnicy!$A$1:$E$65536,3,FALSE)," - ",VLOOKUP(N884,[1]zawodnicy!$A$1:$E$65536,4,FALSE)),"")</f>
        <v>X46 Julia  GRENDA - UKS Korona Pabianice</v>
      </c>
      <c r="V884" s="245"/>
      <c r="W884" s="246"/>
      <c r="X884" s="61" t="str">
        <f>IF(SUM(AQ880:AR880)=0,"",AR880&amp;":"&amp;AQ880)</f>
        <v>10:21</v>
      </c>
      <c r="Y884" s="36" t="str">
        <f>IF(SUM(AQ881:AR881)=0,"",AR881&amp;":"&amp;AQ881)</f>
        <v>9:21</v>
      </c>
      <c r="Z884" s="86"/>
      <c r="AA884" s="248"/>
      <c r="AB884" s="251"/>
      <c r="AC884" s="251"/>
      <c r="AD884" s="254"/>
      <c r="AE884" s="2"/>
      <c r="AF884" s="12"/>
      <c r="AG884" s="1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row>
    <row r="885" spans="1:64" ht="11.45" customHeight="1" thickBot="1" x14ac:dyDescent="0.25">
      <c r="A885" s="2"/>
      <c r="J885" s="28"/>
      <c r="K885" s="28"/>
      <c r="L885" s="28"/>
      <c r="N885" s="38"/>
      <c r="O885" s="28"/>
      <c r="P885" s="28"/>
      <c r="Q885" s="2"/>
      <c r="R885" s="2"/>
      <c r="S885" s="2"/>
      <c r="T885" s="243"/>
      <c r="U885" s="256" t="str">
        <f>IF(N885&lt;&gt;"",CONCATENATE(VLOOKUP(N885,[1]zawodnicy!$A$1:$E$65536,1,FALSE)," ",VLOOKUP(N885,[1]zawodnicy!$A$1:$E$65536,2,FALSE)," ",VLOOKUP(N885,[1]zawodnicy!$A$1:$E$65536,3,FALSE)," - ",VLOOKUP(N885,[1]zawodnicy!$A$1:$E$65536,4,FALSE)),"")</f>
        <v/>
      </c>
      <c r="V885" s="257"/>
      <c r="W885" s="258"/>
      <c r="X885" s="87" t="str">
        <f>IF(SUM(AS880:AT880)=0,"",AT880&amp;":"&amp;AS880)</f>
        <v/>
      </c>
      <c r="Y885" s="88" t="str">
        <f>IF(SUM(AS881:AT881)=0,"",AT881&amp;":"&amp;AS881)</f>
        <v/>
      </c>
      <c r="Z885" s="89"/>
      <c r="AA885" s="249"/>
      <c r="AB885" s="252"/>
      <c r="AC885" s="252"/>
      <c r="AD885" s="255"/>
      <c r="AE885" s="10"/>
      <c r="AF885" s="12"/>
      <c r="AG885" s="1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row>
    <row r="886" spans="1:64" s="19" customFormat="1" ht="5.0999999999999996" customHeight="1" thickBot="1" x14ac:dyDescent="0.25">
      <c r="M886" s="90"/>
      <c r="O886" s="90"/>
      <c r="P886" s="90"/>
      <c r="Q886" s="91"/>
      <c r="R886" s="91"/>
      <c r="S886" s="91"/>
      <c r="T886" s="91"/>
      <c r="U886" s="5"/>
      <c r="V886" s="5"/>
      <c r="W886" s="5"/>
      <c r="AA886" s="92"/>
      <c r="AB886" s="91"/>
      <c r="AC886" s="91"/>
      <c r="AD886" s="91"/>
      <c r="AE886" s="91"/>
      <c r="AF886" s="91"/>
      <c r="AI886" s="93"/>
      <c r="AJ886" s="94"/>
      <c r="AK886" s="94"/>
    </row>
    <row r="887" spans="1:64" ht="11.45" customHeight="1" thickBot="1" x14ac:dyDescent="0.25">
      <c r="N887" s="11"/>
      <c r="O887" s="21">
        <v>4</v>
      </c>
      <c r="Q887" s="277" t="str">
        <f>"Grupa "&amp;O887&amp;"."</f>
        <v>Grupa 4.</v>
      </c>
      <c r="R887" s="277"/>
      <c r="S887" s="277"/>
      <c r="T887" s="22" t="s">
        <v>1</v>
      </c>
      <c r="U887" s="278" t="s">
        <v>2</v>
      </c>
      <c r="V887" s="279"/>
      <c r="W887" s="280"/>
      <c r="X887" s="22">
        <v>1</v>
      </c>
      <c r="Y887" s="23">
        <v>2</v>
      </c>
      <c r="Z887" s="24">
        <v>3</v>
      </c>
      <c r="AA887" s="25" t="s">
        <v>3</v>
      </c>
      <c r="AB887" s="26" t="s">
        <v>4</v>
      </c>
      <c r="AC887" s="26" t="s">
        <v>5</v>
      </c>
      <c r="AD887" s="27" t="s">
        <v>6</v>
      </c>
      <c r="AE887" s="2"/>
      <c r="AF887" s="12"/>
      <c r="AG887" s="12"/>
      <c r="BK887" s="19"/>
      <c r="BL887" s="20"/>
    </row>
    <row r="888" spans="1:64" ht="11.45" customHeight="1" x14ac:dyDescent="0.2">
      <c r="J888" s="28"/>
      <c r="K888" s="28"/>
      <c r="L888" s="28"/>
      <c r="N888" s="29" t="s">
        <v>378</v>
      </c>
      <c r="Q888" s="274" t="s">
        <v>7</v>
      </c>
      <c r="R888" s="274"/>
      <c r="S888" s="275" t="s">
        <v>8</v>
      </c>
      <c r="T888" s="276">
        <v>1</v>
      </c>
      <c r="U888" s="244" t="str">
        <f>IF(AND(N889&lt;&gt;"",N890&lt;&gt;""),CONCATENATE(VLOOKUP(N889,[1]zawodnicy!$A$1:$E$65536,1,FALSE)," ",VLOOKUP(N889,[1]zawodnicy!$A$1:$E$65536,2,FALSE)," ",VLOOKUP(N889,[1]zawodnicy!$A$1:$E$65536,3,FALSE)," - ",VLOOKUP(N889,[1]zawodnicy!$A$1:$E$65536,4,FALSE)),"")</f>
        <v/>
      </c>
      <c r="V888" s="245"/>
      <c r="W888" s="246"/>
      <c r="X888" s="30"/>
      <c r="Y888" s="31" t="str">
        <f>IF(SUM(AO893:AP893)=0,"",AO893&amp;":"&amp;AP893)</f>
        <v>21:2</v>
      </c>
      <c r="Z888" s="32" t="str">
        <f>IF(SUM(AO891:AP891)=0,"",AO891&amp;":"&amp;AP891)</f>
        <v>21:8</v>
      </c>
      <c r="AA888" s="270" t="str">
        <f>IF(SUM(AY891:BB891)=0,"",BE891&amp;":"&amp;BF891)</f>
        <v>84:23</v>
      </c>
      <c r="AB888" s="271" t="str">
        <f>IF(SUM(AY891:BB891)=0,"",BG891&amp;":"&amp;BH891)</f>
        <v>4:0</v>
      </c>
      <c r="AC888" s="271" t="str">
        <f>IF(SUM(AY891:BB891)=0,"",BI891&amp;":"&amp;BJ891)</f>
        <v>2:0</v>
      </c>
      <c r="AD888" s="272">
        <f>IF(SUM(BI891:BI893)&gt;0,BK891,"")</f>
        <v>1</v>
      </c>
      <c r="AE888" s="2"/>
      <c r="AF888" s="12"/>
      <c r="AG888" s="12"/>
      <c r="AH888" s="14"/>
      <c r="AI888" s="273" t="s">
        <v>9</v>
      </c>
      <c r="AJ888" s="273"/>
      <c r="AK888" s="273"/>
      <c r="AL888" s="273"/>
      <c r="AM888" s="273"/>
      <c r="AN888" s="273"/>
      <c r="AO888" s="273" t="s">
        <v>10</v>
      </c>
      <c r="AP888" s="273"/>
      <c r="AQ888" s="273"/>
      <c r="AR888" s="273"/>
      <c r="AS888" s="273"/>
      <c r="AT888" s="273"/>
      <c r="BK888" s="19"/>
      <c r="BL888" s="20"/>
    </row>
    <row r="889" spans="1:64" ht="11.45" customHeight="1" thickBot="1" x14ac:dyDescent="0.25">
      <c r="I889" s="2" t="str">
        <f>"1"&amp;O887&amp;N888</f>
        <v>14pojedyncza dziewcząt Ż</v>
      </c>
      <c r="J889" s="10" t="str">
        <f>IF(AD888="","",IF(AD888=1,N889,IF(AD891=1,N892,IF(AD894=1,N895,""))))</f>
        <v>X18</v>
      </c>
      <c r="K889" s="10">
        <f>IF(AD888="","",IF(AD888=1,N890,IF(AD891=1,N893,IF(AD894=1,N896,""))))</f>
        <v>0</v>
      </c>
      <c r="L889" s="10"/>
      <c r="N889" s="33" t="s">
        <v>323</v>
      </c>
      <c r="O889" s="34">
        <f>IF(O887&gt;0,(O887&amp;1)*1,"")</f>
        <v>41</v>
      </c>
      <c r="Q889" s="274"/>
      <c r="R889" s="274"/>
      <c r="S889" s="275"/>
      <c r="T889" s="242"/>
      <c r="U889" s="244" t="str">
        <f>IF(AND(N889&lt;&gt;"",N890=""),CONCATENATE(VLOOKUP(N889,[1]zawodnicy!$A$1:$E$65536,1,FALSE)," ",VLOOKUP(N889,[1]zawodnicy!$A$1:$E$65536,2,FALSE)," ",VLOOKUP(N889,[1]zawodnicy!$A$1:$E$65536,3,FALSE)," - ",VLOOKUP(N889,[1]zawodnicy!$A$1:$E$65536,4,FALSE)),"")</f>
        <v>X18 Veranika TARUSAVA - Mińsk Białoruś</v>
      </c>
      <c r="V889" s="245"/>
      <c r="W889" s="246"/>
      <c r="X889" s="35"/>
      <c r="Y889" s="36" t="str">
        <f>IF(SUM(AQ893:AR893)=0,"",AQ893&amp;":"&amp;AR893)</f>
        <v>21:6</v>
      </c>
      <c r="Z889" s="37" t="str">
        <f>IF(SUM(AQ891:AR891)=0,"",AQ891&amp;":"&amp;AR891)</f>
        <v>21:7</v>
      </c>
      <c r="AA889" s="248"/>
      <c r="AB889" s="251"/>
      <c r="AC889" s="251"/>
      <c r="AD889" s="254"/>
      <c r="AE889" s="2"/>
      <c r="AF889" s="12"/>
      <c r="AG889" s="12"/>
      <c r="AH889" s="14"/>
      <c r="BE889" s="19">
        <f>SUM(BE891:BE893)</f>
        <v>204</v>
      </c>
      <c r="BF889" s="19">
        <f>SUM(BF891:BF893)</f>
        <v>204</v>
      </c>
      <c r="BG889" s="19">
        <f>SUM(BG891:BG893)</f>
        <v>7</v>
      </c>
      <c r="BH889" s="19">
        <f>SUM(BH891:BH893)</f>
        <v>7</v>
      </c>
      <c r="BK889" s="19"/>
      <c r="BL889" s="20"/>
    </row>
    <row r="890" spans="1:64" ht="11.45" customHeight="1" thickBot="1" x14ac:dyDescent="0.25">
      <c r="J890" s="10"/>
      <c r="K890" s="28"/>
      <c r="L890" s="28"/>
      <c r="N890" s="38"/>
      <c r="O890" s="28"/>
      <c r="P890" s="28"/>
      <c r="Q890" s="274"/>
      <c r="R890" s="274"/>
      <c r="S890" s="275"/>
      <c r="T890" s="261"/>
      <c r="U890" s="265" t="str">
        <f>IF(N890&lt;&gt;"",CONCATENATE(VLOOKUP(N890,[1]zawodnicy!$A$1:$E$65536,1,FALSE)," ",VLOOKUP(N890,[1]zawodnicy!$A$1:$E$65536,2,FALSE)," ",VLOOKUP(N890,[1]zawodnicy!$A$1:$E$65536,3,FALSE)," - ",VLOOKUP(N890,[1]zawodnicy!$A$1:$E$65536,4,FALSE)),"")</f>
        <v/>
      </c>
      <c r="V890" s="266"/>
      <c r="W890" s="267"/>
      <c r="X890" s="35"/>
      <c r="Y890" s="39" t="str">
        <f>IF(SUM(AS893:AT893)=0,"",AS893&amp;":"&amp;AT893)</f>
        <v/>
      </c>
      <c r="Z890" s="40" t="str">
        <f>IF(SUM(AS891:AT891)=0,"",AS891&amp;":"&amp;AT891)</f>
        <v/>
      </c>
      <c r="AA890" s="262"/>
      <c r="AB890" s="263"/>
      <c r="AC890" s="263"/>
      <c r="AD890" s="264"/>
      <c r="AE890" s="2"/>
      <c r="AF890" s="12"/>
      <c r="AG890" s="12"/>
      <c r="AH890" s="14"/>
      <c r="AI890" s="259" t="s">
        <v>12</v>
      </c>
      <c r="AJ890" s="269"/>
      <c r="AK890" s="268" t="s">
        <v>13</v>
      </c>
      <c r="AL890" s="269"/>
      <c r="AM890" s="268" t="s">
        <v>14</v>
      </c>
      <c r="AN890" s="260"/>
      <c r="AO890" s="259" t="s">
        <v>12</v>
      </c>
      <c r="AP890" s="269"/>
      <c r="AQ890" s="268" t="s">
        <v>13</v>
      </c>
      <c r="AR890" s="269"/>
      <c r="AS890" s="268" t="s">
        <v>14</v>
      </c>
      <c r="AT890" s="269"/>
      <c r="AU890" s="12"/>
      <c r="AV890" s="12"/>
      <c r="AW890" s="259">
        <v>1</v>
      </c>
      <c r="AX890" s="269"/>
      <c r="AY890" s="268">
        <v>2</v>
      </c>
      <c r="AZ890" s="269"/>
      <c r="BA890" s="268">
        <v>3</v>
      </c>
      <c r="BB890" s="260"/>
      <c r="BE890" s="259" t="s">
        <v>3</v>
      </c>
      <c r="BF890" s="260"/>
      <c r="BG890" s="259" t="s">
        <v>4</v>
      </c>
      <c r="BH890" s="260"/>
      <c r="BI890" s="259" t="s">
        <v>5</v>
      </c>
      <c r="BJ890" s="260"/>
      <c r="BK890" s="41" t="s">
        <v>6</v>
      </c>
      <c r="BL890" s="20"/>
    </row>
    <row r="891" spans="1:64" ht="11.45" customHeight="1" x14ac:dyDescent="0.2">
      <c r="A891" s="19">
        <f>S891</f>
        <v>253</v>
      </c>
      <c r="B891" s="2" t="str">
        <f>IF(N889="","",N889)</f>
        <v>X18</v>
      </c>
      <c r="C891" s="2" t="str">
        <f>IF(N890="","",N890)</f>
        <v/>
      </c>
      <c r="D891" s="2" t="str">
        <f>IF(N895="","",N895)</f>
        <v>K5975</v>
      </c>
      <c r="E891" s="2" t="str">
        <f>IF(N896="","",N896)</f>
        <v/>
      </c>
      <c r="I891" s="2" t="str">
        <f>"2"&amp;O887&amp;N888</f>
        <v>24pojedyncza dziewcząt Ż</v>
      </c>
      <c r="J891" s="10" t="str">
        <f>IF(AD891="","",IF(AD888=2,N889,IF(AD891=2,N892,IF(AD894=2,N895,""))))</f>
        <v>K5975</v>
      </c>
      <c r="K891" s="10">
        <f>IF(AD891="","",IF(AD888=2,N890,IF(AD891=2,N893,IF(AD894=2,N896,""))))</f>
        <v>0</v>
      </c>
      <c r="M891" s="42" t="str">
        <f>N888</f>
        <v>pojedyncza dziewcząt Ż</v>
      </c>
      <c r="O891" s="28"/>
      <c r="P891" s="28"/>
      <c r="Q891" s="43" t="str">
        <f>IF(AU891&gt;0,"",IF(A891=0,"",IF(VLOOKUP(A891,'[1]plan gier'!A$1:S$65536,19,FALSE)="","",VLOOKUP(A891,'[1]plan gier'!A$1:S$65536,19,FALSE))))</f>
        <v/>
      </c>
      <c r="R891" s="44" t="s">
        <v>15</v>
      </c>
      <c r="S891" s="45">
        <v>253</v>
      </c>
      <c r="T891" s="241">
        <v>2</v>
      </c>
      <c r="U891" s="244" t="str">
        <f>IF(AND(N892&lt;&gt;"",N893&lt;&gt;""),CONCATENATE(VLOOKUP(N892,[1]zawodnicy!$A$1:$E$65536,1,FALSE)," ",VLOOKUP(N892,[1]zawodnicy!$A$1:$E$65536,2,FALSE)," ",VLOOKUP(N892,[1]zawodnicy!$A$1:$E$65536,3,FALSE)," - ",VLOOKUP(N892,[1]zawodnicy!$A$1:$E$65536,4,FALSE)),"")</f>
        <v/>
      </c>
      <c r="V891" s="245"/>
      <c r="W891" s="246"/>
      <c r="X891" s="46" t="str">
        <f>IF(SUM(AO893:AP893)=0,"",AP893&amp;":"&amp;AO893)</f>
        <v>2:21</v>
      </c>
      <c r="Y891" s="47"/>
      <c r="Z891" s="48" t="str">
        <f>IF(SUM(AO892:AP892)=0,"",AO892&amp;":"&amp;AP892)</f>
        <v>21:13</v>
      </c>
      <c r="AA891" s="247" t="str">
        <f>IF(SUM(AW892:AX892,BA892:BB892)=0,"",BE892&amp;":"&amp;BF892)</f>
        <v>50:97</v>
      </c>
      <c r="AB891" s="250" t="str">
        <f>IF(SUM(AW892:AX892,BA892:BB892)=0,"",BG892&amp;":"&amp;BH892)</f>
        <v>1:4</v>
      </c>
      <c r="AC891" s="250" t="str">
        <f>IF(SUM(AW892:AX892,BA892:BB892)=0,"",BI892&amp;":"&amp;BJ892)</f>
        <v>0:2</v>
      </c>
      <c r="AD891" s="253">
        <f>IF(SUM(BI891:BI893)&gt;0,BK892,"")</f>
        <v>3</v>
      </c>
      <c r="AE891" s="2"/>
      <c r="AF891" s="12"/>
      <c r="AG891" s="12"/>
      <c r="AH891" s="44" t="s">
        <v>15</v>
      </c>
      <c r="AI891" s="49">
        <f>IF(ISBLANK(S891),"",VLOOKUP(S891,'[1]plan gier'!$X$1:$AN$65536,12,FALSE))</f>
        <v>21</v>
      </c>
      <c r="AJ891" s="50">
        <f>IF(ISBLANK(S891),"",VLOOKUP(S891,'[1]plan gier'!$X$1:$AN$65536,13,FALSE))</f>
        <v>8</v>
      </c>
      <c r="AK891" s="50">
        <f>IF(ISBLANK(S891),"",VLOOKUP(S891,'[1]plan gier'!$X$1:$AN$65536,14,FALSE))</f>
        <v>21</v>
      </c>
      <c r="AL891" s="50">
        <f>IF(ISBLANK(S891),"",VLOOKUP(S891,'[1]plan gier'!$X$1:$AN$65536,15,FALSE))</f>
        <v>7</v>
      </c>
      <c r="AM891" s="50">
        <f>IF(ISBLANK(S891),"",VLOOKUP(S891,'[1]plan gier'!$X$1:$AN$65536,16,FALSE))</f>
        <v>0</v>
      </c>
      <c r="AN891" s="50">
        <f>IF(ISBLANK(S891),"",VLOOKUP(S891,'[1]plan gier'!$X$1:$AN$65536,17,FALSE))</f>
        <v>0</v>
      </c>
      <c r="AO891" s="51">
        <f t="shared" ref="AO891:AT893" si="88">IF(AI891="",0,AI891)</f>
        <v>21</v>
      </c>
      <c r="AP891" s="52">
        <f t="shared" si="88"/>
        <v>8</v>
      </c>
      <c r="AQ891" s="53">
        <f t="shared" si="88"/>
        <v>21</v>
      </c>
      <c r="AR891" s="52">
        <f t="shared" si="88"/>
        <v>7</v>
      </c>
      <c r="AS891" s="53">
        <f t="shared" si="88"/>
        <v>0</v>
      </c>
      <c r="AT891" s="52">
        <f t="shared" si="88"/>
        <v>0</v>
      </c>
      <c r="AU891" s="54">
        <f>SUM(AO891:AT891)</f>
        <v>57</v>
      </c>
      <c r="AV891" s="13">
        <v>1</v>
      </c>
      <c r="AW891" s="55"/>
      <c r="AX891" s="56"/>
      <c r="AY891" s="50">
        <f>IF(AI893&gt;AJ893,1,0)+IF(AK893&gt;AL893,1,0)+IF(AM893&gt;AN893,1,0)</f>
        <v>2</v>
      </c>
      <c r="AZ891" s="50">
        <f>AW892</f>
        <v>0</v>
      </c>
      <c r="BA891" s="50">
        <f>IF(AI891&gt;AJ891,1,0)+IF(AK891&gt;AL891,1,0)+IF(AM891&gt;AN891,1,0)</f>
        <v>2</v>
      </c>
      <c r="BB891" s="57">
        <f>AW893</f>
        <v>0</v>
      </c>
      <c r="BE891" s="49">
        <f>AO891+AQ891+AS891+AO893+AQ893+AS893</f>
        <v>84</v>
      </c>
      <c r="BF891" s="57">
        <f>AP891+AR891+AT891+AP893+AR893+AT893</f>
        <v>23</v>
      </c>
      <c r="BG891" s="49">
        <f>AY891+BA891</f>
        <v>4</v>
      </c>
      <c r="BH891" s="57">
        <f>AZ891+BB891</f>
        <v>0</v>
      </c>
      <c r="BI891" s="49">
        <f>IF(AY891&gt;AZ891,1,0)+IF(BA891&gt;BB891,1,0)</f>
        <v>2</v>
      </c>
      <c r="BJ891" s="58">
        <f>IF(AZ891&gt;AY891,1,0)+IF(BB891&gt;BA891,1,0)</f>
        <v>0</v>
      </c>
      <c r="BK891" s="59">
        <f>IF(BI891+BJ891=0,"",IF(BL891=MAX(BL891:BL893),1,IF(BL891=MIN(BL891:BL893),3,2)))</f>
        <v>1</v>
      </c>
      <c r="BL891" s="60">
        <f>IF(BI891+BJ891&lt;&gt;0,BI891+1+(BG891-BH891)/100+(BE891-BF891)/100000+(BE891/BF891)/1000000,0)</f>
        <v>3.0406136521739131</v>
      </c>
    </row>
    <row r="892" spans="1:64" ht="11.45" customHeight="1" x14ac:dyDescent="0.2">
      <c r="A892" s="19">
        <f>S892</f>
        <v>295</v>
      </c>
      <c r="B892" s="2" t="str">
        <f>IF(N892="","",N892)</f>
        <v>D5992</v>
      </c>
      <c r="C892" s="2" t="str">
        <f>IF(N893="","",N893)</f>
        <v/>
      </c>
      <c r="D892" s="2" t="str">
        <f>IF(N895="","",N895)</f>
        <v>K5975</v>
      </c>
      <c r="E892" s="2" t="str">
        <f>IF(N896="","",N896)</f>
        <v/>
      </c>
      <c r="J892" s="10"/>
      <c r="K892" s="19"/>
      <c r="M892" s="42" t="str">
        <f>N888</f>
        <v>pojedyncza dziewcząt Ż</v>
      </c>
      <c r="N892" s="33" t="s">
        <v>387</v>
      </c>
      <c r="O892" s="34">
        <f>IF(O887&gt;0,(O887&amp;2)*1,"")</f>
        <v>42</v>
      </c>
      <c r="Q892" s="43" t="str">
        <f>IF(AU892&gt;0,"",IF(A892=0,"",IF(VLOOKUP(A892,'[1]plan gier'!A$1:S$65536,19,FALSE)="","",VLOOKUP(A892,'[1]plan gier'!A$1:S$65536,19,FALSE))))</f>
        <v/>
      </c>
      <c r="R892" s="44" t="s">
        <v>17</v>
      </c>
      <c r="S892" s="45">
        <v>295</v>
      </c>
      <c r="T892" s="242"/>
      <c r="U892" s="244" t="str">
        <f>IF(AND(N892&lt;&gt;"",N893=""),CONCATENATE(VLOOKUP(N892,[1]zawodnicy!$A$1:$E$65536,1,FALSE)," ",VLOOKUP(N892,[1]zawodnicy!$A$1:$E$65536,2,FALSE)," ",VLOOKUP(N892,[1]zawodnicy!$A$1:$E$65536,3,FALSE)," - ",VLOOKUP(N892,[1]zawodnicy!$A$1:$E$65536,4,FALSE)),"")</f>
        <v>D5992 Marta DOLNIAK - KSR Wolant Łódź</v>
      </c>
      <c r="V892" s="245"/>
      <c r="W892" s="246"/>
      <c r="X892" s="61" t="str">
        <f>IF(SUM(AQ893:AR893)=0,"",AR893&amp;":"&amp;AQ893)</f>
        <v>6:21</v>
      </c>
      <c r="Y892" s="62"/>
      <c r="Z892" s="37" t="str">
        <f>IF(SUM(AQ892:AR892)=0,"",AQ892&amp;":"&amp;AR892)</f>
        <v>11:21</v>
      </c>
      <c r="AA892" s="248"/>
      <c r="AB892" s="251"/>
      <c r="AC892" s="251"/>
      <c r="AD892" s="254"/>
      <c r="AE892" s="2"/>
      <c r="AF892" s="12"/>
      <c r="AG892" s="12"/>
      <c r="AH892" s="44" t="s">
        <v>17</v>
      </c>
      <c r="AI892" s="63">
        <f>IF(ISBLANK(S892),"",VLOOKUP(S892,'[1]plan gier'!$X$1:$AN$65536,12,FALSE))</f>
        <v>21</v>
      </c>
      <c r="AJ892" s="64">
        <f>IF(ISBLANK(S892),"",VLOOKUP(S892,'[1]plan gier'!$X$1:$AN$65536,13,FALSE))</f>
        <v>13</v>
      </c>
      <c r="AK892" s="64">
        <f>IF(ISBLANK(S892),"",VLOOKUP(S892,'[1]plan gier'!$X$1:$AN$65536,14,FALSE))</f>
        <v>11</v>
      </c>
      <c r="AL892" s="64">
        <f>IF(ISBLANK(S892),"",VLOOKUP(S892,'[1]plan gier'!$X$1:$AN$65536,15,FALSE))</f>
        <v>21</v>
      </c>
      <c r="AM892" s="64">
        <f>IF(ISBLANK(S892),"",VLOOKUP(S892,'[1]plan gier'!$X$1:$AN$65536,16,FALSE))</f>
        <v>10</v>
      </c>
      <c r="AN892" s="64">
        <f>IF(ISBLANK(S892),"",VLOOKUP(S892,'[1]plan gier'!$X$1:$AN$65536,17,FALSE))</f>
        <v>21</v>
      </c>
      <c r="AO892" s="65">
        <f t="shared" si="88"/>
        <v>21</v>
      </c>
      <c r="AP892" s="64">
        <f t="shared" si="88"/>
        <v>13</v>
      </c>
      <c r="AQ892" s="66">
        <f t="shared" si="88"/>
        <v>11</v>
      </c>
      <c r="AR892" s="64">
        <f t="shared" si="88"/>
        <v>21</v>
      </c>
      <c r="AS892" s="66">
        <f t="shared" si="88"/>
        <v>10</v>
      </c>
      <c r="AT892" s="64">
        <f t="shared" si="88"/>
        <v>21</v>
      </c>
      <c r="AU892" s="54">
        <f>SUM(AO892:AT892)</f>
        <v>97</v>
      </c>
      <c r="AV892" s="13">
        <v>2</v>
      </c>
      <c r="AW892" s="63">
        <f>IF(AI893&lt;AJ893,1,0)+IF(AK893&lt;AL893,1,0)+IF(AM893&lt;AN893,1,0)</f>
        <v>0</v>
      </c>
      <c r="AX892" s="64">
        <f>AY891</f>
        <v>2</v>
      </c>
      <c r="AY892" s="67"/>
      <c r="AZ892" s="68"/>
      <c r="BA892" s="64">
        <f>IF(AI892&gt;AJ892,1,0)+IF(AK892&gt;AL892,1,0)+IF(AM892&gt;AN892,1,0)</f>
        <v>1</v>
      </c>
      <c r="BB892" s="69">
        <f>AY893</f>
        <v>2</v>
      </c>
      <c r="BE892" s="63">
        <f>AO892+AQ892+AS892+AP893+AR893+AT893</f>
        <v>50</v>
      </c>
      <c r="BF892" s="69">
        <f>AP892+AR892+AT892+AO893+AQ893+AS893</f>
        <v>97</v>
      </c>
      <c r="BG892" s="63">
        <f>AW892+BA892</f>
        <v>1</v>
      </c>
      <c r="BH892" s="69">
        <f>AX892+BB892</f>
        <v>4</v>
      </c>
      <c r="BI892" s="63">
        <f>IF(AW892&gt;AX892,1,0)+IF(BA892&gt;BB892,1,0)</f>
        <v>0</v>
      </c>
      <c r="BJ892" s="70">
        <f>IF(AX892&gt;AW892,1,0)+IF(BB892&gt;BA892,1,0)</f>
        <v>2</v>
      </c>
      <c r="BK892" s="71">
        <f>IF(BI892+BJ892=0,"",IF(BL892=MAX(BL891:BL893),1,IF(BL892=MIN(BL891:BL893),3,2)))</f>
        <v>3</v>
      </c>
      <c r="BL892" s="60">
        <f>IF(BI892+BJ892&lt;&gt;0,BI892+1+(BG892-BH892)/100+(BE892-BF892)/100000+(BE892/BF892)/1000000,0)</f>
        <v>0.96953051546391755</v>
      </c>
    </row>
    <row r="893" spans="1:64" ht="11.45" customHeight="1" thickBot="1" x14ac:dyDescent="0.25">
      <c r="A893" s="19">
        <f>S893</f>
        <v>353</v>
      </c>
      <c r="B893" s="2" t="str">
        <f>IF(N889="","",N889)</f>
        <v>X18</v>
      </c>
      <c r="C893" s="2" t="str">
        <f>IF(N890="","",N890)</f>
        <v/>
      </c>
      <c r="D893" s="2" t="str">
        <f>IF(N892="","",N892)</f>
        <v>D5992</v>
      </c>
      <c r="E893" s="2" t="str">
        <f>IF(N893="","",N893)</f>
        <v/>
      </c>
      <c r="I893" s="2" t="str">
        <f>"3"&amp;O887&amp;N888</f>
        <v>34pojedyncza dziewcząt Ż</v>
      </c>
      <c r="J893" s="10" t="str">
        <f>IF(AD894="","",IF(AD888=3,N889,IF(AD891=3,N892,IF(AD894=3,N895,""))))</f>
        <v>D5992</v>
      </c>
      <c r="K893" s="10">
        <f>IF(AD894="","",IF(AD888=3,N890,IF(AD891=3,N893,IF(AD894=3,N896,""))))</f>
        <v>0</v>
      </c>
      <c r="M893" s="42" t="str">
        <f>N888</f>
        <v>pojedyncza dziewcząt Ż</v>
      </c>
      <c r="N893" s="38"/>
      <c r="O893" s="28"/>
      <c r="P893" s="28"/>
      <c r="Q893" s="43" t="str">
        <f>IF(AU893&gt;0,"",IF(A893=0,"",IF(VLOOKUP(A893,'[1]plan gier'!A$1:S$65536,19,FALSE)="","",VLOOKUP(A893,'[1]plan gier'!A$1:S$65536,19,FALSE))))</f>
        <v/>
      </c>
      <c r="R893" s="72" t="s">
        <v>18</v>
      </c>
      <c r="S893" s="45">
        <v>353</v>
      </c>
      <c r="T893" s="261"/>
      <c r="U893" s="265" t="str">
        <f>IF(N893&lt;&gt;"",CONCATENATE(VLOOKUP(N893,[1]zawodnicy!$A$1:$E$65536,1,FALSE)," ",VLOOKUP(N893,[1]zawodnicy!$A$1:$E$65536,2,FALSE)," ",VLOOKUP(N893,[1]zawodnicy!$A$1:$E$65536,3,FALSE)," - ",VLOOKUP(N893,[1]zawodnicy!$A$1:$E$65536,4,FALSE)),"")</f>
        <v/>
      </c>
      <c r="V893" s="266"/>
      <c r="W893" s="267"/>
      <c r="X893" s="73" t="str">
        <f>IF(SUM(AS893:AT893)=0,"",AT893&amp;":"&amp;AS893)</f>
        <v/>
      </c>
      <c r="Y893" s="62"/>
      <c r="Z893" s="40" t="str">
        <f>IF(SUM(AS892:AT892)=0,"",AS892&amp;":"&amp;AT892)</f>
        <v>10:21</v>
      </c>
      <c r="AA893" s="262"/>
      <c r="AB893" s="263"/>
      <c r="AC893" s="263"/>
      <c r="AD893" s="264"/>
      <c r="AE893" s="2"/>
      <c r="AF893" s="12"/>
      <c r="AG893" s="12"/>
      <c r="AH893" s="72" t="s">
        <v>18</v>
      </c>
      <c r="AI893" s="74">
        <f>IF(ISBLANK(S893),"",VLOOKUP(S893,'[1]plan gier'!$X$1:$AN$65536,12,FALSE))</f>
        <v>21</v>
      </c>
      <c r="AJ893" s="75">
        <f>IF(ISBLANK(S893),"",VLOOKUP(S893,'[1]plan gier'!$X$1:$AN$65536,13,FALSE))</f>
        <v>2</v>
      </c>
      <c r="AK893" s="75">
        <f>IF(ISBLANK(S893),"",VLOOKUP(S893,'[1]plan gier'!$X$1:$AN$65536,14,FALSE))</f>
        <v>21</v>
      </c>
      <c r="AL893" s="75">
        <f>IF(ISBLANK(S893),"",VLOOKUP(S893,'[1]plan gier'!$X$1:$AN$65536,15,FALSE))</f>
        <v>6</v>
      </c>
      <c r="AM893" s="75">
        <f>IF(ISBLANK(S893),"",VLOOKUP(S893,'[1]plan gier'!$X$1:$AN$65536,16,FALSE))</f>
        <v>0</v>
      </c>
      <c r="AN893" s="75">
        <f>IF(ISBLANK(S893),"",VLOOKUP(S893,'[1]plan gier'!$X$1:$AN$65536,17,FALSE))</f>
        <v>0</v>
      </c>
      <c r="AO893" s="76">
        <f t="shared" si="88"/>
        <v>21</v>
      </c>
      <c r="AP893" s="75">
        <f t="shared" si="88"/>
        <v>2</v>
      </c>
      <c r="AQ893" s="77">
        <f t="shared" si="88"/>
        <v>21</v>
      </c>
      <c r="AR893" s="75">
        <f t="shared" si="88"/>
        <v>6</v>
      </c>
      <c r="AS893" s="77">
        <f t="shared" si="88"/>
        <v>0</v>
      </c>
      <c r="AT893" s="75">
        <f t="shared" si="88"/>
        <v>0</v>
      </c>
      <c r="AU893" s="54">
        <f>SUM(AO893:AT893)</f>
        <v>50</v>
      </c>
      <c r="AV893" s="13">
        <v>3</v>
      </c>
      <c r="AW893" s="74">
        <f>IF(AI891&lt;AJ891,1,0)+IF(AK891&lt;AL891,1,0)+IF(AM891&lt;AN891,1,0)</f>
        <v>0</v>
      </c>
      <c r="AX893" s="75">
        <f>BA891</f>
        <v>2</v>
      </c>
      <c r="AY893" s="75">
        <f>IF(AI892&lt;AJ892,1,0)+IF(AK892&lt;AL892,1,0)+IF(AM892&lt;AN892,1,0)</f>
        <v>2</v>
      </c>
      <c r="AZ893" s="75">
        <f>BA892</f>
        <v>1</v>
      </c>
      <c r="BA893" s="78"/>
      <c r="BB893" s="79"/>
      <c r="BE893" s="74">
        <f>AP891+AR891+AT891+AP892+AR892+AT892</f>
        <v>70</v>
      </c>
      <c r="BF893" s="80">
        <f>AO891+AQ891+AS891+AO892+AQ892+AS892</f>
        <v>84</v>
      </c>
      <c r="BG893" s="74">
        <f>AW893+AY893</f>
        <v>2</v>
      </c>
      <c r="BH893" s="80">
        <f>AX893+AZ893</f>
        <v>3</v>
      </c>
      <c r="BI893" s="74">
        <f>IF(AW893&gt;AX893,1,0)+IF(AY893&gt;AZ893,1,0)</f>
        <v>1</v>
      </c>
      <c r="BJ893" s="81">
        <f>IF(AX893&gt;AW893,1,0)+IF(AZ893&gt;AY893,1,0)</f>
        <v>1</v>
      </c>
      <c r="BK893" s="82">
        <f>IF(BI893+BJ893=0,"",IF(BL893=MAX(BL891:BL893),1,IF(BL893=MIN(BL891:BL893),3,2)))</f>
        <v>2</v>
      </c>
      <c r="BL893" s="60">
        <f>IF(BI893+BJ893&lt;&gt;0,BI893+1+(BG893-BH893)/100+(BE893-BF893)/100000+(BE893/BF893)/1000000,0)</f>
        <v>1.9898608333333332</v>
      </c>
    </row>
    <row r="894" spans="1:64" ht="11.45" customHeight="1" x14ac:dyDescent="0.2">
      <c r="A894" s="2"/>
      <c r="J894" s="28"/>
      <c r="K894" s="28"/>
      <c r="L894" s="28"/>
      <c r="O894" s="28"/>
      <c r="P894" s="28"/>
      <c r="Q894" s="2"/>
      <c r="R894" s="2"/>
      <c r="S894" s="2"/>
      <c r="T894" s="241">
        <v>3</v>
      </c>
      <c r="U894" s="244" t="str">
        <f>IF(AND(N895&lt;&gt;"",N896&lt;&gt;""),CONCATENATE(VLOOKUP(N895,[1]zawodnicy!$A$1:$E$65536,1,FALSE)," ",VLOOKUP(N895,[1]zawodnicy!$A$1:$E$65536,2,FALSE)," ",VLOOKUP(N895,[1]zawodnicy!$A$1:$E$65536,3,FALSE)," - ",VLOOKUP(N895,[1]zawodnicy!$A$1:$E$65536,4,FALSE)),"")</f>
        <v/>
      </c>
      <c r="V894" s="245"/>
      <c r="W894" s="246"/>
      <c r="X894" s="46" t="str">
        <f>IF(SUM(AO891:AP891)=0,"",AP891&amp;":"&amp;AO891)</f>
        <v>8:21</v>
      </c>
      <c r="Y894" s="83" t="str">
        <f>IF(SUM(AO892:AP892)=0,"",AP892&amp;":"&amp;AO892)</f>
        <v>13:21</v>
      </c>
      <c r="Z894" s="84"/>
      <c r="AA894" s="247" t="str">
        <f>IF(SUM(AW893:AZ893)=0,"",BE893&amp;":"&amp;BF893)</f>
        <v>70:84</v>
      </c>
      <c r="AB894" s="250" t="str">
        <f>IF(SUM(AW893:AZ893)=0,"",BG893&amp;":"&amp;BH893)</f>
        <v>2:3</v>
      </c>
      <c r="AC894" s="250" t="str">
        <f>IF(SUM(AW893:AZ893)=0,"",BI893&amp;":"&amp;BJ893)</f>
        <v>1:1</v>
      </c>
      <c r="AD894" s="253">
        <f>IF(SUM(BI891:BI893)&gt;0,BK893,"")</f>
        <v>2</v>
      </c>
      <c r="AE894" s="2"/>
      <c r="AF894" s="12"/>
      <c r="AG894" s="12"/>
      <c r="BE894" s="19">
        <f>SUM(BE891:BE893)</f>
        <v>204</v>
      </c>
      <c r="BF894" s="19">
        <f>SUM(BF891:BF893)</f>
        <v>204</v>
      </c>
      <c r="BG894" s="19">
        <f>SUM(BG891:BG893)</f>
        <v>7</v>
      </c>
      <c r="BH894" s="19">
        <f>SUM(BH891:BH893)</f>
        <v>7</v>
      </c>
      <c r="BK894" s="19"/>
      <c r="BL894" s="20"/>
    </row>
    <row r="895" spans="1:64" ht="11.45" customHeight="1" x14ac:dyDescent="0.2">
      <c r="A895" s="19"/>
      <c r="J895" s="19"/>
      <c r="K895" s="19"/>
      <c r="L895" s="19"/>
      <c r="N895" s="33" t="s">
        <v>388</v>
      </c>
      <c r="O895" s="34">
        <f>IF(O887&gt;0,(O887&amp;3)*1,"")</f>
        <v>43</v>
      </c>
      <c r="Q895" s="85"/>
      <c r="R895" s="85"/>
      <c r="S895" s="85"/>
      <c r="T895" s="242"/>
      <c r="U895" s="244" t="str">
        <f>IF(AND(N895&lt;&gt;"",N896=""),CONCATENATE(VLOOKUP(N895,[1]zawodnicy!$A$1:$E$65536,1,FALSE)," ",VLOOKUP(N895,[1]zawodnicy!$A$1:$E$65536,2,FALSE)," ",VLOOKUP(N895,[1]zawodnicy!$A$1:$E$65536,3,FALSE)," - ",VLOOKUP(N895,[1]zawodnicy!$A$1:$E$65536,4,FALSE)),"")</f>
        <v>K5975 Izabella KAMOLA - UKS Badminton Stare Babice</v>
      </c>
      <c r="V895" s="245"/>
      <c r="W895" s="246"/>
      <c r="X895" s="61" t="str">
        <f>IF(SUM(AQ891:AR891)=0,"",AR891&amp;":"&amp;AQ891)</f>
        <v>7:21</v>
      </c>
      <c r="Y895" s="36" t="str">
        <f>IF(SUM(AQ892:AR892)=0,"",AR892&amp;":"&amp;AQ892)</f>
        <v>21:11</v>
      </c>
      <c r="Z895" s="86"/>
      <c r="AA895" s="248"/>
      <c r="AB895" s="251"/>
      <c r="AC895" s="251"/>
      <c r="AD895" s="254"/>
      <c r="AE895" s="2"/>
      <c r="AF895" s="12"/>
      <c r="AG895" s="1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row>
    <row r="896" spans="1:64" ht="11.45" customHeight="1" thickBot="1" x14ac:dyDescent="0.25">
      <c r="A896" s="2"/>
      <c r="J896" s="28"/>
      <c r="K896" s="28"/>
      <c r="L896" s="28"/>
      <c r="N896" s="38"/>
      <c r="O896" s="28"/>
      <c r="P896" s="28"/>
      <c r="Q896" s="2"/>
      <c r="R896" s="2"/>
      <c r="S896" s="2"/>
      <c r="T896" s="243"/>
      <c r="U896" s="256" t="str">
        <f>IF(N896&lt;&gt;"",CONCATENATE(VLOOKUP(N896,[1]zawodnicy!$A$1:$E$65536,1,FALSE)," ",VLOOKUP(N896,[1]zawodnicy!$A$1:$E$65536,2,FALSE)," ",VLOOKUP(N896,[1]zawodnicy!$A$1:$E$65536,3,FALSE)," - ",VLOOKUP(N896,[1]zawodnicy!$A$1:$E$65536,4,FALSE)),"")</f>
        <v/>
      </c>
      <c r="V896" s="257"/>
      <c r="W896" s="258"/>
      <c r="X896" s="87" t="str">
        <f>IF(SUM(AS891:AT891)=0,"",AT891&amp;":"&amp;AS891)</f>
        <v/>
      </c>
      <c r="Y896" s="88" t="str">
        <f>IF(SUM(AS892:AT892)=0,"",AT892&amp;":"&amp;AS892)</f>
        <v>21:10</v>
      </c>
      <c r="Z896" s="89"/>
      <c r="AA896" s="249"/>
      <c r="AB896" s="252"/>
      <c r="AC896" s="252"/>
      <c r="AD896" s="255"/>
      <c r="AE896" s="10"/>
      <c r="AF896" s="12"/>
      <c r="AG896" s="1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row>
    <row r="897" spans="1:64" s="19" customFormat="1" ht="5.0999999999999996" customHeight="1" thickBot="1" x14ac:dyDescent="0.25">
      <c r="M897" s="90"/>
      <c r="O897" s="90"/>
      <c r="P897" s="90"/>
      <c r="Q897" s="91"/>
      <c r="R897" s="91"/>
      <c r="S897" s="91"/>
      <c r="T897" s="91"/>
      <c r="U897" s="5"/>
      <c r="V897" s="5"/>
      <c r="W897" s="5"/>
      <c r="AA897" s="92"/>
      <c r="AB897" s="91"/>
      <c r="AC897" s="91"/>
      <c r="AD897" s="91"/>
      <c r="AE897" s="91"/>
      <c r="AF897" s="91"/>
      <c r="AI897" s="93"/>
      <c r="AJ897" s="94"/>
      <c r="AK897" s="94"/>
    </row>
    <row r="898" spans="1:64" ht="11.45" customHeight="1" thickBot="1" x14ac:dyDescent="0.25">
      <c r="N898" s="11"/>
      <c r="O898" s="21">
        <v>5</v>
      </c>
      <c r="Q898" s="277" t="str">
        <f>"Grupa "&amp;O898&amp;"."</f>
        <v>Grupa 5.</v>
      </c>
      <c r="R898" s="277"/>
      <c r="S898" s="277"/>
      <c r="T898" s="22" t="s">
        <v>1</v>
      </c>
      <c r="U898" s="278" t="s">
        <v>2</v>
      </c>
      <c r="V898" s="279"/>
      <c r="W898" s="280"/>
      <c r="X898" s="22">
        <v>1</v>
      </c>
      <c r="Y898" s="23">
        <v>2</v>
      </c>
      <c r="Z898" s="24">
        <v>3</v>
      </c>
      <c r="AA898" s="25" t="s">
        <v>3</v>
      </c>
      <c r="AB898" s="26" t="s">
        <v>4</v>
      </c>
      <c r="AC898" s="26" t="s">
        <v>5</v>
      </c>
      <c r="AD898" s="27" t="s">
        <v>6</v>
      </c>
      <c r="AE898" s="2"/>
      <c r="AF898" s="12"/>
      <c r="AG898" s="12"/>
      <c r="BK898" s="19"/>
      <c r="BL898" s="20"/>
    </row>
    <row r="899" spans="1:64" ht="11.45" customHeight="1" x14ac:dyDescent="0.2">
      <c r="J899" s="28"/>
      <c r="K899" s="28"/>
      <c r="L899" s="28"/>
      <c r="N899" s="29" t="s">
        <v>378</v>
      </c>
      <c r="Q899" s="274" t="s">
        <v>7</v>
      </c>
      <c r="R899" s="274"/>
      <c r="S899" s="275" t="s">
        <v>8</v>
      </c>
      <c r="T899" s="276">
        <v>1</v>
      </c>
      <c r="U899" s="244" t="str">
        <f>IF(AND(N900&lt;&gt;"",N901&lt;&gt;""),CONCATENATE(VLOOKUP(N900,[1]zawodnicy!$A$1:$E$65536,1,FALSE)," ",VLOOKUP(N900,[1]zawodnicy!$A$1:$E$65536,2,FALSE)," ",VLOOKUP(N900,[1]zawodnicy!$A$1:$E$65536,3,FALSE)," - ",VLOOKUP(N900,[1]zawodnicy!$A$1:$E$65536,4,FALSE)),"")</f>
        <v/>
      </c>
      <c r="V899" s="245"/>
      <c r="W899" s="246"/>
      <c r="X899" s="30"/>
      <c r="Y899" s="31" t="str">
        <f>IF(SUM(AO904:AP904)=0,"",AO904&amp;":"&amp;AP904)</f>
        <v>13:21</v>
      </c>
      <c r="Z899" s="32" t="str">
        <f>IF(SUM(AO902:AP902)=0,"",AO902&amp;":"&amp;AP902)</f>
        <v>21:5</v>
      </c>
      <c r="AA899" s="270" t="str">
        <f>IF(SUM(AY902:BB902)=0,"",BE902&amp;":"&amp;BF902)</f>
        <v>66:55</v>
      </c>
      <c r="AB899" s="271" t="str">
        <f>IF(SUM(AY902:BB902)=0,"",BG902&amp;":"&amp;BH902)</f>
        <v>2:2</v>
      </c>
      <c r="AC899" s="271" t="str">
        <f>IF(SUM(AY902:BB902)=0,"",BI902&amp;":"&amp;BJ902)</f>
        <v>1:1</v>
      </c>
      <c r="AD899" s="272">
        <f>IF(SUM(BI902:BI904)&gt;0,BK902,"")</f>
        <v>2</v>
      </c>
      <c r="AE899" s="2"/>
      <c r="AF899" s="12"/>
      <c r="AG899" s="12"/>
      <c r="AH899" s="14"/>
      <c r="AI899" s="273" t="s">
        <v>9</v>
      </c>
      <c r="AJ899" s="273"/>
      <c r="AK899" s="273"/>
      <c r="AL899" s="273"/>
      <c r="AM899" s="273"/>
      <c r="AN899" s="273"/>
      <c r="AO899" s="273" t="s">
        <v>10</v>
      </c>
      <c r="AP899" s="273"/>
      <c r="AQ899" s="273"/>
      <c r="AR899" s="273"/>
      <c r="AS899" s="273"/>
      <c r="AT899" s="273"/>
      <c r="BK899" s="19"/>
      <c r="BL899" s="20"/>
    </row>
    <row r="900" spans="1:64" ht="11.45" customHeight="1" thickBot="1" x14ac:dyDescent="0.25">
      <c r="I900" s="2" t="str">
        <f>"1"&amp;O898&amp;N899</f>
        <v>15pojedyncza dziewcząt Ż</v>
      </c>
      <c r="J900" s="10" t="str">
        <f>IF(AD899="","",IF(AD899=1,N900,IF(AD902=1,N903,IF(AD905=1,N906,""))))</f>
        <v>R5626</v>
      </c>
      <c r="K900" s="10">
        <f>IF(AD899="","",IF(AD899=1,N901,IF(AD902=1,N904,IF(AD905=1,N907,""))))</f>
        <v>0</v>
      </c>
      <c r="L900" s="10"/>
      <c r="N900" s="33" t="s">
        <v>327</v>
      </c>
      <c r="O900" s="34">
        <f>IF(O898&gt;0,(O898&amp;1)*1,"")</f>
        <v>51</v>
      </c>
      <c r="Q900" s="274"/>
      <c r="R900" s="274"/>
      <c r="S900" s="275"/>
      <c r="T900" s="242"/>
      <c r="U900" s="244" t="str">
        <f>IF(AND(N900&lt;&gt;"",N901=""),CONCATENATE(VLOOKUP(N900,[1]zawodnicy!$A$1:$E$65536,1,FALSE)," ",VLOOKUP(N900,[1]zawodnicy!$A$1:$E$65536,2,FALSE)," ",VLOOKUP(N900,[1]zawodnicy!$A$1:$E$65536,3,FALSE)," - ",VLOOKUP(N900,[1]zawodnicy!$A$1:$E$65536,4,FALSE)),"")</f>
        <v>X35 Hanna ABRAMAVA - Białoruś</v>
      </c>
      <c r="V900" s="245"/>
      <c r="W900" s="246"/>
      <c r="X900" s="35"/>
      <c r="Y900" s="36" t="str">
        <f>IF(SUM(AQ904:AR904)=0,"",AQ904&amp;":"&amp;AR904)</f>
        <v>11:21</v>
      </c>
      <c r="Z900" s="37" t="str">
        <f>IF(SUM(AQ902:AR902)=0,"",AQ902&amp;":"&amp;AR902)</f>
        <v>21:8</v>
      </c>
      <c r="AA900" s="248"/>
      <c r="AB900" s="251"/>
      <c r="AC900" s="251"/>
      <c r="AD900" s="254"/>
      <c r="AE900" s="2"/>
      <c r="AF900" s="12"/>
      <c r="AG900" s="12"/>
      <c r="AH900" s="14"/>
      <c r="BE900" s="19">
        <f>SUM(BE902:BE904)</f>
        <v>176</v>
      </c>
      <c r="BF900" s="19">
        <f>SUM(BF902:BF904)</f>
        <v>176</v>
      </c>
      <c r="BG900" s="19">
        <f>SUM(BG902:BG904)</f>
        <v>6</v>
      </c>
      <c r="BH900" s="19">
        <f>SUM(BH902:BH904)</f>
        <v>6</v>
      </c>
      <c r="BK900" s="19"/>
      <c r="BL900" s="20"/>
    </row>
    <row r="901" spans="1:64" ht="11.45" customHeight="1" thickBot="1" x14ac:dyDescent="0.25">
      <c r="J901" s="10"/>
      <c r="K901" s="28"/>
      <c r="L901" s="28"/>
      <c r="N901" s="38"/>
      <c r="O901" s="28"/>
      <c r="P901" s="28"/>
      <c r="Q901" s="274"/>
      <c r="R901" s="274"/>
      <c r="S901" s="275"/>
      <c r="T901" s="261"/>
      <c r="U901" s="265" t="str">
        <f>IF(N901&lt;&gt;"",CONCATENATE(VLOOKUP(N901,[1]zawodnicy!$A$1:$E$65536,1,FALSE)," ",VLOOKUP(N901,[1]zawodnicy!$A$1:$E$65536,2,FALSE)," ",VLOOKUP(N901,[1]zawodnicy!$A$1:$E$65536,3,FALSE)," - ",VLOOKUP(N901,[1]zawodnicy!$A$1:$E$65536,4,FALSE)),"")</f>
        <v/>
      </c>
      <c r="V901" s="266"/>
      <c r="W901" s="267"/>
      <c r="X901" s="35"/>
      <c r="Y901" s="39" t="str">
        <f>IF(SUM(AS904:AT904)=0,"",AS904&amp;":"&amp;AT904)</f>
        <v/>
      </c>
      <c r="Z901" s="40" t="str">
        <f>IF(SUM(AS902:AT902)=0,"",AS902&amp;":"&amp;AT902)</f>
        <v/>
      </c>
      <c r="AA901" s="262"/>
      <c r="AB901" s="263"/>
      <c r="AC901" s="263"/>
      <c r="AD901" s="264"/>
      <c r="AE901" s="2"/>
      <c r="AF901" s="12"/>
      <c r="AG901" s="12"/>
      <c r="AH901" s="14"/>
      <c r="AI901" s="259" t="s">
        <v>12</v>
      </c>
      <c r="AJ901" s="269"/>
      <c r="AK901" s="268" t="s">
        <v>13</v>
      </c>
      <c r="AL901" s="269"/>
      <c r="AM901" s="268" t="s">
        <v>14</v>
      </c>
      <c r="AN901" s="260"/>
      <c r="AO901" s="259" t="s">
        <v>12</v>
      </c>
      <c r="AP901" s="269"/>
      <c r="AQ901" s="268" t="s">
        <v>13</v>
      </c>
      <c r="AR901" s="269"/>
      <c r="AS901" s="268" t="s">
        <v>14</v>
      </c>
      <c r="AT901" s="269"/>
      <c r="AU901" s="12"/>
      <c r="AV901" s="12"/>
      <c r="AW901" s="259">
        <v>1</v>
      </c>
      <c r="AX901" s="269"/>
      <c r="AY901" s="268">
        <v>2</v>
      </c>
      <c r="AZ901" s="269"/>
      <c r="BA901" s="268">
        <v>3</v>
      </c>
      <c r="BB901" s="260"/>
      <c r="BE901" s="259" t="s">
        <v>3</v>
      </c>
      <c r="BF901" s="260"/>
      <c r="BG901" s="259" t="s">
        <v>4</v>
      </c>
      <c r="BH901" s="260"/>
      <c r="BI901" s="259" t="s">
        <v>5</v>
      </c>
      <c r="BJ901" s="260"/>
      <c r="BK901" s="41" t="s">
        <v>6</v>
      </c>
      <c r="BL901" s="20"/>
    </row>
    <row r="902" spans="1:64" ht="11.45" customHeight="1" x14ac:dyDescent="0.2">
      <c r="A902" s="19">
        <f>S902</f>
        <v>254</v>
      </c>
      <c r="B902" s="2" t="str">
        <f>IF(N900="","",N900)</f>
        <v>X35</v>
      </c>
      <c r="C902" s="2" t="str">
        <f>IF(N901="","",N901)</f>
        <v/>
      </c>
      <c r="D902" s="2" t="str">
        <f>IF(N906="","",N906)</f>
        <v>X27</v>
      </c>
      <c r="E902" s="2" t="str">
        <f>IF(N907="","",N907)</f>
        <v/>
      </c>
      <c r="I902" s="2" t="str">
        <f>"2"&amp;O898&amp;N899</f>
        <v>25pojedyncza dziewcząt Ż</v>
      </c>
      <c r="J902" s="10" t="str">
        <f>IF(AD902="","",IF(AD899=2,N900,IF(AD902=2,N903,IF(AD905=2,N906,""))))</f>
        <v>X35</v>
      </c>
      <c r="K902" s="10">
        <f>IF(AD902="","",IF(AD899=2,N901,IF(AD902=2,N904,IF(AD905=2,N907,""))))</f>
        <v>0</v>
      </c>
      <c r="M902" s="42" t="str">
        <f>N899</f>
        <v>pojedyncza dziewcząt Ż</v>
      </c>
      <c r="O902" s="28"/>
      <c r="P902" s="28"/>
      <c r="Q902" s="43" t="str">
        <f>IF(AU902&gt;0,"",IF(A902=0,"",IF(VLOOKUP(A902,'[1]plan gier'!A$1:S$65536,19,FALSE)="","",VLOOKUP(A902,'[1]plan gier'!A$1:S$65536,19,FALSE))))</f>
        <v/>
      </c>
      <c r="R902" s="44" t="s">
        <v>15</v>
      </c>
      <c r="S902" s="45">
        <v>254</v>
      </c>
      <c r="T902" s="241">
        <v>2</v>
      </c>
      <c r="U902" s="244" t="str">
        <f>IF(AND(N903&lt;&gt;"",N904&lt;&gt;""),CONCATENATE(VLOOKUP(N903,[1]zawodnicy!$A$1:$E$65536,1,FALSE)," ",VLOOKUP(N903,[1]zawodnicy!$A$1:$E$65536,2,FALSE)," ",VLOOKUP(N903,[1]zawodnicy!$A$1:$E$65536,3,FALSE)," - ",VLOOKUP(N903,[1]zawodnicy!$A$1:$E$65536,4,FALSE)),"")</f>
        <v/>
      </c>
      <c r="V902" s="245"/>
      <c r="W902" s="246"/>
      <c r="X902" s="46" t="str">
        <f>IF(SUM(AO904:AP904)=0,"",AP904&amp;":"&amp;AO904)</f>
        <v>21:13</v>
      </c>
      <c r="Y902" s="47"/>
      <c r="Z902" s="48" t="str">
        <f>IF(SUM(AO903:AP903)=0,"",AO903&amp;":"&amp;AP903)</f>
        <v>21:7</v>
      </c>
      <c r="AA902" s="247" t="str">
        <f>IF(SUM(AW903:AX903,BA903:BB903)=0,"",BE903&amp;":"&amp;BF903)</f>
        <v>84:37</v>
      </c>
      <c r="AB902" s="250" t="str">
        <f>IF(SUM(AW903:AX903,BA903:BB903)=0,"",BG903&amp;":"&amp;BH903)</f>
        <v>4:0</v>
      </c>
      <c r="AC902" s="250" t="str">
        <f>IF(SUM(AW903:AX903,BA903:BB903)=0,"",BI903&amp;":"&amp;BJ903)</f>
        <v>2:0</v>
      </c>
      <c r="AD902" s="253">
        <f>IF(SUM(BI902:BI904)&gt;0,BK903,"")</f>
        <v>1</v>
      </c>
      <c r="AE902" s="2"/>
      <c r="AF902" s="12"/>
      <c r="AG902" s="12"/>
      <c r="AH902" s="44" t="s">
        <v>15</v>
      </c>
      <c r="AI902" s="49">
        <f>IF(ISBLANK(S902),"",VLOOKUP(S902,'[1]plan gier'!$X$1:$AN$65536,12,FALSE))</f>
        <v>21</v>
      </c>
      <c r="AJ902" s="50">
        <f>IF(ISBLANK(S902),"",VLOOKUP(S902,'[1]plan gier'!$X$1:$AN$65536,13,FALSE))</f>
        <v>5</v>
      </c>
      <c r="AK902" s="50">
        <f>IF(ISBLANK(S902),"",VLOOKUP(S902,'[1]plan gier'!$X$1:$AN$65536,14,FALSE))</f>
        <v>21</v>
      </c>
      <c r="AL902" s="50">
        <f>IF(ISBLANK(S902),"",VLOOKUP(S902,'[1]plan gier'!$X$1:$AN$65536,15,FALSE))</f>
        <v>8</v>
      </c>
      <c r="AM902" s="50">
        <f>IF(ISBLANK(S902),"",VLOOKUP(S902,'[1]plan gier'!$X$1:$AN$65536,16,FALSE))</f>
        <v>0</v>
      </c>
      <c r="AN902" s="50">
        <f>IF(ISBLANK(S902),"",VLOOKUP(S902,'[1]plan gier'!$X$1:$AN$65536,17,FALSE))</f>
        <v>0</v>
      </c>
      <c r="AO902" s="51">
        <f t="shared" ref="AO902:AT904" si="89">IF(AI902="",0,AI902)</f>
        <v>21</v>
      </c>
      <c r="AP902" s="52">
        <f t="shared" si="89"/>
        <v>5</v>
      </c>
      <c r="AQ902" s="53">
        <f t="shared" si="89"/>
        <v>21</v>
      </c>
      <c r="AR902" s="52">
        <f t="shared" si="89"/>
        <v>8</v>
      </c>
      <c r="AS902" s="53">
        <f t="shared" si="89"/>
        <v>0</v>
      </c>
      <c r="AT902" s="52">
        <f t="shared" si="89"/>
        <v>0</v>
      </c>
      <c r="AU902" s="54">
        <f>SUM(AO902:AT902)</f>
        <v>55</v>
      </c>
      <c r="AV902" s="13">
        <v>1</v>
      </c>
      <c r="AW902" s="55"/>
      <c r="AX902" s="56"/>
      <c r="AY902" s="50">
        <f>IF(AI904&gt;AJ904,1,0)+IF(AK904&gt;AL904,1,0)+IF(AM904&gt;AN904,1,0)</f>
        <v>0</v>
      </c>
      <c r="AZ902" s="50">
        <f>AW903</f>
        <v>2</v>
      </c>
      <c r="BA902" s="50">
        <f>IF(AI902&gt;AJ902,1,0)+IF(AK902&gt;AL902,1,0)+IF(AM902&gt;AN902,1,0)</f>
        <v>2</v>
      </c>
      <c r="BB902" s="57">
        <f>AW904</f>
        <v>0</v>
      </c>
      <c r="BE902" s="49">
        <f>AO902+AQ902+AS902+AO904+AQ904+AS904</f>
        <v>66</v>
      </c>
      <c r="BF902" s="57">
        <f>AP902+AR902+AT902+AP904+AR904+AT904</f>
        <v>55</v>
      </c>
      <c r="BG902" s="49">
        <f>AY902+BA902</f>
        <v>2</v>
      </c>
      <c r="BH902" s="57">
        <f>AZ902+BB902</f>
        <v>2</v>
      </c>
      <c r="BI902" s="49">
        <f>IF(AY902&gt;AZ902,1,0)+IF(BA902&gt;BB902,1,0)</f>
        <v>1</v>
      </c>
      <c r="BJ902" s="58">
        <f>IF(AZ902&gt;AY902,1,0)+IF(BB902&gt;BA902,1,0)</f>
        <v>1</v>
      </c>
      <c r="BK902" s="59">
        <f>IF(BI902+BJ902=0,"",IF(BL902=MAX(BL902:BL904),1,IF(BL902=MIN(BL902:BL904),3,2)))</f>
        <v>2</v>
      </c>
      <c r="BL902" s="60">
        <f>IF(BI902+BJ902&lt;&gt;0,BI902+1+(BG902-BH902)/100+(BE902-BF902)/100000+(BE902/BF902)/1000000,0)</f>
        <v>2.0001111999999996</v>
      </c>
    </row>
    <row r="903" spans="1:64" ht="11.45" customHeight="1" x14ac:dyDescent="0.2">
      <c r="A903" s="19">
        <f>S903</f>
        <v>296</v>
      </c>
      <c r="B903" s="2" t="str">
        <f>IF(N903="","",N903)</f>
        <v>R5626</v>
      </c>
      <c r="C903" s="2" t="str">
        <f>IF(N904="","",N904)</f>
        <v/>
      </c>
      <c r="D903" s="2" t="str">
        <f>IF(N906="","",N906)</f>
        <v>X27</v>
      </c>
      <c r="E903" s="2" t="str">
        <f>IF(N907="","",N907)</f>
        <v/>
      </c>
      <c r="J903" s="10"/>
      <c r="K903" s="19"/>
      <c r="M903" s="42" t="str">
        <f>N899</f>
        <v>pojedyncza dziewcząt Ż</v>
      </c>
      <c r="N903" s="33" t="s">
        <v>389</v>
      </c>
      <c r="O903" s="34">
        <f>IF(O898&gt;0,(O898&amp;2)*1,"")</f>
        <v>52</v>
      </c>
      <c r="Q903" s="43" t="str">
        <f>IF(AU903&gt;0,"",IF(A903=0,"",IF(VLOOKUP(A903,'[1]plan gier'!A$1:S$65536,19,FALSE)="","",VLOOKUP(A903,'[1]plan gier'!A$1:S$65536,19,FALSE))))</f>
        <v/>
      </c>
      <c r="R903" s="44" t="s">
        <v>17</v>
      </c>
      <c r="S903" s="45">
        <v>296</v>
      </c>
      <c r="T903" s="242"/>
      <c r="U903" s="244" t="str">
        <f>IF(AND(N903&lt;&gt;"",N904=""),CONCATENATE(VLOOKUP(N903,[1]zawodnicy!$A$1:$E$65536,1,FALSE)," ",VLOOKUP(N903,[1]zawodnicy!$A$1:$E$65536,2,FALSE)," ",VLOOKUP(N903,[1]zawodnicy!$A$1:$E$65536,3,FALSE)," - ",VLOOKUP(N903,[1]zawodnicy!$A$1:$E$65536,4,FALSE)),"")</f>
        <v>R5626 Anna RADTKE - ULKS U-2 Lotka Bytów</v>
      </c>
      <c r="V903" s="245"/>
      <c r="W903" s="246"/>
      <c r="X903" s="61" t="str">
        <f>IF(SUM(AQ904:AR904)=0,"",AR904&amp;":"&amp;AQ904)</f>
        <v>21:11</v>
      </c>
      <c r="Y903" s="62"/>
      <c r="Z903" s="37" t="str">
        <f>IF(SUM(AQ903:AR903)=0,"",AQ903&amp;":"&amp;AR903)</f>
        <v>21:6</v>
      </c>
      <c r="AA903" s="248"/>
      <c r="AB903" s="251"/>
      <c r="AC903" s="251"/>
      <c r="AD903" s="254"/>
      <c r="AE903" s="2"/>
      <c r="AF903" s="12"/>
      <c r="AG903" s="12"/>
      <c r="AH903" s="44" t="s">
        <v>17</v>
      </c>
      <c r="AI903" s="63">
        <f>IF(ISBLANK(S903),"",VLOOKUP(S903,'[1]plan gier'!$X$1:$AN$65536,12,FALSE))</f>
        <v>21</v>
      </c>
      <c r="AJ903" s="64">
        <f>IF(ISBLANK(S903),"",VLOOKUP(S903,'[1]plan gier'!$X$1:$AN$65536,13,FALSE))</f>
        <v>7</v>
      </c>
      <c r="AK903" s="64">
        <f>IF(ISBLANK(S903),"",VLOOKUP(S903,'[1]plan gier'!$X$1:$AN$65536,14,FALSE))</f>
        <v>21</v>
      </c>
      <c r="AL903" s="64">
        <f>IF(ISBLANK(S903),"",VLOOKUP(S903,'[1]plan gier'!$X$1:$AN$65536,15,FALSE))</f>
        <v>6</v>
      </c>
      <c r="AM903" s="64">
        <f>IF(ISBLANK(S903),"",VLOOKUP(S903,'[1]plan gier'!$X$1:$AN$65536,16,FALSE))</f>
        <v>0</v>
      </c>
      <c r="AN903" s="64">
        <f>IF(ISBLANK(S903),"",VLOOKUP(S903,'[1]plan gier'!$X$1:$AN$65536,17,FALSE))</f>
        <v>0</v>
      </c>
      <c r="AO903" s="65">
        <f t="shared" si="89"/>
        <v>21</v>
      </c>
      <c r="AP903" s="64">
        <f t="shared" si="89"/>
        <v>7</v>
      </c>
      <c r="AQ903" s="66">
        <f t="shared" si="89"/>
        <v>21</v>
      </c>
      <c r="AR903" s="64">
        <f t="shared" si="89"/>
        <v>6</v>
      </c>
      <c r="AS903" s="66">
        <f t="shared" si="89"/>
        <v>0</v>
      </c>
      <c r="AT903" s="64">
        <f t="shared" si="89"/>
        <v>0</v>
      </c>
      <c r="AU903" s="54">
        <f>SUM(AO903:AT903)</f>
        <v>55</v>
      </c>
      <c r="AV903" s="13">
        <v>2</v>
      </c>
      <c r="AW903" s="63">
        <f>IF(AI904&lt;AJ904,1,0)+IF(AK904&lt;AL904,1,0)+IF(AM904&lt;AN904,1,0)</f>
        <v>2</v>
      </c>
      <c r="AX903" s="64">
        <f>AY902</f>
        <v>0</v>
      </c>
      <c r="AY903" s="67"/>
      <c r="AZ903" s="68"/>
      <c r="BA903" s="64">
        <f>IF(AI903&gt;AJ903,1,0)+IF(AK903&gt;AL903,1,0)+IF(AM903&gt;AN903,1,0)</f>
        <v>2</v>
      </c>
      <c r="BB903" s="69">
        <f>AY904</f>
        <v>0</v>
      </c>
      <c r="BE903" s="63">
        <f>AO903+AQ903+AS903+AP904+AR904+AT904</f>
        <v>84</v>
      </c>
      <c r="BF903" s="69">
        <f>AP903+AR903+AT903+AO904+AQ904+AS904</f>
        <v>37</v>
      </c>
      <c r="BG903" s="63">
        <f>AW903+BA903</f>
        <v>4</v>
      </c>
      <c r="BH903" s="69">
        <f>AX903+BB903</f>
        <v>0</v>
      </c>
      <c r="BI903" s="63">
        <f>IF(AW903&gt;AX903,1,0)+IF(BA903&gt;BB903,1,0)</f>
        <v>2</v>
      </c>
      <c r="BJ903" s="70">
        <f>IF(AX903&gt;AW903,1,0)+IF(BB903&gt;BA903,1,0)</f>
        <v>0</v>
      </c>
      <c r="BK903" s="71">
        <f>IF(BI903+BJ903=0,"",IF(BL903=MAX(BL902:BL904),1,IF(BL903=MIN(BL902:BL904),3,2)))</f>
        <v>1</v>
      </c>
      <c r="BL903" s="60">
        <f>IF(BI903+BJ903&lt;&gt;0,BI903+1+(BG903-BH903)/100+(BE903-BF903)/100000+(BE903/BF903)/1000000,0)</f>
        <v>3.0404722702702704</v>
      </c>
    </row>
    <row r="904" spans="1:64" ht="11.45" customHeight="1" thickBot="1" x14ac:dyDescent="0.25">
      <c r="A904" s="19">
        <f>S904</f>
        <v>354</v>
      </c>
      <c r="B904" s="2" t="str">
        <f>IF(N900="","",N900)</f>
        <v>X35</v>
      </c>
      <c r="C904" s="2" t="str">
        <f>IF(N901="","",N901)</f>
        <v/>
      </c>
      <c r="D904" s="2" t="str">
        <f>IF(N903="","",N903)</f>
        <v>R5626</v>
      </c>
      <c r="E904" s="2" t="str">
        <f>IF(N904="","",N904)</f>
        <v/>
      </c>
      <c r="I904" s="2" t="str">
        <f>"3"&amp;O898&amp;N899</f>
        <v>35pojedyncza dziewcząt Ż</v>
      </c>
      <c r="J904" s="10" t="str">
        <f>IF(AD905="","",IF(AD899=3,N900,IF(AD902=3,N903,IF(AD905=3,N906,""))))</f>
        <v>X27</v>
      </c>
      <c r="K904" s="10">
        <f>IF(AD905="","",IF(AD899=3,N901,IF(AD902=3,N904,IF(AD905=3,N907,""))))</f>
        <v>0</v>
      </c>
      <c r="M904" s="42" t="str">
        <f>N899</f>
        <v>pojedyncza dziewcząt Ż</v>
      </c>
      <c r="N904" s="38"/>
      <c r="O904" s="28"/>
      <c r="P904" s="28"/>
      <c r="Q904" s="43" t="str">
        <f>IF(AU904&gt;0,"",IF(A904=0,"",IF(VLOOKUP(A904,'[1]plan gier'!A$1:S$65536,19,FALSE)="","",VLOOKUP(A904,'[1]plan gier'!A$1:S$65536,19,FALSE))))</f>
        <v/>
      </c>
      <c r="R904" s="72" t="s">
        <v>18</v>
      </c>
      <c r="S904" s="45">
        <v>354</v>
      </c>
      <c r="T904" s="261"/>
      <c r="U904" s="265" t="str">
        <f>IF(N904&lt;&gt;"",CONCATENATE(VLOOKUP(N904,[1]zawodnicy!$A$1:$E$65536,1,FALSE)," ",VLOOKUP(N904,[1]zawodnicy!$A$1:$E$65536,2,FALSE)," ",VLOOKUP(N904,[1]zawodnicy!$A$1:$E$65536,3,FALSE)," - ",VLOOKUP(N904,[1]zawodnicy!$A$1:$E$65536,4,FALSE)),"")</f>
        <v/>
      </c>
      <c r="V904" s="266"/>
      <c r="W904" s="267"/>
      <c r="X904" s="73" t="str">
        <f>IF(SUM(AS904:AT904)=0,"",AT904&amp;":"&amp;AS904)</f>
        <v/>
      </c>
      <c r="Y904" s="62"/>
      <c r="Z904" s="40" t="str">
        <f>IF(SUM(AS903:AT903)=0,"",AS903&amp;":"&amp;AT903)</f>
        <v/>
      </c>
      <c r="AA904" s="262"/>
      <c r="AB904" s="263"/>
      <c r="AC904" s="263"/>
      <c r="AD904" s="264"/>
      <c r="AE904" s="2"/>
      <c r="AF904" s="12"/>
      <c r="AG904" s="12"/>
      <c r="AH904" s="72" t="s">
        <v>18</v>
      </c>
      <c r="AI904" s="74">
        <f>IF(ISBLANK(S904),"",VLOOKUP(S904,'[1]plan gier'!$X$1:$AN$65536,12,FALSE))</f>
        <v>13</v>
      </c>
      <c r="AJ904" s="75">
        <f>IF(ISBLANK(S904),"",VLOOKUP(S904,'[1]plan gier'!$X$1:$AN$65536,13,FALSE))</f>
        <v>21</v>
      </c>
      <c r="AK904" s="75">
        <f>IF(ISBLANK(S904),"",VLOOKUP(S904,'[1]plan gier'!$X$1:$AN$65536,14,FALSE))</f>
        <v>11</v>
      </c>
      <c r="AL904" s="75">
        <f>IF(ISBLANK(S904),"",VLOOKUP(S904,'[1]plan gier'!$X$1:$AN$65536,15,FALSE))</f>
        <v>21</v>
      </c>
      <c r="AM904" s="75">
        <f>IF(ISBLANK(S904),"",VLOOKUP(S904,'[1]plan gier'!$X$1:$AN$65536,16,FALSE))</f>
        <v>0</v>
      </c>
      <c r="AN904" s="75">
        <f>IF(ISBLANK(S904),"",VLOOKUP(S904,'[1]plan gier'!$X$1:$AN$65536,17,FALSE))</f>
        <v>0</v>
      </c>
      <c r="AO904" s="76">
        <f t="shared" si="89"/>
        <v>13</v>
      </c>
      <c r="AP904" s="75">
        <f t="shared" si="89"/>
        <v>21</v>
      </c>
      <c r="AQ904" s="77">
        <f t="shared" si="89"/>
        <v>11</v>
      </c>
      <c r="AR904" s="75">
        <f t="shared" si="89"/>
        <v>21</v>
      </c>
      <c r="AS904" s="77">
        <f t="shared" si="89"/>
        <v>0</v>
      </c>
      <c r="AT904" s="75">
        <f t="shared" si="89"/>
        <v>0</v>
      </c>
      <c r="AU904" s="54">
        <f>SUM(AO904:AT904)</f>
        <v>66</v>
      </c>
      <c r="AV904" s="13">
        <v>3</v>
      </c>
      <c r="AW904" s="74">
        <f>IF(AI902&lt;AJ902,1,0)+IF(AK902&lt;AL902,1,0)+IF(AM902&lt;AN902,1,0)</f>
        <v>0</v>
      </c>
      <c r="AX904" s="75">
        <f>BA902</f>
        <v>2</v>
      </c>
      <c r="AY904" s="75">
        <f>IF(AI903&lt;AJ903,1,0)+IF(AK903&lt;AL903,1,0)+IF(AM903&lt;AN903,1,0)</f>
        <v>0</v>
      </c>
      <c r="AZ904" s="75">
        <f>BA903</f>
        <v>2</v>
      </c>
      <c r="BA904" s="78"/>
      <c r="BB904" s="79"/>
      <c r="BE904" s="74">
        <f>AP902+AR902+AT902+AP903+AR903+AT903</f>
        <v>26</v>
      </c>
      <c r="BF904" s="80">
        <f>AO902+AQ902+AS902+AO903+AQ903+AS903</f>
        <v>84</v>
      </c>
      <c r="BG904" s="74">
        <f>AW904+AY904</f>
        <v>0</v>
      </c>
      <c r="BH904" s="80">
        <f>AX904+AZ904</f>
        <v>4</v>
      </c>
      <c r="BI904" s="74">
        <f>IF(AW904&gt;AX904,1,0)+IF(AY904&gt;AZ904,1,0)</f>
        <v>0</v>
      </c>
      <c r="BJ904" s="81">
        <f>IF(AX904&gt;AW904,1,0)+IF(AZ904&gt;AY904,1,0)</f>
        <v>2</v>
      </c>
      <c r="BK904" s="82">
        <f>IF(BI904+BJ904=0,"",IF(BL904=MAX(BL902:BL904),1,IF(BL904=MIN(BL902:BL904),3,2)))</f>
        <v>3</v>
      </c>
      <c r="BL904" s="60">
        <f>IF(BI904+BJ904&lt;&gt;0,BI904+1+(BG904-BH904)/100+(BE904-BF904)/100000+(BE904/BF904)/1000000,0)</f>
        <v>0.95942030952380941</v>
      </c>
    </row>
    <row r="905" spans="1:64" ht="11.45" customHeight="1" x14ac:dyDescent="0.2">
      <c r="A905" s="2"/>
      <c r="J905" s="28"/>
      <c r="K905" s="28"/>
      <c r="L905" s="28"/>
      <c r="O905" s="28"/>
      <c r="P905" s="28"/>
      <c r="Q905" s="2"/>
      <c r="R905" s="2"/>
      <c r="S905" s="2"/>
      <c r="T905" s="241">
        <v>3</v>
      </c>
      <c r="U905" s="244" t="str">
        <f>IF(AND(N906&lt;&gt;"",N907&lt;&gt;""),CONCATENATE(VLOOKUP(N906,[1]zawodnicy!$A$1:$E$65536,1,FALSE)," ",VLOOKUP(N906,[1]zawodnicy!$A$1:$E$65536,2,FALSE)," ",VLOOKUP(N906,[1]zawodnicy!$A$1:$E$65536,3,FALSE)," - ",VLOOKUP(N906,[1]zawodnicy!$A$1:$E$65536,4,FALSE)),"")</f>
        <v/>
      </c>
      <c r="V905" s="245"/>
      <c r="W905" s="246"/>
      <c r="X905" s="46" t="str">
        <f>IF(SUM(AO902:AP902)=0,"",AP902&amp;":"&amp;AO902)</f>
        <v>5:21</v>
      </c>
      <c r="Y905" s="83" t="str">
        <f>IF(SUM(AO903:AP903)=0,"",AP903&amp;":"&amp;AO903)</f>
        <v>7:21</v>
      </c>
      <c r="Z905" s="84"/>
      <c r="AA905" s="247" t="str">
        <f>IF(SUM(AW904:AZ904)=0,"",BE904&amp;":"&amp;BF904)</f>
        <v>26:84</v>
      </c>
      <c r="AB905" s="250" t="str">
        <f>IF(SUM(AW904:AZ904)=0,"",BG904&amp;":"&amp;BH904)</f>
        <v>0:4</v>
      </c>
      <c r="AC905" s="250" t="str">
        <f>IF(SUM(AW904:AZ904)=0,"",BI904&amp;":"&amp;BJ904)</f>
        <v>0:2</v>
      </c>
      <c r="AD905" s="253">
        <f>IF(SUM(BI902:BI904)&gt;0,BK904,"")</f>
        <v>3</v>
      </c>
      <c r="AE905" s="2"/>
      <c r="AF905" s="12"/>
      <c r="AG905" s="12"/>
      <c r="BE905" s="19">
        <f>SUM(BE902:BE904)</f>
        <v>176</v>
      </c>
      <c r="BF905" s="19">
        <f>SUM(BF902:BF904)</f>
        <v>176</v>
      </c>
      <c r="BG905" s="19">
        <f>SUM(BG902:BG904)</f>
        <v>6</v>
      </c>
      <c r="BH905" s="19">
        <f>SUM(BH902:BH904)</f>
        <v>6</v>
      </c>
      <c r="BK905" s="19"/>
      <c r="BL905" s="20"/>
    </row>
    <row r="906" spans="1:64" ht="11.45" customHeight="1" x14ac:dyDescent="0.2">
      <c r="A906" s="19"/>
      <c r="J906" s="19"/>
      <c r="K906" s="19"/>
      <c r="L906" s="19"/>
      <c r="N906" s="33" t="s">
        <v>390</v>
      </c>
      <c r="O906" s="34">
        <f>IF(O898&gt;0,(O898&amp;3)*1,"")</f>
        <v>53</v>
      </c>
      <c r="Q906" s="85"/>
      <c r="R906" s="85"/>
      <c r="S906" s="85"/>
      <c r="T906" s="242"/>
      <c r="U906" s="244" t="str">
        <f>IF(AND(N906&lt;&gt;"",N907=""),CONCATENATE(VLOOKUP(N906,[1]zawodnicy!$A$1:$E$65536,1,FALSE)," ",VLOOKUP(N906,[1]zawodnicy!$A$1:$E$65536,2,FALSE)," ",VLOOKUP(N906,[1]zawodnicy!$A$1:$E$65536,3,FALSE)," - ",VLOOKUP(N906,[1]zawodnicy!$A$1:$E$65536,4,FALSE)),"")</f>
        <v>X27 Viktoria PONOMARENKO - Vinnica Ukraina</v>
      </c>
      <c r="V906" s="245"/>
      <c r="W906" s="246"/>
      <c r="X906" s="61" t="str">
        <f>IF(SUM(AQ902:AR902)=0,"",AR902&amp;":"&amp;AQ902)</f>
        <v>8:21</v>
      </c>
      <c r="Y906" s="36" t="str">
        <f>IF(SUM(AQ903:AR903)=0,"",AR903&amp;":"&amp;AQ903)</f>
        <v>6:21</v>
      </c>
      <c r="Z906" s="86"/>
      <c r="AA906" s="248"/>
      <c r="AB906" s="251"/>
      <c r="AC906" s="251"/>
      <c r="AD906" s="254"/>
      <c r="AE906" s="2"/>
      <c r="AF906" s="12"/>
      <c r="AG906" s="1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row>
    <row r="907" spans="1:64" ht="11.45" customHeight="1" thickBot="1" x14ac:dyDescent="0.25">
      <c r="A907" s="2"/>
      <c r="J907" s="28"/>
      <c r="K907" s="28"/>
      <c r="L907" s="28"/>
      <c r="N907" s="38"/>
      <c r="O907" s="28"/>
      <c r="P907" s="28"/>
      <c r="Q907" s="2"/>
      <c r="R907" s="2"/>
      <c r="S907" s="2"/>
      <c r="T907" s="243"/>
      <c r="U907" s="256" t="str">
        <f>IF(N907&lt;&gt;"",CONCATENATE(VLOOKUP(N907,[1]zawodnicy!$A$1:$E$65536,1,FALSE)," ",VLOOKUP(N907,[1]zawodnicy!$A$1:$E$65536,2,FALSE)," ",VLOOKUP(N907,[1]zawodnicy!$A$1:$E$65536,3,FALSE)," - ",VLOOKUP(N907,[1]zawodnicy!$A$1:$E$65536,4,FALSE)),"")</f>
        <v/>
      </c>
      <c r="V907" s="257"/>
      <c r="W907" s="258"/>
      <c r="X907" s="87" t="str">
        <f>IF(SUM(AS902:AT902)=0,"",AT902&amp;":"&amp;AS902)</f>
        <v/>
      </c>
      <c r="Y907" s="88" t="str">
        <f>IF(SUM(AS903:AT903)=0,"",AT903&amp;":"&amp;AS903)</f>
        <v/>
      </c>
      <c r="Z907" s="89"/>
      <c r="AA907" s="249"/>
      <c r="AB907" s="252"/>
      <c r="AC907" s="252"/>
      <c r="AD907" s="255"/>
      <c r="AE907" s="10"/>
      <c r="AF907" s="12"/>
      <c r="AG907" s="1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row>
    <row r="908" spans="1:64" s="19" customFormat="1" ht="5.0999999999999996" customHeight="1" thickBot="1" x14ac:dyDescent="0.25">
      <c r="M908" s="90"/>
      <c r="O908" s="90"/>
      <c r="P908" s="90"/>
      <c r="Q908" s="91"/>
      <c r="R908" s="91"/>
      <c r="S908" s="91"/>
      <c r="T908" s="91"/>
      <c r="U908" s="5"/>
      <c r="V908" s="5"/>
      <c r="W908" s="5"/>
      <c r="AA908" s="92"/>
      <c r="AB908" s="91"/>
      <c r="AC908" s="91"/>
      <c r="AD908" s="91"/>
      <c r="AE908" s="91"/>
      <c r="AF908" s="91"/>
      <c r="AI908" s="93"/>
      <c r="AJ908" s="94"/>
      <c r="AK908" s="94"/>
    </row>
    <row r="909" spans="1:64" ht="11.45" customHeight="1" thickBot="1" x14ac:dyDescent="0.25">
      <c r="N909" s="11"/>
      <c r="O909" s="21">
        <v>6</v>
      </c>
      <c r="Q909" s="277" t="str">
        <f>"Grupa "&amp;O909&amp;"."</f>
        <v>Grupa 6.</v>
      </c>
      <c r="R909" s="277"/>
      <c r="S909" s="277"/>
      <c r="T909" s="22" t="s">
        <v>1</v>
      </c>
      <c r="U909" s="278" t="s">
        <v>2</v>
      </c>
      <c r="V909" s="279"/>
      <c r="W909" s="280"/>
      <c r="X909" s="22">
        <v>1</v>
      </c>
      <c r="Y909" s="23">
        <v>2</v>
      </c>
      <c r="Z909" s="24">
        <v>3</v>
      </c>
      <c r="AA909" s="25" t="s">
        <v>3</v>
      </c>
      <c r="AB909" s="26" t="s">
        <v>4</v>
      </c>
      <c r="AC909" s="26" t="s">
        <v>5</v>
      </c>
      <c r="AD909" s="27" t="s">
        <v>6</v>
      </c>
      <c r="AE909" s="2"/>
      <c r="AF909" s="12"/>
      <c r="AG909" s="12"/>
      <c r="BK909" s="19"/>
      <c r="BL909" s="20"/>
    </row>
    <row r="910" spans="1:64" ht="11.45" customHeight="1" x14ac:dyDescent="0.2">
      <c r="J910" s="28"/>
      <c r="K910" s="28"/>
      <c r="L910" s="28"/>
      <c r="N910" s="29" t="s">
        <v>378</v>
      </c>
      <c r="Q910" s="274" t="s">
        <v>7</v>
      </c>
      <c r="R910" s="274"/>
      <c r="S910" s="275" t="s">
        <v>8</v>
      </c>
      <c r="T910" s="276">
        <v>1</v>
      </c>
      <c r="U910" s="244" t="str">
        <f>IF(AND(N911&lt;&gt;"",N912&lt;&gt;""),CONCATENATE(VLOOKUP(N911,[1]zawodnicy!$A$1:$E$65536,1,FALSE)," ",VLOOKUP(N911,[1]zawodnicy!$A$1:$E$65536,2,FALSE)," ",VLOOKUP(N911,[1]zawodnicy!$A$1:$E$65536,3,FALSE)," - ",VLOOKUP(N911,[1]zawodnicy!$A$1:$E$65536,4,FALSE)),"")</f>
        <v/>
      </c>
      <c r="V910" s="245"/>
      <c r="W910" s="246"/>
      <c r="X910" s="30"/>
      <c r="Y910" s="31" t="str">
        <f>IF(SUM(AO915:AP915)=0,"",AO915&amp;":"&amp;AP915)</f>
        <v>21:19</v>
      </c>
      <c r="Z910" s="32" t="str">
        <f>IF(SUM(AO913:AP913)=0,"",AO913&amp;":"&amp;AP913)</f>
        <v>21:9</v>
      </c>
      <c r="AA910" s="270" t="str">
        <f>IF(SUM(AY913:BB913)=0,"",BE913&amp;":"&amp;BF913)</f>
        <v>90:79</v>
      </c>
      <c r="AB910" s="271" t="str">
        <f>IF(SUM(AY913:BB913)=0,"",BG913&amp;":"&amp;BH913)</f>
        <v>3:2</v>
      </c>
      <c r="AC910" s="271" t="str">
        <f>IF(SUM(AY913:BB913)=0,"",BI913&amp;":"&amp;BJ913)</f>
        <v>1:1</v>
      </c>
      <c r="AD910" s="272">
        <f>IF(SUM(BI913:BI915)&gt;0,BK913,"")</f>
        <v>2</v>
      </c>
      <c r="AE910" s="2"/>
      <c r="AF910" s="12"/>
      <c r="AG910" s="12"/>
      <c r="AH910" s="14"/>
      <c r="AI910" s="273" t="s">
        <v>9</v>
      </c>
      <c r="AJ910" s="273"/>
      <c r="AK910" s="273"/>
      <c r="AL910" s="273"/>
      <c r="AM910" s="273"/>
      <c r="AN910" s="273"/>
      <c r="AO910" s="273" t="s">
        <v>10</v>
      </c>
      <c r="AP910" s="273"/>
      <c r="AQ910" s="273"/>
      <c r="AR910" s="273"/>
      <c r="AS910" s="273"/>
      <c r="AT910" s="273"/>
      <c r="BK910" s="19"/>
      <c r="BL910" s="20"/>
    </row>
    <row r="911" spans="1:64" ht="11.45" customHeight="1" thickBot="1" x14ac:dyDescent="0.25">
      <c r="I911" s="2" t="str">
        <f>"1"&amp;O909&amp;N910</f>
        <v>16pojedyncza dziewcząt Ż</v>
      </c>
      <c r="J911" s="10" t="str">
        <f>IF(AD910="","",IF(AD910=1,N911,IF(AD913=1,N914,IF(AD916=1,N917,""))))</f>
        <v>M5269</v>
      </c>
      <c r="K911" s="10">
        <f>IF(AD910="","",IF(AD910=1,N912,IF(AD913=1,N915,IF(AD916=1,N918,""))))</f>
        <v>0</v>
      </c>
      <c r="L911" s="10"/>
      <c r="N911" s="33" t="s">
        <v>328</v>
      </c>
      <c r="O911" s="34">
        <f>IF(O909&gt;0,(O909&amp;1)*1,"")</f>
        <v>61</v>
      </c>
      <c r="Q911" s="274"/>
      <c r="R911" s="274"/>
      <c r="S911" s="275"/>
      <c r="T911" s="242"/>
      <c r="U911" s="244" t="str">
        <f>IF(AND(N911&lt;&gt;"",N912=""),CONCATENATE(VLOOKUP(N911,[1]zawodnicy!$A$1:$E$65536,1,FALSE)," ",VLOOKUP(N911,[1]zawodnicy!$A$1:$E$65536,2,FALSE)," ",VLOOKUP(N911,[1]zawodnicy!$A$1:$E$65536,3,FALSE)," - ",VLOOKUP(N911,[1]zawodnicy!$A$1:$E$65536,4,FALSE)),"")</f>
        <v>X36 Aliaksndra PILIPTSEVICH - Białoruś</v>
      </c>
      <c r="V911" s="245"/>
      <c r="W911" s="246"/>
      <c r="X911" s="35"/>
      <c r="Y911" s="36" t="str">
        <f>IF(SUM(AQ915:AR915)=0,"",AQ915&amp;":"&amp;AR915)</f>
        <v>14:21</v>
      </c>
      <c r="Z911" s="37" t="str">
        <f>IF(SUM(AQ913:AR913)=0,"",AQ913&amp;":"&amp;AR913)</f>
        <v>21:9</v>
      </c>
      <c r="AA911" s="248"/>
      <c r="AB911" s="251"/>
      <c r="AC911" s="251"/>
      <c r="AD911" s="254"/>
      <c r="AE911" s="2"/>
      <c r="AF911" s="12"/>
      <c r="AG911" s="12"/>
      <c r="AH911" s="14"/>
      <c r="BE911" s="19">
        <f>SUM(BE913:BE915)</f>
        <v>230</v>
      </c>
      <c r="BF911" s="19">
        <f>SUM(BF913:BF915)</f>
        <v>230</v>
      </c>
      <c r="BG911" s="19">
        <f>SUM(BG913:BG915)</f>
        <v>7</v>
      </c>
      <c r="BH911" s="19">
        <f>SUM(BH913:BH915)</f>
        <v>7</v>
      </c>
      <c r="BK911" s="19"/>
      <c r="BL911" s="20"/>
    </row>
    <row r="912" spans="1:64" ht="11.45" customHeight="1" thickBot="1" x14ac:dyDescent="0.25">
      <c r="J912" s="10"/>
      <c r="K912" s="28"/>
      <c r="L912" s="28"/>
      <c r="N912" s="38"/>
      <c r="O912" s="28"/>
      <c r="P912" s="28"/>
      <c r="Q912" s="274"/>
      <c r="R912" s="274"/>
      <c r="S912" s="275"/>
      <c r="T912" s="261"/>
      <c r="U912" s="265" t="str">
        <f>IF(N912&lt;&gt;"",CONCATENATE(VLOOKUP(N912,[1]zawodnicy!$A$1:$E$65536,1,FALSE)," ",VLOOKUP(N912,[1]zawodnicy!$A$1:$E$65536,2,FALSE)," ",VLOOKUP(N912,[1]zawodnicy!$A$1:$E$65536,3,FALSE)," - ",VLOOKUP(N912,[1]zawodnicy!$A$1:$E$65536,4,FALSE)),"")</f>
        <v/>
      </c>
      <c r="V912" s="266"/>
      <c r="W912" s="267"/>
      <c r="X912" s="35"/>
      <c r="Y912" s="39" t="str">
        <f>IF(SUM(AS915:AT915)=0,"",AS915&amp;":"&amp;AT915)</f>
        <v>13:21</v>
      </c>
      <c r="Z912" s="40" t="str">
        <f>IF(SUM(AS913:AT913)=0,"",AS913&amp;":"&amp;AT913)</f>
        <v/>
      </c>
      <c r="AA912" s="262"/>
      <c r="AB912" s="263"/>
      <c r="AC912" s="263"/>
      <c r="AD912" s="264"/>
      <c r="AE912" s="2"/>
      <c r="AF912" s="12"/>
      <c r="AG912" s="12"/>
      <c r="AH912" s="14"/>
      <c r="AI912" s="259" t="s">
        <v>12</v>
      </c>
      <c r="AJ912" s="269"/>
      <c r="AK912" s="268" t="s">
        <v>13</v>
      </c>
      <c r="AL912" s="269"/>
      <c r="AM912" s="268" t="s">
        <v>14</v>
      </c>
      <c r="AN912" s="260"/>
      <c r="AO912" s="259" t="s">
        <v>12</v>
      </c>
      <c r="AP912" s="269"/>
      <c r="AQ912" s="268" t="s">
        <v>13</v>
      </c>
      <c r="AR912" s="269"/>
      <c r="AS912" s="268" t="s">
        <v>14</v>
      </c>
      <c r="AT912" s="269"/>
      <c r="AU912" s="12"/>
      <c r="AV912" s="12"/>
      <c r="AW912" s="259">
        <v>1</v>
      </c>
      <c r="AX912" s="269"/>
      <c r="AY912" s="268">
        <v>2</v>
      </c>
      <c r="AZ912" s="269"/>
      <c r="BA912" s="268">
        <v>3</v>
      </c>
      <c r="BB912" s="260"/>
      <c r="BE912" s="259" t="s">
        <v>3</v>
      </c>
      <c r="BF912" s="260"/>
      <c r="BG912" s="259" t="s">
        <v>4</v>
      </c>
      <c r="BH912" s="260"/>
      <c r="BI912" s="259" t="s">
        <v>5</v>
      </c>
      <c r="BJ912" s="260"/>
      <c r="BK912" s="41" t="s">
        <v>6</v>
      </c>
      <c r="BL912" s="20"/>
    </row>
    <row r="913" spans="1:64" ht="11.45" customHeight="1" x14ac:dyDescent="0.2">
      <c r="A913" s="19">
        <f>S913</f>
        <v>255</v>
      </c>
      <c r="B913" s="2" t="str">
        <f>IF(N911="","",N911)</f>
        <v>X36</v>
      </c>
      <c r="C913" s="2" t="str">
        <f>IF(N912="","",N912)</f>
        <v/>
      </c>
      <c r="D913" s="2" t="str">
        <f>IF(N917="","",N917)</f>
        <v>X60</v>
      </c>
      <c r="E913" s="2" t="str">
        <f>IF(N918="","",N918)</f>
        <v/>
      </c>
      <c r="I913" s="2" t="str">
        <f>"2"&amp;O909&amp;N910</f>
        <v>26pojedyncza dziewcząt Ż</v>
      </c>
      <c r="J913" s="10" t="str">
        <f>IF(AD913="","",IF(AD910=2,N911,IF(AD913=2,N914,IF(AD916=2,N917,""))))</f>
        <v>X36</v>
      </c>
      <c r="K913" s="10">
        <f>IF(AD913="","",IF(AD910=2,N912,IF(AD913=2,N915,IF(AD916=2,N918,""))))</f>
        <v>0</v>
      </c>
      <c r="M913" s="42" t="str">
        <f>N910</f>
        <v>pojedyncza dziewcząt Ż</v>
      </c>
      <c r="O913" s="28"/>
      <c r="P913" s="28"/>
      <c r="Q913" s="43" t="str">
        <f>IF(AU913&gt;0,"",IF(A913=0,"",IF(VLOOKUP(A913,'[1]plan gier'!A$1:S$65536,19,FALSE)="","",VLOOKUP(A913,'[1]plan gier'!A$1:S$65536,19,FALSE))))</f>
        <v/>
      </c>
      <c r="R913" s="44" t="s">
        <v>15</v>
      </c>
      <c r="S913" s="45">
        <v>255</v>
      </c>
      <c r="T913" s="241">
        <v>2</v>
      </c>
      <c r="U913" s="244" t="str">
        <f>IF(AND(N914&lt;&gt;"",N915&lt;&gt;""),CONCATENATE(VLOOKUP(N914,[1]zawodnicy!$A$1:$E$65536,1,FALSE)," ",VLOOKUP(N914,[1]zawodnicy!$A$1:$E$65536,2,FALSE)," ",VLOOKUP(N914,[1]zawodnicy!$A$1:$E$65536,3,FALSE)," - ",VLOOKUP(N914,[1]zawodnicy!$A$1:$E$65536,4,FALSE)),"")</f>
        <v/>
      </c>
      <c r="V913" s="245"/>
      <c r="W913" s="246"/>
      <c r="X913" s="46" t="str">
        <f>IF(SUM(AO915:AP915)=0,"",AP915&amp;":"&amp;AO915)</f>
        <v>19:21</v>
      </c>
      <c r="Y913" s="47"/>
      <c r="Z913" s="48" t="str">
        <f>IF(SUM(AO914:AP914)=0,"",AO914&amp;":"&amp;AP914)</f>
        <v>21:9</v>
      </c>
      <c r="AA913" s="247" t="str">
        <f>IF(SUM(AW914:AX914,BA914:BB914)=0,"",BE914&amp;":"&amp;BF914)</f>
        <v>103:67</v>
      </c>
      <c r="AB913" s="250" t="str">
        <f>IF(SUM(AW914:AX914,BA914:BB914)=0,"",BG914&amp;":"&amp;BH914)</f>
        <v>4:1</v>
      </c>
      <c r="AC913" s="250" t="str">
        <f>IF(SUM(AW914:AX914,BA914:BB914)=0,"",BI914&amp;":"&amp;BJ914)</f>
        <v>2:0</v>
      </c>
      <c r="AD913" s="253">
        <f>IF(SUM(BI913:BI915)&gt;0,BK914,"")</f>
        <v>1</v>
      </c>
      <c r="AE913" s="2"/>
      <c r="AF913" s="12"/>
      <c r="AG913" s="12"/>
      <c r="AH913" s="44" t="s">
        <v>15</v>
      </c>
      <c r="AI913" s="49">
        <f>IF(ISBLANK(S913),"",VLOOKUP(S913,'[1]plan gier'!$X$1:$AN$65536,12,FALSE))</f>
        <v>21</v>
      </c>
      <c r="AJ913" s="50">
        <f>IF(ISBLANK(S913),"",VLOOKUP(S913,'[1]plan gier'!$X$1:$AN$65536,13,FALSE))</f>
        <v>9</v>
      </c>
      <c r="AK913" s="50">
        <f>IF(ISBLANK(S913),"",VLOOKUP(S913,'[1]plan gier'!$X$1:$AN$65536,14,FALSE))</f>
        <v>21</v>
      </c>
      <c r="AL913" s="50">
        <f>IF(ISBLANK(S913),"",VLOOKUP(S913,'[1]plan gier'!$X$1:$AN$65536,15,FALSE))</f>
        <v>9</v>
      </c>
      <c r="AM913" s="50">
        <f>IF(ISBLANK(S913),"",VLOOKUP(S913,'[1]plan gier'!$X$1:$AN$65536,16,FALSE))</f>
        <v>0</v>
      </c>
      <c r="AN913" s="50">
        <f>IF(ISBLANK(S913),"",VLOOKUP(S913,'[1]plan gier'!$X$1:$AN$65536,17,FALSE))</f>
        <v>0</v>
      </c>
      <c r="AO913" s="51">
        <f t="shared" ref="AO913:AT915" si="90">IF(AI913="",0,AI913)</f>
        <v>21</v>
      </c>
      <c r="AP913" s="52">
        <f t="shared" si="90"/>
        <v>9</v>
      </c>
      <c r="AQ913" s="53">
        <f t="shared" si="90"/>
        <v>21</v>
      </c>
      <c r="AR913" s="52">
        <f t="shared" si="90"/>
        <v>9</v>
      </c>
      <c r="AS913" s="53">
        <f t="shared" si="90"/>
        <v>0</v>
      </c>
      <c r="AT913" s="52">
        <f t="shared" si="90"/>
        <v>0</v>
      </c>
      <c r="AU913" s="54">
        <f>SUM(AO913:AT913)</f>
        <v>60</v>
      </c>
      <c r="AV913" s="13">
        <v>1</v>
      </c>
      <c r="AW913" s="55"/>
      <c r="AX913" s="56"/>
      <c r="AY913" s="50">
        <f>IF(AI915&gt;AJ915,1,0)+IF(AK915&gt;AL915,1,0)+IF(AM915&gt;AN915,1,0)</f>
        <v>1</v>
      </c>
      <c r="AZ913" s="50">
        <f>AW914</f>
        <v>2</v>
      </c>
      <c r="BA913" s="50">
        <f>IF(AI913&gt;AJ913,1,0)+IF(AK913&gt;AL913,1,0)+IF(AM913&gt;AN913,1,0)</f>
        <v>2</v>
      </c>
      <c r="BB913" s="57">
        <f>AW915</f>
        <v>0</v>
      </c>
      <c r="BE913" s="49">
        <f>AO913+AQ913+AS913+AO915+AQ915+AS915</f>
        <v>90</v>
      </c>
      <c r="BF913" s="57">
        <f>AP913+AR913+AT913+AP915+AR915+AT915</f>
        <v>79</v>
      </c>
      <c r="BG913" s="49">
        <f>AY913+BA913</f>
        <v>3</v>
      </c>
      <c r="BH913" s="57">
        <f>AZ913+BB913</f>
        <v>2</v>
      </c>
      <c r="BI913" s="49">
        <f>IF(AY913&gt;AZ913,1,0)+IF(BA913&gt;BB913,1,0)</f>
        <v>1</v>
      </c>
      <c r="BJ913" s="58">
        <f>IF(AZ913&gt;AY913,1,0)+IF(BB913&gt;BA913,1,0)</f>
        <v>1</v>
      </c>
      <c r="BK913" s="59">
        <f>IF(BI913+BJ913=0,"",IF(BL913=MAX(BL913:BL915),1,IF(BL913=MIN(BL913:BL915),3,2)))</f>
        <v>2</v>
      </c>
      <c r="BL913" s="60">
        <f>IF(BI913+BJ913&lt;&gt;0,BI913+1+(BG913-BH913)/100+(BE913-BF913)/100000+(BE913/BF913)/1000000,0)</f>
        <v>2.010111139240506</v>
      </c>
    </row>
    <row r="914" spans="1:64" ht="11.45" customHeight="1" x14ac:dyDescent="0.2">
      <c r="A914" s="19">
        <f>S914</f>
        <v>297</v>
      </c>
      <c r="B914" s="2" t="str">
        <f>IF(N914="","",N914)</f>
        <v>M5269</v>
      </c>
      <c r="C914" s="2" t="str">
        <f>IF(N915="","",N915)</f>
        <v/>
      </c>
      <c r="D914" s="2" t="str">
        <f>IF(N917="","",N917)</f>
        <v>X60</v>
      </c>
      <c r="E914" s="2" t="str">
        <f>IF(N918="","",N918)</f>
        <v/>
      </c>
      <c r="J914" s="10"/>
      <c r="K914" s="19"/>
      <c r="M914" s="42" t="str">
        <f>N910</f>
        <v>pojedyncza dziewcząt Ż</v>
      </c>
      <c r="N914" s="33" t="s">
        <v>391</v>
      </c>
      <c r="O914" s="34">
        <f>IF(O909&gt;0,(O909&amp;2)*1,"")</f>
        <v>62</v>
      </c>
      <c r="Q914" s="43" t="str">
        <f>IF(AU914&gt;0,"",IF(A914=0,"",IF(VLOOKUP(A914,'[1]plan gier'!A$1:S$65536,19,FALSE)="","",VLOOKUP(A914,'[1]plan gier'!A$1:S$65536,19,FALSE))))</f>
        <v/>
      </c>
      <c r="R914" s="44" t="s">
        <v>17</v>
      </c>
      <c r="S914" s="45">
        <v>297</v>
      </c>
      <c r="T914" s="242"/>
      <c r="U914" s="244" t="str">
        <f>IF(AND(N914&lt;&gt;"",N915=""),CONCATENATE(VLOOKUP(N914,[1]zawodnicy!$A$1:$E$65536,1,FALSE)," ",VLOOKUP(N914,[1]zawodnicy!$A$1:$E$65536,2,FALSE)," ",VLOOKUP(N914,[1]zawodnicy!$A$1:$E$65536,3,FALSE)," - ",VLOOKUP(N914,[1]zawodnicy!$A$1:$E$65536,4,FALSE)),"")</f>
        <v>M5269 Julia MIŚKO - UKS Badminton Stare Babice</v>
      </c>
      <c r="V914" s="245"/>
      <c r="W914" s="246"/>
      <c r="X914" s="61" t="str">
        <f>IF(SUM(AQ915:AR915)=0,"",AR915&amp;":"&amp;AQ915)</f>
        <v>21:14</v>
      </c>
      <c r="Y914" s="62"/>
      <c r="Z914" s="37" t="str">
        <f>IF(SUM(AQ914:AR914)=0,"",AQ914&amp;":"&amp;AR914)</f>
        <v>21:10</v>
      </c>
      <c r="AA914" s="248"/>
      <c r="AB914" s="251"/>
      <c r="AC914" s="251"/>
      <c r="AD914" s="254"/>
      <c r="AE914" s="2"/>
      <c r="AF914" s="12"/>
      <c r="AG914" s="12"/>
      <c r="AH914" s="44" t="s">
        <v>17</v>
      </c>
      <c r="AI914" s="63">
        <f>IF(ISBLANK(S914),"",VLOOKUP(S914,'[1]plan gier'!$X$1:$AN$65536,12,FALSE))</f>
        <v>21</v>
      </c>
      <c r="AJ914" s="64">
        <f>IF(ISBLANK(S914),"",VLOOKUP(S914,'[1]plan gier'!$X$1:$AN$65536,13,FALSE))</f>
        <v>9</v>
      </c>
      <c r="AK914" s="64">
        <f>IF(ISBLANK(S914),"",VLOOKUP(S914,'[1]plan gier'!$X$1:$AN$65536,14,FALSE))</f>
        <v>21</v>
      </c>
      <c r="AL914" s="64">
        <f>IF(ISBLANK(S914),"",VLOOKUP(S914,'[1]plan gier'!$X$1:$AN$65536,15,FALSE))</f>
        <v>10</v>
      </c>
      <c r="AM914" s="64">
        <f>IF(ISBLANK(S914),"",VLOOKUP(S914,'[1]plan gier'!$X$1:$AN$65536,16,FALSE))</f>
        <v>0</v>
      </c>
      <c r="AN914" s="64">
        <f>IF(ISBLANK(S914),"",VLOOKUP(S914,'[1]plan gier'!$X$1:$AN$65536,17,FALSE))</f>
        <v>0</v>
      </c>
      <c r="AO914" s="65">
        <f t="shared" si="90"/>
        <v>21</v>
      </c>
      <c r="AP914" s="64">
        <f t="shared" si="90"/>
        <v>9</v>
      </c>
      <c r="AQ914" s="66">
        <f t="shared" si="90"/>
        <v>21</v>
      </c>
      <c r="AR914" s="64">
        <f t="shared" si="90"/>
        <v>10</v>
      </c>
      <c r="AS914" s="66">
        <f t="shared" si="90"/>
        <v>0</v>
      </c>
      <c r="AT914" s="64">
        <f t="shared" si="90"/>
        <v>0</v>
      </c>
      <c r="AU914" s="54">
        <f>SUM(AO914:AT914)</f>
        <v>61</v>
      </c>
      <c r="AV914" s="13">
        <v>2</v>
      </c>
      <c r="AW914" s="63">
        <f>IF(AI915&lt;AJ915,1,0)+IF(AK915&lt;AL915,1,0)+IF(AM915&lt;AN915,1,0)</f>
        <v>2</v>
      </c>
      <c r="AX914" s="64">
        <f>AY913</f>
        <v>1</v>
      </c>
      <c r="AY914" s="67"/>
      <c r="AZ914" s="68"/>
      <c r="BA914" s="64">
        <f>IF(AI914&gt;AJ914,1,0)+IF(AK914&gt;AL914,1,0)+IF(AM914&gt;AN914,1,0)</f>
        <v>2</v>
      </c>
      <c r="BB914" s="69">
        <f>AY915</f>
        <v>0</v>
      </c>
      <c r="BE914" s="63">
        <f>AO914+AQ914+AS914+AP915+AR915+AT915</f>
        <v>103</v>
      </c>
      <c r="BF914" s="69">
        <f>AP914+AR914+AT914+AO915+AQ915+AS915</f>
        <v>67</v>
      </c>
      <c r="BG914" s="63">
        <f>AW914+BA914</f>
        <v>4</v>
      </c>
      <c r="BH914" s="69">
        <f>AX914+BB914</f>
        <v>1</v>
      </c>
      <c r="BI914" s="63">
        <f>IF(AW914&gt;AX914,1,0)+IF(BA914&gt;BB914,1,0)</f>
        <v>2</v>
      </c>
      <c r="BJ914" s="70">
        <f>IF(AX914&gt;AW914,1,0)+IF(BB914&gt;BA914,1,0)</f>
        <v>0</v>
      </c>
      <c r="BK914" s="71">
        <f>IF(BI914+BJ914=0,"",IF(BL914=MAX(BL913:BL915),1,IF(BL914=MIN(BL913:BL915),3,2)))</f>
        <v>1</v>
      </c>
      <c r="BL914" s="60">
        <f>IF(BI914+BJ914&lt;&gt;0,BI914+1+(BG914-BH914)/100+(BE914-BF914)/100000+(BE914/BF914)/1000000,0)</f>
        <v>3.0303615373134329</v>
      </c>
    </row>
    <row r="915" spans="1:64" ht="11.45" customHeight="1" thickBot="1" x14ac:dyDescent="0.25">
      <c r="A915" s="19">
        <f>S915</f>
        <v>355</v>
      </c>
      <c r="B915" s="2" t="str">
        <f>IF(N911="","",N911)</f>
        <v>X36</v>
      </c>
      <c r="C915" s="2" t="str">
        <f>IF(N912="","",N912)</f>
        <v/>
      </c>
      <c r="D915" s="2" t="str">
        <f>IF(N914="","",N914)</f>
        <v>M5269</v>
      </c>
      <c r="E915" s="2" t="str">
        <f>IF(N915="","",N915)</f>
        <v/>
      </c>
      <c r="I915" s="2" t="str">
        <f>"3"&amp;O909&amp;N910</f>
        <v>36pojedyncza dziewcząt Ż</v>
      </c>
      <c r="J915" s="10" t="str">
        <f>IF(AD916="","",IF(AD910=3,N911,IF(AD913=3,N914,IF(AD916=3,N917,""))))</f>
        <v>X60</v>
      </c>
      <c r="K915" s="10">
        <f>IF(AD916="","",IF(AD910=3,N912,IF(AD913=3,N915,IF(AD916=3,N918,""))))</f>
        <v>0</v>
      </c>
      <c r="M915" s="42" t="str">
        <f>N910</f>
        <v>pojedyncza dziewcząt Ż</v>
      </c>
      <c r="N915" s="38"/>
      <c r="O915" s="28"/>
      <c r="P915" s="28"/>
      <c r="Q915" s="43" t="str">
        <f>IF(AU915&gt;0,"",IF(A915=0,"",IF(VLOOKUP(A915,'[1]plan gier'!A$1:S$65536,19,FALSE)="","",VLOOKUP(A915,'[1]plan gier'!A$1:S$65536,19,FALSE))))</f>
        <v/>
      </c>
      <c r="R915" s="72" t="s">
        <v>18</v>
      </c>
      <c r="S915" s="45">
        <v>355</v>
      </c>
      <c r="T915" s="261"/>
      <c r="U915" s="265" t="str">
        <f>IF(N915&lt;&gt;"",CONCATENATE(VLOOKUP(N915,[1]zawodnicy!$A$1:$E$65536,1,FALSE)," ",VLOOKUP(N915,[1]zawodnicy!$A$1:$E$65536,2,FALSE)," ",VLOOKUP(N915,[1]zawodnicy!$A$1:$E$65536,3,FALSE)," - ",VLOOKUP(N915,[1]zawodnicy!$A$1:$E$65536,4,FALSE)),"")</f>
        <v/>
      </c>
      <c r="V915" s="266"/>
      <c r="W915" s="267"/>
      <c r="X915" s="73" t="str">
        <f>IF(SUM(AS915:AT915)=0,"",AT915&amp;":"&amp;AS915)</f>
        <v>21:13</v>
      </c>
      <c r="Y915" s="62"/>
      <c r="Z915" s="40" t="str">
        <f>IF(SUM(AS914:AT914)=0,"",AS914&amp;":"&amp;AT914)</f>
        <v/>
      </c>
      <c r="AA915" s="262"/>
      <c r="AB915" s="263"/>
      <c r="AC915" s="263"/>
      <c r="AD915" s="264"/>
      <c r="AE915" s="2"/>
      <c r="AF915" s="12"/>
      <c r="AG915" s="12"/>
      <c r="AH915" s="72" t="s">
        <v>18</v>
      </c>
      <c r="AI915" s="74">
        <f>IF(ISBLANK(S915),"",VLOOKUP(S915,'[1]plan gier'!$X$1:$AN$65536,12,FALSE))</f>
        <v>21</v>
      </c>
      <c r="AJ915" s="75">
        <f>IF(ISBLANK(S915),"",VLOOKUP(S915,'[1]plan gier'!$X$1:$AN$65536,13,FALSE))</f>
        <v>19</v>
      </c>
      <c r="AK915" s="75">
        <f>IF(ISBLANK(S915),"",VLOOKUP(S915,'[1]plan gier'!$X$1:$AN$65536,14,FALSE))</f>
        <v>14</v>
      </c>
      <c r="AL915" s="75">
        <f>IF(ISBLANK(S915),"",VLOOKUP(S915,'[1]plan gier'!$X$1:$AN$65536,15,FALSE))</f>
        <v>21</v>
      </c>
      <c r="AM915" s="75">
        <f>IF(ISBLANK(S915),"",VLOOKUP(S915,'[1]plan gier'!$X$1:$AN$65536,16,FALSE))</f>
        <v>13</v>
      </c>
      <c r="AN915" s="75">
        <f>IF(ISBLANK(S915),"",VLOOKUP(S915,'[1]plan gier'!$X$1:$AN$65536,17,FALSE))</f>
        <v>21</v>
      </c>
      <c r="AO915" s="76">
        <f t="shared" si="90"/>
        <v>21</v>
      </c>
      <c r="AP915" s="75">
        <f t="shared" si="90"/>
        <v>19</v>
      </c>
      <c r="AQ915" s="77">
        <f t="shared" si="90"/>
        <v>14</v>
      </c>
      <c r="AR915" s="75">
        <f t="shared" si="90"/>
        <v>21</v>
      </c>
      <c r="AS915" s="77">
        <f t="shared" si="90"/>
        <v>13</v>
      </c>
      <c r="AT915" s="75">
        <f t="shared" si="90"/>
        <v>21</v>
      </c>
      <c r="AU915" s="54">
        <f>SUM(AO915:AT915)</f>
        <v>109</v>
      </c>
      <c r="AV915" s="13">
        <v>3</v>
      </c>
      <c r="AW915" s="74">
        <f>IF(AI913&lt;AJ913,1,0)+IF(AK913&lt;AL913,1,0)+IF(AM913&lt;AN913,1,0)</f>
        <v>0</v>
      </c>
      <c r="AX915" s="75">
        <f>BA913</f>
        <v>2</v>
      </c>
      <c r="AY915" s="75">
        <f>IF(AI914&lt;AJ914,1,0)+IF(AK914&lt;AL914,1,0)+IF(AM914&lt;AN914,1,0)</f>
        <v>0</v>
      </c>
      <c r="AZ915" s="75">
        <f>BA914</f>
        <v>2</v>
      </c>
      <c r="BA915" s="78"/>
      <c r="BB915" s="79"/>
      <c r="BE915" s="74">
        <f>AP913+AR913+AT913+AP914+AR914+AT914</f>
        <v>37</v>
      </c>
      <c r="BF915" s="80">
        <f>AO913+AQ913+AS913+AO914+AQ914+AS914</f>
        <v>84</v>
      </c>
      <c r="BG915" s="74">
        <f>AW915+AY915</f>
        <v>0</v>
      </c>
      <c r="BH915" s="80">
        <f>AX915+AZ915</f>
        <v>4</v>
      </c>
      <c r="BI915" s="74">
        <f>IF(AW915&gt;AX915,1,0)+IF(AY915&gt;AZ915,1,0)</f>
        <v>0</v>
      </c>
      <c r="BJ915" s="81">
        <f>IF(AX915&gt;AW915,1,0)+IF(AZ915&gt;AY915,1,0)</f>
        <v>2</v>
      </c>
      <c r="BK915" s="82">
        <f>IF(BI915+BJ915=0,"",IF(BL915=MAX(BL913:BL915),1,IF(BL915=MIN(BL913:BL915),3,2)))</f>
        <v>3</v>
      </c>
      <c r="BL915" s="60">
        <f>IF(BI915+BJ915&lt;&gt;0,BI915+1+(BG915-BH915)/100+(BE915-BF915)/100000+(BE915/BF915)/1000000,0)</f>
        <v>0.95953044047619052</v>
      </c>
    </row>
    <row r="916" spans="1:64" ht="11.45" customHeight="1" x14ac:dyDescent="0.2">
      <c r="A916" s="2"/>
      <c r="J916" s="28"/>
      <c r="K916" s="28"/>
      <c r="L916" s="28"/>
      <c r="O916" s="28"/>
      <c r="P916" s="28"/>
      <c r="Q916" s="2"/>
      <c r="R916" s="2"/>
      <c r="S916" s="2"/>
      <c r="T916" s="241">
        <v>3</v>
      </c>
      <c r="U916" s="244" t="str">
        <f>IF(AND(N917&lt;&gt;"",N918&lt;&gt;""),CONCATENATE(VLOOKUP(N917,[1]zawodnicy!$A$1:$E$65536,1,FALSE)," ",VLOOKUP(N917,[1]zawodnicy!$A$1:$E$65536,2,FALSE)," ",VLOOKUP(N917,[1]zawodnicy!$A$1:$E$65536,3,FALSE)," - ",VLOOKUP(N917,[1]zawodnicy!$A$1:$E$65536,4,FALSE)),"")</f>
        <v/>
      </c>
      <c r="V916" s="245"/>
      <c r="W916" s="246"/>
      <c r="X916" s="46" t="str">
        <f>IF(SUM(AO913:AP913)=0,"",AP913&amp;":"&amp;AO913)</f>
        <v>9:21</v>
      </c>
      <c r="Y916" s="83" t="str">
        <f>IF(SUM(AO914:AP914)=0,"",AP914&amp;":"&amp;AO914)</f>
        <v>9:21</v>
      </c>
      <c r="Z916" s="84"/>
      <c r="AA916" s="247" t="str">
        <f>IF(SUM(AW915:AZ915)=0,"",BE915&amp;":"&amp;BF915)</f>
        <v>37:84</v>
      </c>
      <c r="AB916" s="250" t="str">
        <f>IF(SUM(AW915:AZ915)=0,"",BG915&amp;":"&amp;BH915)</f>
        <v>0:4</v>
      </c>
      <c r="AC916" s="250" t="str">
        <f>IF(SUM(AW915:AZ915)=0,"",BI915&amp;":"&amp;BJ915)</f>
        <v>0:2</v>
      </c>
      <c r="AD916" s="253">
        <f>IF(SUM(BI913:BI915)&gt;0,BK915,"")</f>
        <v>3</v>
      </c>
      <c r="AE916" s="2"/>
      <c r="AF916" s="12"/>
      <c r="AG916" s="12"/>
      <c r="BE916" s="19">
        <f>SUM(BE913:BE915)</f>
        <v>230</v>
      </c>
      <c r="BF916" s="19">
        <f>SUM(BF913:BF915)</f>
        <v>230</v>
      </c>
      <c r="BG916" s="19">
        <f>SUM(BG913:BG915)</f>
        <v>7</v>
      </c>
      <c r="BH916" s="19">
        <f>SUM(BH913:BH915)</f>
        <v>7</v>
      </c>
      <c r="BK916" s="19"/>
      <c r="BL916" s="20"/>
    </row>
    <row r="917" spans="1:64" ht="11.45" customHeight="1" x14ac:dyDescent="0.2">
      <c r="A917" s="19"/>
      <c r="J917" s="19"/>
      <c r="K917" s="19"/>
      <c r="L917" s="19"/>
      <c r="N917" s="33" t="s">
        <v>392</v>
      </c>
      <c r="O917" s="34">
        <f>IF(O909&gt;0,(O909&amp;3)*1,"")</f>
        <v>63</v>
      </c>
      <c r="Q917" s="85"/>
      <c r="R917" s="85"/>
      <c r="S917" s="85"/>
      <c r="T917" s="242"/>
      <c r="U917" s="244" t="str">
        <f>IF(AND(N917&lt;&gt;"",N918=""),CONCATENATE(VLOOKUP(N917,[1]zawodnicy!$A$1:$E$65536,1,FALSE)," ",VLOOKUP(N917,[1]zawodnicy!$A$1:$E$65536,2,FALSE)," ",VLOOKUP(N917,[1]zawodnicy!$A$1:$E$65536,3,FALSE)," - ",VLOOKUP(N917,[1]zawodnicy!$A$1:$E$65536,4,FALSE)),"")</f>
        <v>X60 Julia  RACHOWSKA - SKSR Wolant Łódź</v>
      </c>
      <c r="V917" s="245"/>
      <c r="W917" s="246"/>
      <c r="X917" s="61" t="str">
        <f>IF(SUM(AQ913:AR913)=0,"",AR913&amp;":"&amp;AQ913)</f>
        <v>9:21</v>
      </c>
      <c r="Y917" s="36" t="str">
        <f>IF(SUM(AQ914:AR914)=0,"",AR914&amp;":"&amp;AQ914)</f>
        <v>10:21</v>
      </c>
      <c r="Z917" s="86"/>
      <c r="AA917" s="248"/>
      <c r="AB917" s="251"/>
      <c r="AC917" s="251"/>
      <c r="AD917" s="254"/>
      <c r="AE917" s="2"/>
      <c r="AF917" s="12"/>
      <c r="AG917" s="1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row>
    <row r="918" spans="1:64" ht="11.45" customHeight="1" thickBot="1" x14ac:dyDescent="0.25">
      <c r="A918" s="2"/>
      <c r="J918" s="28"/>
      <c r="K918" s="28"/>
      <c r="L918" s="28"/>
      <c r="N918" s="38"/>
      <c r="O918" s="28"/>
      <c r="P918" s="28"/>
      <c r="Q918" s="2"/>
      <c r="R918" s="2"/>
      <c r="S918" s="2"/>
      <c r="T918" s="243"/>
      <c r="U918" s="256" t="str">
        <f>IF(N918&lt;&gt;"",CONCATENATE(VLOOKUP(N918,[1]zawodnicy!$A$1:$E$65536,1,FALSE)," ",VLOOKUP(N918,[1]zawodnicy!$A$1:$E$65536,2,FALSE)," ",VLOOKUP(N918,[1]zawodnicy!$A$1:$E$65536,3,FALSE)," - ",VLOOKUP(N918,[1]zawodnicy!$A$1:$E$65536,4,FALSE)),"")</f>
        <v/>
      </c>
      <c r="V918" s="257"/>
      <c r="W918" s="258"/>
      <c r="X918" s="87" t="str">
        <f>IF(SUM(AS913:AT913)=0,"",AT913&amp;":"&amp;AS913)</f>
        <v/>
      </c>
      <c r="Y918" s="88" t="str">
        <f>IF(SUM(AS914:AT914)=0,"",AT914&amp;":"&amp;AS914)</f>
        <v/>
      </c>
      <c r="Z918" s="89"/>
      <c r="AA918" s="249"/>
      <c r="AB918" s="252"/>
      <c r="AC918" s="252"/>
      <c r="AD918" s="255"/>
      <c r="AE918" s="10"/>
      <c r="AF918" s="12"/>
      <c r="AG918" s="1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row>
    <row r="919" spans="1:64" s="19" customFormat="1" ht="5.0999999999999996" customHeight="1" thickBot="1" x14ac:dyDescent="0.25">
      <c r="M919" s="90"/>
      <c r="O919" s="90"/>
      <c r="P919" s="90"/>
      <c r="Q919" s="91"/>
      <c r="R919" s="91"/>
      <c r="S919" s="91"/>
      <c r="T919" s="91"/>
      <c r="U919" s="5"/>
      <c r="V919" s="5"/>
      <c r="W919" s="5"/>
      <c r="AA919" s="92"/>
      <c r="AB919" s="91"/>
      <c r="AC919" s="91"/>
      <c r="AD919" s="91"/>
      <c r="AE919" s="91"/>
      <c r="AF919" s="91"/>
      <c r="AI919" s="93"/>
      <c r="AJ919" s="94"/>
      <c r="AK919" s="94"/>
    </row>
    <row r="920" spans="1:64" ht="11.45" customHeight="1" thickBot="1" x14ac:dyDescent="0.25">
      <c r="N920" s="11"/>
      <c r="O920" s="21">
        <v>7</v>
      </c>
      <c r="Q920" s="277" t="str">
        <f>"Grupa "&amp;O920&amp;"."</f>
        <v>Grupa 7.</v>
      </c>
      <c r="R920" s="277"/>
      <c r="S920" s="277"/>
      <c r="T920" s="22" t="s">
        <v>1</v>
      </c>
      <c r="U920" s="278" t="s">
        <v>2</v>
      </c>
      <c r="V920" s="279"/>
      <c r="W920" s="280"/>
      <c r="X920" s="22">
        <v>1</v>
      </c>
      <c r="Y920" s="23">
        <v>2</v>
      </c>
      <c r="Z920" s="24">
        <v>3</v>
      </c>
      <c r="AA920" s="25" t="s">
        <v>3</v>
      </c>
      <c r="AB920" s="26" t="s">
        <v>4</v>
      </c>
      <c r="AC920" s="26" t="s">
        <v>5</v>
      </c>
      <c r="AD920" s="27" t="s">
        <v>6</v>
      </c>
      <c r="AE920" s="2"/>
      <c r="AF920" s="12"/>
      <c r="AG920" s="12"/>
      <c r="BK920" s="19"/>
      <c r="BL920" s="20"/>
    </row>
    <row r="921" spans="1:64" ht="11.45" customHeight="1" x14ac:dyDescent="0.2">
      <c r="J921" s="28"/>
      <c r="K921" s="28"/>
      <c r="L921" s="28"/>
      <c r="N921" s="29" t="s">
        <v>378</v>
      </c>
      <c r="Q921" s="274" t="s">
        <v>7</v>
      </c>
      <c r="R921" s="274"/>
      <c r="S921" s="275" t="s">
        <v>8</v>
      </c>
      <c r="T921" s="276">
        <v>1</v>
      </c>
      <c r="U921" s="244" t="str">
        <f>IF(AND(N922&lt;&gt;"",N923&lt;&gt;""),CONCATENATE(VLOOKUP(N922,[1]zawodnicy!$A$1:$E$65536,1,FALSE)," ",VLOOKUP(N922,[1]zawodnicy!$A$1:$E$65536,2,FALSE)," ",VLOOKUP(N922,[1]zawodnicy!$A$1:$E$65536,3,FALSE)," - ",VLOOKUP(N922,[1]zawodnicy!$A$1:$E$65536,4,FALSE)),"")</f>
        <v/>
      </c>
      <c r="V921" s="245"/>
      <c r="W921" s="246"/>
      <c r="X921" s="30"/>
      <c r="Y921" s="31" t="str">
        <f>IF(SUM(AO926:AP926)=0,"",AO926&amp;":"&amp;AP926)</f>
        <v>21:8</v>
      </c>
      <c r="Z921" s="32" t="str">
        <f>IF(SUM(AO924:AP924)=0,"",AO924&amp;":"&amp;AP924)</f>
        <v>21:6</v>
      </c>
      <c r="AA921" s="270" t="str">
        <f>IF(SUM(AY924:BB924)=0,"",BE924&amp;":"&amp;BF924)</f>
        <v>84:21</v>
      </c>
      <c r="AB921" s="271" t="str">
        <f>IF(SUM(AY924:BB924)=0,"",BG924&amp;":"&amp;BH924)</f>
        <v>4:0</v>
      </c>
      <c r="AC921" s="271" t="str">
        <f>IF(SUM(AY924:BB924)=0,"",BI924&amp;":"&amp;BJ924)</f>
        <v>2:0</v>
      </c>
      <c r="AD921" s="272">
        <f>IF(SUM(BI924:BI926)&gt;0,BK924,"")</f>
        <v>1</v>
      </c>
      <c r="AE921" s="2"/>
      <c r="AF921" s="12"/>
      <c r="AG921" s="12"/>
      <c r="AH921" s="14"/>
      <c r="AI921" s="273" t="s">
        <v>9</v>
      </c>
      <c r="AJ921" s="273"/>
      <c r="AK921" s="273"/>
      <c r="AL921" s="273"/>
      <c r="AM921" s="273"/>
      <c r="AN921" s="273"/>
      <c r="AO921" s="273" t="s">
        <v>10</v>
      </c>
      <c r="AP921" s="273"/>
      <c r="AQ921" s="273"/>
      <c r="AR921" s="273"/>
      <c r="AS921" s="273"/>
      <c r="AT921" s="273"/>
      <c r="BK921" s="19"/>
      <c r="BL921" s="20"/>
    </row>
    <row r="922" spans="1:64" ht="11.45" customHeight="1" thickBot="1" x14ac:dyDescent="0.25">
      <c r="I922" s="2" t="str">
        <f>"1"&amp;O920&amp;N921</f>
        <v>17pojedyncza dziewcząt Ż</v>
      </c>
      <c r="J922" s="10" t="str">
        <f>IF(AD921="","",IF(AD921=1,N922,IF(AD924=1,N925,IF(AD927=1,N928,""))))</f>
        <v>k5598</v>
      </c>
      <c r="K922" s="10">
        <f>IF(AD921="","",IF(AD921=1,N923,IF(AD924=1,N926,IF(AD927=1,N929,""))))</f>
        <v>0</v>
      </c>
      <c r="L922" s="10"/>
      <c r="N922" s="33" t="s">
        <v>393</v>
      </c>
      <c r="O922" s="34">
        <f>IF(O920&gt;0,(O920&amp;1)*1,"")</f>
        <v>71</v>
      </c>
      <c r="Q922" s="274"/>
      <c r="R922" s="274"/>
      <c r="S922" s="275"/>
      <c r="T922" s="242"/>
      <c r="U922" s="244" t="str">
        <f>IF(AND(N922&lt;&gt;"",N923=""),CONCATENATE(VLOOKUP(N922,[1]zawodnicy!$A$1:$E$65536,1,FALSE)," ",VLOOKUP(N922,[1]zawodnicy!$A$1:$E$65536,2,FALSE)," ",VLOOKUP(N922,[1]zawodnicy!$A$1:$E$65536,3,FALSE)," - ",VLOOKUP(N922,[1]zawodnicy!$A$1:$E$65536,4,FALSE)),"")</f>
        <v>K5598 Eliza KWIATKOWSKA - STB Energia Lubliniec</v>
      </c>
      <c r="V922" s="245"/>
      <c r="W922" s="246"/>
      <c r="X922" s="35"/>
      <c r="Y922" s="36" t="str">
        <f>IF(SUM(AQ926:AR926)=0,"",AQ926&amp;":"&amp;AR926)</f>
        <v>21:4</v>
      </c>
      <c r="Z922" s="37" t="str">
        <f>IF(SUM(AQ924:AR924)=0,"",AQ924&amp;":"&amp;AR924)</f>
        <v>21:3</v>
      </c>
      <c r="AA922" s="248"/>
      <c r="AB922" s="251"/>
      <c r="AC922" s="251"/>
      <c r="AD922" s="254"/>
      <c r="AE922" s="2"/>
      <c r="AF922" s="12"/>
      <c r="AG922" s="12"/>
      <c r="AH922" s="14"/>
      <c r="BE922" s="19">
        <f>SUM(BE924:BE926)</f>
        <v>169</v>
      </c>
      <c r="BF922" s="19">
        <f>SUM(BF924:BF926)</f>
        <v>169</v>
      </c>
      <c r="BG922" s="19">
        <f>SUM(BG924:BG926)</f>
        <v>6</v>
      </c>
      <c r="BH922" s="19">
        <f>SUM(BH924:BH926)</f>
        <v>6</v>
      </c>
      <c r="BK922" s="19"/>
      <c r="BL922" s="20"/>
    </row>
    <row r="923" spans="1:64" ht="11.45" customHeight="1" thickBot="1" x14ac:dyDescent="0.25">
      <c r="J923" s="10"/>
      <c r="K923" s="28"/>
      <c r="L923" s="28"/>
      <c r="N923" s="38"/>
      <c r="O923" s="28"/>
      <c r="P923" s="28"/>
      <c r="Q923" s="274"/>
      <c r="R923" s="274"/>
      <c r="S923" s="275"/>
      <c r="T923" s="261"/>
      <c r="U923" s="265" t="str">
        <f>IF(N923&lt;&gt;"",CONCATENATE(VLOOKUP(N923,[1]zawodnicy!$A$1:$E$65536,1,FALSE)," ",VLOOKUP(N923,[1]zawodnicy!$A$1:$E$65536,2,FALSE)," ",VLOOKUP(N923,[1]zawodnicy!$A$1:$E$65536,3,FALSE)," - ",VLOOKUP(N923,[1]zawodnicy!$A$1:$E$65536,4,FALSE)),"")</f>
        <v/>
      </c>
      <c r="V923" s="266"/>
      <c r="W923" s="267"/>
      <c r="X923" s="35"/>
      <c r="Y923" s="39" t="str">
        <f>IF(SUM(AS926:AT926)=0,"",AS926&amp;":"&amp;AT926)</f>
        <v/>
      </c>
      <c r="Z923" s="40" t="str">
        <f>IF(SUM(AS924:AT924)=0,"",AS924&amp;":"&amp;AT924)</f>
        <v/>
      </c>
      <c r="AA923" s="262"/>
      <c r="AB923" s="263"/>
      <c r="AC923" s="263"/>
      <c r="AD923" s="264"/>
      <c r="AE923" s="2"/>
      <c r="AF923" s="12"/>
      <c r="AG923" s="12"/>
      <c r="AH923" s="14"/>
      <c r="AI923" s="259" t="s">
        <v>12</v>
      </c>
      <c r="AJ923" s="269"/>
      <c r="AK923" s="268" t="s">
        <v>13</v>
      </c>
      <c r="AL923" s="269"/>
      <c r="AM923" s="268" t="s">
        <v>14</v>
      </c>
      <c r="AN923" s="260"/>
      <c r="AO923" s="259" t="s">
        <v>12</v>
      </c>
      <c r="AP923" s="269"/>
      <c r="AQ923" s="268" t="s">
        <v>13</v>
      </c>
      <c r="AR923" s="269"/>
      <c r="AS923" s="268" t="s">
        <v>14</v>
      </c>
      <c r="AT923" s="269"/>
      <c r="AU923" s="12"/>
      <c r="AV923" s="12"/>
      <c r="AW923" s="259">
        <v>1</v>
      </c>
      <c r="AX923" s="269"/>
      <c r="AY923" s="268">
        <v>2</v>
      </c>
      <c r="AZ923" s="269"/>
      <c r="BA923" s="268">
        <v>3</v>
      </c>
      <c r="BB923" s="260"/>
      <c r="BE923" s="259" t="s">
        <v>3</v>
      </c>
      <c r="BF923" s="260"/>
      <c r="BG923" s="259" t="s">
        <v>4</v>
      </c>
      <c r="BH923" s="260"/>
      <c r="BI923" s="259" t="s">
        <v>5</v>
      </c>
      <c r="BJ923" s="260"/>
      <c r="BK923" s="41" t="s">
        <v>6</v>
      </c>
      <c r="BL923" s="20"/>
    </row>
    <row r="924" spans="1:64" ht="11.45" customHeight="1" x14ac:dyDescent="0.2">
      <c r="A924" s="19">
        <f>S924</f>
        <v>256</v>
      </c>
      <c r="B924" s="2" t="str">
        <f>IF(N922="","",N922)</f>
        <v>k5598</v>
      </c>
      <c r="C924" s="2" t="str">
        <f>IF(N923="","",N923)</f>
        <v/>
      </c>
      <c r="D924" s="2" t="str">
        <f>IF(N928="","",N928)</f>
        <v>W5766</v>
      </c>
      <c r="E924" s="2" t="str">
        <f>IF(N929="","",N929)</f>
        <v/>
      </c>
      <c r="I924" s="2" t="str">
        <f>"2"&amp;O920&amp;N921</f>
        <v>27pojedyncza dziewcząt Ż</v>
      </c>
      <c r="J924" s="10" t="str">
        <f>IF(AD924="","",IF(AD921=2,N922,IF(AD924=2,N925,IF(AD927=2,N928,""))))</f>
        <v>W5766</v>
      </c>
      <c r="K924" s="10">
        <f>IF(AD924="","",IF(AD921=2,N923,IF(AD924=2,N926,IF(AD927=2,N929,""))))</f>
        <v>0</v>
      </c>
      <c r="M924" s="42" t="str">
        <f>N921</f>
        <v>pojedyncza dziewcząt Ż</v>
      </c>
      <c r="O924" s="28"/>
      <c r="P924" s="28"/>
      <c r="Q924" s="43" t="str">
        <f>IF(AU924&gt;0,"",IF(A924=0,"",IF(VLOOKUP(A924,'[1]plan gier'!A$1:S$65536,19,FALSE)="","",VLOOKUP(A924,'[1]plan gier'!A$1:S$65536,19,FALSE))))</f>
        <v/>
      </c>
      <c r="R924" s="44" t="s">
        <v>15</v>
      </c>
      <c r="S924" s="45">
        <v>256</v>
      </c>
      <c r="T924" s="241">
        <v>2</v>
      </c>
      <c r="U924" s="244" t="str">
        <f>IF(AND(N925&lt;&gt;"",N926&lt;&gt;""),CONCATENATE(VLOOKUP(N925,[1]zawodnicy!$A$1:$E$65536,1,FALSE)," ",VLOOKUP(N925,[1]zawodnicy!$A$1:$E$65536,2,FALSE)," ",VLOOKUP(N925,[1]zawodnicy!$A$1:$E$65536,3,FALSE)," - ",VLOOKUP(N925,[1]zawodnicy!$A$1:$E$65536,4,FALSE)),"")</f>
        <v/>
      </c>
      <c r="V924" s="245"/>
      <c r="W924" s="246"/>
      <c r="X924" s="46" t="str">
        <f>IF(SUM(AO926:AP926)=0,"",AP926&amp;":"&amp;AO926)</f>
        <v>8:21</v>
      </c>
      <c r="Y924" s="47"/>
      <c r="Z924" s="48" t="str">
        <f>IF(SUM(AO925:AP925)=0,"",AO925&amp;":"&amp;AP925)</f>
        <v>12:21</v>
      </c>
      <c r="AA924" s="247" t="str">
        <f>IF(SUM(AW925:AX925,BA925:BB925)=0,"",BE925&amp;":"&amp;BF925)</f>
        <v>34:84</v>
      </c>
      <c r="AB924" s="250" t="str">
        <f>IF(SUM(AW925:AX925,BA925:BB925)=0,"",BG925&amp;":"&amp;BH925)</f>
        <v>0:4</v>
      </c>
      <c r="AC924" s="250" t="str">
        <f>IF(SUM(AW925:AX925,BA925:BB925)=0,"",BI925&amp;":"&amp;BJ925)</f>
        <v>0:2</v>
      </c>
      <c r="AD924" s="253">
        <f>IF(SUM(BI924:BI926)&gt;0,BK925,"")</f>
        <v>3</v>
      </c>
      <c r="AE924" s="2"/>
      <c r="AF924" s="12"/>
      <c r="AG924" s="12"/>
      <c r="AH924" s="44" t="s">
        <v>15</v>
      </c>
      <c r="AI924" s="49">
        <f>IF(ISBLANK(S924),"",VLOOKUP(S924,'[1]plan gier'!$X$1:$AN$65536,12,FALSE))</f>
        <v>21</v>
      </c>
      <c r="AJ924" s="50">
        <f>IF(ISBLANK(S924),"",VLOOKUP(S924,'[1]plan gier'!$X$1:$AN$65536,13,FALSE))</f>
        <v>6</v>
      </c>
      <c r="AK924" s="50">
        <f>IF(ISBLANK(S924),"",VLOOKUP(S924,'[1]plan gier'!$X$1:$AN$65536,14,FALSE))</f>
        <v>21</v>
      </c>
      <c r="AL924" s="50">
        <f>IF(ISBLANK(S924),"",VLOOKUP(S924,'[1]plan gier'!$X$1:$AN$65536,15,FALSE))</f>
        <v>3</v>
      </c>
      <c r="AM924" s="50">
        <f>IF(ISBLANK(S924),"",VLOOKUP(S924,'[1]plan gier'!$X$1:$AN$65536,16,FALSE))</f>
        <v>0</v>
      </c>
      <c r="AN924" s="50">
        <f>IF(ISBLANK(S924),"",VLOOKUP(S924,'[1]plan gier'!$X$1:$AN$65536,17,FALSE))</f>
        <v>0</v>
      </c>
      <c r="AO924" s="51">
        <f t="shared" ref="AO924:AT926" si="91">IF(AI924="",0,AI924)</f>
        <v>21</v>
      </c>
      <c r="AP924" s="52">
        <f t="shared" si="91"/>
        <v>6</v>
      </c>
      <c r="AQ924" s="53">
        <f t="shared" si="91"/>
        <v>21</v>
      </c>
      <c r="AR924" s="52">
        <f t="shared" si="91"/>
        <v>3</v>
      </c>
      <c r="AS924" s="53">
        <f t="shared" si="91"/>
        <v>0</v>
      </c>
      <c r="AT924" s="52">
        <f t="shared" si="91"/>
        <v>0</v>
      </c>
      <c r="AU924" s="54">
        <f>SUM(AO924:AT924)</f>
        <v>51</v>
      </c>
      <c r="AV924" s="13">
        <v>1</v>
      </c>
      <c r="AW924" s="55"/>
      <c r="AX924" s="56"/>
      <c r="AY924" s="50">
        <f>IF(AI926&gt;AJ926,1,0)+IF(AK926&gt;AL926,1,0)+IF(AM926&gt;AN926,1,0)</f>
        <v>2</v>
      </c>
      <c r="AZ924" s="50">
        <f>AW925</f>
        <v>0</v>
      </c>
      <c r="BA924" s="50">
        <f>IF(AI924&gt;AJ924,1,0)+IF(AK924&gt;AL924,1,0)+IF(AM924&gt;AN924,1,0)</f>
        <v>2</v>
      </c>
      <c r="BB924" s="57">
        <f>AW926</f>
        <v>0</v>
      </c>
      <c r="BE924" s="49">
        <f>AO924+AQ924+AS924+AO926+AQ926+AS926</f>
        <v>84</v>
      </c>
      <c r="BF924" s="57">
        <f>AP924+AR924+AT924+AP926+AR926+AT926</f>
        <v>21</v>
      </c>
      <c r="BG924" s="49">
        <f>AY924+BA924</f>
        <v>4</v>
      </c>
      <c r="BH924" s="57">
        <f>AZ924+BB924</f>
        <v>0</v>
      </c>
      <c r="BI924" s="49">
        <f>IF(AY924&gt;AZ924,1,0)+IF(BA924&gt;BB924,1,0)</f>
        <v>2</v>
      </c>
      <c r="BJ924" s="58">
        <f>IF(AZ924&gt;AY924,1,0)+IF(BB924&gt;BA924,1,0)</f>
        <v>0</v>
      </c>
      <c r="BK924" s="59">
        <f>IF(BI924+BJ924=0,"",IF(BL924=MAX(BL924:BL926),1,IF(BL924=MIN(BL924:BL926),3,2)))</f>
        <v>1</v>
      </c>
      <c r="BL924" s="60">
        <f>IF(BI924+BJ924&lt;&gt;0,BI924+1+(BG924-BH924)/100+(BE924-BF924)/100000+(BE924/BF924)/1000000,0)</f>
        <v>3.0406340000000003</v>
      </c>
    </row>
    <row r="925" spans="1:64" ht="11.45" customHeight="1" x14ac:dyDescent="0.2">
      <c r="A925" s="19">
        <f>S925</f>
        <v>298</v>
      </c>
      <c r="B925" s="2" t="str">
        <f>IF(N925="","",N925)</f>
        <v>X52</v>
      </c>
      <c r="C925" s="2" t="str">
        <f>IF(N926="","",N926)</f>
        <v/>
      </c>
      <c r="D925" s="2" t="str">
        <f>IF(N928="","",N928)</f>
        <v>W5766</v>
      </c>
      <c r="E925" s="2" t="str">
        <f>IF(N929="","",N929)</f>
        <v/>
      </c>
      <c r="J925" s="10"/>
      <c r="K925" s="19"/>
      <c r="M925" s="42" t="str">
        <f>N921</f>
        <v>pojedyncza dziewcząt Ż</v>
      </c>
      <c r="N925" s="33" t="s">
        <v>394</v>
      </c>
      <c r="O925" s="34">
        <f>IF(O920&gt;0,(O920&amp;2)*1,"")</f>
        <v>72</v>
      </c>
      <c r="Q925" s="43" t="str">
        <f>IF(AU925&gt;0,"",IF(A925=0,"",IF(VLOOKUP(A925,'[1]plan gier'!A$1:S$65536,19,FALSE)="","",VLOOKUP(A925,'[1]plan gier'!A$1:S$65536,19,FALSE))))</f>
        <v/>
      </c>
      <c r="R925" s="44" t="s">
        <v>17</v>
      </c>
      <c r="S925" s="45">
        <v>298</v>
      </c>
      <c r="T925" s="242"/>
      <c r="U925" s="244" t="str">
        <f>IF(AND(N925&lt;&gt;"",N926=""),CONCATENATE(VLOOKUP(N925,[1]zawodnicy!$A$1:$E$65536,1,FALSE)," ",VLOOKUP(N925,[1]zawodnicy!$A$1:$E$65536,2,FALSE)," ",VLOOKUP(N925,[1]zawodnicy!$A$1:$E$65536,3,FALSE)," - ",VLOOKUP(N925,[1]zawodnicy!$A$1:$E$65536,4,FALSE)),"")</f>
        <v>X52 Nikola  NOWIŃSKA - UKS Korona Pabianice</v>
      </c>
      <c r="V925" s="245"/>
      <c r="W925" s="246"/>
      <c r="X925" s="61" t="str">
        <f>IF(SUM(AQ926:AR926)=0,"",AR926&amp;":"&amp;AQ926)</f>
        <v>4:21</v>
      </c>
      <c r="Y925" s="62"/>
      <c r="Z925" s="37" t="str">
        <f>IF(SUM(AQ925:AR925)=0,"",AQ925&amp;":"&amp;AR925)</f>
        <v>10:21</v>
      </c>
      <c r="AA925" s="248"/>
      <c r="AB925" s="251"/>
      <c r="AC925" s="251"/>
      <c r="AD925" s="254"/>
      <c r="AE925" s="2"/>
      <c r="AF925" s="12"/>
      <c r="AG925" s="12"/>
      <c r="AH925" s="44" t="s">
        <v>17</v>
      </c>
      <c r="AI925" s="63">
        <f>IF(ISBLANK(S925),"",VLOOKUP(S925,'[1]plan gier'!$X$1:$AN$65536,12,FALSE))</f>
        <v>12</v>
      </c>
      <c r="AJ925" s="64">
        <f>IF(ISBLANK(S925),"",VLOOKUP(S925,'[1]plan gier'!$X$1:$AN$65536,13,FALSE))</f>
        <v>21</v>
      </c>
      <c r="AK925" s="64">
        <f>IF(ISBLANK(S925),"",VLOOKUP(S925,'[1]plan gier'!$X$1:$AN$65536,14,FALSE))</f>
        <v>10</v>
      </c>
      <c r="AL925" s="64">
        <f>IF(ISBLANK(S925),"",VLOOKUP(S925,'[1]plan gier'!$X$1:$AN$65536,15,FALSE))</f>
        <v>21</v>
      </c>
      <c r="AM925" s="64">
        <f>IF(ISBLANK(S925),"",VLOOKUP(S925,'[1]plan gier'!$X$1:$AN$65536,16,FALSE))</f>
        <v>0</v>
      </c>
      <c r="AN925" s="64">
        <f>IF(ISBLANK(S925),"",VLOOKUP(S925,'[1]plan gier'!$X$1:$AN$65536,17,FALSE))</f>
        <v>0</v>
      </c>
      <c r="AO925" s="65">
        <f t="shared" si="91"/>
        <v>12</v>
      </c>
      <c r="AP925" s="64">
        <f t="shared" si="91"/>
        <v>21</v>
      </c>
      <c r="AQ925" s="66">
        <f t="shared" si="91"/>
        <v>10</v>
      </c>
      <c r="AR925" s="64">
        <f t="shared" si="91"/>
        <v>21</v>
      </c>
      <c r="AS925" s="66">
        <f t="shared" si="91"/>
        <v>0</v>
      </c>
      <c r="AT925" s="64">
        <f t="shared" si="91"/>
        <v>0</v>
      </c>
      <c r="AU925" s="54">
        <f>SUM(AO925:AT925)</f>
        <v>64</v>
      </c>
      <c r="AV925" s="13">
        <v>2</v>
      </c>
      <c r="AW925" s="63">
        <f>IF(AI926&lt;AJ926,1,0)+IF(AK926&lt;AL926,1,0)+IF(AM926&lt;AN926,1,0)</f>
        <v>0</v>
      </c>
      <c r="AX925" s="64">
        <f>AY924</f>
        <v>2</v>
      </c>
      <c r="AY925" s="67"/>
      <c r="AZ925" s="68"/>
      <c r="BA925" s="64">
        <f>IF(AI925&gt;AJ925,1,0)+IF(AK925&gt;AL925,1,0)+IF(AM925&gt;AN925,1,0)</f>
        <v>0</v>
      </c>
      <c r="BB925" s="69">
        <f>AY926</f>
        <v>2</v>
      </c>
      <c r="BE925" s="63">
        <f>AO925+AQ925+AS925+AP926+AR926+AT926</f>
        <v>34</v>
      </c>
      <c r="BF925" s="69">
        <f>AP925+AR925+AT925+AO926+AQ926+AS926</f>
        <v>84</v>
      </c>
      <c r="BG925" s="63">
        <f>AW925+BA925</f>
        <v>0</v>
      </c>
      <c r="BH925" s="69">
        <f>AX925+BB925</f>
        <v>4</v>
      </c>
      <c r="BI925" s="63">
        <f>IF(AW925&gt;AX925,1,0)+IF(BA925&gt;BB925,1,0)</f>
        <v>0</v>
      </c>
      <c r="BJ925" s="70">
        <f>IF(AX925&gt;AW925,1,0)+IF(BB925&gt;BA925,1,0)</f>
        <v>2</v>
      </c>
      <c r="BK925" s="71">
        <f>IF(BI925+BJ925=0,"",IF(BL925=MAX(BL924:BL926),1,IF(BL925=MIN(BL924:BL926),3,2)))</f>
        <v>3</v>
      </c>
      <c r="BL925" s="60">
        <f>IF(BI925+BJ925&lt;&gt;0,BI925+1+(BG925-BH925)/100+(BE925-BF925)/100000+(BE925/BF925)/1000000,0)</f>
        <v>0.95950040476190479</v>
      </c>
    </row>
    <row r="926" spans="1:64" ht="11.45" customHeight="1" thickBot="1" x14ac:dyDescent="0.25">
      <c r="A926" s="19">
        <f>S926</f>
        <v>356</v>
      </c>
      <c r="B926" s="2" t="str">
        <f>IF(N922="","",N922)</f>
        <v>k5598</v>
      </c>
      <c r="C926" s="2" t="str">
        <f>IF(N923="","",N923)</f>
        <v/>
      </c>
      <c r="D926" s="2" t="str">
        <f>IF(N925="","",N925)</f>
        <v>X52</v>
      </c>
      <c r="E926" s="2" t="str">
        <f>IF(N926="","",N926)</f>
        <v/>
      </c>
      <c r="I926" s="2" t="str">
        <f>"3"&amp;O920&amp;N921</f>
        <v>37pojedyncza dziewcząt Ż</v>
      </c>
      <c r="J926" s="10" t="str">
        <f>IF(AD927="","",IF(AD921=3,N922,IF(AD924=3,N925,IF(AD927=3,N928,""))))</f>
        <v>X52</v>
      </c>
      <c r="K926" s="10">
        <f>IF(AD927="","",IF(AD921=3,N923,IF(AD924=3,N926,IF(AD927=3,N929,""))))</f>
        <v>0</v>
      </c>
      <c r="M926" s="42" t="str">
        <f>N921</f>
        <v>pojedyncza dziewcząt Ż</v>
      </c>
      <c r="N926" s="38"/>
      <c r="O926" s="28"/>
      <c r="P926" s="28"/>
      <c r="Q926" s="43" t="str">
        <f>IF(AU926&gt;0,"",IF(A926=0,"",IF(VLOOKUP(A926,'[1]plan gier'!A$1:S$65536,19,FALSE)="","",VLOOKUP(A926,'[1]plan gier'!A$1:S$65536,19,FALSE))))</f>
        <v/>
      </c>
      <c r="R926" s="72" t="s">
        <v>18</v>
      </c>
      <c r="S926" s="45">
        <v>356</v>
      </c>
      <c r="T926" s="261"/>
      <c r="U926" s="265" t="str">
        <f>IF(N926&lt;&gt;"",CONCATENATE(VLOOKUP(N926,[1]zawodnicy!$A$1:$E$65536,1,FALSE)," ",VLOOKUP(N926,[1]zawodnicy!$A$1:$E$65536,2,FALSE)," ",VLOOKUP(N926,[1]zawodnicy!$A$1:$E$65536,3,FALSE)," - ",VLOOKUP(N926,[1]zawodnicy!$A$1:$E$65536,4,FALSE)),"")</f>
        <v/>
      </c>
      <c r="V926" s="266"/>
      <c r="W926" s="267"/>
      <c r="X926" s="73" t="str">
        <f>IF(SUM(AS926:AT926)=0,"",AT926&amp;":"&amp;AS926)</f>
        <v/>
      </c>
      <c r="Y926" s="62"/>
      <c r="Z926" s="40" t="str">
        <f>IF(SUM(AS925:AT925)=0,"",AS925&amp;":"&amp;AT925)</f>
        <v/>
      </c>
      <c r="AA926" s="262"/>
      <c r="AB926" s="263"/>
      <c r="AC926" s="263"/>
      <c r="AD926" s="264"/>
      <c r="AE926" s="2"/>
      <c r="AF926" s="12"/>
      <c r="AG926" s="12"/>
      <c r="AH926" s="72" t="s">
        <v>18</v>
      </c>
      <c r="AI926" s="74">
        <f>IF(ISBLANK(S926),"",VLOOKUP(S926,'[1]plan gier'!$X$1:$AN$65536,12,FALSE))</f>
        <v>21</v>
      </c>
      <c r="AJ926" s="75">
        <f>IF(ISBLANK(S926),"",VLOOKUP(S926,'[1]plan gier'!$X$1:$AN$65536,13,FALSE))</f>
        <v>8</v>
      </c>
      <c r="AK926" s="75">
        <f>IF(ISBLANK(S926),"",VLOOKUP(S926,'[1]plan gier'!$X$1:$AN$65536,14,FALSE))</f>
        <v>21</v>
      </c>
      <c r="AL926" s="75">
        <f>IF(ISBLANK(S926),"",VLOOKUP(S926,'[1]plan gier'!$X$1:$AN$65536,15,FALSE))</f>
        <v>4</v>
      </c>
      <c r="AM926" s="75">
        <f>IF(ISBLANK(S926),"",VLOOKUP(S926,'[1]plan gier'!$X$1:$AN$65536,16,FALSE))</f>
        <v>0</v>
      </c>
      <c r="AN926" s="75">
        <f>IF(ISBLANK(S926),"",VLOOKUP(S926,'[1]plan gier'!$X$1:$AN$65536,17,FALSE))</f>
        <v>0</v>
      </c>
      <c r="AO926" s="76">
        <f t="shared" si="91"/>
        <v>21</v>
      </c>
      <c r="AP926" s="75">
        <f t="shared" si="91"/>
        <v>8</v>
      </c>
      <c r="AQ926" s="77">
        <f t="shared" si="91"/>
        <v>21</v>
      </c>
      <c r="AR926" s="75">
        <f t="shared" si="91"/>
        <v>4</v>
      </c>
      <c r="AS926" s="77">
        <f t="shared" si="91"/>
        <v>0</v>
      </c>
      <c r="AT926" s="75">
        <f t="shared" si="91"/>
        <v>0</v>
      </c>
      <c r="AU926" s="54">
        <f>SUM(AO926:AT926)</f>
        <v>54</v>
      </c>
      <c r="AV926" s="13">
        <v>3</v>
      </c>
      <c r="AW926" s="74">
        <f>IF(AI924&lt;AJ924,1,0)+IF(AK924&lt;AL924,1,0)+IF(AM924&lt;AN924,1,0)</f>
        <v>0</v>
      </c>
      <c r="AX926" s="75">
        <f>BA924</f>
        <v>2</v>
      </c>
      <c r="AY926" s="75">
        <f>IF(AI925&lt;AJ925,1,0)+IF(AK925&lt;AL925,1,0)+IF(AM925&lt;AN925,1,0)</f>
        <v>2</v>
      </c>
      <c r="AZ926" s="75">
        <f>BA925</f>
        <v>0</v>
      </c>
      <c r="BA926" s="78"/>
      <c r="BB926" s="79"/>
      <c r="BE926" s="74">
        <f>AP924+AR924+AT924+AP925+AR925+AT925</f>
        <v>51</v>
      </c>
      <c r="BF926" s="80">
        <f>AO924+AQ924+AS924+AO925+AQ925+AS925</f>
        <v>64</v>
      </c>
      <c r="BG926" s="74">
        <f>AW926+AY926</f>
        <v>2</v>
      </c>
      <c r="BH926" s="80">
        <f>AX926+AZ926</f>
        <v>2</v>
      </c>
      <c r="BI926" s="74">
        <f>IF(AW926&gt;AX926,1,0)+IF(AY926&gt;AZ926,1,0)</f>
        <v>1</v>
      </c>
      <c r="BJ926" s="81">
        <f>IF(AX926&gt;AW926,1,0)+IF(AZ926&gt;AY926,1,0)</f>
        <v>1</v>
      </c>
      <c r="BK926" s="82">
        <f>IF(BI926+BJ926=0,"",IF(BL926=MAX(BL924:BL926),1,IF(BL926=MIN(BL924:BL926),3,2)))</f>
        <v>2</v>
      </c>
      <c r="BL926" s="60">
        <f>IF(BI926+BJ926&lt;&gt;0,BI926+1+(BG926-BH926)/100+(BE926-BF926)/100000+(BE926/BF926)/1000000,0)</f>
        <v>1.999870796875</v>
      </c>
    </row>
    <row r="927" spans="1:64" ht="11.45" customHeight="1" x14ac:dyDescent="0.2">
      <c r="A927" s="2"/>
      <c r="J927" s="28"/>
      <c r="K927" s="28"/>
      <c r="L927" s="28"/>
      <c r="O927" s="28"/>
      <c r="P927" s="28"/>
      <c r="Q927" s="2"/>
      <c r="R927" s="2"/>
      <c r="S927" s="2"/>
      <c r="T927" s="241">
        <v>3</v>
      </c>
      <c r="U927" s="244" t="str">
        <f>IF(AND(N928&lt;&gt;"",N929&lt;&gt;""),CONCATENATE(VLOOKUP(N928,[1]zawodnicy!$A$1:$E$65536,1,FALSE)," ",VLOOKUP(N928,[1]zawodnicy!$A$1:$E$65536,2,FALSE)," ",VLOOKUP(N928,[1]zawodnicy!$A$1:$E$65536,3,FALSE)," - ",VLOOKUP(N928,[1]zawodnicy!$A$1:$E$65536,4,FALSE)),"")</f>
        <v/>
      </c>
      <c r="V927" s="245"/>
      <c r="W927" s="246"/>
      <c r="X927" s="46" t="str">
        <f>IF(SUM(AO924:AP924)=0,"",AP924&amp;":"&amp;AO924)</f>
        <v>6:21</v>
      </c>
      <c r="Y927" s="83" t="str">
        <f>IF(SUM(AO925:AP925)=0,"",AP925&amp;":"&amp;AO925)</f>
        <v>21:12</v>
      </c>
      <c r="Z927" s="84"/>
      <c r="AA927" s="247" t="str">
        <f>IF(SUM(AW926:AZ926)=0,"",BE926&amp;":"&amp;BF926)</f>
        <v>51:64</v>
      </c>
      <c r="AB927" s="250" t="str">
        <f>IF(SUM(AW926:AZ926)=0,"",BG926&amp;":"&amp;BH926)</f>
        <v>2:2</v>
      </c>
      <c r="AC927" s="250" t="str">
        <f>IF(SUM(AW926:AZ926)=0,"",BI926&amp;":"&amp;BJ926)</f>
        <v>1:1</v>
      </c>
      <c r="AD927" s="253">
        <f>IF(SUM(BI924:BI926)&gt;0,BK926,"")</f>
        <v>2</v>
      </c>
      <c r="AE927" s="2"/>
      <c r="AF927" s="12"/>
      <c r="AG927" s="12"/>
      <c r="BE927" s="19">
        <f>SUM(BE924:BE926)</f>
        <v>169</v>
      </c>
      <c r="BF927" s="19">
        <f>SUM(BF924:BF926)</f>
        <v>169</v>
      </c>
      <c r="BG927" s="19">
        <f>SUM(BG924:BG926)</f>
        <v>6</v>
      </c>
      <c r="BH927" s="19">
        <f>SUM(BH924:BH926)</f>
        <v>6</v>
      </c>
      <c r="BK927" s="19"/>
      <c r="BL927" s="20"/>
    </row>
    <row r="928" spans="1:64" ht="11.45" customHeight="1" x14ac:dyDescent="0.2">
      <c r="A928" s="19"/>
      <c r="J928" s="19"/>
      <c r="K928" s="19"/>
      <c r="L928" s="19"/>
      <c r="N928" s="33" t="s">
        <v>395</v>
      </c>
      <c r="O928" s="34">
        <f>IF(O920&gt;0,(O920&amp;3)*1,"")</f>
        <v>73</v>
      </c>
      <c r="Q928" s="85"/>
      <c r="R928" s="85"/>
      <c r="S928" s="85"/>
      <c r="T928" s="242"/>
      <c r="U928" s="244" t="str">
        <f>IF(AND(N928&lt;&gt;"",N929=""),CONCATENATE(VLOOKUP(N928,[1]zawodnicy!$A$1:$E$65536,1,FALSE)," ",VLOOKUP(N928,[1]zawodnicy!$A$1:$E$65536,2,FALSE)," ",VLOOKUP(N928,[1]zawodnicy!$A$1:$E$65536,3,FALSE)," - ",VLOOKUP(N928,[1]zawodnicy!$A$1:$E$65536,4,FALSE)),"")</f>
        <v>W5766 Paulina WZOREK - UKS Lotka Łódź</v>
      </c>
      <c r="V928" s="245"/>
      <c r="W928" s="246"/>
      <c r="X928" s="61" t="str">
        <f>IF(SUM(AQ924:AR924)=0,"",AR924&amp;":"&amp;AQ924)</f>
        <v>3:21</v>
      </c>
      <c r="Y928" s="36" t="str">
        <f>IF(SUM(AQ925:AR925)=0,"",AR925&amp;":"&amp;AQ925)</f>
        <v>21:10</v>
      </c>
      <c r="Z928" s="86"/>
      <c r="AA928" s="248"/>
      <c r="AB928" s="251"/>
      <c r="AC928" s="251"/>
      <c r="AD928" s="254"/>
      <c r="AE928" s="2"/>
      <c r="AF928" s="12"/>
      <c r="AG928" s="1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row>
    <row r="929" spans="1:63" ht="11.45" customHeight="1" thickBot="1" x14ac:dyDescent="0.25">
      <c r="A929" s="2"/>
      <c r="J929" s="28"/>
      <c r="K929" s="28"/>
      <c r="L929" s="28"/>
      <c r="N929" s="38"/>
      <c r="O929" s="28"/>
      <c r="P929" s="28"/>
      <c r="Q929" s="2"/>
      <c r="R929" s="2"/>
      <c r="S929" s="2"/>
      <c r="T929" s="243"/>
      <c r="U929" s="256" t="str">
        <f>IF(N929&lt;&gt;"",CONCATENATE(VLOOKUP(N929,[1]zawodnicy!$A$1:$E$65536,1,FALSE)," ",VLOOKUP(N929,[1]zawodnicy!$A$1:$E$65536,2,FALSE)," ",VLOOKUP(N929,[1]zawodnicy!$A$1:$E$65536,3,FALSE)," - ",VLOOKUP(N929,[1]zawodnicy!$A$1:$E$65536,4,FALSE)),"")</f>
        <v/>
      </c>
      <c r="V929" s="257"/>
      <c r="W929" s="258"/>
      <c r="X929" s="87" t="str">
        <f>IF(SUM(AS924:AT924)=0,"",AT924&amp;":"&amp;AS924)</f>
        <v/>
      </c>
      <c r="Y929" s="88" t="str">
        <f>IF(SUM(AS925:AT925)=0,"",AT925&amp;":"&amp;AS925)</f>
        <v/>
      </c>
      <c r="Z929" s="89"/>
      <c r="AA929" s="249"/>
      <c r="AB929" s="252"/>
      <c r="AC929" s="252"/>
      <c r="AD929" s="255"/>
      <c r="AE929" s="10"/>
      <c r="AF929" s="12"/>
      <c r="AG929" s="1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row>
    <row r="930" spans="1:63" s="19" customFormat="1" ht="5.0999999999999996" customHeight="1" x14ac:dyDescent="0.2">
      <c r="M930" s="90"/>
      <c r="O930" s="90"/>
      <c r="P930" s="90"/>
      <c r="Q930" s="91"/>
      <c r="R930" s="91"/>
      <c r="S930" s="91"/>
      <c r="T930" s="91"/>
      <c r="U930" s="5"/>
      <c r="V930" s="5"/>
      <c r="W930" s="5"/>
      <c r="AA930" s="92"/>
      <c r="AB930" s="91"/>
      <c r="AC930" s="91"/>
      <c r="AD930" s="91"/>
      <c r="AE930" s="91"/>
      <c r="AF930" s="91"/>
      <c r="AI930" s="93"/>
      <c r="AJ930" s="94"/>
      <c r="AK930" s="94"/>
    </row>
    <row r="932" spans="1:63" ht="11.45" customHeight="1" x14ac:dyDescent="0.2">
      <c r="J932" s="2"/>
      <c r="K932" s="2"/>
      <c r="L932" s="2"/>
      <c r="M932" s="95"/>
      <c r="N932" s="96">
        <v>1</v>
      </c>
      <c r="O932" s="97">
        <v>7</v>
      </c>
      <c r="P932" s="98"/>
      <c r="Q932" s="1"/>
      <c r="R932" s="1"/>
      <c r="S932" s="1"/>
      <c r="T932" s="229"/>
      <c r="U932" s="229"/>
      <c r="V932" s="229"/>
      <c r="W932" s="229"/>
      <c r="X932" s="229"/>
      <c r="Y932" s="229"/>
      <c r="Z932" s="229"/>
      <c r="AA932" s="229"/>
      <c r="AB932" s="229"/>
      <c r="AC932" s="229"/>
      <c r="AD932" s="229"/>
      <c r="AE932" s="229"/>
      <c r="AF932" s="229"/>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row>
    <row r="933" spans="1:63" ht="11.45" customHeight="1" x14ac:dyDescent="0.2">
      <c r="J933" s="2"/>
      <c r="K933" s="2"/>
      <c r="L933" s="2"/>
      <c r="N933" s="99" t="s">
        <v>378</v>
      </c>
      <c r="P933" s="98"/>
      <c r="Q933" s="1"/>
      <c r="R933" s="1"/>
      <c r="S933" s="1"/>
      <c r="T933" s="1"/>
      <c r="U933" s="100"/>
      <c r="V933" s="101"/>
      <c r="W933" s="101"/>
      <c r="X933" s="101"/>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row>
    <row r="934" spans="1:63" ht="11.45" customHeight="1" x14ac:dyDescent="0.2">
      <c r="A934" s="102">
        <f>W934</f>
        <v>0</v>
      </c>
      <c r="B934" s="2" t="str">
        <f>IF(TYPE(T934)=16,"",T934)</f>
        <v>N5113</v>
      </c>
      <c r="D934" s="2" t="str">
        <f>IF(TYPE(T935)=16,"",T935)</f>
        <v/>
      </c>
      <c r="F934" s="2" t="str">
        <f>IF(A934=0,IF(AND(LEN(B934)&gt;0,LEN(D934)=0),VLOOKUP(B934,[1]zawodnicy!$A$1:$E$65536,1,FALSE),IF(AND(LEN(D934)&gt;0,LEN(B934)=0),VLOOKUP(D934,[1]zawodnicy!$A$1:$E$65536,1,FALSE),"")),IF((VLOOKUP(A934,'[1]plan gier'!$X$1:$AF$65536,7,FALSE))="","",VLOOKUP(VLOOKUP(A934,'[1]plan gier'!$X$1:$AF$65536,7,FALSE),[1]zawodnicy!$A$1:$E$65536,1,FALSE)))</f>
        <v>N5113</v>
      </c>
      <c r="H934" s="2" t="str">
        <f>IF(A934=0,"",IF((VLOOKUP(A934,'[1]plan gier'!$X$1:$AF$65536,7,FALSE))="","",VLOOKUP(A934,'[1]plan gier'!$X$1:$AF$65536,9,FALSE)))</f>
        <v/>
      </c>
      <c r="J934" s="103"/>
      <c r="L934" s="43" t="str">
        <f>IF(A934=0,"",IF(VLOOKUP(A934,'[1]plan gier'!A$1:S$65536,19,FALSE)="","",VLOOKUP(A934,'[1]plan gier'!A$1:S$65536,19,FALSE)))</f>
        <v/>
      </c>
      <c r="M934" s="2" t="str">
        <f>N933</f>
        <v>pojedyncza dziewcząt Ż</v>
      </c>
      <c r="N934" s="104"/>
      <c r="O934" s="105">
        <f>IF(P934="","",1)</f>
        <v>1</v>
      </c>
      <c r="P934" s="106">
        <f>IF(O932&gt;4,1,"")</f>
        <v>1</v>
      </c>
      <c r="Q934" s="5">
        <f>O934</f>
        <v>1</v>
      </c>
      <c r="T934" s="286" t="str">
        <f>UPPER(IF(O934="","",IF(ISTEXT(N934),N934,IF(AND(N932&gt;0,O934&gt;0),VLOOKUP(N932&amp;O934&amp;N933,I:J,2,FALSE),""))))</f>
        <v>N5113</v>
      </c>
      <c r="U934" s="287"/>
      <c r="V934" s="107" t="str">
        <f>IF(T934&lt;&gt;"",CONCATENATE(VLOOKUP(T934,[1]zawodnicy!$A$1:$E$65536,2,FALSE)," ",VLOOKUP(T934,[1]zawodnicy!$A$1:$E$65536,3,FALSE)," - ",VLOOKUP(T934,[1]zawodnicy!$A$1:$E$65536,4,FALSE)),"")</f>
        <v>Weronika NIKLAS - ULKS U-2 Lotka Bytów</v>
      </c>
      <c r="W934" s="108"/>
      <c r="X934" s="231" t="str">
        <f>IF(ISBLANK(W934),IF(AND(LEN(T934)&gt;0,LEN(T935)=0),VLOOKUP(T934,[1]zawodnicy!$A$1:$E$65536,3,FALSE),IF(AND(LEN(T935)&gt;0,LEN(T934)=0),VLOOKUP(T935,[1]zawodnicy!$A$1:$E$65536,3,FALSE),"")),IF((VLOOKUP(W934,'[1]plan gier'!$X$1:$AF$65536,7,FALSE))="","",VLOOKUP(VLOOKUP(W934,'[1]plan gier'!$X$1:$AF$65536,7,FALSE),[1]zawodnicy!$A$1:$E$65536,3,FALSE)))</f>
        <v>NIKLAS</v>
      </c>
      <c r="Y934" s="232"/>
      <c r="Z934" s="23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row>
    <row r="935" spans="1:63" ht="11.45" customHeight="1" x14ac:dyDescent="0.2">
      <c r="J935" s="103"/>
      <c r="N935" s="104"/>
      <c r="O935" s="109" t="str">
        <f>IF(P935="","",2)</f>
        <v/>
      </c>
      <c r="P935" s="106" t="str">
        <f>IF(O932&gt;7,5,"")</f>
        <v/>
      </c>
      <c r="Q935" s="5" t="str">
        <f>O935</f>
        <v/>
      </c>
      <c r="T935" s="286" t="str">
        <f>UPPER(IF(O935="","",IF(ISTEXT(N935),N935,IF(AND(N932&gt;0,O935&gt;0),VLOOKUP(N932&amp;O935&amp;N933,I:J,2,FALSE),""))))</f>
        <v/>
      </c>
      <c r="U935" s="287"/>
      <c r="V935" s="107" t="str">
        <f>IF(T935&lt;&gt;"",CONCATENATE(VLOOKUP(T935,[1]zawodnicy!$A$1:$E$65536,2,FALSE)," ",VLOOKUP(T935,[1]zawodnicy!$A$1:$E$65536,3,FALSE)," - ",VLOOKUP(T935,[1]zawodnicy!$A$1:$E$65536,4,FALSE)),"")</f>
        <v/>
      </c>
      <c r="W935" s="110"/>
      <c r="X935" s="236" t="str">
        <f>IF(ISBLANK(W934),"",IF((VLOOKUP(W934,'[1]plan gier'!$X$1:$AF$65536,7,FALSE))="",L934,VLOOKUP(W934,'[1]plan gier'!$X$1:$AF$65536,9,FALSE)))</f>
        <v/>
      </c>
      <c r="Y935" s="237"/>
      <c r="Z935" s="240"/>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row>
    <row r="936" spans="1:63" ht="11.45" customHeight="1" x14ac:dyDescent="0.2">
      <c r="A936" s="111">
        <f>Z936</f>
        <v>396</v>
      </c>
      <c r="B936" s="2" t="str">
        <f>F934</f>
        <v>N5113</v>
      </c>
      <c r="D936" s="2" t="str">
        <f>F938</f>
        <v>S5623</v>
      </c>
      <c r="F936" s="2" t="str">
        <f>IF(A936=0,IF(AND(LEN(B936)&gt;0,LEN(D936)=0),B936,IF(AND(LEN(D936)&gt;0,LEN(B936)=0),D936,"")),IF((VLOOKUP(A936,'[1]plan gier'!$X$1:$AF$65536,7,FALSE))="","",VLOOKUP(VLOOKUP(A936,'[1]plan gier'!$X$1:$AF$65536,7,FALSE),[1]zawodnicy!$A$1:$E$65536,1,FALSE)))</f>
        <v>N5113</v>
      </c>
      <c r="H936" s="2" t="str">
        <f>IF(A936=0,"",IF((VLOOKUP(A936,'[1]plan gier'!$X$1:$AF$65536,7,FALSE))="","",VLOOKUP(A936,'[1]plan gier'!$X$1:$AF$65536,9,FALSE)))</f>
        <v>21:11,21:15</v>
      </c>
      <c r="J936" s="103"/>
      <c r="L936" s="43" t="str">
        <f>IF(A936=0,"",IF(VLOOKUP(A936,'[1]plan gier'!A$1:S$65536,19,FALSE)="","",VLOOKUP(A936,'[1]plan gier'!A$1:S$65536,19,FALSE)))</f>
        <v>sob 18:50</v>
      </c>
      <c r="M936" s="2" t="str">
        <f>N933</f>
        <v>pojedyncza dziewcząt Ż</v>
      </c>
      <c r="N936" s="95"/>
      <c r="O936" s="112"/>
      <c r="P936" s="106"/>
      <c r="T936" s="9"/>
      <c r="U936" s="113"/>
      <c r="V936" s="2"/>
      <c r="W936" s="2"/>
      <c r="X936" s="114"/>
      <c r="Y936" s="10"/>
      <c r="Z936" s="115">
        <v>396</v>
      </c>
      <c r="AA936" s="232" t="str">
        <f>IF(ISBLANK(Z936),IF(AND(LEN(X934)&gt;0,LEN(X938)=0),X934,IF(AND(LEN(X938)&gt;0,LEN(X934)=0),X938,"")),IF((VLOOKUP(Z936,'[1]plan gier'!$X$1:$AF$65536,7,FALSE))="","",VLOOKUP(VLOOKUP(Z936,'[1]plan gier'!$X$1:$AF$65536,7,FALSE),[1]zawodnicy!$A$1:$E$65536,3,FALSE)))</f>
        <v>NIKLAS</v>
      </c>
      <c r="AB936" s="232"/>
      <c r="AC936" s="23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row>
    <row r="937" spans="1:63" ht="11.45" customHeight="1" x14ac:dyDescent="0.2">
      <c r="J937" s="103"/>
      <c r="N937" s="95"/>
      <c r="O937" s="112"/>
      <c r="P937" s="106"/>
      <c r="T937" s="9"/>
      <c r="U937" s="113"/>
      <c r="V937" s="2"/>
      <c r="W937" s="2"/>
      <c r="X937" s="114"/>
      <c r="Y937" s="10"/>
      <c r="Z937" s="116"/>
      <c r="AA937" s="237" t="str">
        <f>IF(ISBLANK(Z936),"",IF((VLOOKUP(Z936,'[1]plan gier'!$X$1:$AF$65536,7,FALSE))="",L936,VLOOKUP(Z936,'[1]plan gier'!$X$1:$AF$65536,9,FALSE)))</f>
        <v>21:11,21:15</v>
      </c>
      <c r="AB937" s="237"/>
      <c r="AC937" s="240"/>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row>
    <row r="938" spans="1:63" ht="11.45" customHeight="1" x14ac:dyDescent="0.2">
      <c r="A938" s="102">
        <f>W938</f>
        <v>388</v>
      </c>
      <c r="B938" s="2" t="str">
        <f>IF(TYPE(T938)=16,"",T938)</f>
        <v>Ł5765</v>
      </c>
      <c r="D938" s="2" t="str">
        <f>IF(TYPE(T939)=16,"",T939)</f>
        <v>S5623</v>
      </c>
      <c r="F938" s="2" t="str">
        <f>IF(A938=0,IF(AND(LEN(B938)&gt;0,LEN(D938)=0),VLOOKUP(B938,[1]zawodnicy!$A$1:$E$65536,1,FALSE),IF(AND(LEN(D938)&gt;0,LEN(B938)=0),VLOOKUP(D938,[1]zawodnicy!$A$1:$E$65536,1,FALSE),"")),IF((VLOOKUP(A938,'[1]plan gier'!$X$1:$AF$65536,7,FALSE))="","",VLOOKUP(VLOOKUP(A938,'[1]plan gier'!$X$1:$AF$65536,7,FALSE),[1]zawodnicy!$A$1:$E$65536,1,FALSE)))</f>
        <v>S5623</v>
      </c>
      <c r="H938" s="2" t="str">
        <f>IF(A938=0,"",IF((VLOOKUP(A938,'[1]plan gier'!$X$1:$AF$65536,7,FALSE))="","",VLOOKUP(A938,'[1]plan gier'!$X$1:$AF$65536,9,FALSE)))</f>
        <v>21:12,21:14</v>
      </c>
      <c r="J938" s="103"/>
      <c r="L938" s="43" t="str">
        <f>IF(A938=0,"",IF(VLOOKUP(A938,'[1]plan gier'!A$1:S$65536,19,FALSE)="","",VLOOKUP(A938,'[1]plan gier'!A$1:S$65536,19,FALSE)))</f>
        <v>sob 18:30</v>
      </c>
      <c r="M938" s="2" t="str">
        <f>N933</f>
        <v>pojedyncza dziewcząt Ż</v>
      </c>
      <c r="N938" s="104"/>
      <c r="O938" s="105">
        <f>IF(P938="","",MAX(O934:O937)+1)</f>
        <v>2</v>
      </c>
      <c r="P938" s="106">
        <f>IF(O932&gt;4,9,"")</f>
        <v>9</v>
      </c>
      <c r="Q938" s="5">
        <f>O938</f>
        <v>2</v>
      </c>
      <c r="T938" s="286" t="str">
        <f>UPPER(IF(O938="","",IF(ISTEXT(N938),N938,IF(AND(N932&gt;0,O938&gt;0),VLOOKUP(N932&amp;O938&amp;N933,I:J,2,FALSE),""))))</f>
        <v>Ł5765</v>
      </c>
      <c r="U938" s="287"/>
      <c r="V938" s="107" t="str">
        <f>IF(T938&lt;&gt;"",CONCATENATE(VLOOKUP(T938,[1]zawodnicy!$A$1:$E$65536,2,FALSE)," ",VLOOKUP(T938,[1]zawodnicy!$A$1:$E$65536,3,FALSE)," - ",VLOOKUP(T938,[1]zawodnicy!$A$1:$E$65536,4,FALSE)),"")</f>
        <v>Martyna ŁYŻWA - UKS Lotka Łódź</v>
      </c>
      <c r="W938" s="108">
        <v>388</v>
      </c>
      <c r="X938" s="231" t="str">
        <f>IF(ISBLANK(W938),IF(AND(LEN(T938)&gt;0,LEN(T939)=0),VLOOKUP(T938,[1]zawodnicy!$A$1:$E$65536,3,FALSE),IF(AND(LEN(T939)&gt;0,LEN(T938)=0),VLOOKUP(T939,[1]zawodnicy!$A$1:$E$65536,3,FALSE),"")),IF((VLOOKUP(W938,'[1]plan gier'!$X$1:$AF$65536,7,FALSE))="","",VLOOKUP(VLOOKUP(W938,'[1]plan gier'!$X$1:$AF$65536,7,FALSE),[1]zawodnicy!$A$1:$E$65536,3,FALSE)))</f>
        <v>SZEMPLIŃSKA</v>
      </c>
      <c r="Y938" s="232"/>
      <c r="Z938" s="233"/>
      <c r="AA938" s="10"/>
      <c r="AB938" s="10"/>
      <c r="AC938" s="117"/>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row>
    <row r="939" spans="1:63" ht="11.45" customHeight="1" x14ac:dyDescent="0.2">
      <c r="J939" s="103"/>
      <c r="N939" s="104"/>
      <c r="O939" s="109">
        <f>IF(P939="","",MAX(O934:O938)+1)</f>
        <v>3</v>
      </c>
      <c r="P939" s="106">
        <f>IF(O932&gt;5,13,"")</f>
        <v>13</v>
      </c>
      <c r="Q939" s="5">
        <f>O939</f>
        <v>3</v>
      </c>
      <c r="T939" s="286" t="str">
        <f>UPPER(IF(O939="","",IF(ISTEXT(N939),N939,IF(AND(N932&gt;0,O939&gt;0),VLOOKUP(N932&amp;O939&amp;N933,I:J,2,FALSE),""))))</f>
        <v>S5623</v>
      </c>
      <c r="U939" s="287"/>
      <c r="V939" s="107" t="str">
        <f>IF(T939&lt;&gt;"",CONCATENATE(VLOOKUP(T939,[1]zawodnicy!$A$1:$E$65536,2,FALSE)," ",VLOOKUP(T939,[1]zawodnicy!$A$1:$E$65536,3,FALSE)," - ",VLOOKUP(T939,[1]zawodnicy!$A$1:$E$65536,4,FALSE)),"")</f>
        <v>Weronika SZEMPLIŃSKA - UKS Badminton Stare Babice</v>
      </c>
      <c r="W939" s="110"/>
      <c r="X939" s="228" t="str">
        <f>IF(ISBLANK(W938),"",IF((VLOOKUP(W938,'[1]plan gier'!$X$1:$AF$65536,7,FALSE))="",L938,VLOOKUP(W938,'[1]plan gier'!$X$1:$AF$65536,9,FALSE)))</f>
        <v>21:12,21:14</v>
      </c>
      <c r="Y939" s="229"/>
      <c r="Z939" s="229"/>
      <c r="AA939" s="10"/>
      <c r="AB939" s="10"/>
      <c r="AC939" s="117"/>
      <c r="AD939" s="16"/>
      <c r="AE939" s="16"/>
      <c r="AF939" s="16"/>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row>
    <row r="940" spans="1:63" ht="11.45" customHeight="1" x14ac:dyDescent="0.2">
      <c r="A940" s="118">
        <f>AC940</f>
        <v>410</v>
      </c>
      <c r="B940" s="2" t="str">
        <f>F936</f>
        <v>N5113</v>
      </c>
      <c r="D940" s="2" t="str">
        <f>F944</f>
        <v>X18</v>
      </c>
      <c r="F940" s="2" t="str">
        <f>IF(A940=0,IF(AND(LEN(B940)&gt;0,LEN(D940)=0),B940,IF(AND(LEN(D940)&gt;0,LEN(B940)=0),D940,"")),IF((VLOOKUP(A940,'[1]plan gier'!$X$1:$AF$65536,7,FALSE))="","",VLOOKUP(VLOOKUP(A940,'[1]plan gier'!$X$1:$AF$65536,7,FALSE),[1]zawodnicy!$A$1:$E$65536,1,FALSE)))</f>
        <v>X18</v>
      </c>
      <c r="H940" s="2" t="str">
        <f>IF(A940=0,"",IF((VLOOKUP(A940,'[1]plan gier'!$X$1:$AF$65536,7,FALSE))="","",VLOOKUP(A940,'[1]plan gier'!$X$1:$AF$65536,9,FALSE)))</f>
        <v>21:11,21:6</v>
      </c>
      <c r="J940" s="103"/>
      <c r="L940" s="43" t="str">
        <f>IF(A940=0,"",IF(VLOOKUP(A940,'[1]plan gier'!A$1:S$65536,19,FALSE)="","",VLOOKUP(A940,'[1]plan gier'!A$1:S$65536,19,FALSE)))</f>
        <v>sob 20:15</v>
      </c>
      <c r="M940" s="2" t="str">
        <f>N933</f>
        <v>pojedyncza dziewcząt Ż</v>
      </c>
      <c r="N940" s="95"/>
      <c r="O940" s="112"/>
      <c r="P940" s="106"/>
      <c r="T940" s="9"/>
      <c r="U940" s="113"/>
      <c r="V940" s="114"/>
      <c r="W940" s="2"/>
      <c r="X940" s="10"/>
      <c r="Y940" s="2"/>
      <c r="Z940" s="2"/>
      <c r="AA940" s="10"/>
      <c r="AB940" s="10"/>
      <c r="AC940" s="115">
        <v>410</v>
      </c>
      <c r="AD940" s="290" t="str">
        <f>IF(ISBLANK(AC940),IF(AND(LEN(AA936)&gt;0,LEN(AA944)=0),AA936,IF(AND(LEN(AA944)&gt;0,LEN(AA936)=0),AA944,"")),IF((VLOOKUP(AC940,'[1]plan gier'!$X$1:$AF$65536,7,FALSE))="","",VLOOKUP(VLOOKUP(AC940,'[1]plan gier'!$X$1:$AF$65536,7,FALSE),[1]zawodnicy!$A$1:$E$65536,3,FALSE)))</f>
        <v>TARUSAVA</v>
      </c>
      <c r="AE940" s="290"/>
      <c r="AF940" s="290"/>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row>
    <row r="941" spans="1:63" ht="11.45" customHeight="1" x14ac:dyDescent="0.2">
      <c r="J941" s="103"/>
      <c r="N941" s="95"/>
      <c r="O941" s="112"/>
      <c r="P941" s="106"/>
      <c r="T941" s="9"/>
      <c r="U941" s="113"/>
      <c r="V941" s="114"/>
      <c r="W941" s="2"/>
      <c r="X941" s="10"/>
      <c r="Y941" s="2"/>
      <c r="Z941" s="2"/>
      <c r="AA941" s="10"/>
      <c r="AB941" s="10"/>
      <c r="AC941" s="116"/>
      <c r="AD941" s="291" t="str">
        <f>IF(ISBLANK(AC940),"",IF((VLOOKUP(AC940,'[1]plan gier'!$X$1:$AF$65536,7,FALSE))="",L940,VLOOKUP(AC940,'[1]plan gier'!$X$1:$AF$65536,9,FALSE)))</f>
        <v>21:11,21:6</v>
      </c>
      <c r="AE941" s="291"/>
      <c r="AF941" s="291"/>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row>
    <row r="942" spans="1:63" ht="11.45" customHeight="1" x14ac:dyDescent="0.2">
      <c r="A942" s="102">
        <f>W942</f>
        <v>389</v>
      </c>
      <c r="B942" s="2" t="str">
        <f>IF(TYPE(T942)=16,"",T942)</f>
        <v>X18</v>
      </c>
      <c r="D942" s="2" t="str">
        <f>IF(TYPE(T943)=16,"",T943)</f>
        <v>R5626</v>
      </c>
      <c r="F942" s="2" t="str">
        <f>IF(A942=0,IF(AND(LEN(B942)&gt;0,LEN(D942)=0),VLOOKUP(B942,[1]zawodnicy!$A$1:$E$65536,1,FALSE),IF(AND(LEN(D942)&gt;0,LEN(B942)=0),VLOOKUP(D942,[1]zawodnicy!$A$1:$E$65536,1,FALSE),"")),IF((VLOOKUP(A942,'[1]plan gier'!$X$1:$AF$65536,7,FALSE))="","",VLOOKUP(VLOOKUP(A942,'[1]plan gier'!$X$1:$AF$65536,7,FALSE),[1]zawodnicy!$A$1:$E$65536,1,FALSE)))</f>
        <v>X18</v>
      </c>
      <c r="H942" s="2" t="str">
        <f>IF(A942=0,"",IF((VLOOKUP(A942,'[1]plan gier'!$X$1:$AF$65536,7,FALSE))="","",VLOOKUP(A942,'[1]plan gier'!$X$1:$AF$65536,9,FALSE)))</f>
        <v>21:3,21:17</v>
      </c>
      <c r="J942" s="103"/>
      <c r="L942" s="43" t="str">
        <f>IF(A942=0,"",IF(VLOOKUP(A942,'[1]plan gier'!A$1:S$65536,19,FALSE)="","",VLOOKUP(A942,'[1]plan gier'!A$1:S$65536,19,FALSE)))</f>
        <v>sob 18:50</v>
      </c>
      <c r="M942" s="2" t="str">
        <f>N933</f>
        <v>pojedyncza dziewcząt Ż</v>
      </c>
      <c r="N942" s="104"/>
      <c r="O942" s="105">
        <f>IF(P942="","",MAX(O934:O941)+1)</f>
        <v>4</v>
      </c>
      <c r="P942" s="106">
        <f>IF(O932&gt;4,20,"")</f>
        <v>20</v>
      </c>
      <c r="Q942" s="5">
        <f>O942</f>
        <v>4</v>
      </c>
      <c r="T942" s="286" t="str">
        <f>UPPER(IF(O942="","",IF(ISTEXT(N942),N942,IF(AND(N932&gt;0,O942&gt;0),VLOOKUP(N932&amp;O942&amp;N933,I:J,2,FALSE),""))))</f>
        <v>X18</v>
      </c>
      <c r="U942" s="287"/>
      <c r="V942" s="107" t="str">
        <f>IF(T942&lt;&gt;"",CONCATENATE(VLOOKUP(T942,[1]zawodnicy!$A$1:$E$65536,2,FALSE)," ",VLOOKUP(T942,[1]zawodnicy!$A$1:$E$65536,3,FALSE)," - ",VLOOKUP(T942,[1]zawodnicy!$A$1:$E$65536,4,FALSE)),"")</f>
        <v>Veranika TARUSAVA - Mińsk Białoruś</v>
      </c>
      <c r="W942" s="108">
        <v>389</v>
      </c>
      <c r="X942" s="231" t="str">
        <f>IF(ISBLANK(W942),IF(AND(LEN(T942)&gt;0,LEN(T943)=0),VLOOKUP(T942,[1]zawodnicy!$A$1:$E$65536,3,FALSE),IF(AND(LEN(T943)&gt;0,LEN(T942)=0),VLOOKUP(T943,[1]zawodnicy!$A$1:$E$65536,3,FALSE),"")),IF((VLOOKUP(W942,'[1]plan gier'!$X$1:$AF$65536,7,FALSE))="","",VLOOKUP(VLOOKUP(W942,'[1]plan gier'!$X$1:$AF$65536,7,FALSE),[1]zawodnicy!$A$1:$E$65536,3,FALSE)))</f>
        <v>TARUSAVA</v>
      </c>
      <c r="Y942" s="232"/>
      <c r="Z942" s="232"/>
      <c r="AA942" s="10"/>
      <c r="AB942" s="10"/>
      <c r="AC942" s="117"/>
      <c r="AD942" s="10"/>
      <c r="AE942" s="10"/>
      <c r="AF942" s="10"/>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row>
    <row r="943" spans="1:63" ht="11.45" customHeight="1" x14ac:dyDescent="0.2">
      <c r="J943" s="103"/>
      <c r="N943" s="104"/>
      <c r="O943" s="109">
        <f>IF(P943="","",MAX(O934:O942)+1)</f>
        <v>5</v>
      </c>
      <c r="P943" s="106">
        <f>IF(O932&gt;4,24,"")</f>
        <v>24</v>
      </c>
      <c r="Q943" s="5">
        <f>O943</f>
        <v>5</v>
      </c>
      <c r="T943" s="286" t="str">
        <f>UPPER(IF(O943="","",IF(ISTEXT(N943),N943,IF(AND(N932&gt;0,O943&gt;0),VLOOKUP(N932&amp;O943&amp;N933,I:J,2,FALSE),""))))</f>
        <v>R5626</v>
      </c>
      <c r="U943" s="287"/>
      <c r="V943" s="107" t="str">
        <f>IF(T943&lt;&gt;"",CONCATENATE(VLOOKUP(T943,[1]zawodnicy!$A$1:$E$65536,2,FALSE)," ",VLOOKUP(T943,[1]zawodnicy!$A$1:$E$65536,3,FALSE)," - ",VLOOKUP(T943,[1]zawodnicy!$A$1:$E$65536,4,FALSE)),"")</f>
        <v>Anna RADTKE - ULKS U-2 Lotka Bytów</v>
      </c>
      <c r="W943" s="110"/>
      <c r="X943" s="236" t="str">
        <f>IF(ISBLANK(W942),"",IF((VLOOKUP(W942,'[1]plan gier'!$X$1:$AF$65536,7,FALSE))="",L942,VLOOKUP(W942,'[1]plan gier'!$X$1:$AF$65536,9,FALSE)))</f>
        <v>21:3,21:17</v>
      </c>
      <c r="Y943" s="237"/>
      <c r="Z943" s="240"/>
      <c r="AA943" s="10"/>
      <c r="AB943" s="10"/>
      <c r="AC943" s="117"/>
      <c r="AD943" s="10"/>
      <c r="AE943" s="10"/>
      <c r="AF943" s="10"/>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row>
    <row r="944" spans="1:63" ht="11.45" customHeight="1" x14ac:dyDescent="0.2">
      <c r="A944" s="111">
        <f>Z944</f>
        <v>397</v>
      </c>
      <c r="B944" s="2" t="str">
        <f>F942</f>
        <v>X18</v>
      </c>
      <c r="D944" s="2" t="str">
        <f>F946</f>
        <v>K5598</v>
      </c>
      <c r="F944" s="2" t="str">
        <f>IF(A944=0,IF(AND(LEN(B944)&gt;0,LEN(D944)=0),B944,IF(AND(LEN(D944)&gt;0,LEN(B944)=0),D944,"")),IF((VLOOKUP(A944,'[1]plan gier'!$X$1:$AF$65536,7,FALSE))="","",VLOOKUP(VLOOKUP(A944,'[1]plan gier'!$X$1:$AF$65536,7,FALSE),[1]zawodnicy!$A$1:$E$65536,1,FALSE)))</f>
        <v>X18</v>
      </c>
      <c r="H944" s="2" t="str">
        <f>IF(A944=0,"",IF((VLOOKUP(A944,'[1]plan gier'!$X$1:$AF$65536,7,FALSE))="","",VLOOKUP(A944,'[1]plan gier'!$X$1:$AF$65536,9,FALSE)))</f>
        <v>21:16,21:15</v>
      </c>
      <c r="J944" s="103"/>
      <c r="L944" s="43" t="str">
        <f>IF(A944=0,"",IF(VLOOKUP(A944,'[1]plan gier'!A$1:S$65536,19,FALSE)="","",VLOOKUP(A944,'[1]plan gier'!A$1:S$65536,19,FALSE)))</f>
        <v>sob 18:50</v>
      </c>
      <c r="M944" s="2" t="str">
        <f>N933</f>
        <v>pojedyncza dziewcząt Ż</v>
      </c>
      <c r="N944" s="95"/>
      <c r="O944" s="112"/>
      <c r="P944" s="106"/>
      <c r="T944" s="9"/>
      <c r="U944" s="113"/>
      <c r="V944" s="2"/>
      <c r="W944" s="2"/>
      <c r="X944" s="114"/>
      <c r="Y944" s="10"/>
      <c r="Z944" s="115">
        <v>397</v>
      </c>
      <c r="AA944" s="232" t="str">
        <f>IF(ISBLANK(Z944),IF(AND(LEN(X942)&gt;0,LEN(X946)=0),X942,IF(AND(LEN(X946)&gt;0,LEN(X942)=0),X946,"")),IF((VLOOKUP(Z944,'[1]plan gier'!$X$1:$AF$65536,7,FALSE))="","",VLOOKUP(VLOOKUP(Z944,'[1]plan gier'!$X$1:$AF$65536,7,FALSE),[1]zawodnicy!$A$1:$E$65536,3,FALSE)))</f>
        <v>TARUSAVA</v>
      </c>
      <c r="AB944" s="232"/>
      <c r="AC944" s="233"/>
      <c r="AD944" s="10"/>
      <c r="AE944" s="10"/>
      <c r="AF944" s="10"/>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row>
    <row r="945" spans="1:64" ht="11.45" customHeight="1" x14ac:dyDescent="0.2">
      <c r="J945" s="103"/>
      <c r="N945" s="95"/>
      <c r="O945" s="112"/>
      <c r="P945" s="106"/>
      <c r="T945" s="9"/>
      <c r="U945" s="113"/>
      <c r="V945" s="2"/>
      <c r="W945" s="2"/>
      <c r="X945" s="114"/>
      <c r="Y945" s="10"/>
      <c r="Z945" s="116"/>
      <c r="AA945" s="229" t="str">
        <f>IF(ISBLANK(Z944),"",IF((VLOOKUP(Z944,'[1]plan gier'!$X$1:$AF$65536,7,FALSE))="",L944,VLOOKUP(Z944,'[1]plan gier'!$X$1:$AF$65536,9,FALSE)))</f>
        <v>21:16,21:15</v>
      </c>
      <c r="AB945" s="229"/>
      <c r="AC945" s="229"/>
      <c r="AD945" s="10"/>
      <c r="AE945" s="10"/>
      <c r="AF945" s="10"/>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row>
    <row r="946" spans="1:64" ht="11.45" customHeight="1" x14ac:dyDescent="0.2">
      <c r="A946" s="102">
        <f>W946</f>
        <v>390</v>
      </c>
      <c r="B946" s="2" t="str">
        <f>IF(TYPE(T946)=16,"",T946)</f>
        <v>M5269</v>
      </c>
      <c r="D946" s="2" t="str">
        <f>IF(TYPE(T947)=16,"",T947)</f>
        <v>K5598</v>
      </c>
      <c r="F946" s="2" t="str">
        <f>IF(A946=0,IF(AND(LEN(B946)&gt;0,LEN(D946)=0),VLOOKUP(B946,[1]zawodnicy!$A$1:$E$65536,1,FALSE),IF(AND(LEN(D946)&gt;0,LEN(B946)=0),VLOOKUP(D946,[1]zawodnicy!$A$1:$E$65536,1,FALSE),"")),IF((VLOOKUP(A946,'[1]plan gier'!$X$1:$AF$65536,7,FALSE))="","",VLOOKUP(VLOOKUP(A946,'[1]plan gier'!$X$1:$AF$65536,7,FALSE),[1]zawodnicy!$A$1:$E$65536,1,FALSE)))</f>
        <v>K5598</v>
      </c>
      <c r="H946" s="2" t="str">
        <f>IF(A946=0,"",IF((VLOOKUP(A946,'[1]plan gier'!$X$1:$AF$65536,7,FALSE))="","",VLOOKUP(A946,'[1]plan gier'!$X$1:$AF$65536,9,FALSE)))</f>
        <v>21:8,21:8</v>
      </c>
      <c r="J946" s="103"/>
      <c r="L946" s="43" t="str">
        <f>IF(A946=0,"",IF(VLOOKUP(A946,'[1]plan gier'!A$1:S$65536,19,FALSE)="","",VLOOKUP(A946,'[1]plan gier'!A$1:S$65536,19,FALSE)))</f>
        <v>sob 18:50</v>
      </c>
      <c r="M946" s="2" t="str">
        <f>N933</f>
        <v>pojedyncza dziewcząt Ż</v>
      </c>
      <c r="N946" s="104"/>
      <c r="O946" s="105">
        <f>IF(P946="","",MAX(O934:O945)+1)</f>
        <v>6</v>
      </c>
      <c r="P946" s="106">
        <f>IF(O932&gt;6,28,"")</f>
        <v>28</v>
      </c>
      <c r="Q946" s="5">
        <f>O946</f>
        <v>6</v>
      </c>
      <c r="T946" s="286" t="str">
        <f>UPPER(IF(O946="","",IF(ISTEXT(N946),N946,IF(AND(N932&gt;0,O946&gt;0),VLOOKUP(N932&amp;O946&amp;N933,I:J,2,FALSE),""))))</f>
        <v>M5269</v>
      </c>
      <c r="U946" s="287"/>
      <c r="V946" s="107" t="str">
        <f>IF(T946&lt;&gt;"",CONCATENATE(VLOOKUP(T946,[1]zawodnicy!$A$1:$E$65536,2,FALSE)," ",VLOOKUP(T946,[1]zawodnicy!$A$1:$E$65536,3,FALSE)," - ",VLOOKUP(T946,[1]zawodnicy!$A$1:$E$65536,4,FALSE)),"")</f>
        <v>Julia MIŚKO - UKS Badminton Stare Babice</v>
      </c>
      <c r="W946" s="108">
        <v>390</v>
      </c>
      <c r="X946" s="231" t="str">
        <f>IF(ISBLANK(W946),IF(AND(LEN(T946)&gt;0,LEN(T947)=0),VLOOKUP(T946,[1]zawodnicy!$A$1:$E$65536,3,FALSE),IF(AND(LEN(T947)&gt;0,LEN(T946)=0),VLOOKUP(T947,[1]zawodnicy!$A$1:$E$65536,3,FALSE),"")),IF((VLOOKUP(W946,'[1]plan gier'!$X$1:$AF$65536,7,FALSE))="","",VLOOKUP(VLOOKUP(W946,'[1]plan gier'!$X$1:$AF$65536,7,FALSE),[1]zawodnicy!$A$1:$E$65536,3,FALSE)))</f>
        <v>KWIATKOWSKA</v>
      </c>
      <c r="Y946" s="232"/>
      <c r="Z946" s="233"/>
      <c r="AA946" s="2"/>
      <c r="AB946" s="2"/>
      <c r="AC946" s="2"/>
      <c r="AD946" s="114"/>
      <c r="AE946" s="114"/>
      <c r="AF946" s="114"/>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row>
    <row r="947" spans="1:64" ht="11.45" customHeight="1" x14ac:dyDescent="0.2">
      <c r="J947" s="103"/>
      <c r="N947" s="104"/>
      <c r="O947" s="109">
        <f>IF(P947="","",MAX(O934:O946)+1)</f>
        <v>7</v>
      </c>
      <c r="P947" s="106">
        <f>IF(O932&gt;4,32,"")</f>
        <v>32</v>
      </c>
      <c r="Q947" s="5">
        <f>O947</f>
        <v>7</v>
      </c>
      <c r="T947" s="286" t="str">
        <f>UPPER(IF(O947="","",IF(ISTEXT(N947),N947,IF(AND(N932&gt;0,O947&gt;0),VLOOKUP(N932&amp;O947&amp;N933,I:J,2,FALSE),""))))</f>
        <v>K5598</v>
      </c>
      <c r="U947" s="287"/>
      <c r="V947" s="107" t="str">
        <f>IF(T947&lt;&gt;"",CONCATENATE(VLOOKUP(T947,[1]zawodnicy!$A$1:$E$65536,2,FALSE)," ",VLOOKUP(T947,[1]zawodnicy!$A$1:$E$65536,3,FALSE)," - ",VLOOKUP(T947,[1]zawodnicy!$A$1:$E$65536,4,FALSE)),"")</f>
        <v>Eliza KWIATKOWSKA - STB Energia Lubliniec</v>
      </c>
      <c r="W947" s="110"/>
      <c r="X947" s="228" t="str">
        <f>IF(ISBLANK(W946),"",IF((VLOOKUP(W946,'[1]plan gier'!$X$1:$AF$65536,7,FALSE))="",L946,VLOOKUP(W946,'[1]plan gier'!$X$1:$AF$65536,9,FALSE)))</f>
        <v>21:8,21:8</v>
      </c>
      <c r="Y947" s="229"/>
      <c r="Z947" s="229"/>
      <c r="AA947" s="2"/>
      <c r="AB947" s="2"/>
      <c r="AC947" s="2"/>
      <c r="AD947" s="10"/>
      <c r="AE947" s="10"/>
      <c r="AF947" s="10"/>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row>
    <row r="948" spans="1:64" ht="11.45" customHeight="1" x14ac:dyDescent="0.2">
      <c r="BK948" s="19"/>
      <c r="BL948" s="20"/>
    </row>
    <row r="949" spans="1:64" ht="11.45" customHeight="1" x14ac:dyDescent="0.2">
      <c r="M949" s="16"/>
      <c r="N949" s="17" t="s">
        <v>396</v>
      </c>
      <c r="R949" s="18"/>
      <c r="S949" s="18"/>
      <c r="T949" s="277" t="str">
        <f>"Gra "&amp;N949</f>
        <v>Gra pojedyncza chłopców Ż</v>
      </c>
      <c r="U949" s="277"/>
      <c r="V949" s="277"/>
      <c r="W949" s="277"/>
      <c r="X949" s="277"/>
      <c r="Y949" s="277"/>
      <c r="Z949" s="277"/>
      <c r="AA949" s="277"/>
      <c r="AB949" s="277"/>
      <c r="AC949" s="277"/>
      <c r="AD949" s="277"/>
      <c r="AE949" s="18"/>
    </row>
    <row r="950" spans="1:64" ht="11.45" customHeight="1" thickBot="1" x14ac:dyDescent="0.25"/>
    <row r="951" spans="1:64" ht="11.45" customHeight="1" thickBot="1" x14ac:dyDescent="0.25">
      <c r="N951" s="11"/>
      <c r="O951" s="21">
        <v>1</v>
      </c>
      <c r="Q951" s="277" t="str">
        <f>"Grupa "&amp;O951&amp;"."</f>
        <v>Grupa 1.</v>
      </c>
      <c r="R951" s="277"/>
      <c r="S951" s="277"/>
      <c r="T951" s="22" t="s">
        <v>1</v>
      </c>
      <c r="U951" s="278" t="s">
        <v>2</v>
      </c>
      <c r="V951" s="279"/>
      <c r="W951" s="280"/>
      <c r="X951" s="22">
        <v>1</v>
      </c>
      <c r="Y951" s="23">
        <v>2</v>
      </c>
      <c r="Z951" s="24">
        <v>3</v>
      </c>
      <c r="AA951" s="25" t="s">
        <v>3</v>
      </c>
      <c r="AB951" s="26" t="s">
        <v>4</v>
      </c>
      <c r="AC951" s="26" t="s">
        <v>5</v>
      </c>
      <c r="AD951" s="27" t="s">
        <v>6</v>
      </c>
      <c r="AE951" s="2"/>
      <c r="AF951" s="12"/>
      <c r="AG951" s="12"/>
      <c r="BK951" s="19"/>
      <c r="BL951" s="20"/>
    </row>
    <row r="952" spans="1:64" ht="11.45" customHeight="1" x14ac:dyDescent="0.2">
      <c r="J952" s="28"/>
      <c r="K952" s="28"/>
      <c r="L952" s="28"/>
      <c r="N952" s="29" t="s">
        <v>396</v>
      </c>
      <c r="Q952" s="274" t="s">
        <v>7</v>
      </c>
      <c r="R952" s="274"/>
      <c r="S952" s="275" t="s">
        <v>8</v>
      </c>
      <c r="T952" s="276">
        <v>1</v>
      </c>
      <c r="U952" s="244" t="str">
        <f>IF(AND(N953&lt;&gt;"",N954&lt;&gt;""),CONCATENATE(VLOOKUP(N953,[1]zawodnicy!$A$1:$E$65536,1,FALSE)," ",VLOOKUP(N953,[1]zawodnicy!$A$1:$E$65536,2,FALSE)," ",VLOOKUP(N953,[1]zawodnicy!$A$1:$E$65536,3,FALSE)," - ",VLOOKUP(N953,[1]zawodnicy!$A$1:$E$65536,4,FALSE)),"")</f>
        <v/>
      </c>
      <c r="V952" s="245"/>
      <c r="W952" s="246"/>
      <c r="X952" s="30"/>
      <c r="Y952" s="31" t="str">
        <f>IF(SUM(AO957:AP957)=0,"",AO957&amp;":"&amp;AP957)</f>
        <v>21:2</v>
      </c>
      <c r="Z952" s="32" t="str">
        <f>IF(SUM(AO955:AP955)=0,"",AO955&amp;":"&amp;AP955)</f>
        <v>21:4</v>
      </c>
      <c r="AA952" s="270" t="str">
        <f>IF(SUM(AY955:BB955)=0,"",BE955&amp;":"&amp;BF955)</f>
        <v>84:12</v>
      </c>
      <c r="AB952" s="271" t="str">
        <f>IF(SUM(AY955:BB955)=0,"",BG955&amp;":"&amp;BH955)</f>
        <v>4:0</v>
      </c>
      <c r="AC952" s="271" t="str">
        <f>IF(SUM(AY955:BB955)=0,"",BI955&amp;":"&amp;BJ955)</f>
        <v>2:0</v>
      </c>
      <c r="AD952" s="272">
        <f>IF(SUM(BI955:BI957)&gt;0,BK955,"")</f>
        <v>1</v>
      </c>
      <c r="AE952" s="2"/>
      <c r="AF952" s="12"/>
      <c r="AG952" s="12"/>
      <c r="AH952" s="14"/>
      <c r="AI952" s="273" t="s">
        <v>9</v>
      </c>
      <c r="AJ952" s="273"/>
      <c r="AK952" s="273"/>
      <c r="AL952" s="273"/>
      <c r="AM952" s="273"/>
      <c r="AN952" s="273"/>
      <c r="AO952" s="273" t="s">
        <v>10</v>
      </c>
      <c r="AP952" s="273"/>
      <c r="AQ952" s="273"/>
      <c r="AR952" s="273"/>
      <c r="AS952" s="273"/>
      <c r="AT952" s="273"/>
      <c r="BK952" s="19"/>
      <c r="BL952" s="20"/>
    </row>
    <row r="953" spans="1:64" ht="11.45" customHeight="1" thickBot="1" x14ac:dyDescent="0.25">
      <c r="I953" s="2" t="str">
        <f>"1"&amp;O951&amp;N952</f>
        <v>11pojedyncza chłopców Ż</v>
      </c>
      <c r="J953" s="10" t="str">
        <f>IF(AD952="","",IF(AD952=1,N953,IF(AD955=1,N956,IF(AD958=1,N959,""))))</f>
        <v>Ś5585</v>
      </c>
      <c r="K953" s="10">
        <f>IF(AD952="","",IF(AD952=1,N954,IF(AD955=1,N957,IF(AD958=1,N960,""))))</f>
        <v>0</v>
      </c>
      <c r="L953" s="10"/>
      <c r="N953" s="33" t="s">
        <v>339</v>
      </c>
      <c r="O953" s="34">
        <f>IF(O951&gt;0,(O951&amp;1)*1,"")</f>
        <v>11</v>
      </c>
      <c r="Q953" s="274"/>
      <c r="R953" s="274"/>
      <c r="S953" s="275"/>
      <c r="T953" s="242"/>
      <c r="U953" s="244" t="str">
        <f>IF(AND(N953&lt;&gt;"",N954=""),CONCATENATE(VLOOKUP(N953,[1]zawodnicy!$A$1:$E$65536,1,FALSE)," ",VLOOKUP(N953,[1]zawodnicy!$A$1:$E$65536,2,FALSE)," ",VLOOKUP(N953,[1]zawodnicy!$A$1:$E$65536,3,FALSE)," - ",VLOOKUP(N953,[1]zawodnicy!$A$1:$E$65536,4,FALSE)),"")</f>
        <v>Ś5585 Szymon ŚLEPECKI - LKS Technik Głubczyce</v>
      </c>
      <c r="V953" s="245"/>
      <c r="W953" s="246"/>
      <c r="X953" s="35"/>
      <c r="Y953" s="36" t="str">
        <f>IF(SUM(AQ957:AR957)=0,"",AQ957&amp;":"&amp;AR957)</f>
        <v>21:4</v>
      </c>
      <c r="Z953" s="37" t="str">
        <f>IF(SUM(AQ955:AR955)=0,"",AQ955&amp;":"&amp;AR955)</f>
        <v>21:2</v>
      </c>
      <c r="AA953" s="248"/>
      <c r="AB953" s="251"/>
      <c r="AC953" s="251"/>
      <c r="AD953" s="254"/>
      <c r="AE953" s="2"/>
      <c r="AF953" s="12"/>
      <c r="AG953" s="12"/>
      <c r="AH953" s="14"/>
      <c r="BE953" s="19">
        <f>SUM(BE955:BE957)</f>
        <v>157</v>
      </c>
      <c r="BF953" s="19">
        <f>SUM(BF955:BF957)</f>
        <v>157</v>
      </c>
      <c r="BG953" s="19">
        <f>SUM(BG955:BG957)</f>
        <v>6</v>
      </c>
      <c r="BH953" s="19">
        <f>SUM(BH955:BH957)</f>
        <v>6</v>
      </c>
      <c r="BK953" s="19"/>
      <c r="BL953" s="20"/>
    </row>
    <row r="954" spans="1:64" ht="11.45" customHeight="1" thickBot="1" x14ac:dyDescent="0.25">
      <c r="J954" s="10"/>
      <c r="K954" s="28"/>
      <c r="L954" s="28"/>
      <c r="N954" s="38"/>
      <c r="O954" s="28"/>
      <c r="P954" s="28"/>
      <c r="Q954" s="274"/>
      <c r="R954" s="274"/>
      <c r="S954" s="275"/>
      <c r="T954" s="261"/>
      <c r="U954" s="265" t="str">
        <f>IF(N954&lt;&gt;"",CONCATENATE(VLOOKUP(N954,[1]zawodnicy!$A$1:$E$65536,1,FALSE)," ",VLOOKUP(N954,[1]zawodnicy!$A$1:$E$65536,2,FALSE)," ",VLOOKUP(N954,[1]zawodnicy!$A$1:$E$65536,3,FALSE)," - ",VLOOKUP(N954,[1]zawodnicy!$A$1:$E$65536,4,FALSE)),"")</f>
        <v/>
      </c>
      <c r="V954" s="266"/>
      <c r="W954" s="267"/>
      <c r="X954" s="35"/>
      <c r="Y954" s="39" t="str">
        <f>IF(SUM(AS957:AT957)=0,"",AS957&amp;":"&amp;AT957)</f>
        <v/>
      </c>
      <c r="Z954" s="40" t="str">
        <f>IF(SUM(AS955:AT955)=0,"",AS955&amp;":"&amp;AT955)</f>
        <v/>
      </c>
      <c r="AA954" s="262"/>
      <c r="AB954" s="263"/>
      <c r="AC954" s="263"/>
      <c r="AD954" s="264"/>
      <c r="AE954" s="2"/>
      <c r="AF954" s="12"/>
      <c r="AG954" s="12"/>
      <c r="AH954" s="14"/>
      <c r="AI954" s="259" t="s">
        <v>12</v>
      </c>
      <c r="AJ954" s="269"/>
      <c r="AK954" s="268" t="s">
        <v>13</v>
      </c>
      <c r="AL954" s="269"/>
      <c r="AM954" s="268" t="s">
        <v>14</v>
      </c>
      <c r="AN954" s="260"/>
      <c r="AO954" s="259" t="s">
        <v>12</v>
      </c>
      <c r="AP954" s="269"/>
      <c r="AQ954" s="268" t="s">
        <v>13</v>
      </c>
      <c r="AR954" s="269"/>
      <c r="AS954" s="268" t="s">
        <v>14</v>
      </c>
      <c r="AT954" s="269"/>
      <c r="AU954" s="12"/>
      <c r="AV954" s="12"/>
      <c r="AW954" s="259">
        <v>1</v>
      </c>
      <c r="AX954" s="269"/>
      <c r="AY954" s="268">
        <v>2</v>
      </c>
      <c r="AZ954" s="269"/>
      <c r="BA954" s="268">
        <v>3</v>
      </c>
      <c r="BB954" s="260"/>
      <c r="BE954" s="259" t="s">
        <v>3</v>
      </c>
      <c r="BF954" s="260"/>
      <c r="BG954" s="259" t="s">
        <v>4</v>
      </c>
      <c r="BH954" s="260"/>
      <c r="BI954" s="259" t="s">
        <v>5</v>
      </c>
      <c r="BJ954" s="260"/>
      <c r="BK954" s="41" t="s">
        <v>6</v>
      </c>
      <c r="BL954" s="20"/>
    </row>
    <row r="955" spans="1:64" ht="11.45" customHeight="1" x14ac:dyDescent="0.2">
      <c r="A955" s="19">
        <f>S955</f>
        <v>257</v>
      </c>
      <c r="B955" s="2" t="str">
        <f>IF(N953="","",N953)</f>
        <v>Ś5585</v>
      </c>
      <c r="C955" s="2" t="str">
        <f>IF(N954="","",N954)</f>
        <v/>
      </c>
      <c r="D955" s="2" t="str">
        <f>IF(N959="","",N959)</f>
        <v>B5816</v>
      </c>
      <c r="E955" s="2" t="str">
        <f>IF(N960="","",N960)</f>
        <v/>
      </c>
      <c r="I955" s="2" t="str">
        <f>"2"&amp;O951&amp;N952</f>
        <v>21pojedyncza chłopców Ż</v>
      </c>
      <c r="J955" s="10" t="str">
        <f>IF(AD955="","",IF(AD952=2,N953,IF(AD955=2,N956,IF(AD958=2,N959,""))))</f>
        <v>X54</v>
      </c>
      <c r="K955" s="10">
        <f>IF(AD955="","",IF(AD952=2,N954,IF(AD955=2,N957,IF(AD958=2,N960,""))))</f>
        <v>0</v>
      </c>
      <c r="M955" s="42" t="str">
        <f>N952</f>
        <v>pojedyncza chłopców Ż</v>
      </c>
      <c r="O955" s="28"/>
      <c r="P955" s="28"/>
      <c r="Q955" s="43" t="str">
        <f>IF(AU955&gt;0,"",IF(A955=0,"",IF(VLOOKUP(A955,'[1]plan gier'!A$1:S$65536,19,FALSE)="","",VLOOKUP(A955,'[1]plan gier'!A$1:S$65536,19,FALSE))))</f>
        <v/>
      </c>
      <c r="R955" s="44" t="s">
        <v>15</v>
      </c>
      <c r="S955" s="45">
        <v>257</v>
      </c>
      <c r="T955" s="241">
        <v>2</v>
      </c>
      <c r="U955" s="244" t="str">
        <f>IF(AND(N956&lt;&gt;"",N957&lt;&gt;""),CONCATENATE(VLOOKUP(N956,[1]zawodnicy!$A$1:$E$65536,1,FALSE)," ",VLOOKUP(N956,[1]zawodnicy!$A$1:$E$65536,2,FALSE)," ",VLOOKUP(N956,[1]zawodnicy!$A$1:$E$65536,3,FALSE)," - ",VLOOKUP(N956,[1]zawodnicy!$A$1:$E$65536,4,FALSE)),"")</f>
        <v/>
      </c>
      <c r="V955" s="245"/>
      <c r="W955" s="246"/>
      <c r="X955" s="46" t="str">
        <f>IF(SUM(AO957:AP957)=0,"",AP957&amp;":"&amp;AO957)</f>
        <v>2:21</v>
      </c>
      <c r="Y955" s="47"/>
      <c r="Z955" s="48" t="str">
        <f>IF(SUM(AO956:AP956)=0,"",AO956&amp;":"&amp;AP956)</f>
        <v>21:13</v>
      </c>
      <c r="AA955" s="247" t="str">
        <f>IF(SUM(AW956:AX956,BA956:BB956)=0,"",BE956&amp;":"&amp;BF956)</f>
        <v>48:61</v>
      </c>
      <c r="AB955" s="250" t="str">
        <f>IF(SUM(AW956:AX956,BA956:BB956)=0,"",BG956&amp;":"&amp;BH956)</f>
        <v>2:2</v>
      </c>
      <c r="AC955" s="250" t="str">
        <f>IF(SUM(AW956:AX956,BA956:BB956)=0,"",BI956&amp;":"&amp;BJ956)</f>
        <v>1:1</v>
      </c>
      <c r="AD955" s="253">
        <f>IF(SUM(BI955:BI957)&gt;0,BK956,"")</f>
        <v>2</v>
      </c>
      <c r="AE955" s="2"/>
      <c r="AF955" s="12"/>
      <c r="AG955" s="12"/>
      <c r="AH955" s="44" t="s">
        <v>15</v>
      </c>
      <c r="AI955" s="49">
        <f>IF(ISBLANK(S955),"",VLOOKUP(S955,'[1]plan gier'!$X$1:$AN$65536,12,FALSE))</f>
        <v>21</v>
      </c>
      <c r="AJ955" s="50">
        <f>IF(ISBLANK(S955),"",VLOOKUP(S955,'[1]plan gier'!$X$1:$AN$65536,13,FALSE))</f>
        <v>4</v>
      </c>
      <c r="AK955" s="50">
        <f>IF(ISBLANK(S955),"",VLOOKUP(S955,'[1]plan gier'!$X$1:$AN$65536,14,FALSE))</f>
        <v>21</v>
      </c>
      <c r="AL955" s="50">
        <f>IF(ISBLANK(S955),"",VLOOKUP(S955,'[1]plan gier'!$X$1:$AN$65536,15,FALSE))</f>
        <v>2</v>
      </c>
      <c r="AM955" s="50">
        <f>IF(ISBLANK(S955),"",VLOOKUP(S955,'[1]plan gier'!$X$1:$AN$65536,16,FALSE))</f>
        <v>0</v>
      </c>
      <c r="AN955" s="50">
        <f>IF(ISBLANK(S955),"",VLOOKUP(S955,'[1]plan gier'!$X$1:$AN$65536,17,FALSE))</f>
        <v>0</v>
      </c>
      <c r="AO955" s="51">
        <f t="shared" ref="AO955:AT957" si="92">IF(AI955="",0,AI955)</f>
        <v>21</v>
      </c>
      <c r="AP955" s="52">
        <f t="shared" si="92"/>
        <v>4</v>
      </c>
      <c r="AQ955" s="53">
        <f t="shared" si="92"/>
        <v>21</v>
      </c>
      <c r="AR955" s="52">
        <f t="shared" si="92"/>
        <v>2</v>
      </c>
      <c r="AS955" s="53">
        <f t="shared" si="92"/>
        <v>0</v>
      </c>
      <c r="AT955" s="52">
        <f t="shared" si="92"/>
        <v>0</v>
      </c>
      <c r="AU955" s="54">
        <f>SUM(AO955:AT955)</f>
        <v>48</v>
      </c>
      <c r="AV955" s="13">
        <v>1</v>
      </c>
      <c r="AW955" s="55"/>
      <c r="AX955" s="56"/>
      <c r="AY955" s="50">
        <f>IF(AI957&gt;AJ957,1,0)+IF(AK957&gt;AL957,1,0)+IF(AM957&gt;AN957,1,0)</f>
        <v>2</v>
      </c>
      <c r="AZ955" s="50">
        <f>AW956</f>
        <v>0</v>
      </c>
      <c r="BA955" s="50">
        <f>IF(AI955&gt;AJ955,1,0)+IF(AK955&gt;AL955,1,0)+IF(AM955&gt;AN955,1,0)</f>
        <v>2</v>
      </c>
      <c r="BB955" s="57">
        <f>AW957</f>
        <v>0</v>
      </c>
      <c r="BE955" s="49">
        <f>AO955+AQ955+AS955+AO957+AQ957+AS957</f>
        <v>84</v>
      </c>
      <c r="BF955" s="57">
        <f>AP955+AR955+AT955+AP957+AR957+AT957</f>
        <v>12</v>
      </c>
      <c r="BG955" s="49">
        <f>AY955+BA955</f>
        <v>4</v>
      </c>
      <c r="BH955" s="57">
        <f>AZ955+BB955</f>
        <v>0</v>
      </c>
      <c r="BI955" s="49">
        <f>IF(AY955&gt;AZ955,1,0)+IF(BA955&gt;BB955,1,0)</f>
        <v>2</v>
      </c>
      <c r="BJ955" s="58">
        <f>IF(AZ955&gt;AY955,1,0)+IF(BB955&gt;BA955,1,0)</f>
        <v>0</v>
      </c>
      <c r="BK955" s="59">
        <f>IF(BI955+BJ955=0,"",IF(BL955=MAX(BL955:BL957),1,IF(BL955=MIN(BL955:BL957),3,2)))</f>
        <v>1</v>
      </c>
      <c r="BL955" s="60">
        <f>IF(BI955+BJ955&lt;&gt;0,BI955+1+(BG955-BH955)/100+(BE955-BF955)/100000+(BE955/BF955)/1000000,0)</f>
        <v>3.040727</v>
      </c>
    </row>
    <row r="956" spans="1:64" ht="11.45" customHeight="1" x14ac:dyDescent="0.2">
      <c r="A956" s="19">
        <f>S956</f>
        <v>299</v>
      </c>
      <c r="B956" s="2" t="str">
        <f>IF(N956="","",N956)</f>
        <v>X54</v>
      </c>
      <c r="C956" s="2" t="str">
        <f>IF(N957="","",N957)</f>
        <v/>
      </c>
      <c r="D956" s="2" t="str">
        <f>IF(N959="","",N959)</f>
        <v>B5816</v>
      </c>
      <c r="E956" s="2" t="str">
        <f>IF(N960="","",N960)</f>
        <v/>
      </c>
      <c r="J956" s="10"/>
      <c r="K956" s="19"/>
      <c r="M956" s="42" t="str">
        <f>N952</f>
        <v>pojedyncza chłopców Ż</v>
      </c>
      <c r="N956" s="33" t="s">
        <v>397</v>
      </c>
      <c r="O956" s="34">
        <f>IF(O951&gt;0,(O951&amp;2)*1,"")</f>
        <v>12</v>
      </c>
      <c r="Q956" s="43" t="str">
        <f>IF(AU956&gt;0,"",IF(A956=0,"",IF(VLOOKUP(A956,'[1]plan gier'!A$1:S$65536,19,FALSE)="","",VLOOKUP(A956,'[1]plan gier'!A$1:S$65536,19,FALSE))))</f>
        <v/>
      </c>
      <c r="R956" s="44" t="s">
        <v>17</v>
      </c>
      <c r="S956" s="45">
        <v>299</v>
      </c>
      <c r="T956" s="242"/>
      <c r="U956" s="244" t="str">
        <f>IF(AND(N956&lt;&gt;"",N957=""),CONCATENATE(VLOOKUP(N956,[1]zawodnicy!$A$1:$E$65536,1,FALSE)," ",VLOOKUP(N956,[1]zawodnicy!$A$1:$E$65536,2,FALSE)," ",VLOOKUP(N956,[1]zawodnicy!$A$1:$E$65536,3,FALSE)," - ",VLOOKUP(N956,[1]zawodnicy!$A$1:$E$65536,4,FALSE)),"")</f>
        <v>X54 Adrian KRAWCZYK - UKS Korona Pabianice</v>
      </c>
      <c r="V956" s="245"/>
      <c r="W956" s="246"/>
      <c r="X956" s="61" t="str">
        <f>IF(SUM(AQ957:AR957)=0,"",AR957&amp;":"&amp;AQ957)</f>
        <v>4:21</v>
      </c>
      <c r="Y956" s="62"/>
      <c r="Z956" s="37" t="str">
        <f>IF(SUM(AQ956:AR956)=0,"",AQ956&amp;":"&amp;AR956)</f>
        <v>21:6</v>
      </c>
      <c r="AA956" s="248"/>
      <c r="AB956" s="251"/>
      <c r="AC956" s="251"/>
      <c r="AD956" s="254"/>
      <c r="AE956" s="2"/>
      <c r="AF956" s="12"/>
      <c r="AG956" s="12"/>
      <c r="AH956" s="44" t="s">
        <v>17</v>
      </c>
      <c r="AI956" s="63">
        <f>IF(ISBLANK(S956),"",VLOOKUP(S956,'[1]plan gier'!$X$1:$AN$65536,12,FALSE))</f>
        <v>21</v>
      </c>
      <c r="AJ956" s="64">
        <f>IF(ISBLANK(S956),"",VLOOKUP(S956,'[1]plan gier'!$X$1:$AN$65536,13,FALSE))</f>
        <v>13</v>
      </c>
      <c r="AK956" s="64">
        <f>IF(ISBLANK(S956),"",VLOOKUP(S956,'[1]plan gier'!$X$1:$AN$65536,14,FALSE))</f>
        <v>21</v>
      </c>
      <c r="AL956" s="64">
        <f>IF(ISBLANK(S956),"",VLOOKUP(S956,'[1]plan gier'!$X$1:$AN$65536,15,FALSE))</f>
        <v>6</v>
      </c>
      <c r="AM956" s="64">
        <f>IF(ISBLANK(S956),"",VLOOKUP(S956,'[1]plan gier'!$X$1:$AN$65536,16,FALSE))</f>
        <v>0</v>
      </c>
      <c r="AN956" s="64">
        <f>IF(ISBLANK(S956),"",VLOOKUP(S956,'[1]plan gier'!$X$1:$AN$65536,17,FALSE))</f>
        <v>0</v>
      </c>
      <c r="AO956" s="65">
        <f t="shared" si="92"/>
        <v>21</v>
      </c>
      <c r="AP956" s="64">
        <f t="shared" si="92"/>
        <v>13</v>
      </c>
      <c r="AQ956" s="66">
        <f t="shared" si="92"/>
        <v>21</v>
      </c>
      <c r="AR956" s="64">
        <f t="shared" si="92"/>
        <v>6</v>
      </c>
      <c r="AS956" s="66">
        <f t="shared" si="92"/>
        <v>0</v>
      </c>
      <c r="AT956" s="64">
        <f t="shared" si="92"/>
        <v>0</v>
      </c>
      <c r="AU956" s="54">
        <f>SUM(AO956:AT956)</f>
        <v>61</v>
      </c>
      <c r="AV956" s="13">
        <v>2</v>
      </c>
      <c r="AW956" s="63">
        <f>IF(AI957&lt;AJ957,1,0)+IF(AK957&lt;AL957,1,0)+IF(AM957&lt;AN957,1,0)</f>
        <v>0</v>
      </c>
      <c r="AX956" s="64">
        <f>AY955</f>
        <v>2</v>
      </c>
      <c r="AY956" s="67"/>
      <c r="AZ956" s="68"/>
      <c r="BA956" s="64">
        <f>IF(AI956&gt;AJ956,1,0)+IF(AK956&gt;AL956,1,0)+IF(AM956&gt;AN956,1,0)</f>
        <v>2</v>
      </c>
      <c r="BB956" s="69">
        <f>AY957</f>
        <v>0</v>
      </c>
      <c r="BE956" s="63">
        <f>AO956+AQ956+AS956+AP957+AR957+AT957</f>
        <v>48</v>
      </c>
      <c r="BF956" s="69">
        <f>AP956+AR956+AT956+AO957+AQ957+AS957</f>
        <v>61</v>
      </c>
      <c r="BG956" s="63">
        <f>AW956+BA956</f>
        <v>2</v>
      </c>
      <c r="BH956" s="69">
        <f>AX956+BB956</f>
        <v>2</v>
      </c>
      <c r="BI956" s="63">
        <f>IF(AW956&gt;AX956,1,0)+IF(BA956&gt;BB956,1,0)</f>
        <v>1</v>
      </c>
      <c r="BJ956" s="70">
        <f>IF(AX956&gt;AW956,1,0)+IF(BB956&gt;BA956,1,0)</f>
        <v>1</v>
      </c>
      <c r="BK956" s="71">
        <f>IF(BI956+BJ956=0,"",IF(BL956=MAX(BL955:BL957),1,IF(BL956=MIN(BL955:BL957),3,2)))</f>
        <v>2</v>
      </c>
      <c r="BL956" s="60">
        <f>IF(BI956+BJ956&lt;&gt;0,BI956+1+(BG956-BH956)/100+(BE956-BF956)/100000+(BE956/BF956)/1000000,0)</f>
        <v>1.9998707868852459</v>
      </c>
    </row>
    <row r="957" spans="1:64" ht="11.45" customHeight="1" thickBot="1" x14ac:dyDescent="0.25">
      <c r="A957" s="19">
        <f>S957</f>
        <v>357</v>
      </c>
      <c r="B957" s="2" t="str">
        <f>IF(N953="","",N953)</f>
        <v>Ś5585</v>
      </c>
      <c r="C957" s="2" t="str">
        <f>IF(N954="","",N954)</f>
        <v/>
      </c>
      <c r="D957" s="2" t="str">
        <f>IF(N956="","",N956)</f>
        <v>X54</v>
      </c>
      <c r="E957" s="2" t="str">
        <f>IF(N957="","",N957)</f>
        <v/>
      </c>
      <c r="I957" s="2" t="str">
        <f>"3"&amp;O951&amp;N952</f>
        <v>31pojedyncza chłopców Ż</v>
      </c>
      <c r="J957" s="10" t="str">
        <f>IF(AD958="","",IF(AD952=3,N953,IF(AD955=3,N956,IF(AD958=3,N959,""))))</f>
        <v>B5816</v>
      </c>
      <c r="K957" s="10">
        <f>IF(AD958="","",IF(AD952=3,N954,IF(AD955=3,N957,IF(AD958=3,N960,""))))</f>
        <v>0</v>
      </c>
      <c r="M957" s="42" t="str">
        <f>N952</f>
        <v>pojedyncza chłopców Ż</v>
      </c>
      <c r="N957" s="38"/>
      <c r="O957" s="28"/>
      <c r="P957" s="28"/>
      <c r="Q957" s="43" t="str">
        <f>IF(AU957&gt;0,"",IF(A957=0,"",IF(VLOOKUP(A957,'[1]plan gier'!A$1:S$65536,19,FALSE)="","",VLOOKUP(A957,'[1]plan gier'!A$1:S$65536,19,FALSE))))</f>
        <v/>
      </c>
      <c r="R957" s="72" t="s">
        <v>18</v>
      </c>
      <c r="S957" s="45">
        <v>357</v>
      </c>
      <c r="T957" s="261"/>
      <c r="U957" s="265" t="str">
        <f>IF(N957&lt;&gt;"",CONCATENATE(VLOOKUP(N957,[1]zawodnicy!$A$1:$E$65536,1,FALSE)," ",VLOOKUP(N957,[1]zawodnicy!$A$1:$E$65536,2,FALSE)," ",VLOOKUP(N957,[1]zawodnicy!$A$1:$E$65536,3,FALSE)," - ",VLOOKUP(N957,[1]zawodnicy!$A$1:$E$65536,4,FALSE)),"")</f>
        <v/>
      </c>
      <c r="V957" s="266"/>
      <c r="W957" s="267"/>
      <c r="X957" s="73" t="str">
        <f>IF(SUM(AS957:AT957)=0,"",AT957&amp;":"&amp;AS957)</f>
        <v/>
      </c>
      <c r="Y957" s="62"/>
      <c r="Z957" s="40" t="str">
        <f>IF(SUM(AS956:AT956)=0,"",AS956&amp;":"&amp;AT956)</f>
        <v/>
      </c>
      <c r="AA957" s="262"/>
      <c r="AB957" s="263"/>
      <c r="AC957" s="263"/>
      <c r="AD957" s="264"/>
      <c r="AE957" s="2"/>
      <c r="AF957" s="12"/>
      <c r="AG957" s="12"/>
      <c r="AH957" s="72" t="s">
        <v>18</v>
      </c>
      <c r="AI957" s="74">
        <f>IF(ISBLANK(S957),"",VLOOKUP(S957,'[1]plan gier'!$X$1:$AN$65536,12,FALSE))</f>
        <v>21</v>
      </c>
      <c r="AJ957" s="75">
        <f>IF(ISBLANK(S957),"",VLOOKUP(S957,'[1]plan gier'!$X$1:$AN$65536,13,FALSE))</f>
        <v>2</v>
      </c>
      <c r="AK957" s="75">
        <f>IF(ISBLANK(S957),"",VLOOKUP(S957,'[1]plan gier'!$X$1:$AN$65536,14,FALSE))</f>
        <v>21</v>
      </c>
      <c r="AL957" s="75">
        <f>IF(ISBLANK(S957),"",VLOOKUP(S957,'[1]plan gier'!$X$1:$AN$65536,15,FALSE))</f>
        <v>4</v>
      </c>
      <c r="AM957" s="75">
        <f>IF(ISBLANK(S957),"",VLOOKUP(S957,'[1]plan gier'!$X$1:$AN$65536,16,FALSE))</f>
        <v>0</v>
      </c>
      <c r="AN957" s="75">
        <f>IF(ISBLANK(S957),"",VLOOKUP(S957,'[1]plan gier'!$X$1:$AN$65536,17,FALSE))</f>
        <v>0</v>
      </c>
      <c r="AO957" s="76">
        <f t="shared" si="92"/>
        <v>21</v>
      </c>
      <c r="AP957" s="75">
        <f t="shared" si="92"/>
        <v>2</v>
      </c>
      <c r="AQ957" s="77">
        <f t="shared" si="92"/>
        <v>21</v>
      </c>
      <c r="AR957" s="75">
        <f t="shared" si="92"/>
        <v>4</v>
      </c>
      <c r="AS957" s="77">
        <f t="shared" si="92"/>
        <v>0</v>
      </c>
      <c r="AT957" s="75">
        <f t="shared" si="92"/>
        <v>0</v>
      </c>
      <c r="AU957" s="54">
        <f>SUM(AO957:AT957)</f>
        <v>48</v>
      </c>
      <c r="AV957" s="13">
        <v>3</v>
      </c>
      <c r="AW957" s="74">
        <f>IF(AI955&lt;AJ955,1,0)+IF(AK955&lt;AL955,1,0)+IF(AM955&lt;AN955,1,0)</f>
        <v>0</v>
      </c>
      <c r="AX957" s="75">
        <f>BA955</f>
        <v>2</v>
      </c>
      <c r="AY957" s="75">
        <f>IF(AI956&lt;AJ956,1,0)+IF(AK956&lt;AL956,1,0)+IF(AM956&lt;AN956,1,0)</f>
        <v>0</v>
      </c>
      <c r="AZ957" s="75">
        <f>BA956</f>
        <v>2</v>
      </c>
      <c r="BA957" s="78"/>
      <c r="BB957" s="79"/>
      <c r="BE957" s="74">
        <f>AP955+AR955+AT955+AP956+AR956+AT956</f>
        <v>25</v>
      </c>
      <c r="BF957" s="80">
        <f>AO955+AQ955+AS955+AO956+AQ956+AS956</f>
        <v>84</v>
      </c>
      <c r="BG957" s="74">
        <f>AW957+AY957</f>
        <v>0</v>
      </c>
      <c r="BH957" s="80">
        <f>AX957+AZ957</f>
        <v>4</v>
      </c>
      <c r="BI957" s="74">
        <f>IF(AW957&gt;AX957,1,0)+IF(AY957&gt;AZ957,1,0)</f>
        <v>0</v>
      </c>
      <c r="BJ957" s="81">
        <f>IF(AX957&gt;AW957,1,0)+IF(AZ957&gt;AY957,1,0)</f>
        <v>2</v>
      </c>
      <c r="BK957" s="82">
        <f>IF(BI957+BJ957=0,"",IF(BL957=MAX(BL955:BL957),1,IF(BL957=MIN(BL955:BL957),3,2)))</f>
        <v>3</v>
      </c>
      <c r="BL957" s="60">
        <f>IF(BI957+BJ957&lt;&gt;0,BI957+1+(BG957-BH957)/100+(BE957-BF957)/100000+(BE957/BF957)/1000000,0)</f>
        <v>0.95941029761904761</v>
      </c>
    </row>
    <row r="958" spans="1:64" ht="11.45" customHeight="1" x14ac:dyDescent="0.2">
      <c r="A958" s="2"/>
      <c r="J958" s="28"/>
      <c r="K958" s="28"/>
      <c r="L958" s="28"/>
      <c r="O958" s="28"/>
      <c r="P958" s="28"/>
      <c r="Q958" s="2"/>
      <c r="R958" s="2"/>
      <c r="S958" s="2"/>
      <c r="T958" s="241">
        <v>3</v>
      </c>
      <c r="U958" s="244" t="str">
        <f>IF(AND(N959&lt;&gt;"",N960&lt;&gt;""),CONCATENATE(VLOOKUP(N959,[1]zawodnicy!$A$1:$E$65536,1,FALSE)," ",VLOOKUP(N959,[1]zawodnicy!$A$1:$E$65536,2,FALSE)," ",VLOOKUP(N959,[1]zawodnicy!$A$1:$E$65536,3,FALSE)," - ",VLOOKUP(N959,[1]zawodnicy!$A$1:$E$65536,4,FALSE)),"")</f>
        <v/>
      </c>
      <c r="V958" s="245"/>
      <c r="W958" s="246"/>
      <c r="X958" s="46" t="str">
        <f>IF(SUM(AO955:AP955)=0,"",AP955&amp;":"&amp;AO955)</f>
        <v>4:21</v>
      </c>
      <c r="Y958" s="83" t="str">
        <f>IF(SUM(AO956:AP956)=0,"",AP956&amp;":"&amp;AO956)</f>
        <v>13:21</v>
      </c>
      <c r="Z958" s="84"/>
      <c r="AA958" s="247" t="str">
        <f>IF(SUM(AW957:AZ957)=0,"",BE957&amp;":"&amp;BF957)</f>
        <v>25:84</v>
      </c>
      <c r="AB958" s="250" t="str">
        <f>IF(SUM(AW957:AZ957)=0,"",BG957&amp;":"&amp;BH957)</f>
        <v>0:4</v>
      </c>
      <c r="AC958" s="250" t="str">
        <f>IF(SUM(AW957:AZ957)=0,"",BI957&amp;":"&amp;BJ957)</f>
        <v>0:2</v>
      </c>
      <c r="AD958" s="253">
        <f>IF(SUM(BI955:BI957)&gt;0,BK957,"")</f>
        <v>3</v>
      </c>
      <c r="AE958" s="2"/>
      <c r="AF958" s="12"/>
      <c r="AG958" s="12"/>
      <c r="BE958" s="19">
        <f>SUM(BE955:BE957)</f>
        <v>157</v>
      </c>
      <c r="BF958" s="19">
        <f>SUM(BF955:BF957)</f>
        <v>157</v>
      </c>
      <c r="BG958" s="19">
        <f>SUM(BG955:BG957)</f>
        <v>6</v>
      </c>
      <c r="BH958" s="19">
        <f>SUM(BH955:BH957)</f>
        <v>6</v>
      </c>
      <c r="BK958" s="19"/>
      <c r="BL958" s="20"/>
    </row>
    <row r="959" spans="1:64" ht="11.45" customHeight="1" x14ac:dyDescent="0.2">
      <c r="A959" s="19"/>
      <c r="J959" s="19"/>
      <c r="K959" s="19"/>
      <c r="L959" s="19"/>
      <c r="N959" s="33" t="s">
        <v>398</v>
      </c>
      <c r="O959" s="34">
        <f>IF(O951&gt;0,(O951&amp;3)*1,"")</f>
        <v>13</v>
      </c>
      <c r="Q959" s="85"/>
      <c r="R959" s="85"/>
      <c r="S959" s="85"/>
      <c r="T959" s="242"/>
      <c r="U959" s="244" t="str">
        <f>IF(AND(N959&lt;&gt;"",N960=""),CONCATENATE(VLOOKUP(N959,[1]zawodnicy!$A$1:$E$65536,1,FALSE)," ",VLOOKUP(N959,[1]zawodnicy!$A$1:$E$65536,2,FALSE)," ",VLOOKUP(N959,[1]zawodnicy!$A$1:$E$65536,3,FALSE)," - ",VLOOKUP(N959,[1]zawodnicy!$A$1:$E$65536,4,FALSE)),"")</f>
        <v>B5816 Tomasz BUZA - UKSB Milenium Warszawa</v>
      </c>
      <c r="V959" s="245"/>
      <c r="W959" s="246"/>
      <c r="X959" s="61" t="str">
        <f>IF(SUM(AQ955:AR955)=0,"",AR955&amp;":"&amp;AQ955)</f>
        <v>2:21</v>
      </c>
      <c r="Y959" s="36" t="str">
        <f>IF(SUM(AQ956:AR956)=0,"",AR956&amp;":"&amp;AQ956)</f>
        <v>6:21</v>
      </c>
      <c r="Z959" s="86"/>
      <c r="AA959" s="248"/>
      <c r="AB959" s="251"/>
      <c r="AC959" s="251"/>
      <c r="AD959" s="254"/>
      <c r="AE959" s="2"/>
      <c r="AF959" s="12"/>
      <c r="AG959" s="1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row>
    <row r="960" spans="1:64" ht="11.45" customHeight="1" thickBot="1" x14ac:dyDescent="0.25">
      <c r="A960" s="2"/>
      <c r="J960" s="28"/>
      <c r="K960" s="28"/>
      <c r="L960" s="28"/>
      <c r="N960" s="38"/>
      <c r="O960" s="28"/>
      <c r="P960" s="28"/>
      <c r="Q960" s="2"/>
      <c r="R960" s="2"/>
      <c r="S960" s="2"/>
      <c r="T960" s="243"/>
      <c r="U960" s="256" t="str">
        <f>IF(N960&lt;&gt;"",CONCATENATE(VLOOKUP(N960,[1]zawodnicy!$A$1:$E$65536,1,FALSE)," ",VLOOKUP(N960,[1]zawodnicy!$A$1:$E$65536,2,FALSE)," ",VLOOKUP(N960,[1]zawodnicy!$A$1:$E$65536,3,FALSE)," - ",VLOOKUP(N960,[1]zawodnicy!$A$1:$E$65536,4,FALSE)),"")</f>
        <v/>
      </c>
      <c r="V960" s="257"/>
      <c r="W960" s="258"/>
      <c r="X960" s="87" t="str">
        <f>IF(SUM(AS955:AT955)=0,"",AT955&amp;":"&amp;AS955)</f>
        <v/>
      </c>
      <c r="Y960" s="88" t="str">
        <f>IF(SUM(AS956:AT956)=0,"",AT956&amp;":"&amp;AS956)</f>
        <v/>
      </c>
      <c r="Z960" s="89"/>
      <c r="AA960" s="249"/>
      <c r="AB960" s="252"/>
      <c r="AC960" s="252"/>
      <c r="AD960" s="255"/>
      <c r="AE960" s="10"/>
      <c r="AF960" s="12"/>
      <c r="AG960" s="1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row>
    <row r="961" spans="1:64" ht="5.0999999999999996" customHeight="1" thickBot="1" x14ac:dyDescent="0.25">
      <c r="BK961" s="19"/>
      <c r="BL961" s="20"/>
    </row>
    <row r="962" spans="1:64" ht="11.45" customHeight="1" thickBot="1" x14ac:dyDescent="0.25">
      <c r="N962" s="11"/>
      <c r="O962" s="21">
        <v>2</v>
      </c>
      <c r="Q962" s="277" t="str">
        <f>"Grupa "&amp;O962&amp;"."</f>
        <v>Grupa 2.</v>
      </c>
      <c r="R962" s="277"/>
      <c r="S962" s="277"/>
      <c r="T962" s="22" t="s">
        <v>1</v>
      </c>
      <c r="U962" s="278" t="s">
        <v>2</v>
      </c>
      <c r="V962" s="279"/>
      <c r="W962" s="280"/>
      <c r="X962" s="22">
        <v>1</v>
      </c>
      <c r="Y962" s="23">
        <v>2</v>
      </c>
      <c r="Z962" s="24">
        <v>3</v>
      </c>
      <c r="AA962" s="25" t="s">
        <v>3</v>
      </c>
      <c r="AB962" s="26" t="s">
        <v>4</v>
      </c>
      <c r="AC962" s="26" t="s">
        <v>5</v>
      </c>
      <c r="AD962" s="27" t="s">
        <v>6</v>
      </c>
      <c r="AE962" s="2"/>
      <c r="AF962" s="12"/>
      <c r="AG962" s="12"/>
      <c r="BK962" s="19"/>
      <c r="BL962" s="20"/>
    </row>
    <row r="963" spans="1:64" ht="11.45" customHeight="1" x14ac:dyDescent="0.2">
      <c r="J963" s="28"/>
      <c r="K963" s="28"/>
      <c r="L963" s="28"/>
      <c r="N963" s="29" t="s">
        <v>396</v>
      </c>
      <c r="Q963" s="274" t="s">
        <v>7</v>
      </c>
      <c r="R963" s="274"/>
      <c r="S963" s="275" t="s">
        <v>8</v>
      </c>
      <c r="T963" s="276">
        <v>1</v>
      </c>
      <c r="U963" s="244" t="str">
        <f>IF(AND(N964&lt;&gt;"",N965&lt;&gt;""),CONCATENATE(VLOOKUP(N964,[1]zawodnicy!$A$1:$E$65536,1,FALSE)," ",VLOOKUP(N964,[1]zawodnicy!$A$1:$E$65536,2,FALSE)," ",VLOOKUP(N964,[1]zawodnicy!$A$1:$E$65536,3,FALSE)," - ",VLOOKUP(N964,[1]zawodnicy!$A$1:$E$65536,4,FALSE)),"")</f>
        <v/>
      </c>
      <c r="V963" s="245"/>
      <c r="W963" s="246"/>
      <c r="X963" s="30"/>
      <c r="Y963" s="31" t="str">
        <f>IF(SUM(AO968:AP968)=0,"",AO968&amp;":"&amp;AP968)</f>
        <v>20:22</v>
      </c>
      <c r="Z963" s="32" t="str">
        <f>IF(SUM(AO966:AP966)=0,"",AO966&amp;":"&amp;AP966)</f>
        <v>25:23</v>
      </c>
      <c r="AA963" s="270" t="str">
        <f>IF(SUM(AY966:BB966)=0,"",BE966&amp;":"&amp;BF966)</f>
        <v>105:125</v>
      </c>
      <c r="AB963" s="271" t="str">
        <f>IF(SUM(AY966:BB966)=0,"",BG966&amp;":"&amp;BH966)</f>
        <v>2:4</v>
      </c>
      <c r="AC963" s="271" t="str">
        <f>IF(SUM(AY966:BB966)=0,"",BI966&amp;":"&amp;BJ966)</f>
        <v>0:2</v>
      </c>
      <c r="AD963" s="272">
        <f>IF(SUM(BI966:BI968)&gt;0,BK966,"")</f>
        <v>3</v>
      </c>
      <c r="AE963" s="2"/>
      <c r="AF963" s="12"/>
      <c r="AG963" s="12"/>
      <c r="AH963" s="14"/>
      <c r="AI963" s="273" t="s">
        <v>9</v>
      </c>
      <c r="AJ963" s="273"/>
      <c r="AK963" s="273"/>
      <c r="AL963" s="273"/>
      <c r="AM963" s="273"/>
      <c r="AN963" s="273"/>
      <c r="AO963" s="273" t="s">
        <v>10</v>
      </c>
      <c r="AP963" s="273"/>
      <c r="AQ963" s="273"/>
      <c r="AR963" s="273"/>
      <c r="AS963" s="273"/>
      <c r="AT963" s="273"/>
      <c r="BK963" s="19"/>
      <c r="BL963" s="20"/>
    </row>
    <row r="964" spans="1:64" ht="11.45" customHeight="1" thickBot="1" x14ac:dyDescent="0.25">
      <c r="I964" s="2" t="str">
        <f>"1"&amp;O962&amp;N963</f>
        <v>12pojedyncza chłopców Ż</v>
      </c>
      <c r="J964" s="10" t="str">
        <f>IF(AD963="","",IF(AD963=1,N964,IF(AD966=1,N967,IF(AD969=1,N970,""))))</f>
        <v>J5015</v>
      </c>
      <c r="K964" s="10">
        <f>IF(AD963="","",IF(AD963=1,N965,IF(AD966=1,N968,IF(AD969=1,N971,""))))</f>
        <v>0</v>
      </c>
      <c r="L964" s="10"/>
      <c r="N964" s="33" t="s">
        <v>399</v>
      </c>
      <c r="O964" s="34">
        <f>IF(O962&gt;0,(O962&amp;1)*1,"")</f>
        <v>21</v>
      </c>
      <c r="Q964" s="274"/>
      <c r="R964" s="274"/>
      <c r="S964" s="275"/>
      <c r="T964" s="242"/>
      <c r="U964" s="244" t="str">
        <f>IF(AND(N964&lt;&gt;"",N965=""),CONCATENATE(VLOOKUP(N964,[1]zawodnicy!$A$1:$E$65536,1,FALSE)," ",VLOOKUP(N964,[1]zawodnicy!$A$1:$E$65536,2,FALSE)," ",VLOOKUP(N964,[1]zawodnicy!$A$1:$E$65536,3,FALSE)," - ",VLOOKUP(N964,[1]zawodnicy!$A$1:$E$65536,4,FALSE)),"")</f>
        <v>X44 Myroslav KLYUCHOVSKYY - Lwów Ukraina</v>
      </c>
      <c r="V964" s="245"/>
      <c r="W964" s="246"/>
      <c r="X964" s="35"/>
      <c r="Y964" s="36" t="str">
        <f>IF(SUM(AQ968:AR968)=0,"",AQ968&amp;":"&amp;AR968)</f>
        <v>21:17</v>
      </c>
      <c r="Z964" s="37" t="str">
        <f>IF(SUM(AQ966:AR966)=0,"",AQ966&amp;":"&amp;AR966)</f>
        <v>11:21</v>
      </c>
      <c r="AA964" s="248"/>
      <c r="AB964" s="251"/>
      <c r="AC964" s="251"/>
      <c r="AD964" s="254"/>
      <c r="AE964" s="2"/>
      <c r="AF964" s="12"/>
      <c r="AG964" s="12"/>
      <c r="AH964" s="14"/>
      <c r="BE964" s="19">
        <f>SUM(BE966:BE968)</f>
        <v>332</v>
      </c>
      <c r="BF964" s="19">
        <f>SUM(BF966:BF968)</f>
        <v>332</v>
      </c>
      <c r="BG964" s="19">
        <f>SUM(BG966:BG968)</f>
        <v>9</v>
      </c>
      <c r="BH964" s="19">
        <f>SUM(BH966:BH968)</f>
        <v>9</v>
      </c>
      <c r="BK964" s="19"/>
      <c r="BL964" s="20"/>
    </row>
    <row r="965" spans="1:64" ht="11.45" customHeight="1" thickBot="1" x14ac:dyDescent="0.25">
      <c r="J965" s="10"/>
      <c r="K965" s="28"/>
      <c r="L965" s="28"/>
      <c r="N965" s="38"/>
      <c r="O965" s="28"/>
      <c r="P965" s="28"/>
      <c r="Q965" s="274"/>
      <c r="R965" s="274"/>
      <c r="S965" s="275"/>
      <c r="T965" s="261"/>
      <c r="U965" s="265" t="str">
        <f>IF(N965&lt;&gt;"",CONCATENATE(VLOOKUP(N965,[1]zawodnicy!$A$1:$E$65536,1,FALSE)," ",VLOOKUP(N965,[1]zawodnicy!$A$1:$E$65536,2,FALSE)," ",VLOOKUP(N965,[1]zawodnicy!$A$1:$E$65536,3,FALSE)," - ",VLOOKUP(N965,[1]zawodnicy!$A$1:$E$65536,4,FALSE)),"")</f>
        <v/>
      </c>
      <c r="V965" s="266"/>
      <c r="W965" s="267"/>
      <c r="X965" s="35"/>
      <c r="Y965" s="39" t="str">
        <f>IF(SUM(AS968:AT968)=0,"",AS968&amp;":"&amp;AT968)</f>
        <v>13:21</v>
      </c>
      <c r="Z965" s="40" t="str">
        <f>IF(SUM(AS966:AT966)=0,"",AS966&amp;":"&amp;AT966)</f>
        <v>15:21</v>
      </c>
      <c r="AA965" s="262"/>
      <c r="AB965" s="263"/>
      <c r="AC965" s="263"/>
      <c r="AD965" s="264"/>
      <c r="AE965" s="2"/>
      <c r="AF965" s="12"/>
      <c r="AG965" s="12"/>
      <c r="AH965" s="14"/>
      <c r="AI965" s="259" t="s">
        <v>12</v>
      </c>
      <c r="AJ965" s="269"/>
      <c r="AK965" s="268" t="s">
        <v>13</v>
      </c>
      <c r="AL965" s="269"/>
      <c r="AM965" s="268" t="s">
        <v>14</v>
      </c>
      <c r="AN965" s="260"/>
      <c r="AO965" s="259" t="s">
        <v>12</v>
      </c>
      <c r="AP965" s="269"/>
      <c r="AQ965" s="268" t="s">
        <v>13</v>
      </c>
      <c r="AR965" s="269"/>
      <c r="AS965" s="268" t="s">
        <v>14</v>
      </c>
      <c r="AT965" s="269"/>
      <c r="AU965" s="12"/>
      <c r="AV965" s="12"/>
      <c r="AW965" s="259">
        <v>1</v>
      </c>
      <c r="AX965" s="269"/>
      <c r="AY965" s="268">
        <v>2</v>
      </c>
      <c r="AZ965" s="269"/>
      <c r="BA965" s="268">
        <v>3</v>
      </c>
      <c r="BB965" s="260"/>
      <c r="BE965" s="259" t="s">
        <v>3</v>
      </c>
      <c r="BF965" s="260"/>
      <c r="BG965" s="259" t="s">
        <v>4</v>
      </c>
      <c r="BH965" s="260"/>
      <c r="BI965" s="259" t="s">
        <v>5</v>
      </c>
      <c r="BJ965" s="260"/>
      <c r="BK965" s="41" t="s">
        <v>6</v>
      </c>
      <c r="BL965" s="20"/>
    </row>
    <row r="966" spans="1:64" ht="11.45" customHeight="1" x14ac:dyDescent="0.2">
      <c r="A966" s="19">
        <f>S966</f>
        <v>258</v>
      </c>
      <c r="B966" s="2" t="str">
        <f>IF(N964="","",N964)</f>
        <v>X44</v>
      </c>
      <c r="C966" s="2" t="str">
        <f>IF(N965="","",N965)</f>
        <v/>
      </c>
      <c r="D966" s="2" t="str">
        <f>IF(N970="","",N970)</f>
        <v>S5976</v>
      </c>
      <c r="E966" s="2" t="str">
        <f>IF(N971="","",N971)</f>
        <v/>
      </c>
      <c r="I966" s="2" t="str">
        <f>"2"&amp;O962&amp;N963</f>
        <v>22pojedyncza chłopców Ż</v>
      </c>
      <c r="J966" s="10" t="str">
        <f>IF(AD966="","",IF(AD963=2,N964,IF(AD966=2,N967,IF(AD969=2,N970,""))))</f>
        <v>S5976</v>
      </c>
      <c r="K966" s="10">
        <f>IF(AD966="","",IF(AD963=2,N965,IF(AD966=2,N968,IF(AD969=2,N971,""))))</f>
        <v>0</v>
      </c>
      <c r="M966" s="42" t="str">
        <f>N963</f>
        <v>pojedyncza chłopców Ż</v>
      </c>
      <c r="O966" s="28"/>
      <c r="P966" s="28"/>
      <c r="Q966" s="43" t="str">
        <f>IF(AU966&gt;0,"",IF(A966=0,"",IF(VLOOKUP(A966,'[1]plan gier'!A$1:S$65536,19,FALSE)="","",VLOOKUP(A966,'[1]plan gier'!A$1:S$65536,19,FALSE))))</f>
        <v/>
      </c>
      <c r="R966" s="44" t="s">
        <v>15</v>
      </c>
      <c r="S966" s="45">
        <v>258</v>
      </c>
      <c r="T966" s="241">
        <v>2</v>
      </c>
      <c r="U966" s="244" t="str">
        <f>IF(AND(N967&lt;&gt;"",N968&lt;&gt;""),CONCATENATE(VLOOKUP(N967,[1]zawodnicy!$A$1:$E$65536,1,FALSE)," ",VLOOKUP(N967,[1]zawodnicy!$A$1:$E$65536,2,FALSE)," ",VLOOKUP(N967,[1]zawodnicy!$A$1:$E$65536,3,FALSE)," - ",VLOOKUP(N967,[1]zawodnicy!$A$1:$E$65536,4,FALSE)),"")</f>
        <v/>
      </c>
      <c r="V966" s="245"/>
      <c r="W966" s="246"/>
      <c r="X966" s="46" t="str">
        <f>IF(SUM(AO968:AP968)=0,"",AP968&amp;":"&amp;AO968)</f>
        <v>22:20</v>
      </c>
      <c r="Y966" s="47"/>
      <c r="Z966" s="48" t="str">
        <f>IF(SUM(AO967:AP967)=0,"",AO967&amp;":"&amp;AP967)</f>
        <v>21:11</v>
      </c>
      <c r="AA966" s="247" t="str">
        <f>IF(SUM(AW967:AX967,BA967:BB967)=0,"",BE967&amp;":"&amp;BF967)</f>
        <v>117:99</v>
      </c>
      <c r="AB966" s="250" t="str">
        <f>IF(SUM(AW967:AX967,BA967:BB967)=0,"",BG967&amp;":"&amp;BH967)</f>
        <v>4:2</v>
      </c>
      <c r="AC966" s="250" t="str">
        <f>IF(SUM(AW967:AX967,BA967:BB967)=0,"",BI967&amp;":"&amp;BJ967)</f>
        <v>2:0</v>
      </c>
      <c r="AD966" s="253">
        <f>IF(SUM(BI966:BI968)&gt;0,BK967,"")</f>
        <v>1</v>
      </c>
      <c r="AE966" s="2"/>
      <c r="AF966" s="12"/>
      <c r="AG966" s="12"/>
      <c r="AH966" s="44" t="s">
        <v>15</v>
      </c>
      <c r="AI966" s="49">
        <f>IF(ISBLANK(S966),"",VLOOKUP(S966,'[1]plan gier'!$X$1:$AN$65536,12,FALSE))</f>
        <v>25</v>
      </c>
      <c r="AJ966" s="50">
        <f>IF(ISBLANK(S966),"",VLOOKUP(S966,'[1]plan gier'!$X$1:$AN$65536,13,FALSE))</f>
        <v>23</v>
      </c>
      <c r="AK966" s="50">
        <f>IF(ISBLANK(S966),"",VLOOKUP(S966,'[1]plan gier'!$X$1:$AN$65536,14,FALSE))</f>
        <v>11</v>
      </c>
      <c r="AL966" s="50">
        <f>IF(ISBLANK(S966),"",VLOOKUP(S966,'[1]plan gier'!$X$1:$AN$65536,15,FALSE))</f>
        <v>21</v>
      </c>
      <c r="AM966" s="50">
        <f>IF(ISBLANK(S966),"",VLOOKUP(S966,'[1]plan gier'!$X$1:$AN$65536,16,FALSE))</f>
        <v>15</v>
      </c>
      <c r="AN966" s="50">
        <f>IF(ISBLANK(S966),"",VLOOKUP(S966,'[1]plan gier'!$X$1:$AN$65536,17,FALSE))</f>
        <v>21</v>
      </c>
      <c r="AO966" s="51">
        <f t="shared" ref="AO966:AT968" si="93">IF(AI966="",0,AI966)</f>
        <v>25</v>
      </c>
      <c r="AP966" s="52">
        <f t="shared" si="93"/>
        <v>23</v>
      </c>
      <c r="AQ966" s="53">
        <f t="shared" si="93"/>
        <v>11</v>
      </c>
      <c r="AR966" s="52">
        <f t="shared" si="93"/>
        <v>21</v>
      </c>
      <c r="AS966" s="53">
        <f t="shared" si="93"/>
        <v>15</v>
      </c>
      <c r="AT966" s="52">
        <f t="shared" si="93"/>
        <v>21</v>
      </c>
      <c r="AU966" s="54">
        <f>SUM(AO966:AT966)</f>
        <v>116</v>
      </c>
      <c r="AV966" s="13">
        <v>1</v>
      </c>
      <c r="AW966" s="55"/>
      <c r="AX966" s="56"/>
      <c r="AY966" s="50">
        <f>IF(AI968&gt;AJ968,1,0)+IF(AK968&gt;AL968,1,0)+IF(AM968&gt;AN968,1,0)</f>
        <v>1</v>
      </c>
      <c r="AZ966" s="50">
        <f>AW967</f>
        <v>2</v>
      </c>
      <c r="BA966" s="50">
        <f>IF(AI966&gt;AJ966,1,0)+IF(AK966&gt;AL966,1,0)+IF(AM966&gt;AN966,1,0)</f>
        <v>1</v>
      </c>
      <c r="BB966" s="57">
        <f>AW968</f>
        <v>2</v>
      </c>
      <c r="BE966" s="49">
        <f>AO966+AQ966+AS966+AO968+AQ968+AS968</f>
        <v>105</v>
      </c>
      <c r="BF966" s="57">
        <f>AP966+AR966+AT966+AP968+AR968+AT968</f>
        <v>125</v>
      </c>
      <c r="BG966" s="49">
        <f>AY966+BA966</f>
        <v>2</v>
      </c>
      <c r="BH966" s="57">
        <f>AZ966+BB966</f>
        <v>4</v>
      </c>
      <c r="BI966" s="49">
        <f>IF(AY966&gt;AZ966,1,0)+IF(BA966&gt;BB966,1,0)</f>
        <v>0</v>
      </c>
      <c r="BJ966" s="58">
        <f>IF(AZ966&gt;AY966,1,0)+IF(BB966&gt;BA966,1,0)</f>
        <v>2</v>
      </c>
      <c r="BK966" s="59">
        <f>IF(BI966+BJ966=0,"",IF(BL966=MAX(BL966:BL968),1,IF(BL966=MIN(BL966:BL968),3,2)))</f>
        <v>3</v>
      </c>
      <c r="BL966" s="60">
        <f>IF(BI966+BJ966&lt;&gt;0,BI966+1+(BG966-BH966)/100+(BE966-BF966)/100000+(BE966/BF966)/1000000,0)</f>
        <v>0.97980084000000001</v>
      </c>
    </row>
    <row r="967" spans="1:64" ht="11.45" customHeight="1" x14ac:dyDescent="0.2">
      <c r="A967" s="19">
        <f>S967</f>
        <v>300</v>
      </c>
      <c r="B967" s="2" t="str">
        <f>IF(N967="","",N967)</f>
        <v>J5015</v>
      </c>
      <c r="C967" s="2" t="str">
        <f>IF(N968="","",N968)</f>
        <v/>
      </c>
      <c r="D967" s="2" t="str">
        <f>IF(N970="","",N970)</f>
        <v>S5976</v>
      </c>
      <c r="E967" s="2" t="str">
        <f>IF(N971="","",N971)</f>
        <v/>
      </c>
      <c r="J967" s="10"/>
      <c r="K967" s="19"/>
      <c r="M967" s="42" t="str">
        <f>N963</f>
        <v>pojedyncza chłopców Ż</v>
      </c>
      <c r="N967" s="33" t="s">
        <v>358</v>
      </c>
      <c r="O967" s="34">
        <f>IF(O962&gt;0,(O962&amp;2)*1,"")</f>
        <v>22</v>
      </c>
      <c r="Q967" s="43" t="str">
        <f>IF(AU967&gt;0,"",IF(A967=0,"",IF(VLOOKUP(A967,'[1]plan gier'!A$1:S$65536,19,FALSE)="","",VLOOKUP(A967,'[1]plan gier'!A$1:S$65536,19,FALSE))))</f>
        <v/>
      </c>
      <c r="R967" s="44" t="s">
        <v>17</v>
      </c>
      <c r="S967" s="45">
        <v>300</v>
      </c>
      <c r="T967" s="242"/>
      <c r="U967" s="244" t="str">
        <f>IF(AND(N967&lt;&gt;"",N968=""),CONCATENATE(VLOOKUP(N967,[1]zawodnicy!$A$1:$E$65536,1,FALSE)," ",VLOOKUP(N967,[1]zawodnicy!$A$1:$E$65536,2,FALSE)," ",VLOOKUP(N967,[1]zawodnicy!$A$1:$E$65536,3,FALSE)," - ",VLOOKUP(N967,[1]zawodnicy!$A$1:$E$65536,4,FALSE)),"")</f>
        <v>J5015 Jakub JAGODZIŃSKI - UKSB Milenium Warszawa</v>
      </c>
      <c r="V967" s="245"/>
      <c r="W967" s="246"/>
      <c r="X967" s="61" t="str">
        <f>IF(SUM(AQ968:AR968)=0,"",AR968&amp;":"&amp;AQ968)</f>
        <v>17:21</v>
      </c>
      <c r="Y967" s="62"/>
      <c r="Z967" s="37" t="str">
        <f>IF(SUM(AQ967:AR967)=0,"",AQ967&amp;":"&amp;AR967)</f>
        <v>15:21</v>
      </c>
      <c r="AA967" s="248"/>
      <c r="AB967" s="251"/>
      <c r="AC967" s="251"/>
      <c r="AD967" s="254"/>
      <c r="AE967" s="2"/>
      <c r="AF967" s="12"/>
      <c r="AG967" s="12"/>
      <c r="AH967" s="44" t="s">
        <v>17</v>
      </c>
      <c r="AI967" s="63">
        <f>IF(ISBLANK(S967),"",VLOOKUP(S967,'[1]plan gier'!$X$1:$AN$65536,12,FALSE))</f>
        <v>21</v>
      </c>
      <c r="AJ967" s="64">
        <f>IF(ISBLANK(S967),"",VLOOKUP(S967,'[1]plan gier'!$X$1:$AN$65536,13,FALSE))</f>
        <v>11</v>
      </c>
      <c r="AK967" s="64">
        <f>IF(ISBLANK(S967),"",VLOOKUP(S967,'[1]plan gier'!$X$1:$AN$65536,14,FALSE))</f>
        <v>15</v>
      </c>
      <c r="AL967" s="64">
        <f>IF(ISBLANK(S967),"",VLOOKUP(S967,'[1]plan gier'!$X$1:$AN$65536,15,FALSE))</f>
        <v>21</v>
      </c>
      <c r="AM967" s="64">
        <f>IF(ISBLANK(S967),"",VLOOKUP(S967,'[1]plan gier'!$X$1:$AN$65536,16,FALSE))</f>
        <v>21</v>
      </c>
      <c r="AN967" s="64">
        <f>IF(ISBLANK(S967),"",VLOOKUP(S967,'[1]plan gier'!$X$1:$AN$65536,17,FALSE))</f>
        <v>13</v>
      </c>
      <c r="AO967" s="65">
        <f t="shared" si="93"/>
        <v>21</v>
      </c>
      <c r="AP967" s="64">
        <f t="shared" si="93"/>
        <v>11</v>
      </c>
      <c r="AQ967" s="66">
        <f t="shared" si="93"/>
        <v>15</v>
      </c>
      <c r="AR967" s="64">
        <f t="shared" si="93"/>
        <v>21</v>
      </c>
      <c r="AS967" s="66">
        <f t="shared" si="93"/>
        <v>21</v>
      </c>
      <c r="AT967" s="64">
        <f t="shared" si="93"/>
        <v>13</v>
      </c>
      <c r="AU967" s="54">
        <f>SUM(AO967:AT967)</f>
        <v>102</v>
      </c>
      <c r="AV967" s="13">
        <v>2</v>
      </c>
      <c r="AW967" s="63">
        <f>IF(AI968&lt;AJ968,1,0)+IF(AK968&lt;AL968,1,0)+IF(AM968&lt;AN968,1,0)</f>
        <v>2</v>
      </c>
      <c r="AX967" s="64">
        <f>AY966</f>
        <v>1</v>
      </c>
      <c r="AY967" s="67"/>
      <c r="AZ967" s="68"/>
      <c r="BA967" s="64">
        <f>IF(AI967&gt;AJ967,1,0)+IF(AK967&gt;AL967,1,0)+IF(AM967&gt;AN967,1,0)</f>
        <v>2</v>
      </c>
      <c r="BB967" s="69">
        <f>AY968</f>
        <v>1</v>
      </c>
      <c r="BE967" s="63">
        <f>AO967+AQ967+AS967+AP968+AR968+AT968</f>
        <v>117</v>
      </c>
      <c r="BF967" s="69">
        <f>AP967+AR967+AT967+AO968+AQ968+AS968</f>
        <v>99</v>
      </c>
      <c r="BG967" s="63">
        <f>AW967+BA967</f>
        <v>4</v>
      </c>
      <c r="BH967" s="69">
        <f>AX967+BB967</f>
        <v>2</v>
      </c>
      <c r="BI967" s="63">
        <f>IF(AW967&gt;AX967,1,0)+IF(BA967&gt;BB967,1,0)</f>
        <v>2</v>
      </c>
      <c r="BJ967" s="70">
        <f>IF(AX967&gt;AW967,1,0)+IF(BB967&gt;BA967,1,0)</f>
        <v>0</v>
      </c>
      <c r="BK967" s="71">
        <f>IF(BI967+BJ967=0,"",IF(BL967=MAX(BL966:BL968),1,IF(BL967=MIN(BL966:BL968),3,2)))</f>
        <v>1</v>
      </c>
      <c r="BL967" s="60">
        <f>IF(BI967+BJ967&lt;&gt;0,BI967+1+(BG967-BH967)/100+(BE967-BF967)/100000+(BE967/BF967)/1000000,0)</f>
        <v>3.0201811818181818</v>
      </c>
    </row>
    <row r="968" spans="1:64" ht="11.45" customHeight="1" thickBot="1" x14ac:dyDescent="0.25">
      <c r="A968" s="19">
        <f>S968</f>
        <v>358</v>
      </c>
      <c r="B968" s="2" t="str">
        <f>IF(N964="","",N964)</f>
        <v>X44</v>
      </c>
      <c r="C968" s="2" t="str">
        <f>IF(N965="","",N965)</f>
        <v/>
      </c>
      <c r="D968" s="2" t="str">
        <f>IF(N967="","",N967)</f>
        <v>J5015</v>
      </c>
      <c r="E968" s="2" t="str">
        <f>IF(N968="","",N968)</f>
        <v/>
      </c>
      <c r="I968" s="2" t="str">
        <f>"3"&amp;O962&amp;N963</f>
        <v>32pojedyncza chłopców Ż</v>
      </c>
      <c r="J968" s="10" t="str">
        <f>IF(AD969="","",IF(AD963=3,N964,IF(AD966=3,N967,IF(AD969=3,N970,""))))</f>
        <v>X44</v>
      </c>
      <c r="K968" s="10">
        <f>IF(AD969="","",IF(AD963=3,N965,IF(AD966=3,N968,IF(AD969=3,N971,""))))</f>
        <v>0</v>
      </c>
      <c r="M968" s="42" t="str">
        <f>N963</f>
        <v>pojedyncza chłopców Ż</v>
      </c>
      <c r="N968" s="38"/>
      <c r="O968" s="28"/>
      <c r="P968" s="28"/>
      <c r="Q968" s="43" t="str">
        <f>IF(AU968&gt;0,"",IF(A968=0,"",IF(VLOOKUP(A968,'[1]plan gier'!A$1:S$65536,19,FALSE)="","",VLOOKUP(A968,'[1]plan gier'!A$1:S$65536,19,FALSE))))</f>
        <v/>
      </c>
      <c r="R968" s="72" t="s">
        <v>18</v>
      </c>
      <c r="S968" s="45">
        <v>358</v>
      </c>
      <c r="T968" s="261"/>
      <c r="U968" s="265" t="str">
        <f>IF(N968&lt;&gt;"",CONCATENATE(VLOOKUP(N968,[1]zawodnicy!$A$1:$E$65536,1,FALSE)," ",VLOOKUP(N968,[1]zawodnicy!$A$1:$E$65536,2,FALSE)," ",VLOOKUP(N968,[1]zawodnicy!$A$1:$E$65536,3,FALSE)," - ",VLOOKUP(N968,[1]zawodnicy!$A$1:$E$65536,4,FALSE)),"")</f>
        <v/>
      </c>
      <c r="V968" s="266"/>
      <c r="W968" s="267"/>
      <c r="X968" s="73" t="str">
        <f>IF(SUM(AS968:AT968)=0,"",AT968&amp;":"&amp;AS968)</f>
        <v>21:13</v>
      </c>
      <c r="Y968" s="62"/>
      <c r="Z968" s="40" t="str">
        <f>IF(SUM(AS967:AT967)=0,"",AS967&amp;":"&amp;AT967)</f>
        <v>21:13</v>
      </c>
      <c r="AA968" s="262"/>
      <c r="AB968" s="263"/>
      <c r="AC968" s="263"/>
      <c r="AD968" s="264"/>
      <c r="AE968" s="2"/>
      <c r="AF968" s="12"/>
      <c r="AG968" s="12"/>
      <c r="AH968" s="72" t="s">
        <v>18</v>
      </c>
      <c r="AI968" s="74">
        <f>IF(ISBLANK(S968),"",VLOOKUP(S968,'[1]plan gier'!$X$1:$AN$65536,12,FALSE))</f>
        <v>20</v>
      </c>
      <c r="AJ968" s="75">
        <f>IF(ISBLANK(S968),"",VLOOKUP(S968,'[1]plan gier'!$X$1:$AN$65536,13,FALSE))</f>
        <v>22</v>
      </c>
      <c r="AK968" s="75">
        <f>IF(ISBLANK(S968),"",VLOOKUP(S968,'[1]plan gier'!$X$1:$AN$65536,14,FALSE))</f>
        <v>21</v>
      </c>
      <c r="AL968" s="75">
        <f>IF(ISBLANK(S968),"",VLOOKUP(S968,'[1]plan gier'!$X$1:$AN$65536,15,FALSE))</f>
        <v>17</v>
      </c>
      <c r="AM968" s="75">
        <f>IF(ISBLANK(S968),"",VLOOKUP(S968,'[1]plan gier'!$X$1:$AN$65536,16,FALSE))</f>
        <v>13</v>
      </c>
      <c r="AN968" s="75">
        <f>IF(ISBLANK(S968),"",VLOOKUP(S968,'[1]plan gier'!$X$1:$AN$65536,17,FALSE))</f>
        <v>21</v>
      </c>
      <c r="AO968" s="76">
        <f t="shared" si="93"/>
        <v>20</v>
      </c>
      <c r="AP968" s="75">
        <f t="shared" si="93"/>
        <v>22</v>
      </c>
      <c r="AQ968" s="77">
        <f t="shared" si="93"/>
        <v>21</v>
      </c>
      <c r="AR968" s="75">
        <f t="shared" si="93"/>
        <v>17</v>
      </c>
      <c r="AS968" s="77">
        <f t="shared" si="93"/>
        <v>13</v>
      </c>
      <c r="AT968" s="75">
        <f t="shared" si="93"/>
        <v>21</v>
      </c>
      <c r="AU968" s="54">
        <f>SUM(AO968:AT968)</f>
        <v>114</v>
      </c>
      <c r="AV968" s="13">
        <v>3</v>
      </c>
      <c r="AW968" s="74">
        <f>IF(AI966&lt;AJ966,1,0)+IF(AK966&lt;AL966,1,0)+IF(AM966&lt;AN966,1,0)</f>
        <v>2</v>
      </c>
      <c r="AX968" s="75">
        <f>BA966</f>
        <v>1</v>
      </c>
      <c r="AY968" s="75">
        <f>IF(AI967&lt;AJ967,1,0)+IF(AK967&lt;AL967,1,0)+IF(AM967&lt;AN967,1,0)</f>
        <v>1</v>
      </c>
      <c r="AZ968" s="75">
        <f>BA967</f>
        <v>2</v>
      </c>
      <c r="BA968" s="78"/>
      <c r="BB968" s="79"/>
      <c r="BE968" s="74">
        <f>AP966+AR966+AT966+AP967+AR967+AT967</f>
        <v>110</v>
      </c>
      <c r="BF968" s="80">
        <f>AO966+AQ966+AS966+AO967+AQ967+AS967</f>
        <v>108</v>
      </c>
      <c r="BG968" s="74">
        <f>AW968+AY968</f>
        <v>3</v>
      </c>
      <c r="BH968" s="80">
        <f>AX968+AZ968</f>
        <v>3</v>
      </c>
      <c r="BI968" s="74">
        <f>IF(AW968&gt;AX968,1,0)+IF(AY968&gt;AZ968,1,0)</f>
        <v>1</v>
      </c>
      <c r="BJ968" s="81">
        <f>IF(AX968&gt;AW968,1,0)+IF(AZ968&gt;AY968,1,0)</f>
        <v>1</v>
      </c>
      <c r="BK968" s="82">
        <f>IF(BI968+BJ968=0,"",IF(BL968=MAX(BL966:BL968),1,IF(BL968=MIN(BL966:BL968),3,2)))</f>
        <v>2</v>
      </c>
      <c r="BL968" s="60">
        <f>IF(BI968+BJ968&lt;&gt;0,BI968+1+(BG968-BH968)/100+(BE968-BF968)/100000+(BE968/BF968)/1000000,0)</f>
        <v>2.0000210185185185</v>
      </c>
    </row>
    <row r="969" spans="1:64" ht="11.45" customHeight="1" x14ac:dyDescent="0.2">
      <c r="A969" s="2"/>
      <c r="J969" s="28"/>
      <c r="K969" s="28"/>
      <c r="L969" s="28"/>
      <c r="O969" s="28"/>
      <c r="P969" s="28"/>
      <c r="Q969" s="2"/>
      <c r="R969" s="2"/>
      <c r="S969" s="2"/>
      <c r="T969" s="241">
        <v>3</v>
      </c>
      <c r="U969" s="244" t="str">
        <f>IF(AND(N970&lt;&gt;"",N971&lt;&gt;""),CONCATENATE(VLOOKUP(N970,[1]zawodnicy!$A$1:$E$65536,1,FALSE)," ",VLOOKUP(N970,[1]zawodnicy!$A$1:$E$65536,2,FALSE)," ",VLOOKUP(N970,[1]zawodnicy!$A$1:$E$65536,3,FALSE)," - ",VLOOKUP(N970,[1]zawodnicy!$A$1:$E$65536,4,FALSE)),"")</f>
        <v/>
      </c>
      <c r="V969" s="245"/>
      <c r="W969" s="246"/>
      <c r="X969" s="46" t="str">
        <f>IF(SUM(AO966:AP966)=0,"",AP966&amp;":"&amp;AO966)</f>
        <v>23:25</v>
      </c>
      <c r="Y969" s="83" t="str">
        <f>IF(SUM(AO967:AP967)=0,"",AP967&amp;":"&amp;AO967)</f>
        <v>11:21</v>
      </c>
      <c r="Z969" s="84"/>
      <c r="AA969" s="247" t="str">
        <f>IF(SUM(AW968:AZ968)=0,"",BE968&amp;":"&amp;BF968)</f>
        <v>110:108</v>
      </c>
      <c r="AB969" s="250" t="str">
        <f>IF(SUM(AW968:AZ968)=0,"",BG968&amp;":"&amp;BH968)</f>
        <v>3:3</v>
      </c>
      <c r="AC969" s="250" t="str">
        <f>IF(SUM(AW968:AZ968)=0,"",BI968&amp;":"&amp;BJ968)</f>
        <v>1:1</v>
      </c>
      <c r="AD969" s="253">
        <f>IF(SUM(BI966:BI968)&gt;0,BK968,"")</f>
        <v>2</v>
      </c>
      <c r="AE969" s="2"/>
      <c r="AF969" s="12"/>
      <c r="AG969" s="12"/>
      <c r="BE969" s="19">
        <f>SUM(BE966:BE968)</f>
        <v>332</v>
      </c>
      <c r="BF969" s="19">
        <f>SUM(BF966:BF968)</f>
        <v>332</v>
      </c>
      <c r="BG969" s="19">
        <f>SUM(BG966:BG968)</f>
        <v>9</v>
      </c>
      <c r="BH969" s="19">
        <f>SUM(BH966:BH968)</f>
        <v>9</v>
      </c>
      <c r="BK969" s="19"/>
      <c r="BL969" s="20"/>
    </row>
    <row r="970" spans="1:64" ht="11.45" customHeight="1" x14ac:dyDescent="0.2">
      <c r="A970" s="19"/>
      <c r="J970" s="19"/>
      <c r="K970" s="19"/>
      <c r="L970" s="19"/>
      <c r="N970" s="33" t="s">
        <v>400</v>
      </c>
      <c r="O970" s="34">
        <f>IF(O962&gt;0,(O962&amp;3)*1,"")</f>
        <v>23</v>
      </c>
      <c r="Q970" s="85"/>
      <c r="R970" s="85"/>
      <c r="S970" s="85"/>
      <c r="T970" s="242"/>
      <c r="U970" s="244" t="str">
        <f>IF(AND(N970&lt;&gt;"",N971=""),CONCATENATE(VLOOKUP(N970,[1]zawodnicy!$A$1:$E$65536,1,FALSE)," ",VLOOKUP(N970,[1]zawodnicy!$A$1:$E$65536,2,FALSE)," ",VLOOKUP(N970,[1]zawodnicy!$A$1:$E$65536,3,FALSE)," - ",VLOOKUP(N970,[1]zawodnicy!$A$1:$E$65536,4,FALSE)),"")</f>
        <v>S5976 Andrzej SZCZEPANEK - UKS Badminton Stare Babice</v>
      </c>
      <c r="V970" s="245"/>
      <c r="W970" s="246"/>
      <c r="X970" s="61" t="str">
        <f>IF(SUM(AQ966:AR966)=0,"",AR966&amp;":"&amp;AQ966)</f>
        <v>21:11</v>
      </c>
      <c r="Y970" s="36" t="str">
        <f>IF(SUM(AQ967:AR967)=0,"",AR967&amp;":"&amp;AQ967)</f>
        <v>21:15</v>
      </c>
      <c r="Z970" s="86"/>
      <c r="AA970" s="248"/>
      <c r="AB970" s="251"/>
      <c r="AC970" s="251"/>
      <c r="AD970" s="254"/>
      <c r="AE970" s="2"/>
      <c r="AF970" s="12"/>
      <c r="AG970" s="1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row>
    <row r="971" spans="1:64" ht="11.45" customHeight="1" thickBot="1" x14ac:dyDescent="0.25">
      <c r="A971" s="2"/>
      <c r="J971" s="28"/>
      <c r="K971" s="28"/>
      <c r="L971" s="28"/>
      <c r="N971" s="38"/>
      <c r="O971" s="28"/>
      <c r="P971" s="28"/>
      <c r="Q971" s="2"/>
      <c r="R971" s="2"/>
      <c r="S971" s="2"/>
      <c r="T971" s="243"/>
      <c r="U971" s="256" t="str">
        <f>IF(N971&lt;&gt;"",CONCATENATE(VLOOKUP(N971,[1]zawodnicy!$A$1:$E$65536,1,FALSE)," ",VLOOKUP(N971,[1]zawodnicy!$A$1:$E$65536,2,FALSE)," ",VLOOKUP(N971,[1]zawodnicy!$A$1:$E$65536,3,FALSE)," - ",VLOOKUP(N971,[1]zawodnicy!$A$1:$E$65536,4,FALSE)),"")</f>
        <v/>
      </c>
      <c r="V971" s="257"/>
      <c r="W971" s="258"/>
      <c r="X971" s="87" t="str">
        <f>IF(SUM(AS966:AT966)=0,"",AT966&amp;":"&amp;AS966)</f>
        <v>21:15</v>
      </c>
      <c r="Y971" s="88" t="str">
        <f>IF(SUM(AS967:AT967)=0,"",AT967&amp;":"&amp;AS967)</f>
        <v>13:21</v>
      </c>
      <c r="Z971" s="89"/>
      <c r="AA971" s="249"/>
      <c r="AB971" s="252"/>
      <c r="AC971" s="252"/>
      <c r="AD971" s="255"/>
      <c r="AE971" s="10"/>
      <c r="AF971" s="12"/>
      <c r="AG971" s="1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row>
    <row r="972" spans="1:64" s="19" customFormat="1" ht="5.0999999999999996" customHeight="1" thickBot="1" x14ac:dyDescent="0.25">
      <c r="M972" s="90"/>
      <c r="O972" s="90"/>
      <c r="P972" s="90"/>
      <c r="Q972" s="91"/>
      <c r="R972" s="91"/>
      <c r="S972" s="91"/>
      <c r="T972" s="91"/>
      <c r="U972" s="5"/>
      <c r="V972" s="5"/>
      <c r="W972" s="5"/>
      <c r="AA972" s="92"/>
      <c r="AB972" s="91"/>
      <c r="AC972" s="91"/>
      <c r="AD972" s="91"/>
      <c r="AE972" s="91"/>
      <c r="AF972" s="91"/>
      <c r="AI972" s="93"/>
      <c r="AJ972" s="94"/>
      <c r="AK972" s="94"/>
    </row>
    <row r="973" spans="1:64" ht="11.45" customHeight="1" thickBot="1" x14ac:dyDescent="0.25">
      <c r="N973" s="11"/>
      <c r="O973" s="21">
        <v>3</v>
      </c>
      <c r="Q973" s="277" t="str">
        <f>"Grupa "&amp;O973&amp;"."</f>
        <v>Grupa 3.</v>
      </c>
      <c r="R973" s="277"/>
      <c r="S973" s="277"/>
      <c r="T973" s="22" t="s">
        <v>1</v>
      </c>
      <c r="U973" s="278" t="s">
        <v>2</v>
      </c>
      <c r="V973" s="279"/>
      <c r="W973" s="280"/>
      <c r="X973" s="22">
        <v>1</v>
      </c>
      <c r="Y973" s="23">
        <v>2</v>
      </c>
      <c r="Z973" s="24">
        <v>3</v>
      </c>
      <c r="AA973" s="25" t="s">
        <v>3</v>
      </c>
      <c r="AB973" s="26" t="s">
        <v>4</v>
      </c>
      <c r="AC973" s="26" t="s">
        <v>5</v>
      </c>
      <c r="AD973" s="27" t="s">
        <v>6</v>
      </c>
      <c r="AE973" s="2"/>
      <c r="AF973" s="12"/>
      <c r="AG973" s="12"/>
      <c r="BK973" s="19"/>
      <c r="BL973" s="20"/>
    </row>
    <row r="974" spans="1:64" ht="11.45" customHeight="1" x14ac:dyDescent="0.2">
      <c r="J974" s="28"/>
      <c r="K974" s="28"/>
      <c r="L974" s="28"/>
      <c r="N974" s="29" t="s">
        <v>396</v>
      </c>
      <c r="Q974" s="274" t="s">
        <v>7</v>
      </c>
      <c r="R974" s="274"/>
      <c r="S974" s="275" t="s">
        <v>8</v>
      </c>
      <c r="T974" s="276">
        <v>1</v>
      </c>
      <c r="U974" s="244" t="str">
        <f>IF(AND(N975&lt;&gt;"",N976&lt;&gt;""),CONCATENATE(VLOOKUP(N975,[1]zawodnicy!$A$1:$E$65536,1,FALSE)," ",VLOOKUP(N975,[1]zawodnicy!$A$1:$E$65536,2,FALSE)," ",VLOOKUP(N975,[1]zawodnicy!$A$1:$E$65536,3,FALSE)," - ",VLOOKUP(N975,[1]zawodnicy!$A$1:$E$65536,4,FALSE)),"")</f>
        <v/>
      </c>
      <c r="V974" s="245"/>
      <c r="W974" s="246"/>
      <c r="X974" s="30"/>
      <c r="Y974" s="31" t="str">
        <f>IF(SUM(AO979:AP979)=0,"",AO979&amp;":"&amp;AP979)</f>
        <v>21:8</v>
      </c>
      <c r="Z974" s="32" t="str">
        <f>IF(SUM(AO977:AP977)=0,"",AO977&amp;":"&amp;AP977)</f>
        <v>21:9</v>
      </c>
      <c r="AA974" s="270" t="str">
        <f>IF(SUM(AY977:BB977)=0,"",BE977&amp;":"&amp;BF977)</f>
        <v>84:40</v>
      </c>
      <c r="AB974" s="271" t="str">
        <f>IF(SUM(AY977:BB977)=0,"",BG977&amp;":"&amp;BH977)</f>
        <v>4:0</v>
      </c>
      <c r="AC974" s="271" t="str">
        <f>IF(SUM(AY977:BB977)=0,"",BI977&amp;":"&amp;BJ977)</f>
        <v>2:0</v>
      </c>
      <c r="AD974" s="272">
        <f>IF(SUM(BI977:BI979)&gt;0,BK977,"")</f>
        <v>1</v>
      </c>
      <c r="AE974" s="2"/>
      <c r="AF974" s="12"/>
      <c r="AG974" s="12"/>
      <c r="AH974" s="14"/>
      <c r="AI974" s="273" t="s">
        <v>9</v>
      </c>
      <c r="AJ974" s="273"/>
      <c r="AK974" s="273"/>
      <c r="AL974" s="273"/>
      <c r="AM974" s="273"/>
      <c r="AN974" s="273"/>
      <c r="AO974" s="273" t="s">
        <v>10</v>
      </c>
      <c r="AP974" s="273"/>
      <c r="AQ974" s="273"/>
      <c r="AR974" s="273"/>
      <c r="AS974" s="273"/>
      <c r="AT974" s="273"/>
      <c r="BK974" s="19"/>
      <c r="BL974" s="20"/>
    </row>
    <row r="975" spans="1:64" ht="11.45" customHeight="1" thickBot="1" x14ac:dyDescent="0.25">
      <c r="I975" s="2" t="str">
        <f>"1"&amp;O973&amp;N974</f>
        <v>13pojedyncza chłopców Ż</v>
      </c>
      <c r="J975" s="10" t="str">
        <f>IF(AD974="","",IF(AD974=1,N975,IF(AD977=1,N978,IF(AD980=1,N981,""))))</f>
        <v>N5960</v>
      </c>
      <c r="K975" s="10">
        <f>IF(AD974="","",IF(AD974=1,N976,IF(AD977=1,N979,IF(AD980=1,N982,""))))</f>
        <v>0</v>
      </c>
      <c r="L975" s="10"/>
      <c r="N975" s="33" t="s">
        <v>401</v>
      </c>
      <c r="O975" s="34">
        <f>IF(O973&gt;0,(O973&amp;1)*1,"")</f>
        <v>31</v>
      </c>
      <c r="Q975" s="274"/>
      <c r="R975" s="274"/>
      <c r="S975" s="275"/>
      <c r="T975" s="242"/>
      <c r="U975" s="244" t="str">
        <f>IF(AND(N975&lt;&gt;"",N976=""),CONCATENATE(VLOOKUP(N975,[1]zawodnicy!$A$1:$E$65536,1,FALSE)," ",VLOOKUP(N975,[1]zawodnicy!$A$1:$E$65536,2,FALSE)," ",VLOOKUP(N975,[1]zawodnicy!$A$1:$E$65536,3,FALSE)," - ",VLOOKUP(N975,[1]zawodnicy!$A$1:$E$65536,4,FALSE)),"")</f>
        <v>N5960 Andrzej NICZYPORUK - AZSUW Warszawa</v>
      </c>
      <c r="V975" s="245"/>
      <c r="W975" s="246"/>
      <c r="X975" s="35"/>
      <c r="Y975" s="36" t="str">
        <f>IF(SUM(AQ979:AR979)=0,"",AQ979&amp;":"&amp;AR979)</f>
        <v>21:16</v>
      </c>
      <c r="Z975" s="37" t="str">
        <f>IF(SUM(AQ977:AR977)=0,"",AQ977&amp;":"&amp;AR977)</f>
        <v>21:7</v>
      </c>
      <c r="AA975" s="248"/>
      <c r="AB975" s="251"/>
      <c r="AC975" s="251"/>
      <c r="AD975" s="254"/>
      <c r="AE975" s="2"/>
      <c r="AF975" s="12"/>
      <c r="AG975" s="12"/>
      <c r="AH975" s="14"/>
      <c r="BE975" s="19">
        <f>SUM(BE977:BE979)</f>
        <v>198</v>
      </c>
      <c r="BF975" s="19">
        <f>SUM(BF977:BF979)</f>
        <v>198</v>
      </c>
      <c r="BG975" s="19">
        <f>SUM(BG977:BG979)</f>
        <v>6</v>
      </c>
      <c r="BH975" s="19">
        <f>SUM(BH977:BH979)</f>
        <v>6</v>
      </c>
      <c r="BK975" s="19"/>
      <c r="BL975" s="20"/>
    </row>
    <row r="976" spans="1:64" ht="11.45" customHeight="1" thickBot="1" x14ac:dyDescent="0.25">
      <c r="J976" s="10"/>
      <c r="K976" s="28"/>
      <c r="L976" s="28"/>
      <c r="N976" s="38"/>
      <c r="O976" s="28"/>
      <c r="P976" s="28"/>
      <c r="Q976" s="274"/>
      <c r="R976" s="274"/>
      <c r="S976" s="275"/>
      <c r="T976" s="261"/>
      <c r="U976" s="265" t="str">
        <f>IF(N976&lt;&gt;"",CONCATENATE(VLOOKUP(N976,[1]zawodnicy!$A$1:$E$65536,1,FALSE)," ",VLOOKUP(N976,[1]zawodnicy!$A$1:$E$65536,2,FALSE)," ",VLOOKUP(N976,[1]zawodnicy!$A$1:$E$65536,3,FALSE)," - ",VLOOKUP(N976,[1]zawodnicy!$A$1:$E$65536,4,FALSE)),"")</f>
        <v/>
      </c>
      <c r="V976" s="266"/>
      <c r="W976" s="267"/>
      <c r="X976" s="35"/>
      <c r="Y976" s="39" t="str">
        <f>IF(SUM(AS979:AT979)=0,"",AS979&amp;":"&amp;AT979)</f>
        <v/>
      </c>
      <c r="Z976" s="40" t="str">
        <f>IF(SUM(AS977:AT977)=0,"",AS977&amp;":"&amp;AT977)</f>
        <v/>
      </c>
      <c r="AA976" s="262"/>
      <c r="AB976" s="263"/>
      <c r="AC976" s="263"/>
      <c r="AD976" s="264"/>
      <c r="AE976" s="2"/>
      <c r="AF976" s="12"/>
      <c r="AG976" s="12"/>
      <c r="AH976" s="14"/>
      <c r="AI976" s="259" t="s">
        <v>12</v>
      </c>
      <c r="AJ976" s="269"/>
      <c r="AK976" s="268" t="s">
        <v>13</v>
      </c>
      <c r="AL976" s="269"/>
      <c r="AM976" s="268" t="s">
        <v>14</v>
      </c>
      <c r="AN976" s="260"/>
      <c r="AO976" s="259" t="s">
        <v>12</v>
      </c>
      <c r="AP976" s="269"/>
      <c r="AQ976" s="268" t="s">
        <v>13</v>
      </c>
      <c r="AR976" s="269"/>
      <c r="AS976" s="268" t="s">
        <v>14</v>
      </c>
      <c r="AT976" s="269"/>
      <c r="AU976" s="12"/>
      <c r="AV976" s="12"/>
      <c r="AW976" s="259">
        <v>1</v>
      </c>
      <c r="AX976" s="269"/>
      <c r="AY976" s="268">
        <v>2</v>
      </c>
      <c r="AZ976" s="269"/>
      <c r="BA976" s="268">
        <v>3</v>
      </c>
      <c r="BB976" s="260"/>
      <c r="BE976" s="259" t="s">
        <v>3</v>
      </c>
      <c r="BF976" s="260"/>
      <c r="BG976" s="259" t="s">
        <v>4</v>
      </c>
      <c r="BH976" s="260"/>
      <c r="BI976" s="259" t="s">
        <v>5</v>
      </c>
      <c r="BJ976" s="260"/>
      <c r="BK976" s="41" t="s">
        <v>6</v>
      </c>
      <c r="BL976" s="20"/>
    </row>
    <row r="977" spans="1:64" ht="11.45" customHeight="1" x14ac:dyDescent="0.2">
      <c r="A977" s="19">
        <f>S977</f>
        <v>259</v>
      </c>
      <c r="B977" s="2" t="str">
        <f>IF(N975="","",N975)</f>
        <v>N5960</v>
      </c>
      <c r="C977" s="2" t="str">
        <f>IF(N976="","",N976)</f>
        <v/>
      </c>
      <c r="D977" s="2" t="str">
        <f>IF(N981="","",N981)</f>
        <v>K5833</v>
      </c>
      <c r="E977" s="2" t="str">
        <f>IF(N982="","",N982)</f>
        <v/>
      </c>
      <c r="I977" s="2" t="str">
        <f>"2"&amp;O973&amp;N974</f>
        <v>23pojedyncza chłopców Ż</v>
      </c>
      <c r="J977" s="10" t="str">
        <f>IF(AD977="","",IF(AD974=2,N975,IF(AD977=2,N978,IF(AD980=2,N981,""))))</f>
        <v>X61</v>
      </c>
      <c r="K977" s="10">
        <f>IF(AD977="","",IF(AD974=2,N976,IF(AD977=2,N979,IF(AD980=2,N982,""))))</f>
        <v>0</v>
      </c>
      <c r="M977" s="42" t="str">
        <f>N974</f>
        <v>pojedyncza chłopców Ż</v>
      </c>
      <c r="O977" s="28"/>
      <c r="P977" s="28"/>
      <c r="Q977" s="43" t="str">
        <f>IF(AU977&gt;0,"",IF(A977=0,"",IF(VLOOKUP(A977,'[1]plan gier'!A$1:S$65536,19,FALSE)="","",VLOOKUP(A977,'[1]plan gier'!A$1:S$65536,19,FALSE))))</f>
        <v/>
      </c>
      <c r="R977" s="44" t="s">
        <v>15</v>
      </c>
      <c r="S977" s="45">
        <v>259</v>
      </c>
      <c r="T977" s="241">
        <v>2</v>
      </c>
      <c r="U977" s="244" t="str">
        <f>IF(AND(N978&lt;&gt;"",N979&lt;&gt;""),CONCATENATE(VLOOKUP(N978,[1]zawodnicy!$A$1:$E$65536,1,FALSE)," ",VLOOKUP(N978,[1]zawodnicy!$A$1:$E$65536,2,FALSE)," ",VLOOKUP(N978,[1]zawodnicy!$A$1:$E$65536,3,FALSE)," - ",VLOOKUP(N978,[1]zawodnicy!$A$1:$E$65536,4,FALSE)),"")</f>
        <v/>
      </c>
      <c r="V977" s="245"/>
      <c r="W977" s="246"/>
      <c r="X977" s="46" t="str">
        <f>IF(SUM(AO979:AP979)=0,"",AP979&amp;":"&amp;AO979)</f>
        <v>8:21</v>
      </c>
      <c r="Y977" s="47"/>
      <c r="Z977" s="48" t="str">
        <f>IF(SUM(AO978:AP978)=0,"",AO978&amp;":"&amp;AP978)</f>
        <v>21:18</v>
      </c>
      <c r="AA977" s="247" t="str">
        <f>IF(SUM(AW978:AX978,BA978:BB978)=0,"",BE978&amp;":"&amp;BF978)</f>
        <v>66:74</v>
      </c>
      <c r="AB977" s="250" t="str">
        <f>IF(SUM(AW978:AX978,BA978:BB978)=0,"",BG978&amp;":"&amp;BH978)</f>
        <v>2:2</v>
      </c>
      <c r="AC977" s="250" t="str">
        <f>IF(SUM(AW978:AX978,BA978:BB978)=0,"",BI978&amp;":"&amp;BJ978)</f>
        <v>1:1</v>
      </c>
      <c r="AD977" s="253">
        <f>IF(SUM(BI977:BI979)&gt;0,BK978,"")</f>
        <v>2</v>
      </c>
      <c r="AE977" s="2"/>
      <c r="AF977" s="12"/>
      <c r="AG977" s="12"/>
      <c r="AH977" s="44" t="s">
        <v>15</v>
      </c>
      <c r="AI977" s="49">
        <f>IF(ISBLANK(S977),"",VLOOKUP(S977,'[1]plan gier'!$X$1:$AN$65536,12,FALSE))</f>
        <v>21</v>
      </c>
      <c r="AJ977" s="50">
        <f>IF(ISBLANK(S977),"",VLOOKUP(S977,'[1]plan gier'!$X$1:$AN$65536,13,FALSE))</f>
        <v>9</v>
      </c>
      <c r="AK977" s="50">
        <f>IF(ISBLANK(S977),"",VLOOKUP(S977,'[1]plan gier'!$X$1:$AN$65536,14,FALSE))</f>
        <v>21</v>
      </c>
      <c r="AL977" s="50">
        <f>IF(ISBLANK(S977),"",VLOOKUP(S977,'[1]plan gier'!$X$1:$AN$65536,15,FALSE))</f>
        <v>7</v>
      </c>
      <c r="AM977" s="50">
        <f>IF(ISBLANK(S977),"",VLOOKUP(S977,'[1]plan gier'!$X$1:$AN$65536,16,FALSE))</f>
        <v>0</v>
      </c>
      <c r="AN977" s="50">
        <f>IF(ISBLANK(S977),"",VLOOKUP(S977,'[1]plan gier'!$X$1:$AN$65536,17,FALSE))</f>
        <v>0</v>
      </c>
      <c r="AO977" s="51">
        <f t="shared" ref="AO977:AT979" si="94">IF(AI977="",0,AI977)</f>
        <v>21</v>
      </c>
      <c r="AP977" s="52">
        <f t="shared" si="94"/>
        <v>9</v>
      </c>
      <c r="AQ977" s="53">
        <f t="shared" si="94"/>
        <v>21</v>
      </c>
      <c r="AR977" s="52">
        <f t="shared" si="94"/>
        <v>7</v>
      </c>
      <c r="AS977" s="53">
        <f t="shared" si="94"/>
        <v>0</v>
      </c>
      <c r="AT977" s="52">
        <f t="shared" si="94"/>
        <v>0</v>
      </c>
      <c r="AU977" s="54">
        <f>SUM(AO977:AT977)</f>
        <v>58</v>
      </c>
      <c r="AV977" s="13">
        <v>1</v>
      </c>
      <c r="AW977" s="55"/>
      <c r="AX977" s="56"/>
      <c r="AY977" s="50">
        <f>IF(AI979&gt;AJ979,1,0)+IF(AK979&gt;AL979,1,0)+IF(AM979&gt;AN979,1,0)</f>
        <v>2</v>
      </c>
      <c r="AZ977" s="50">
        <f>AW978</f>
        <v>0</v>
      </c>
      <c r="BA977" s="50">
        <f>IF(AI977&gt;AJ977,1,0)+IF(AK977&gt;AL977,1,0)+IF(AM977&gt;AN977,1,0)</f>
        <v>2</v>
      </c>
      <c r="BB977" s="57">
        <f>AW979</f>
        <v>0</v>
      </c>
      <c r="BE977" s="49">
        <f>AO977+AQ977+AS977+AO979+AQ979+AS979</f>
        <v>84</v>
      </c>
      <c r="BF977" s="57">
        <f>AP977+AR977+AT977+AP979+AR979+AT979</f>
        <v>40</v>
      </c>
      <c r="BG977" s="49">
        <f>AY977+BA977</f>
        <v>4</v>
      </c>
      <c r="BH977" s="57">
        <f>AZ977+BB977</f>
        <v>0</v>
      </c>
      <c r="BI977" s="49">
        <f>IF(AY977&gt;AZ977,1,0)+IF(BA977&gt;BB977,1,0)</f>
        <v>2</v>
      </c>
      <c r="BJ977" s="58">
        <f>IF(AZ977&gt;AY977,1,0)+IF(BB977&gt;BA977,1,0)</f>
        <v>0</v>
      </c>
      <c r="BK977" s="59">
        <f>IF(BI977+BJ977=0,"",IF(BL977=MAX(BL977:BL979),1,IF(BL977=MIN(BL977:BL979),3,2)))</f>
        <v>1</v>
      </c>
      <c r="BL977" s="60">
        <f>IF(BI977+BJ977&lt;&gt;0,BI977+1+(BG977-BH977)/100+(BE977-BF977)/100000+(BE977/BF977)/1000000,0)</f>
        <v>3.0404421000000004</v>
      </c>
    </row>
    <row r="978" spans="1:64" ht="11.45" customHeight="1" x14ac:dyDescent="0.2">
      <c r="A978" s="19">
        <f>S978</f>
        <v>301</v>
      </c>
      <c r="B978" s="2" t="str">
        <f>IF(N978="","",N978)</f>
        <v>X61</v>
      </c>
      <c r="C978" s="2" t="str">
        <f>IF(N979="","",N979)</f>
        <v/>
      </c>
      <c r="D978" s="2" t="str">
        <f>IF(N981="","",N981)</f>
        <v>K5833</v>
      </c>
      <c r="E978" s="2" t="str">
        <f>IF(N982="","",N982)</f>
        <v/>
      </c>
      <c r="J978" s="10"/>
      <c r="K978" s="19"/>
      <c r="M978" s="42" t="str">
        <f>N974</f>
        <v>pojedyncza chłopców Ż</v>
      </c>
      <c r="N978" s="33" t="s">
        <v>402</v>
      </c>
      <c r="O978" s="34">
        <f>IF(O973&gt;0,(O973&amp;2)*1,"")</f>
        <v>32</v>
      </c>
      <c r="Q978" s="43" t="str">
        <f>IF(AU978&gt;0,"",IF(A978=0,"",IF(VLOOKUP(A978,'[1]plan gier'!A$1:S$65536,19,FALSE)="","",VLOOKUP(A978,'[1]plan gier'!A$1:S$65536,19,FALSE))))</f>
        <v/>
      </c>
      <c r="R978" s="44" t="s">
        <v>17</v>
      </c>
      <c r="S978" s="45">
        <v>301</v>
      </c>
      <c r="T978" s="242"/>
      <c r="U978" s="244" t="str">
        <f>IF(AND(N978&lt;&gt;"",N979=""),CONCATENATE(VLOOKUP(N978,[1]zawodnicy!$A$1:$E$65536,1,FALSE)," ",VLOOKUP(N978,[1]zawodnicy!$A$1:$E$65536,2,FALSE)," ",VLOOKUP(N978,[1]zawodnicy!$A$1:$E$65536,3,FALSE)," - ",VLOOKUP(N978,[1]zawodnicy!$A$1:$E$65536,4,FALSE)),"")</f>
        <v>X61 Oleg KONEV - Vinnica Ukraina</v>
      </c>
      <c r="V978" s="245"/>
      <c r="W978" s="246"/>
      <c r="X978" s="61" t="str">
        <f>IF(SUM(AQ979:AR979)=0,"",AR979&amp;":"&amp;AQ979)</f>
        <v>16:21</v>
      </c>
      <c r="Y978" s="62"/>
      <c r="Z978" s="37" t="str">
        <f>IF(SUM(AQ978:AR978)=0,"",AQ978&amp;":"&amp;AR978)</f>
        <v>21:14</v>
      </c>
      <c r="AA978" s="248"/>
      <c r="AB978" s="251"/>
      <c r="AC978" s="251"/>
      <c r="AD978" s="254"/>
      <c r="AE978" s="2"/>
      <c r="AF978" s="12"/>
      <c r="AG978" s="12"/>
      <c r="AH978" s="44" t="s">
        <v>17</v>
      </c>
      <c r="AI978" s="63">
        <f>IF(ISBLANK(S978),"",VLOOKUP(S978,'[1]plan gier'!$X$1:$AN$65536,12,FALSE))</f>
        <v>21</v>
      </c>
      <c r="AJ978" s="64">
        <f>IF(ISBLANK(S978),"",VLOOKUP(S978,'[1]plan gier'!$X$1:$AN$65536,13,FALSE))</f>
        <v>18</v>
      </c>
      <c r="AK978" s="64">
        <f>IF(ISBLANK(S978),"",VLOOKUP(S978,'[1]plan gier'!$X$1:$AN$65536,14,FALSE))</f>
        <v>21</v>
      </c>
      <c r="AL978" s="64">
        <f>IF(ISBLANK(S978),"",VLOOKUP(S978,'[1]plan gier'!$X$1:$AN$65536,15,FALSE))</f>
        <v>14</v>
      </c>
      <c r="AM978" s="64">
        <f>IF(ISBLANK(S978),"",VLOOKUP(S978,'[1]plan gier'!$X$1:$AN$65536,16,FALSE))</f>
        <v>0</v>
      </c>
      <c r="AN978" s="64">
        <f>IF(ISBLANK(S978),"",VLOOKUP(S978,'[1]plan gier'!$X$1:$AN$65536,17,FALSE))</f>
        <v>0</v>
      </c>
      <c r="AO978" s="65">
        <f t="shared" si="94"/>
        <v>21</v>
      </c>
      <c r="AP978" s="64">
        <f t="shared" si="94"/>
        <v>18</v>
      </c>
      <c r="AQ978" s="66">
        <f t="shared" si="94"/>
        <v>21</v>
      </c>
      <c r="AR978" s="64">
        <f t="shared" si="94"/>
        <v>14</v>
      </c>
      <c r="AS978" s="66">
        <f t="shared" si="94"/>
        <v>0</v>
      </c>
      <c r="AT978" s="64">
        <f t="shared" si="94"/>
        <v>0</v>
      </c>
      <c r="AU978" s="54">
        <f>SUM(AO978:AT978)</f>
        <v>74</v>
      </c>
      <c r="AV978" s="13">
        <v>2</v>
      </c>
      <c r="AW978" s="63">
        <f>IF(AI979&lt;AJ979,1,0)+IF(AK979&lt;AL979,1,0)+IF(AM979&lt;AN979,1,0)</f>
        <v>0</v>
      </c>
      <c r="AX978" s="64">
        <f>AY977</f>
        <v>2</v>
      </c>
      <c r="AY978" s="67"/>
      <c r="AZ978" s="68"/>
      <c r="BA978" s="64">
        <f>IF(AI978&gt;AJ978,1,0)+IF(AK978&gt;AL978,1,0)+IF(AM978&gt;AN978,1,0)</f>
        <v>2</v>
      </c>
      <c r="BB978" s="69">
        <f>AY979</f>
        <v>0</v>
      </c>
      <c r="BE978" s="63">
        <f>AO978+AQ978+AS978+AP979+AR979+AT979</f>
        <v>66</v>
      </c>
      <c r="BF978" s="69">
        <f>AP978+AR978+AT978+AO979+AQ979+AS979</f>
        <v>74</v>
      </c>
      <c r="BG978" s="63">
        <f>AW978+BA978</f>
        <v>2</v>
      </c>
      <c r="BH978" s="69">
        <f>AX978+BB978</f>
        <v>2</v>
      </c>
      <c r="BI978" s="63">
        <f>IF(AW978&gt;AX978,1,0)+IF(BA978&gt;BB978,1,0)</f>
        <v>1</v>
      </c>
      <c r="BJ978" s="70">
        <f>IF(AX978&gt;AW978,1,0)+IF(BB978&gt;BA978,1,0)</f>
        <v>1</v>
      </c>
      <c r="BK978" s="71">
        <f>IF(BI978+BJ978=0,"",IF(BL978=MAX(BL977:BL979),1,IF(BL978=MIN(BL977:BL979),3,2)))</f>
        <v>2</v>
      </c>
      <c r="BL978" s="60">
        <f>IF(BI978+BJ978&lt;&gt;0,BI978+1+(BG978-BH978)/100+(BE978-BF978)/100000+(BE978/BF978)/1000000,0)</f>
        <v>1.9999208918918918</v>
      </c>
    </row>
    <row r="979" spans="1:64" ht="11.45" customHeight="1" thickBot="1" x14ac:dyDescent="0.25">
      <c r="A979" s="19">
        <f>S979</f>
        <v>359</v>
      </c>
      <c r="B979" s="2" t="str">
        <f>IF(N975="","",N975)</f>
        <v>N5960</v>
      </c>
      <c r="C979" s="2" t="str">
        <f>IF(N976="","",N976)</f>
        <v/>
      </c>
      <c r="D979" s="2" t="str">
        <f>IF(N978="","",N978)</f>
        <v>X61</v>
      </c>
      <c r="E979" s="2" t="str">
        <f>IF(N979="","",N979)</f>
        <v/>
      </c>
      <c r="I979" s="2" t="str">
        <f>"3"&amp;O973&amp;N974</f>
        <v>33pojedyncza chłopców Ż</v>
      </c>
      <c r="J979" s="10" t="str">
        <f>IF(AD980="","",IF(AD974=3,N975,IF(AD977=3,N978,IF(AD980=3,N981,""))))</f>
        <v>K5833</v>
      </c>
      <c r="K979" s="10">
        <f>IF(AD980="","",IF(AD974=3,N976,IF(AD977=3,N979,IF(AD980=3,N982,""))))</f>
        <v>0</v>
      </c>
      <c r="M979" s="42" t="str">
        <f>N974</f>
        <v>pojedyncza chłopców Ż</v>
      </c>
      <c r="N979" s="38"/>
      <c r="O979" s="28"/>
      <c r="P979" s="28"/>
      <c r="Q979" s="43" t="str">
        <f>IF(AU979&gt;0,"",IF(A979=0,"",IF(VLOOKUP(A979,'[1]plan gier'!A$1:S$65536,19,FALSE)="","",VLOOKUP(A979,'[1]plan gier'!A$1:S$65536,19,FALSE))))</f>
        <v/>
      </c>
      <c r="R979" s="72" t="s">
        <v>18</v>
      </c>
      <c r="S979" s="45">
        <v>359</v>
      </c>
      <c r="T979" s="261"/>
      <c r="U979" s="265" t="str">
        <f>IF(N979&lt;&gt;"",CONCATENATE(VLOOKUP(N979,[1]zawodnicy!$A$1:$E$65536,1,FALSE)," ",VLOOKUP(N979,[1]zawodnicy!$A$1:$E$65536,2,FALSE)," ",VLOOKUP(N979,[1]zawodnicy!$A$1:$E$65536,3,FALSE)," - ",VLOOKUP(N979,[1]zawodnicy!$A$1:$E$65536,4,FALSE)),"")</f>
        <v/>
      </c>
      <c r="V979" s="266"/>
      <c r="W979" s="267"/>
      <c r="X979" s="73" t="str">
        <f>IF(SUM(AS979:AT979)=0,"",AT979&amp;":"&amp;AS979)</f>
        <v/>
      </c>
      <c r="Y979" s="62"/>
      <c r="Z979" s="40" t="str">
        <f>IF(SUM(AS978:AT978)=0,"",AS978&amp;":"&amp;AT978)</f>
        <v/>
      </c>
      <c r="AA979" s="262"/>
      <c r="AB979" s="263"/>
      <c r="AC979" s="263"/>
      <c r="AD979" s="264"/>
      <c r="AE979" s="2"/>
      <c r="AF979" s="12"/>
      <c r="AG979" s="12"/>
      <c r="AH979" s="72" t="s">
        <v>18</v>
      </c>
      <c r="AI979" s="74">
        <f>IF(ISBLANK(S979),"",VLOOKUP(S979,'[1]plan gier'!$X$1:$AN$65536,12,FALSE))</f>
        <v>21</v>
      </c>
      <c r="AJ979" s="75">
        <f>IF(ISBLANK(S979),"",VLOOKUP(S979,'[1]plan gier'!$X$1:$AN$65536,13,FALSE))</f>
        <v>8</v>
      </c>
      <c r="AK979" s="75">
        <f>IF(ISBLANK(S979),"",VLOOKUP(S979,'[1]plan gier'!$X$1:$AN$65536,14,FALSE))</f>
        <v>21</v>
      </c>
      <c r="AL979" s="75">
        <f>IF(ISBLANK(S979),"",VLOOKUP(S979,'[1]plan gier'!$X$1:$AN$65536,15,FALSE))</f>
        <v>16</v>
      </c>
      <c r="AM979" s="75">
        <f>IF(ISBLANK(S979),"",VLOOKUP(S979,'[1]plan gier'!$X$1:$AN$65536,16,FALSE))</f>
        <v>0</v>
      </c>
      <c r="AN979" s="75">
        <f>IF(ISBLANK(S979),"",VLOOKUP(S979,'[1]plan gier'!$X$1:$AN$65536,17,FALSE))</f>
        <v>0</v>
      </c>
      <c r="AO979" s="76">
        <f t="shared" si="94"/>
        <v>21</v>
      </c>
      <c r="AP979" s="75">
        <f t="shared" si="94"/>
        <v>8</v>
      </c>
      <c r="AQ979" s="77">
        <f t="shared" si="94"/>
        <v>21</v>
      </c>
      <c r="AR979" s="75">
        <f t="shared" si="94"/>
        <v>16</v>
      </c>
      <c r="AS979" s="77">
        <f t="shared" si="94"/>
        <v>0</v>
      </c>
      <c r="AT979" s="75">
        <f t="shared" si="94"/>
        <v>0</v>
      </c>
      <c r="AU979" s="54">
        <f>SUM(AO979:AT979)</f>
        <v>66</v>
      </c>
      <c r="AV979" s="13">
        <v>3</v>
      </c>
      <c r="AW979" s="74">
        <f>IF(AI977&lt;AJ977,1,0)+IF(AK977&lt;AL977,1,0)+IF(AM977&lt;AN977,1,0)</f>
        <v>0</v>
      </c>
      <c r="AX979" s="75">
        <f>BA977</f>
        <v>2</v>
      </c>
      <c r="AY979" s="75">
        <f>IF(AI978&lt;AJ978,1,0)+IF(AK978&lt;AL978,1,0)+IF(AM978&lt;AN978,1,0)</f>
        <v>0</v>
      </c>
      <c r="AZ979" s="75">
        <f>BA978</f>
        <v>2</v>
      </c>
      <c r="BA979" s="78"/>
      <c r="BB979" s="79"/>
      <c r="BE979" s="74">
        <f>AP977+AR977+AT977+AP978+AR978+AT978</f>
        <v>48</v>
      </c>
      <c r="BF979" s="80">
        <f>AO977+AQ977+AS977+AO978+AQ978+AS978</f>
        <v>84</v>
      </c>
      <c r="BG979" s="74">
        <f>AW979+AY979</f>
        <v>0</v>
      </c>
      <c r="BH979" s="80">
        <f>AX979+AZ979</f>
        <v>4</v>
      </c>
      <c r="BI979" s="74">
        <f>IF(AW979&gt;AX979,1,0)+IF(AY979&gt;AZ979,1,0)</f>
        <v>0</v>
      </c>
      <c r="BJ979" s="81">
        <f>IF(AX979&gt;AW979,1,0)+IF(AZ979&gt;AY979,1,0)</f>
        <v>2</v>
      </c>
      <c r="BK979" s="82">
        <f>IF(BI979+BJ979=0,"",IF(BL979=MAX(BL977:BL979),1,IF(BL979=MIN(BL977:BL979),3,2)))</f>
        <v>3</v>
      </c>
      <c r="BL979" s="60">
        <f>IF(BI979+BJ979&lt;&gt;0,BI979+1+(BG979-BH979)/100+(BE979-BF979)/100000+(BE979/BF979)/1000000,0)</f>
        <v>0.9596405714285714</v>
      </c>
    </row>
    <row r="980" spans="1:64" ht="11.45" customHeight="1" x14ac:dyDescent="0.2">
      <c r="A980" s="2"/>
      <c r="J980" s="28"/>
      <c r="K980" s="28"/>
      <c r="L980" s="28"/>
      <c r="O980" s="28"/>
      <c r="P980" s="28"/>
      <c r="Q980" s="2"/>
      <c r="R980" s="2"/>
      <c r="S980" s="2"/>
      <c r="T980" s="241">
        <v>3</v>
      </c>
      <c r="U980" s="244" t="str">
        <f>IF(AND(N981&lt;&gt;"",N982&lt;&gt;""),CONCATENATE(VLOOKUP(N981,[1]zawodnicy!$A$1:$E$65536,1,FALSE)," ",VLOOKUP(N981,[1]zawodnicy!$A$1:$E$65536,2,FALSE)," ",VLOOKUP(N981,[1]zawodnicy!$A$1:$E$65536,3,FALSE)," - ",VLOOKUP(N981,[1]zawodnicy!$A$1:$E$65536,4,FALSE)),"")</f>
        <v/>
      </c>
      <c r="V980" s="245"/>
      <c r="W980" s="246"/>
      <c r="X980" s="46" t="str">
        <f>IF(SUM(AO977:AP977)=0,"",AP977&amp;":"&amp;AO977)</f>
        <v>9:21</v>
      </c>
      <c r="Y980" s="83" t="str">
        <f>IF(SUM(AO978:AP978)=0,"",AP978&amp;":"&amp;AO978)</f>
        <v>18:21</v>
      </c>
      <c r="Z980" s="84"/>
      <c r="AA980" s="247" t="str">
        <f>IF(SUM(AW979:AZ979)=0,"",BE979&amp;":"&amp;BF979)</f>
        <v>48:84</v>
      </c>
      <c r="AB980" s="250" t="str">
        <f>IF(SUM(AW979:AZ979)=0,"",BG979&amp;":"&amp;BH979)</f>
        <v>0:4</v>
      </c>
      <c r="AC980" s="250" t="str">
        <f>IF(SUM(AW979:AZ979)=0,"",BI979&amp;":"&amp;BJ979)</f>
        <v>0:2</v>
      </c>
      <c r="AD980" s="253">
        <f>IF(SUM(BI977:BI979)&gt;0,BK979,"")</f>
        <v>3</v>
      </c>
      <c r="AE980" s="2"/>
      <c r="AF980" s="12"/>
      <c r="AG980" s="12"/>
      <c r="BE980" s="19">
        <f>SUM(BE977:BE979)</f>
        <v>198</v>
      </c>
      <c r="BF980" s="19">
        <f>SUM(BF977:BF979)</f>
        <v>198</v>
      </c>
      <c r="BG980" s="19">
        <f>SUM(BG977:BG979)</f>
        <v>6</v>
      </c>
      <c r="BH980" s="19">
        <f>SUM(BH977:BH979)</f>
        <v>6</v>
      </c>
      <c r="BK980" s="19"/>
      <c r="BL980" s="20"/>
    </row>
    <row r="981" spans="1:64" ht="11.45" customHeight="1" x14ac:dyDescent="0.2">
      <c r="A981" s="19"/>
      <c r="J981" s="19"/>
      <c r="K981" s="19"/>
      <c r="L981" s="19"/>
      <c r="N981" s="33" t="s">
        <v>403</v>
      </c>
      <c r="O981" s="34">
        <f>IF(O973&gt;0,(O973&amp;3)*1,"")</f>
        <v>33</v>
      </c>
      <c r="Q981" s="85"/>
      <c r="R981" s="85"/>
      <c r="S981" s="85"/>
      <c r="T981" s="242"/>
      <c r="U981" s="244" t="str">
        <f>IF(AND(N981&lt;&gt;"",N982=""),CONCATENATE(VLOOKUP(N981,[1]zawodnicy!$A$1:$E$65536,1,FALSE)," ",VLOOKUP(N981,[1]zawodnicy!$A$1:$E$65536,2,FALSE)," ",VLOOKUP(N981,[1]zawodnicy!$A$1:$E$65536,3,FALSE)," - ",VLOOKUP(N981,[1]zawodnicy!$A$1:$E$65536,4,FALSE)),"")</f>
        <v>K5833 Natan KUBAS - UKS Hubal Białystok</v>
      </c>
      <c r="V981" s="245"/>
      <c r="W981" s="246"/>
      <c r="X981" s="61" t="str">
        <f>IF(SUM(AQ977:AR977)=0,"",AR977&amp;":"&amp;AQ977)</f>
        <v>7:21</v>
      </c>
      <c r="Y981" s="36" t="str">
        <f>IF(SUM(AQ978:AR978)=0,"",AR978&amp;":"&amp;AQ978)</f>
        <v>14:21</v>
      </c>
      <c r="Z981" s="86"/>
      <c r="AA981" s="248"/>
      <c r="AB981" s="251"/>
      <c r="AC981" s="251"/>
      <c r="AD981" s="254"/>
      <c r="AE981" s="2"/>
      <c r="AF981" s="12"/>
      <c r="AG981" s="1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row>
    <row r="982" spans="1:64" ht="11.45" customHeight="1" thickBot="1" x14ac:dyDescent="0.25">
      <c r="A982" s="2"/>
      <c r="J982" s="28"/>
      <c r="K982" s="28"/>
      <c r="L982" s="28"/>
      <c r="N982" s="38"/>
      <c r="O982" s="28"/>
      <c r="P982" s="28"/>
      <c r="Q982" s="2"/>
      <c r="R982" s="2"/>
      <c r="S982" s="2"/>
      <c r="T982" s="243"/>
      <c r="U982" s="256" t="str">
        <f>IF(N982&lt;&gt;"",CONCATENATE(VLOOKUP(N982,[1]zawodnicy!$A$1:$E$65536,1,FALSE)," ",VLOOKUP(N982,[1]zawodnicy!$A$1:$E$65536,2,FALSE)," ",VLOOKUP(N982,[1]zawodnicy!$A$1:$E$65536,3,FALSE)," - ",VLOOKUP(N982,[1]zawodnicy!$A$1:$E$65536,4,FALSE)),"")</f>
        <v/>
      </c>
      <c r="V982" s="257"/>
      <c r="W982" s="258"/>
      <c r="X982" s="87" t="str">
        <f>IF(SUM(AS977:AT977)=0,"",AT977&amp;":"&amp;AS977)</f>
        <v/>
      </c>
      <c r="Y982" s="88" t="str">
        <f>IF(SUM(AS978:AT978)=0,"",AT978&amp;":"&amp;AS978)</f>
        <v/>
      </c>
      <c r="Z982" s="89"/>
      <c r="AA982" s="249"/>
      <c r="AB982" s="252"/>
      <c r="AC982" s="252"/>
      <c r="AD982" s="255"/>
      <c r="AE982" s="10"/>
      <c r="AF982" s="12"/>
      <c r="AG982" s="1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row>
    <row r="983" spans="1:64" s="19" customFormat="1" ht="5.0999999999999996" customHeight="1" thickBot="1" x14ac:dyDescent="0.25">
      <c r="M983" s="90"/>
      <c r="O983" s="90"/>
      <c r="P983" s="90"/>
      <c r="Q983" s="91"/>
      <c r="R983" s="91"/>
      <c r="S983" s="91"/>
      <c r="T983" s="91"/>
      <c r="U983" s="5"/>
      <c r="V983" s="5"/>
      <c r="W983" s="5"/>
      <c r="AA983" s="92"/>
      <c r="AB983" s="91"/>
      <c r="AC983" s="91"/>
      <c r="AD983" s="91"/>
      <c r="AE983" s="91"/>
      <c r="AF983" s="91"/>
      <c r="AI983" s="93"/>
      <c r="AJ983" s="94"/>
      <c r="AK983" s="94"/>
    </row>
    <row r="984" spans="1:64" ht="11.45" customHeight="1" thickBot="1" x14ac:dyDescent="0.25">
      <c r="N984" s="11"/>
      <c r="O984" s="21">
        <v>4</v>
      </c>
      <c r="Q984" s="277" t="str">
        <f>"Grupa "&amp;O984&amp;"."</f>
        <v>Grupa 4.</v>
      </c>
      <c r="R984" s="277"/>
      <c r="S984" s="277"/>
      <c r="T984" s="22" t="s">
        <v>1</v>
      </c>
      <c r="U984" s="278" t="s">
        <v>2</v>
      </c>
      <c r="V984" s="279"/>
      <c r="W984" s="280"/>
      <c r="X984" s="22">
        <v>1</v>
      </c>
      <c r="Y984" s="23">
        <v>2</v>
      </c>
      <c r="Z984" s="24">
        <v>3</v>
      </c>
      <c r="AA984" s="25" t="s">
        <v>3</v>
      </c>
      <c r="AB984" s="26" t="s">
        <v>4</v>
      </c>
      <c r="AC984" s="26" t="s">
        <v>5</v>
      </c>
      <c r="AD984" s="27" t="s">
        <v>6</v>
      </c>
      <c r="AE984" s="2"/>
      <c r="AF984" s="12"/>
      <c r="AG984" s="12"/>
      <c r="BK984" s="19"/>
      <c r="BL984" s="20"/>
    </row>
    <row r="985" spans="1:64" ht="11.45" customHeight="1" x14ac:dyDescent="0.2">
      <c r="J985" s="28"/>
      <c r="K985" s="28"/>
      <c r="L985" s="28"/>
      <c r="N985" s="29" t="s">
        <v>396</v>
      </c>
      <c r="Q985" s="274" t="s">
        <v>7</v>
      </c>
      <c r="R985" s="274"/>
      <c r="S985" s="275" t="s">
        <v>8</v>
      </c>
      <c r="T985" s="276">
        <v>1</v>
      </c>
      <c r="U985" s="244" t="str">
        <f>IF(AND(N986&lt;&gt;"",N987&lt;&gt;""),CONCATENATE(VLOOKUP(N986,[1]zawodnicy!$A$1:$E$65536,1,FALSE)," ",VLOOKUP(N986,[1]zawodnicy!$A$1:$E$65536,2,FALSE)," ",VLOOKUP(N986,[1]zawodnicy!$A$1:$E$65536,3,FALSE)," - ",VLOOKUP(N986,[1]zawodnicy!$A$1:$E$65536,4,FALSE)),"")</f>
        <v/>
      </c>
      <c r="V985" s="245"/>
      <c r="W985" s="246"/>
      <c r="X985" s="30"/>
      <c r="Y985" s="31" t="str">
        <f>IF(SUM(AO990:AP990)=0,"",AO990&amp;":"&amp;AP990)</f>
        <v>21:8</v>
      </c>
      <c r="Z985" s="32" t="str">
        <f>IF(SUM(AO988:AP988)=0,"",AO988&amp;":"&amp;AP988)</f>
        <v>21:5</v>
      </c>
      <c r="AA985" s="270" t="str">
        <f>IF(SUM(AY988:BB988)=0,"",BE988&amp;":"&amp;BF988)</f>
        <v>84:22</v>
      </c>
      <c r="AB985" s="271" t="str">
        <f>IF(SUM(AY988:BB988)=0,"",BG988&amp;":"&amp;BH988)</f>
        <v>4:0</v>
      </c>
      <c r="AC985" s="271" t="str">
        <f>IF(SUM(AY988:BB988)=0,"",BI988&amp;":"&amp;BJ988)</f>
        <v>2:0</v>
      </c>
      <c r="AD985" s="272">
        <f>IF(SUM(BI988:BI990)&gt;0,BK988,"")</f>
        <v>1</v>
      </c>
      <c r="AE985" s="2"/>
      <c r="AF985" s="12"/>
      <c r="AG985" s="12"/>
      <c r="AH985" s="14"/>
      <c r="AI985" s="273" t="s">
        <v>9</v>
      </c>
      <c r="AJ985" s="273"/>
      <c r="AK985" s="273"/>
      <c r="AL985" s="273"/>
      <c r="AM985" s="273"/>
      <c r="AN985" s="273"/>
      <c r="AO985" s="273" t="s">
        <v>10</v>
      </c>
      <c r="AP985" s="273"/>
      <c r="AQ985" s="273"/>
      <c r="AR985" s="273"/>
      <c r="AS985" s="273"/>
      <c r="AT985" s="273"/>
      <c r="BK985" s="19"/>
      <c r="BL985" s="20"/>
    </row>
    <row r="986" spans="1:64" ht="11.45" customHeight="1" thickBot="1" x14ac:dyDescent="0.25">
      <c r="I986" s="2" t="str">
        <f>"1"&amp;O984&amp;N985</f>
        <v>14pojedyncza chłopców Ż</v>
      </c>
      <c r="J986" s="10" t="str">
        <f>IF(AD985="","",IF(AD985=1,N986,IF(AD988=1,N989,IF(AD991=1,N992,""))))</f>
        <v>M5584</v>
      </c>
      <c r="K986" s="10">
        <f>IF(AD985="","",IF(AD985=1,N987,IF(AD988=1,N990,IF(AD991=1,N993,""))))</f>
        <v>0</v>
      </c>
      <c r="L986" s="10"/>
      <c r="N986" s="33" t="s">
        <v>338</v>
      </c>
      <c r="O986" s="34">
        <f>IF(O984&gt;0,(O984&amp;1)*1,"")</f>
        <v>41</v>
      </c>
      <c r="Q986" s="274"/>
      <c r="R986" s="274"/>
      <c r="S986" s="275"/>
      <c r="T986" s="242"/>
      <c r="U986" s="244" t="str">
        <f>IF(AND(N986&lt;&gt;"",N987=""),CONCATENATE(VLOOKUP(N986,[1]zawodnicy!$A$1:$E$65536,1,FALSE)," ",VLOOKUP(N986,[1]zawodnicy!$A$1:$E$65536,2,FALSE)," ",VLOOKUP(N986,[1]zawodnicy!$A$1:$E$65536,3,FALSE)," - ",VLOOKUP(N986,[1]zawodnicy!$A$1:$E$65536,4,FALSE)),"")</f>
        <v>M5584 Jakub MAZUR - LKS Technik Głubczyce</v>
      </c>
      <c r="V986" s="245"/>
      <c r="W986" s="246"/>
      <c r="X986" s="35"/>
      <c r="Y986" s="36" t="str">
        <f>IF(SUM(AQ990:AR990)=0,"",AQ990&amp;":"&amp;AR990)</f>
        <v>21:5</v>
      </c>
      <c r="Z986" s="37" t="str">
        <f>IF(SUM(AQ988:AR988)=0,"",AQ988&amp;":"&amp;AR988)</f>
        <v>21:4</v>
      </c>
      <c r="AA986" s="248"/>
      <c r="AB986" s="251"/>
      <c r="AC986" s="251"/>
      <c r="AD986" s="254"/>
      <c r="AE986" s="2"/>
      <c r="AF986" s="12"/>
      <c r="AG986" s="12"/>
      <c r="AH986" s="14"/>
      <c r="BE986" s="19">
        <f>SUM(BE988:BE990)</f>
        <v>158</v>
      </c>
      <c r="BF986" s="19">
        <f>SUM(BF988:BF990)</f>
        <v>158</v>
      </c>
      <c r="BG986" s="19">
        <f>SUM(BG988:BG990)</f>
        <v>6</v>
      </c>
      <c r="BH986" s="19">
        <f>SUM(BH988:BH990)</f>
        <v>6</v>
      </c>
      <c r="BK986" s="19"/>
      <c r="BL986" s="20"/>
    </row>
    <row r="987" spans="1:64" ht="11.45" customHeight="1" thickBot="1" x14ac:dyDescent="0.25">
      <c r="J987" s="10"/>
      <c r="K987" s="28"/>
      <c r="L987" s="28"/>
      <c r="N987" s="38"/>
      <c r="O987" s="28"/>
      <c r="P987" s="28"/>
      <c r="Q987" s="274"/>
      <c r="R987" s="274"/>
      <c r="S987" s="275"/>
      <c r="T987" s="261"/>
      <c r="U987" s="265" t="str">
        <f>IF(N987&lt;&gt;"",CONCATENATE(VLOOKUP(N987,[1]zawodnicy!$A$1:$E$65536,1,FALSE)," ",VLOOKUP(N987,[1]zawodnicy!$A$1:$E$65536,2,FALSE)," ",VLOOKUP(N987,[1]zawodnicy!$A$1:$E$65536,3,FALSE)," - ",VLOOKUP(N987,[1]zawodnicy!$A$1:$E$65536,4,FALSE)),"")</f>
        <v/>
      </c>
      <c r="V987" s="266"/>
      <c r="W987" s="267"/>
      <c r="X987" s="35"/>
      <c r="Y987" s="39" t="str">
        <f>IF(SUM(AS990:AT990)=0,"",AS990&amp;":"&amp;AT990)</f>
        <v/>
      </c>
      <c r="Z987" s="40" t="str">
        <f>IF(SUM(AS988:AT988)=0,"",AS988&amp;":"&amp;AT988)</f>
        <v/>
      </c>
      <c r="AA987" s="262"/>
      <c r="AB987" s="263"/>
      <c r="AC987" s="263"/>
      <c r="AD987" s="264"/>
      <c r="AE987" s="2"/>
      <c r="AF987" s="12"/>
      <c r="AG987" s="12"/>
      <c r="AH987" s="14"/>
      <c r="AI987" s="259" t="s">
        <v>12</v>
      </c>
      <c r="AJ987" s="269"/>
      <c r="AK987" s="268" t="s">
        <v>13</v>
      </c>
      <c r="AL987" s="269"/>
      <c r="AM987" s="268" t="s">
        <v>14</v>
      </c>
      <c r="AN987" s="260"/>
      <c r="AO987" s="259" t="s">
        <v>12</v>
      </c>
      <c r="AP987" s="269"/>
      <c r="AQ987" s="268" t="s">
        <v>13</v>
      </c>
      <c r="AR987" s="269"/>
      <c r="AS987" s="268" t="s">
        <v>14</v>
      </c>
      <c r="AT987" s="269"/>
      <c r="AU987" s="12"/>
      <c r="AV987" s="12"/>
      <c r="AW987" s="259">
        <v>1</v>
      </c>
      <c r="AX987" s="269"/>
      <c r="AY987" s="268">
        <v>2</v>
      </c>
      <c r="AZ987" s="269"/>
      <c r="BA987" s="268">
        <v>3</v>
      </c>
      <c r="BB987" s="260"/>
      <c r="BE987" s="259" t="s">
        <v>3</v>
      </c>
      <c r="BF987" s="260"/>
      <c r="BG987" s="259" t="s">
        <v>4</v>
      </c>
      <c r="BH987" s="260"/>
      <c r="BI987" s="259" t="s">
        <v>5</v>
      </c>
      <c r="BJ987" s="260"/>
      <c r="BK987" s="41" t="s">
        <v>6</v>
      </c>
      <c r="BL987" s="20"/>
    </row>
    <row r="988" spans="1:64" ht="11.45" customHeight="1" x14ac:dyDescent="0.2">
      <c r="A988" s="19">
        <f>S988</f>
        <v>260</v>
      </c>
      <c r="B988" s="2" t="str">
        <f>IF(N986="","",N986)</f>
        <v>M5584</v>
      </c>
      <c r="C988" s="2" t="str">
        <f>IF(N987="","",N987)</f>
        <v/>
      </c>
      <c r="D988" s="2" t="str">
        <f>IF(N992="","",N992)</f>
        <v>X53</v>
      </c>
      <c r="E988" s="2" t="str">
        <f>IF(N993="","",N993)</f>
        <v/>
      </c>
      <c r="I988" s="2" t="str">
        <f>"2"&amp;O984&amp;N985</f>
        <v>24pojedyncza chłopców Ż</v>
      </c>
      <c r="J988" s="10" t="str">
        <f>IF(AD988="","",IF(AD985=2,N986,IF(AD988=2,N989,IF(AD991=2,N992,""))))</f>
        <v>M5942</v>
      </c>
      <c r="K988" s="10">
        <f>IF(AD988="","",IF(AD985=2,N987,IF(AD988=2,N990,IF(AD991=2,N993,""))))</f>
        <v>0</v>
      </c>
      <c r="M988" s="42" t="str">
        <f>N985</f>
        <v>pojedyncza chłopców Ż</v>
      </c>
      <c r="O988" s="28"/>
      <c r="P988" s="28"/>
      <c r="Q988" s="43" t="str">
        <f>IF(AU988&gt;0,"",IF(A988=0,"",IF(VLOOKUP(A988,'[1]plan gier'!A$1:S$65536,19,FALSE)="","",VLOOKUP(A988,'[1]plan gier'!A$1:S$65536,19,FALSE))))</f>
        <v/>
      </c>
      <c r="R988" s="44" t="s">
        <v>15</v>
      </c>
      <c r="S988" s="45">
        <v>260</v>
      </c>
      <c r="T988" s="241">
        <v>2</v>
      </c>
      <c r="U988" s="244" t="str">
        <f>IF(AND(N989&lt;&gt;"",N990&lt;&gt;""),CONCATENATE(VLOOKUP(N989,[1]zawodnicy!$A$1:$E$65536,1,FALSE)," ",VLOOKUP(N989,[1]zawodnicy!$A$1:$E$65536,2,FALSE)," ",VLOOKUP(N989,[1]zawodnicy!$A$1:$E$65536,3,FALSE)," - ",VLOOKUP(N989,[1]zawodnicy!$A$1:$E$65536,4,FALSE)),"")</f>
        <v/>
      </c>
      <c r="V988" s="245"/>
      <c r="W988" s="246"/>
      <c r="X988" s="46" t="str">
        <f>IF(SUM(AO990:AP990)=0,"",AP990&amp;":"&amp;AO990)</f>
        <v>8:21</v>
      </c>
      <c r="Y988" s="47"/>
      <c r="Z988" s="48" t="str">
        <f>IF(SUM(AO989:AP989)=0,"",AO989&amp;":"&amp;AP989)</f>
        <v>21:6</v>
      </c>
      <c r="AA988" s="247" t="str">
        <f>IF(SUM(AW989:AX989,BA989:BB989)=0,"",BE989&amp;":"&amp;BF989)</f>
        <v>55:52</v>
      </c>
      <c r="AB988" s="250" t="str">
        <f>IF(SUM(AW989:AX989,BA989:BB989)=0,"",BG989&amp;":"&amp;BH989)</f>
        <v>2:2</v>
      </c>
      <c r="AC988" s="250" t="str">
        <f>IF(SUM(AW989:AX989,BA989:BB989)=0,"",BI989&amp;":"&amp;BJ989)</f>
        <v>1:1</v>
      </c>
      <c r="AD988" s="253">
        <f>IF(SUM(BI988:BI990)&gt;0,BK989,"")</f>
        <v>2</v>
      </c>
      <c r="AE988" s="2"/>
      <c r="AF988" s="12"/>
      <c r="AG988" s="12"/>
      <c r="AH988" s="44" t="s">
        <v>15</v>
      </c>
      <c r="AI988" s="49">
        <f>IF(ISBLANK(S988),"",VLOOKUP(S988,'[1]plan gier'!$X$1:$AN$65536,12,FALSE))</f>
        <v>21</v>
      </c>
      <c r="AJ988" s="50">
        <f>IF(ISBLANK(S988),"",VLOOKUP(S988,'[1]plan gier'!$X$1:$AN$65536,13,FALSE))</f>
        <v>5</v>
      </c>
      <c r="AK988" s="50">
        <f>IF(ISBLANK(S988),"",VLOOKUP(S988,'[1]plan gier'!$X$1:$AN$65536,14,FALSE))</f>
        <v>21</v>
      </c>
      <c r="AL988" s="50">
        <f>IF(ISBLANK(S988),"",VLOOKUP(S988,'[1]plan gier'!$X$1:$AN$65536,15,FALSE))</f>
        <v>4</v>
      </c>
      <c r="AM988" s="50">
        <f>IF(ISBLANK(S988),"",VLOOKUP(S988,'[1]plan gier'!$X$1:$AN$65536,16,FALSE))</f>
        <v>0</v>
      </c>
      <c r="AN988" s="50">
        <f>IF(ISBLANK(S988),"",VLOOKUP(S988,'[1]plan gier'!$X$1:$AN$65536,17,FALSE))</f>
        <v>0</v>
      </c>
      <c r="AO988" s="51">
        <f t="shared" ref="AO988:AT990" si="95">IF(AI988="",0,AI988)</f>
        <v>21</v>
      </c>
      <c r="AP988" s="52">
        <f t="shared" si="95"/>
        <v>5</v>
      </c>
      <c r="AQ988" s="53">
        <f t="shared" si="95"/>
        <v>21</v>
      </c>
      <c r="AR988" s="52">
        <f t="shared" si="95"/>
        <v>4</v>
      </c>
      <c r="AS988" s="53">
        <f t="shared" si="95"/>
        <v>0</v>
      </c>
      <c r="AT988" s="52">
        <f t="shared" si="95"/>
        <v>0</v>
      </c>
      <c r="AU988" s="54">
        <f>SUM(AO988:AT988)</f>
        <v>51</v>
      </c>
      <c r="AV988" s="13">
        <v>1</v>
      </c>
      <c r="AW988" s="55"/>
      <c r="AX988" s="56"/>
      <c r="AY988" s="50">
        <f>IF(AI990&gt;AJ990,1,0)+IF(AK990&gt;AL990,1,0)+IF(AM990&gt;AN990,1,0)</f>
        <v>2</v>
      </c>
      <c r="AZ988" s="50">
        <f>AW989</f>
        <v>0</v>
      </c>
      <c r="BA988" s="50">
        <f>IF(AI988&gt;AJ988,1,0)+IF(AK988&gt;AL988,1,0)+IF(AM988&gt;AN988,1,0)</f>
        <v>2</v>
      </c>
      <c r="BB988" s="57">
        <f>AW990</f>
        <v>0</v>
      </c>
      <c r="BE988" s="49">
        <f>AO988+AQ988+AS988+AO990+AQ990+AS990</f>
        <v>84</v>
      </c>
      <c r="BF988" s="57">
        <f>AP988+AR988+AT988+AP990+AR990+AT990</f>
        <v>22</v>
      </c>
      <c r="BG988" s="49">
        <f>AY988+BA988</f>
        <v>4</v>
      </c>
      <c r="BH988" s="57">
        <f>AZ988+BB988</f>
        <v>0</v>
      </c>
      <c r="BI988" s="49">
        <f>IF(AY988&gt;AZ988,1,0)+IF(BA988&gt;BB988,1,0)</f>
        <v>2</v>
      </c>
      <c r="BJ988" s="58">
        <f>IF(AZ988&gt;AY988,1,0)+IF(BB988&gt;BA988,1,0)</f>
        <v>0</v>
      </c>
      <c r="BK988" s="59">
        <f>IF(BI988+BJ988=0,"",IF(BL988=MAX(BL988:BL990),1,IF(BL988=MIN(BL988:BL990),3,2)))</f>
        <v>1</v>
      </c>
      <c r="BL988" s="60">
        <f>IF(BI988+BJ988&lt;&gt;0,BI988+1+(BG988-BH988)/100+(BE988-BF988)/100000+(BE988/BF988)/1000000,0)</f>
        <v>3.0406238181818184</v>
      </c>
    </row>
    <row r="989" spans="1:64" ht="11.45" customHeight="1" x14ac:dyDescent="0.2">
      <c r="A989" s="19">
        <f>S989</f>
        <v>302</v>
      </c>
      <c r="B989" s="2" t="str">
        <f>IF(N989="","",N989)</f>
        <v>M5942</v>
      </c>
      <c r="C989" s="2" t="str">
        <f>IF(N990="","",N990)</f>
        <v/>
      </c>
      <c r="D989" s="2" t="str">
        <f>IF(N992="","",N992)</f>
        <v>X53</v>
      </c>
      <c r="E989" s="2" t="str">
        <f>IF(N993="","",N993)</f>
        <v/>
      </c>
      <c r="J989" s="10"/>
      <c r="K989" s="19"/>
      <c r="M989" s="42" t="str">
        <f>N985</f>
        <v>pojedyncza chłopców Ż</v>
      </c>
      <c r="N989" s="33" t="s">
        <v>359</v>
      </c>
      <c r="O989" s="34">
        <f>IF(O984&gt;0,(O984&amp;2)*1,"")</f>
        <v>42</v>
      </c>
      <c r="Q989" s="43" t="str">
        <f>IF(AU989&gt;0,"",IF(A989=0,"",IF(VLOOKUP(A989,'[1]plan gier'!A$1:S$65536,19,FALSE)="","",VLOOKUP(A989,'[1]plan gier'!A$1:S$65536,19,FALSE))))</f>
        <v/>
      </c>
      <c r="R989" s="44" t="s">
        <v>17</v>
      </c>
      <c r="S989" s="45">
        <v>302</v>
      </c>
      <c r="T989" s="242"/>
      <c r="U989" s="244" t="str">
        <f>IF(AND(N989&lt;&gt;"",N990=""),CONCATENATE(VLOOKUP(N989,[1]zawodnicy!$A$1:$E$65536,1,FALSE)," ",VLOOKUP(N989,[1]zawodnicy!$A$1:$E$65536,2,FALSE)," ",VLOOKUP(N989,[1]zawodnicy!$A$1:$E$65536,3,FALSE)," - ",VLOOKUP(N989,[1]zawodnicy!$A$1:$E$65536,4,FALSE)),"")</f>
        <v>M5942 Jakub MELANIUK - UKSB Milenium Warszawa</v>
      </c>
      <c r="V989" s="245"/>
      <c r="W989" s="246"/>
      <c r="X989" s="61" t="str">
        <f>IF(SUM(AQ990:AR990)=0,"",AR990&amp;":"&amp;AQ990)</f>
        <v>5:21</v>
      </c>
      <c r="Y989" s="62"/>
      <c r="Z989" s="37" t="str">
        <f>IF(SUM(AQ989:AR989)=0,"",AQ989&amp;":"&amp;AR989)</f>
        <v>21:4</v>
      </c>
      <c r="AA989" s="248"/>
      <c r="AB989" s="251"/>
      <c r="AC989" s="251"/>
      <c r="AD989" s="254"/>
      <c r="AE989" s="2"/>
      <c r="AF989" s="12"/>
      <c r="AG989" s="12"/>
      <c r="AH989" s="44" t="s">
        <v>17</v>
      </c>
      <c r="AI989" s="63">
        <f>IF(ISBLANK(S989),"",VLOOKUP(S989,'[1]plan gier'!$X$1:$AN$65536,12,FALSE))</f>
        <v>21</v>
      </c>
      <c r="AJ989" s="64">
        <f>IF(ISBLANK(S989),"",VLOOKUP(S989,'[1]plan gier'!$X$1:$AN$65536,13,FALSE))</f>
        <v>6</v>
      </c>
      <c r="AK989" s="64">
        <f>IF(ISBLANK(S989),"",VLOOKUP(S989,'[1]plan gier'!$X$1:$AN$65536,14,FALSE))</f>
        <v>21</v>
      </c>
      <c r="AL989" s="64">
        <f>IF(ISBLANK(S989),"",VLOOKUP(S989,'[1]plan gier'!$X$1:$AN$65536,15,FALSE))</f>
        <v>4</v>
      </c>
      <c r="AM989" s="64">
        <f>IF(ISBLANK(S989),"",VLOOKUP(S989,'[1]plan gier'!$X$1:$AN$65536,16,FALSE))</f>
        <v>0</v>
      </c>
      <c r="AN989" s="64">
        <f>IF(ISBLANK(S989),"",VLOOKUP(S989,'[1]plan gier'!$X$1:$AN$65536,17,FALSE))</f>
        <v>0</v>
      </c>
      <c r="AO989" s="65">
        <f t="shared" si="95"/>
        <v>21</v>
      </c>
      <c r="AP989" s="64">
        <f t="shared" si="95"/>
        <v>6</v>
      </c>
      <c r="AQ989" s="66">
        <f t="shared" si="95"/>
        <v>21</v>
      </c>
      <c r="AR989" s="64">
        <f t="shared" si="95"/>
        <v>4</v>
      </c>
      <c r="AS989" s="66">
        <f t="shared" si="95"/>
        <v>0</v>
      </c>
      <c r="AT989" s="64">
        <f t="shared" si="95"/>
        <v>0</v>
      </c>
      <c r="AU989" s="54">
        <f>SUM(AO989:AT989)</f>
        <v>52</v>
      </c>
      <c r="AV989" s="13">
        <v>2</v>
      </c>
      <c r="AW989" s="63">
        <f>IF(AI990&lt;AJ990,1,0)+IF(AK990&lt;AL990,1,0)+IF(AM990&lt;AN990,1,0)</f>
        <v>0</v>
      </c>
      <c r="AX989" s="64">
        <f>AY988</f>
        <v>2</v>
      </c>
      <c r="AY989" s="67"/>
      <c r="AZ989" s="68"/>
      <c r="BA989" s="64">
        <f>IF(AI989&gt;AJ989,1,0)+IF(AK989&gt;AL989,1,0)+IF(AM989&gt;AN989,1,0)</f>
        <v>2</v>
      </c>
      <c r="BB989" s="69">
        <f>AY990</f>
        <v>0</v>
      </c>
      <c r="BE989" s="63">
        <f>AO989+AQ989+AS989+AP990+AR990+AT990</f>
        <v>55</v>
      </c>
      <c r="BF989" s="69">
        <f>AP989+AR989+AT989+AO990+AQ990+AS990</f>
        <v>52</v>
      </c>
      <c r="BG989" s="63">
        <f>AW989+BA989</f>
        <v>2</v>
      </c>
      <c r="BH989" s="69">
        <f>AX989+BB989</f>
        <v>2</v>
      </c>
      <c r="BI989" s="63">
        <f>IF(AW989&gt;AX989,1,0)+IF(BA989&gt;BB989,1,0)</f>
        <v>1</v>
      </c>
      <c r="BJ989" s="70">
        <f>IF(AX989&gt;AW989,1,0)+IF(BB989&gt;BA989,1,0)</f>
        <v>1</v>
      </c>
      <c r="BK989" s="71">
        <f>IF(BI989+BJ989=0,"",IF(BL989=MAX(BL988:BL990),1,IF(BL989=MIN(BL988:BL990),3,2)))</f>
        <v>2</v>
      </c>
      <c r="BL989" s="60">
        <f>IF(BI989+BJ989&lt;&gt;0,BI989+1+(BG989-BH989)/100+(BE989-BF989)/100000+(BE989/BF989)/1000000,0)</f>
        <v>2.0000310576923077</v>
      </c>
    </row>
    <row r="990" spans="1:64" ht="11.45" customHeight="1" thickBot="1" x14ac:dyDescent="0.25">
      <c r="A990" s="19">
        <f>S990</f>
        <v>360</v>
      </c>
      <c r="B990" s="2" t="str">
        <f>IF(N986="","",N986)</f>
        <v>M5584</v>
      </c>
      <c r="C990" s="2" t="str">
        <f>IF(N987="","",N987)</f>
        <v/>
      </c>
      <c r="D990" s="2" t="str">
        <f>IF(N989="","",N989)</f>
        <v>M5942</v>
      </c>
      <c r="E990" s="2" t="str">
        <f>IF(N990="","",N990)</f>
        <v/>
      </c>
      <c r="I990" s="2" t="str">
        <f>"3"&amp;O984&amp;N985</f>
        <v>34pojedyncza chłopców Ż</v>
      </c>
      <c r="J990" s="10" t="str">
        <f>IF(AD991="","",IF(AD985=3,N986,IF(AD988=3,N989,IF(AD991=3,N992,""))))</f>
        <v>X53</v>
      </c>
      <c r="K990" s="10">
        <f>IF(AD991="","",IF(AD985=3,N987,IF(AD988=3,N990,IF(AD991=3,N993,""))))</f>
        <v>0</v>
      </c>
      <c r="M990" s="42" t="str">
        <f>N985</f>
        <v>pojedyncza chłopców Ż</v>
      </c>
      <c r="N990" s="38"/>
      <c r="O990" s="28"/>
      <c r="P990" s="28"/>
      <c r="Q990" s="43" t="str">
        <f>IF(AU990&gt;0,"",IF(A990=0,"",IF(VLOOKUP(A990,'[1]plan gier'!A$1:S$65536,19,FALSE)="","",VLOOKUP(A990,'[1]plan gier'!A$1:S$65536,19,FALSE))))</f>
        <v/>
      </c>
      <c r="R990" s="72" t="s">
        <v>18</v>
      </c>
      <c r="S990" s="45">
        <v>360</v>
      </c>
      <c r="T990" s="261"/>
      <c r="U990" s="265" t="str">
        <f>IF(N990&lt;&gt;"",CONCATENATE(VLOOKUP(N990,[1]zawodnicy!$A$1:$E$65536,1,FALSE)," ",VLOOKUP(N990,[1]zawodnicy!$A$1:$E$65536,2,FALSE)," ",VLOOKUP(N990,[1]zawodnicy!$A$1:$E$65536,3,FALSE)," - ",VLOOKUP(N990,[1]zawodnicy!$A$1:$E$65536,4,FALSE)),"")</f>
        <v/>
      </c>
      <c r="V990" s="266"/>
      <c r="W990" s="267"/>
      <c r="X990" s="73" t="str">
        <f>IF(SUM(AS990:AT990)=0,"",AT990&amp;":"&amp;AS990)</f>
        <v/>
      </c>
      <c r="Y990" s="62"/>
      <c r="Z990" s="40" t="str">
        <f>IF(SUM(AS989:AT989)=0,"",AS989&amp;":"&amp;AT989)</f>
        <v/>
      </c>
      <c r="AA990" s="262"/>
      <c r="AB990" s="263"/>
      <c r="AC990" s="263"/>
      <c r="AD990" s="264"/>
      <c r="AE990" s="2"/>
      <c r="AF990" s="12"/>
      <c r="AG990" s="12"/>
      <c r="AH990" s="72" t="s">
        <v>18</v>
      </c>
      <c r="AI990" s="74">
        <f>IF(ISBLANK(S990),"",VLOOKUP(S990,'[1]plan gier'!$X$1:$AN$65536,12,FALSE))</f>
        <v>21</v>
      </c>
      <c r="AJ990" s="75">
        <f>IF(ISBLANK(S990),"",VLOOKUP(S990,'[1]plan gier'!$X$1:$AN$65536,13,FALSE))</f>
        <v>8</v>
      </c>
      <c r="AK990" s="75">
        <f>IF(ISBLANK(S990),"",VLOOKUP(S990,'[1]plan gier'!$X$1:$AN$65536,14,FALSE))</f>
        <v>21</v>
      </c>
      <c r="AL990" s="75">
        <f>IF(ISBLANK(S990),"",VLOOKUP(S990,'[1]plan gier'!$X$1:$AN$65536,15,FALSE))</f>
        <v>5</v>
      </c>
      <c r="AM990" s="75">
        <f>IF(ISBLANK(S990),"",VLOOKUP(S990,'[1]plan gier'!$X$1:$AN$65536,16,FALSE))</f>
        <v>0</v>
      </c>
      <c r="AN990" s="75">
        <f>IF(ISBLANK(S990),"",VLOOKUP(S990,'[1]plan gier'!$X$1:$AN$65536,17,FALSE))</f>
        <v>0</v>
      </c>
      <c r="AO990" s="76">
        <f t="shared" si="95"/>
        <v>21</v>
      </c>
      <c r="AP990" s="75">
        <f t="shared" si="95"/>
        <v>8</v>
      </c>
      <c r="AQ990" s="77">
        <f t="shared" si="95"/>
        <v>21</v>
      </c>
      <c r="AR990" s="75">
        <f t="shared" si="95"/>
        <v>5</v>
      </c>
      <c r="AS990" s="77">
        <f t="shared" si="95"/>
        <v>0</v>
      </c>
      <c r="AT990" s="75">
        <f t="shared" si="95"/>
        <v>0</v>
      </c>
      <c r="AU990" s="54">
        <f>SUM(AO990:AT990)</f>
        <v>55</v>
      </c>
      <c r="AV990" s="13">
        <v>3</v>
      </c>
      <c r="AW990" s="74">
        <f>IF(AI988&lt;AJ988,1,0)+IF(AK988&lt;AL988,1,0)+IF(AM988&lt;AN988,1,0)</f>
        <v>0</v>
      </c>
      <c r="AX990" s="75">
        <f>BA988</f>
        <v>2</v>
      </c>
      <c r="AY990" s="75">
        <f>IF(AI989&lt;AJ989,1,0)+IF(AK989&lt;AL989,1,0)+IF(AM989&lt;AN989,1,0)</f>
        <v>0</v>
      </c>
      <c r="AZ990" s="75">
        <f>BA989</f>
        <v>2</v>
      </c>
      <c r="BA990" s="78"/>
      <c r="BB990" s="79"/>
      <c r="BE990" s="74">
        <f>AP988+AR988+AT988+AP989+AR989+AT989</f>
        <v>19</v>
      </c>
      <c r="BF990" s="80">
        <f>AO988+AQ988+AS988+AO989+AQ989+AS989</f>
        <v>84</v>
      </c>
      <c r="BG990" s="74">
        <f>AW990+AY990</f>
        <v>0</v>
      </c>
      <c r="BH990" s="80">
        <f>AX990+AZ990</f>
        <v>4</v>
      </c>
      <c r="BI990" s="74">
        <f>IF(AW990&gt;AX990,1,0)+IF(AY990&gt;AZ990,1,0)</f>
        <v>0</v>
      </c>
      <c r="BJ990" s="81">
        <f>IF(AX990&gt;AW990,1,0)+IF(AZ990&gt;AY990,1,0)</f>
        <v>2</v>
      </c>
      <c r="BK990" s="82">
        <f>IF(BI990+BJ990=0,"",IF(BL990=MAX(BL988:BL990),1,IF(BL990=MIN(BL988:BL990),3,2)))</f>
        <v>3</v>
      </c>
      <c r="BL990" s="60">
        <f>IF(BI990+BJ990&lt;&gt;0,BI990+1+(BG990-BH990)/100+(BE990-BF990)/100000+(BE990/BF990)/1000000,0)</f>
        <v>0.95935022619047616</v>
      </c>
    </row>
    <row r="991" spans="1:64" ht="11.45" customHeight="1" x14ac:dyDescent="0.2">
      <c r="A991" s="2"/>
      <c r="J991" s="28"/>
      <c r="K991" s="28"/>
      <c r="L991" s="28"/>
      <c r="O991" s="28"/>
      <c r="P991" s="28"/>
      <c r="Q991" s="2"/>
      <c r="R991" s="2"/>
      <c r="S991" s="2"/>
      <c r="T991" s="241">
        <v>3</v>
      </c>
      <c r="U991" s="244" t="str">
        <f>IF(AND(N992&lt;&gt;"",N993&lt;&gt;""),CONCATENATE(VLOOKUP(N992,[1]zawodnicy!$A$1:$E$65536,1,FALSE)," ",VLOOKUP(N992,[1]zawodnicy!$A$1:$E$65536,2,FALSE)," ",VLOOKUP(N992,[1]zawodnicy!$A$1:$E$65536,3,FALSE)," - ",VLOOKUP(N992,[1]zawodnicy!$A$1:$E$65536,4,FALSE)),"")</f>
        <v/>
      </c>
      <c r="V991" s="245"/>
      <c r="W991" s="246"/>
      <c r="X991" s="46" t="str">
        <f>IF(SUM(AO988:AP988)=0,"",AP988&amp;":"&amp;AO988)</f>
        <v>5:21</v>
      </c>
      <c r="Y991" s="83" t="str">
        <f>IF(SUM(AO989:AP989)=0,"",AP989&amp;":"&amp;AO989)</f>
        <v>6:21</v>
      </c>
      <c r="Z991" s="84"/>
      <c r="AA991" s="247" t="str">
        <f>IF(SUM(AW990:AZ990)=0,"",BE990&amp;":"&amp;BF990)</f>
        <v>19:84</v>
      </c>
      <c r="AB991" s="250" t="str">
        <f>IF(SUM(AW990:AZ990)=0,"",BG990&amp;":"&amp;BH990)</f>
        <v>0:4</v>
      </c>
      <c r="AC991" s="250" t="str">
        <f>IF(SUM(AW990:AZ990)=0,"",BI990&amp;":"&amp;BJ990)</f>
        <v>0:2</v>
      </c>
      <c r="AD991" s="253">
        <f>IF(SUM(BI988:BI990)&gt;0,BK990,"")</f>
        <v>3</v>
      </c>
      <c r="AE991" s="2"/>
      <c r="AF991" s="12"/>
      <c r="AG991" s="12"/>
      <c r="BE991" s="19">
        <f>SUM(BE988:BE990)</f>
        <v>158</v>
      </c>
      <c r="BF991" s="19">
        <f>SUM(BF988:BF990)</f>
        <v>158</v>
      </c>
      <c r="BG991" s="19">
        <f>SUM(BG988:BG990)</f>
        <v>6</v>
      </c>
      <c r="BH991" s="19">
        <f>SUM(BH988:BH990)</f>
        <v>6</v>
      </c>
      <c r="BK991" s="19"/>
      <c r="BL991" s="20"/>
    </row>
    <row r="992" spans="1:64" ht="11.45" customHeight="1" x14ac:dyDescent="0.2">
      <c r="A992" s="19"/>
      <c r="J992" s="19"/>
      <c r="K992" s="19"/>
      <c r="L992" s="19"/>
      <c r="N992" s="33" t="s">
        <v>404</v>
      </c>
      <c r="O992" s="34">
        <f>IF(O984&gt;0,(O984&amp;3)*1,"")</f>
        <v>43</v>
      </c>
      <c r="Q992" s="85"/>
      <c r="R992" s="85"/>
      <c r="S992" s="85"/>
      <c r="T992" s="242"/>
      <c r="U992" s="244" t="str">
        <f>IF(AND(N992&lt;&gt;"",N993=""),CONCATENATE(VLOOKUP(N992,[1]zawodnicy!$A$1:$E$65536,1,FALSE)," ",VLOOKUP(N992,[1]zawodnicy!$A$1:$E$65536,2,FALSE)," ",VLOOKUP(N992,[1]zawodnicy!$A$1:$E$65536,3,FALSE)," - ",VLOOKUP(N992,[1]zawodnicy!$A$1:$E$65536,4,FALSE)),"")</f>
        <v>X53 Kacper KRAWCZYK - UKS Korona Pabianice</v>
      </c>
      <c r="V992" s="245"/>
      <c r="W992" s="246"/>
      <c r="X992" s="61" t="str">
        <f>IF(SUM(AQ988:AR988)=0,"",AR988&amp;":"&amp;AQ988)</f>
        <v>4:21</v>
      </c>
      <c r="Y992" s="36" t="str">
        <f>IF(SUM(AQ989:AR989)=0,"",AR989&amp;":"&amp;AQ989)</f>
        <v>4:21</v>
      </c>
      <c r="Z992" s="86"/>
      <c r="AA992" s="248"/>
      <c r="AB992" s="251"/>
      <c r="AC992" s="251"/>
      <c r="AD992" s="254"/>
      <c r="AE992" s="2"/>
      <c r="AF992" s="12"/>
      <c r="AG992" s="1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row>
    <row r="993" spans="1:64" ht="11.45" customHeight="1" thickBot="1" x14ac:dyDescent="0.25">
      <c r="A993" s="2"/>
      <c r="J993" s="28"/>
      <c r="K993" s="28"/>
      <c r="L993" s="28"/>
      <c r="N993" s="38"/>
      <c r="O993" s="28"/>
      <c r="P993" s="28"/>
      <c r="Q993" s="2"/>
      <c r="R993" s="2"/>
      <c r="S993" s="2"/>
      <c r="T993" s="243"/>
      <c r="U993" s="256" t="str">
        <f>IF(N993&lt;&gt;"",CONCATENATE(VLOOKUP(N993,[1]zawodnicy!$A$1:$E$65536,1,FALSE)," ",VLOOKUP(N993,[1]zawodnicy!$A$1:$E$65536,2,FALSE)," ",VLOOKUP(N993,[1]zawodnicy!$A$1:$E$65536,3,FALSE)," - ",VLOOKUP(N993,[1]zawodnicy!$A$1:$E$65536,4,FALSE)),"")</f>
        <v/>
      </c>
      <c r="V993" s="257"/>
      <c r="W993" s="258"/>
      <c r="X993" s="87" t="str">
        <f>IF(SUM(AS988:AT988)=0,"",AT988&amp;":"&amp;AS988)</f>
        <v/>
      </c>
      <c r="Y993" s="88" t="str">
        <f>IF(SUM(AS989:AT989)=0,"",AT989&amp;":"&amp;AS989)</f>
        <v/>
      </c>
      <c r="Z993" s="89"/>
      <c r="AA993" s="249"/>
      <c r="AB993" s="252"/>
      <c r="AC993" s="252"/>
      <c r="AD993" s="255"/>
      <c r="AE993" s="10"/>
      <c r="AF993" s="12"/>
      <c r="AG993" s="1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row>
    <row r="994" spans="1:64" s="19" customFormat="1" ht="5.0999999999999996" customHeight="1" x14ac:dyDescent="0.2">
      <c r="M994" s="90"/>
      <c r="O994" s="90"/>
      <c r="P994" s="90"/>
      <c r="Q994" s="91"/>
      <c r="R994" s="91"/>
      <c r="S994" s="91"/>
      <c r="T994" s="91"/>
      <c r="U994" s="5"/>
      <c r="V994" s="5"/>
      <c r="W994" s="5"/>
      <c r="AA994" s="92"/>
      <c r="AB994" s="91"/>
      <c r="AC994" s="91"/>
      <c r="AD994" s="91"/>
      <c r="AE994" s="91"/>
      <c r="AF994" s="91"/>
      <c r="AI994" s="93"/>
      <c r="AJ994" s="94"/>
      <c r="AK994" s="94"/>
    </row>
    <row r="996" spans="1:64" ht="11.45" customHeight="1" x14ac:dyDescent="0.2">
      <c r="J996" s="2"/>
      <c r="K996" s="2"/>
      <c r="L996" s="2"/>
      <c r="M996" s="95"/>
      <c r="N996" s="96">
        <v>1</v>
      </c>
      <c r="O996" s="97">
        <v>4</v>
      </c>
      <c r="P996" s="98"/>
      <c r="Q996" s="1"/>
      <c r="R996" s="1"/>
      <c r="S996" s="1"/>
      <c r="T996" s="229"/>
      <c r="U996" s="229"/>
      <c r="V996" s="229"/>
      <c r="W996" s="229"/>
      <c r="X996" s="229"/>
      <c r="Y996" s="229"/>
      <c r="Z996" s="229"/>
      <c r="AA996" s="229"/>
      <c r="AB996" s="229"/>
      <c r="AC996" s="229"/>
      <c r="AD996" s="114"/>
      <c r="AE996" s="114"/>
      <c r="AF996" s="114"/>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row>
    <row r="997" spans="1:64" ht="11.45" customHeight="1" x14ac:dyDescent="0.2">
      <c r="J997" s="2"/>
      <c r="K997" s="2"/>
      <c r="L997" s="2"/>
      <c r="N997" s="99" t="s">
        <v>396</v>
      </c>
      <c r="P997" s="98"/>
      <c r="Q997" s="1"/>
      <c r="R997" s="1"/>
      <c r="S997" s="1"/>
      <c r="T997" s="1"/>
      <c r="U997" s="100"/>
      <c r="V997" s="101"/>
      <c r="W997" s="101"/>
      <c r="X997" s="101"/>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row>
    <row r="998" spans="1:64" ht="11.45" customHeight="1" x14ac:dyDescent="0.2">
      <c r="A998" s="102">
        <f>W998</f>
        <v>398</v>
      </c>
      <c r="B998" s="2" t="str">
        <f>IF(TYPE(T998)=16,"",T998)</f>
        <v>Ś5585</v>
      </c>
      <c r="D998" s="2" t="str">
        <f>IF(TYPE(T999)=16,"",T999)</f>
        <v>J5015</v>
      </c>
      <c r="F998" s="2" t="str">
        <f>IF(A998=0,IF(AND(LEN(B998)&gt;0,LEN(D998)=0),VLOOKUP(B998,[1]zawodnicy!$A$1:$E$65536,1,FALSE),IF(AND(LEN(D998)&gt;0,LEN(B998)=0),VLOOKUP(D998,[1]zawodnicy!$A$1:$E$65536,1,FALSE),"")),IF((VLOOKUP(A998,'[1]plan gier'!$X$1:$AF$65536,7,FALSE))="","",VLOOKUP(VLOOKUP(A998,'[1]plan gier'!$X$1:$AF$65536,7,FALSE),[1]zawodnicy!$A$1:$E$65536,1,FALSE)))</f>
        <v>Ś5585</v>
      </c>
      <c r="H998" s="2" t="str">
        <f>IF(A998=0,"",IF((VLOOKUP(A998,'[1]plan gier'!$X$1:$AF$65536,7,FALSE))="","",VLOOKUP(A998,'[1]plan gier'!$X$1:$AF$65536,9,FALSE)))</f>
        <v>21:7,21:4</v>
      </c>
      <c r="J998" s="103"/>
      <c r="K998" s="103"/>
      <c r="L998" s="124" t="str">
        <f>IF(A998=0,"",IF(VLOOKUP(A998,'[1]plan gier'!A$1:S$65536,19,FALSE)="","",VLOOKUP(A998,'[1]plan gier'!A$1:S$65536,19,FALSE)))</f>
        <v>sob 18:50</v>
      </c>
      <c r="M998" s="2" t="str">
        <f>N997</f>
        <v>pojedyncza chłopców Ż</v>
      </c>
      <c r="N998" s="104"/>
      <c r="O998" s="105">
        <f>IF(P998="","",1)</f>
        <v>1</v>
      </c>
      <c r="P998" s="106">
        <f>IF(O996&gt;2,1,"")</f>
        <v>1</v>
      </c>
      <c r="Q998" s="5">
        <f>O998</f>
        <v>1</v>
      </c>
      <c r="T998" s="286" t="str">
        <f>UPPER(IF(O998="","",IF(ISTEXT(N998),N998,IF(AND(N996&gt;0,O998&gt;0),VLOOKUP(N996&amp;O998&amp;N997,I:J,2,FALSE),""))))</f>
        <v>Ś5585</v>
      </c>
      <c r="U998" s="287"/>
      <c r="V998" s="107" t="str">
        <f>IF(T998&lt;&gt;"",CONCATENATE(VLOOKUP(T998,[1]zawodnicy!$A$1:$E$65536,2,FALSE)," ",VLOOKUP(T998,[1]zawodnicy!$A$1:$E$65536,3,FALSE)," - ",VLOOKUP(T998,[1]zawodnicy!$A$1:$E$65536,4,FALSE)),"")</f>
        <v>Szymon ŚLEPECKI - LKS Technik Głubczyce</v>
      </c>
      <c r="W998" s="108">
        <v>398</v>
      </c>
      <c r="X998" s="231" t="str">
        <f>IF(F998="","",VLOOKUP(F998,[1]zawodnicy!$A$1:$D$65536,3,FALSE))</f>
        <v>ŚLEPECKI</v>
      </c>
      <c r="Y998" s="232"/>
      <c r="Z998" s="23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row>
    <row r="999" spans="1:64" ht="11.45" customHeight="1" x14ac:dyDescent="0.2">
      <c r="J999" s="103"/>
      <c r="K999" s="103"/>
      <c r="L999" s="103"/>
      <c r="N999" s="104"/>
      <c r="O999" s="109">
        <f>IF(P999="","",2)</f>
        <v>2</v>
      </c>
      <c r="P999" s="106">
        <f>IF(O996&gt;3,9,"")</f>
        <v>9</v>
      </c>
      <c r="Q999" s="5">
        <f>O999</f>
        <v>2</v>
      </c>
      <c r="T999" s="286" t="str">
        <f>UPPER(IF(O999="","",IF(ISTEXT(N999),N999,IF(AND(N996&gt;0,O999&gt;0),VLOOKUP(N996&amp;O999&amp;N997,I:J,2,FALSE),""))))</f>
        <v>J5015</v>
      </c>
      <c r="U999" s="287"/>
      <c r="V999" s="107" t="str">
        <f>IF(T999&lt;&gt;"",CONCATENATE(VLOOKUP(T999,[1]zawodnicy!$A$1:$E$65536,2,FALSE)," ",VLOOKUP(T999,[1]zawodnicy!$A$1:$E$65536,3,FALSE)," - ",VLOOKUP(T999,[1]zawodnicy!$A$1:$E$65536,4,FALSE)),"")</f>
        <v>Jakub JAGODZIŃSKI - UKSB Milenium Warszawa</v>
      </c>
      <c r="W999" s="110"/>
      <c r="X999" s="236" t="str">
        <f>IF(H998="",L998,H998)</f>
        <v>21:7,21:4</v>
      </c>
      <c r="Y999" s="237"/>
      <c r="Z999" s="240"/>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row>
    <row r="1000" spans="1:64" ht="11.45" customHeight="1" x14ac:dyDescent="0.2">
      <c r="A1000" s="111">
        <f>Z1000</f>
        <v>411</v>
      </c>
      <c r="B1000" s="2" t="str">
        <f>F998</f>
        <v>Ś5585</v>
      </c>
      <c r="D1000" s="2" t="str">
        <f>F1002</f>
        <v>M5584</v>
      </c>
      <c r="F1000" s="2" t="str">
        <f>IF(A1000=0,IF(AND(LEN(B1000)&gt;0,LEN(D1000)=0),B1000,IF(AND(LEN(D1000)&gt;0,LEN(B1000)=0),D1000,"")),IF((VLOOKUP(A1000,'[1]plan gier'!$X$1:$AF$65536,7,FALSE))="","",VLOOKUP(VLOOKUP(A1000,'[1]plan gier'!$X$1:$AF$65536,7,FALSE),[1]zawodnicy!$A$1:$E$65536,1,FALSE)))</f>
        <v>Ś5585</v>
      </c>
      <c r="H1000" s="2" t="str">
        <f>IF(A1000=0,"",IF((VLOOKUP(A1000,'[1]plan gier'!$X$1:$AF$65536,7,FALSE))="","",VLOOKUP(A1000,'[1]plan gier'!$X$1:$AF$65536,9,FALSE)))</f>
        <v>21:10,11:21,21:17</v>
      </c>
      <c r="J1000" s="103"/>
      <c r="K1000" s="103"/>
      <c r="L1000" s="124" t="str">
        <f>IF(A1000=0,"",IF(VLOOKUP(A1000,'[1]plan gier'!A$1:S$65536,19,FALSE)="","",VLOOKUP(A1000,'[1]plan gier'!A$1:S$65536,19,FALSE)))</f>
        <v>sob 20:15</v>
      </c>
      <c r="M1000" s="2" t="str">
        <f>N997</f>
        <v>pojedyncza chłopców Ż</v>
      </c>
      <c r="N1000" s="95"/>
      <c r="O1000" s="112"/>
      <c r="P1000" s="106"/>
      <c r="T1000" s="9"/>
      <c r="U1000" s="113"/>
      <c r="V1000" s="2"/>
      <c r="W1000" s="2"/>
      <c r="X1000" s="114"/>
      <c r="Y1000" s="10"/>
      <c r="Z1000" s="115">
        <v>411</v>
      </c>
      <c r="AA1000" s="232" t="str">
        <f>IF(ISBLANK(Z1000),IF(AND(LEN(X998)&gt;0,LEN(X1002)=0),X998,IF(AND(LEN(X1002)&gt;0,LEN(X998)=0),X1002,"")),IF((VLOOKUP(Z1000,'[1]plan gier'!$X$1:$AF$65536,7,FALSE))="","",VLOOKUP(VLOOKUP(Z1000,'[1]plan gier'!$X$1:$AF$65536,7,FALSE),[1]zawodnicy!$A$1:$E$65536,3,FALSE)))</f>
        <v>ŚLEPECKI</v>
      </c>
      <c r="AB1000" s="232"/>
      <c r="AC1000" s="23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row>
    <row r="1001" spans="1:64" ht="11.45" customHeight="1" x14ac:dyDescent="0.2">
      <c r="J1001" s="103"/>
      <c r="K1001" s="103"/>
      <c r="L1001" s="103"/>
      <c r="N1001" s="95"/>
      <c r="O1001" s="112"/>
      <c r="P1001" s="106"/>
      <c r="T1001" s="9"/>
      <c r="U1001" s="113"/>
      <c r="V1001" s="2"/>
      <c r="W1001" s="2"/>
      <c r="X1001" s="114"/>
      <c r="Y1001" s="10"/>
      <c r="Z1001" s="116"/>
      <c r="AA1001" s="237" t="str">
        <f>IF(ISBLANK(Z1000),"",IF((VLOOKUP(Z1000,'[1]plan gier'!$X$1:$AF$65536,7,FALSE))="",L1000,VLOOKUP(Z1000,'[1]plan gier'!$X$1:$AF$65536,9,FALSE)))</f>
        <v>21:10,11:21,21:17</v>
      </c>
      <c r="AB1001" s="237"/>
      <c r="AC1001" s="237"/>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row>
    <row r="1002" spans="1:64" ht="11.45" customHeight="1" x14ac:dyDescent="0.2">
      <c r="A1002" s="102">
        <f>W1002</f>
        <v>399</v>
      </c>
      <c r="B1002" s="2" t="str">
        <f>IF(TYPE(T1002)=16,"",T1002)</f>
        <v>N5960</v>
      </c>
      <c r="D1002" s="2" t="str">
        <f>IF(TYPE(T1003)=16,"",T1003)</f>
        <v>M5584</v>
      </c>
      <c r="F1002" s="2" t="str">
        <f>IF(A1002=0,IF(AND(LEN(B1002)&gt;0,LEN(D1002)=0),VLOOKUP(B1002,[1]zawodnicy!$A$1:$E$65536,1,FALSE),IF(AND(LEN(D1002)&gt;0,LEN(B1002)=0),VLOOKUP(D1002,[1]zawodnicy!$A$1:$E$65536,1,FALSE),"")),IF((VLOOKUP(A1002,'[1]plan gier'!$X$1:$AF$65536,7,FALSE))="","",VLOOKUP(VLOOKUP(A1002,'[1]plan gier'!$X$1:$AF$65536,7,FALSE),[1]zawodnicy!$A$1:$E$65536,1,FALSE)))</f>
        <v>M5584</v>
      </c>
      <c r="H1002" s="2" t="str">
        <f>IF(A1002=0,"",IF((VLOOKUP(A1002,'[1]plan gier'!$X$1:$AF$65536,7,FALSE))="","",VLOOKUP(A1002,'[1]plan gier'!$X$1:$AF$65536,9,FALSE)))</f>
        <v>21:9,21:9</v>
      </c>
      <c r="J1002" s="103"/>
      <c r="K1002" s="103"/>
      <c r="L1002" s="124" t="str">
        <f>IF(A1002=0,"",IF(VLOOKUP(A1002,'[1]plan gier'!A$1:S$65536,19,FALSE)="","",VLOOKUP(A1002,'[1]plan gier'!A$1:S$65536,19,FALSE)))</f>
        <v>sob 19:45</v>
      </c>
      <c r="M1002" s="2" t="str">
        <f>N997</f>
        <v>pojedyncza chłopców Ż</v>
      </c>
      <c r="N1002" s="104"/>
      <c r="O1002" s="105">
        <f>IF(P1002="","",MAX(O998:O1001)+1)</f>
        <v>3</v>
      </c>
      <c r="P1002" s="106">
        <f>IF(O996&gt;2,24,"")</f>
        <v>24</v>
      </c>
      <c r="Q1002" s="5">
        <f>O1002</f>
        <v>3</v>
      </c>
      <c r="T1002" s="286" t="str">
        <f>UPPER(IF(O1002="","",IF(ISTEXT(N1002),N1002,IF(AND(N996&gt;0,O1002&gt;0),VLOOKUP(N996&amp;O1002&amp;N997,I:J,2,FALSE),""))))</f>
        <v>N5960</v>
      </c>
      <c r="U1002" s="287"/>
      <c r="V1002" s="107" t="str">
        <f>IF(T1002&lt;&gt;"",CONCATENATE(VLOOKUP(T1002,[1]zawodnicy!$A$1:$E$65536,2,FALSE)," ",VLOOKUP(T1002,[1]zawodnicy!$A$1:$E$65536,3,FALSE)," - ",VLOOKUP(T1002,[1]zawodnicy!$A$1:$E$65536,4,FALSE)),"")</f>
        <v>Andrzej NICZYPORUK - AZSUW Warszawa</v>
      </c>
      <c r="W1002" s="108">
        <v>399</v>
      </c>
      <c r="X1002" s="231" t="str">
        <f>IF(F1002="","",VLOOKUP(F1002,[1]zawodnicy!$A$1:$D$65536,3,FALSE))</f>
        <v>MAZUR</v>
      </c>
      <c r="Y1002" s="232"/>
      <c r="Z1002" s="233"/>
      <c r="AA1002" s="10"/>
      <c r="AB1002" s="10"/>
      <c r="AC1002" s="10"/>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row>
    <row r="1003" spans="1:64" ht="11.45" customHeight="1" x14ac:dyDescent="0.2">
      <c r="J1003" s="103"/>
      <c r="K1003" s="103"/>
      <c r="L1003" s="103"/>
      <c r="N1003" s="104"/>
      <c r="O1003" s="109">
        <f>IF(P1003="","",MAX(O998:O1002)+1)</f>
        <v>4</v>
      </c>
      <c r="P1003" s="106">
        <f>IF(O996&gt;2,32,"")</f>
        <v>32</v>
      </c>
      <c r="Q1003" s="5">
        <f>O1003</f>
        <v>4</v>
      </c>
      <c r="T1003" s="286" t="str">
        <f>UPPER(IF(O1003="","",IF(ISTEXT(N1003),N1003,IF(AND(N996&gt;0,O1003&gt;0),VLOOKUP(N996&amp;O1003&amp;N997,I:J,2,FALSE),""))))</f>
        <v>M5584</v>
      </c>
      <c r="U1003" s="287"/>
      <c r="V1003" s="107" t="str">
        <f>IF(T1003&lt;&gt;"",CONCATENATE(VLOOKUP(T1003,[1]zawodnicy!$A$1:$E$65536,2,FALSE)," ",VLOOKUP(T1003,[1]zawodnicy!$A$1:$E$65536,3,FALSE)," - ",VLOOKUP(T1003,[1]zawodnicy!$A$1:$E$65536,4,FALSE)),"")</f>
        <v>Jakub MAZUR - LKS Technik Głubczyce</v>
      </c>
      <c r="W1003" s="110"/>
      <c r="X1003" s="236" t="str">
        <f>IF(H1002="",L1002,H1002)</f>
        <v>21:9,21:9</v>
      </c>
      <c r="Y1003" s="237"/>
      <c r="Z1003" s="237"/>
      <c r="AA1003" s="10"/>
      <c r="AB1003" s="10"/>
      <c r="AC1003" s="10"/>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row>
    <row r="1004" spans="1:64" ht="11.45" customHeight="1" x14ac:dyDescent="0.2">
      <c r="BK1004" s="19"/>
      <c r="BL1004" s="20"/>
    </row>
  </sheetData>
  <mergeCells count="3378">
    <mergeCell ref="AO6:AT6"/>
    <mergeCell ref="Q7:R9"/>
    <mergeCell ref="S7:S9"/>
    <mergeCell ref="T7:T9"/>
    <mergeCell ref="U7:W7"/>
    <mergeCell ref="AB7:AB9"/>
    <mergeCell ref="AC7:AC9"/>
    <mergeCell ref="AD7:AD9"/>
    <mergeCell ref="AE7:AE9"/>
    <mergeCell ref="U8:W8"/>
    <mergeCell ref="AI6:AN6"/>
    <mergeCell ref="U12:W12"/>
    <mergeCell ref="T1:AD1"/>
    <mergeCell ref="T2:AD2"/>
    <mergeCell ref="T4:AD4"/>
    <mergeCell ref="Q6:S6"/>
    <mergeCell ref="U6:W6"/>
    <mergeCell ref="AY9:AZ9"/>
    <mergeCell ref="BA9:BB9"/>
    <mergeCell ref="BG9:BH9"/>
    <mergeCell ref="BI9:BJ9"/>
    <mergeCell ref="T10:T12"/>
    <mergeCell ref="U10:W10"/>
    <mergeCell ref="AB10:AB12"/>
    <mergeCell ref="AC10:AC12"/>
    <mergeCell ref="AD10:AD12"/>
    <mergeCell ref="AE10:AE12"/>
    <mergeCell ref="BC9:BD9"/>
    <mergeCell ref="BE9:BF9"/>
    <mergeCell ref="U9:W9"/>
    <mergeCell ref="AI9:AJ9"/>
    <mergeCell ref="AK9:AL9"/>
    <mergeCell ref="AM9:AN9"/>
    <mergeCell ref="AO9:AP9"/>
    <mergeCell ref="AQ9:AR9"/>
    <mergeCell ref="AS9:AT9"/>
    <mergeCell ref="AW9:AX9"/>
    <mergeCell ref="AD16:AD18"/>
    <mergeCell ref="AE16:AE18"/>
    <mergeCell ref="AD13:AD15"/>
    <mergeCell ref="AM23:AN23"/>
    <mergeCell ref="AO23:AP23"/>
    <mergeCell ref="U18:W18"/>
    <mergeCell ref="T16:T18"/>
    <mergeCell ref="U16:W16"/>
    <mergeCell ref="AB16:AB18"/>
    <mergeCell ref="AC16:AC18"/>
    <mergeCell ref="U17:W17"/>
    <mergeCell ref="U23:W23"/>
    <mergeCell ref="AW10:AX10"/>
    <mergeCell ref="U11:W11"/>
    <mergeCell ref="T13:T15"/>
    <mergeCell ref="U13:W13"/>
    <mergeCell ref="AB13:AB15"/>
    <mergeCell ref="AC13:AC15"/>
    <mergeCell ref="AE13:AE15"/>
    <mergeCell ref="U14:W14"/>
    <mergeCell ref="U15:W15"/>
    <mergeCell ref="AQ23:AR23"/>
    <mergeCell ref="AS23:AT23"/>
    <mergeCell ref="AW23:AX23"/>
    <mergeCell ref="AY23:AZ23"/>
    <mergeCell ref="BG23:BH23"/>
    <mergeCell ref="BI23:BJ23"/>
    <mergeCell ref="BA23:BB23"/>
    <mergeCell ref="BE23:BF23"/>
    <mergeCell ref="AA21:AA23"/>
    <mergeCell ref="AB21:AB23"/>
    <mergeCell ref="AC21:AC23"/>
    <mergeCell ref="AD21:AD23"/>
    <mergeCell ref="AI21:AN21"/>
    <mergeCell ref="AO21:AT21"/>
    <mergeCell ref="AI23:AJ23"/>
    <mergeCell ref="AK23:AL23"/>
    <mergeCell ref="Q20:S20"/>
    <mergeCell ref="U20:W20"/>
    <mergeCell ref="Q21:R23"/>
    <mergeCell ref="S21:S23"/>
    <mergeCell ref="T21:T23"/>
    <mergeCell ref="U21:W21"/>
    <mergeCell ref="U22:W22"/>
    <mergeCell ref="Q31:S31"/>
    <mergeCell ref="U31:W31"/>
    <mergeCell ref="Q32:R34"/>
    <mergeCell ref="S32:S34"/>
    <mergeCell ref="T32:T34"/>
    <mergeCell ref="U32:W32"/>
    <mergeCell ref="U33:W33"/>
    <mergeCell ref="U34:W34"/>
    <mergeCell ref="AC27:AC29"/>
    <mergeCell ref="AD27:AD29"/>
    <mergeCell ref="U28:W28"/>
    <mergeCell ref="U29:W29"/>
    <mergeCell ref="T27:T29"/>
    <mergeCell ref="U27:W27"/>
    <mergeCell ref="AA27:AA29"/>
    <mergeCell ref="AB27:AB29"/>
    <mergeCell ref="T24:T26"/>
    <mergeCell ref="U24:W24"/>
    <mergeCell ref="AA24:AA26"/>
    <mergeCell ref="AB24:AB26"/>
    <mergeCell ref="AC24:AC26"/>
    <mergeCell ref="AD24:AD26"/>
    <mergeCell ref="U25:W25"/>
    <mergeCell ref="U26:W26"/>
    <mergeCell ref="AQ34:AR34"/>
    <mergeCell ref="AS34:AT34"/>
    <mergeCell ref="AW34:AX34"/>
    <mergeCell ref="AY34:AZ34"/>
    <mergeCell ref="BG34:BH34"/>
    <mergeCell ref="BI34:BJ34"/>
    <mergeCell ref="BA34:BB34"/>
    <mergeCell ref="BE34:BF34"/>
    <mergeCell ref="AA32:AA34"/>
    <mergeCell ref="AB32:AB34"/>
    <mergeCell ref="AC32:AC34"/>
    <mergeCell ref="AD32:AD34"/>
    <mergeCell ref="AI32:AN32"/>
    <mergeCell ref="AO32:AT32"/>
    <mergeCell ref="AI34:AJ34"/>
    <mergeCell ref="AK34:AL34"/>
    <mergeCell ref="AM34:AN34"/>
    <mergeCell ref="AO34:AP34"/>
    <mergeCell ref="Q42:S42"/>
    <mergeCell ref="U42:W42"/>
    <mergeCell ref="Q43:R45"/>
    <mergeCell ref="S43:S45"/>
    <mergeCell ref="T43:T45"/>
    <mergeCell ref="U43:W43"/>
    <mergeCell ref="U44:W44"/>
    <mergeCell ref="U45:W45"/>
    <mergeCell ref="AC38:AC40"/>
    <mergeCell ref="AD38:AD40"/>
    <mergeCell ref="U39:W39"/>
    <mergeCell ref="U40:W40"/>
    <mergeCell ref="T38:T40"/>
    <mergeCell ref="U38:W38"/>
    <mergeCell ref="AA38:AA40"/>
    <mergeCell ref="AB38:AB40"/>
    <mergeCell ref="T35:T37"/>
    <mergeCell ref="U35:W35"/>
    <mergeCell ref="AA35:AA37"/>
    <mergeCell ref="AB35:AB37"/>
    <mergeCell ref="AC35:AC37"/>
    <mergeCell ref="AD35:AD37"/>
    <mergeCell ref="U36:W36"/>
    <mergeCell ref="U37:W37"/>
    <mergeCell ref="AQ45:AR45"/>
    <mergeCell ref="AS45:AT45"/>
    <mergeCell ref="AW45:AX45"/>
    <mergeCell ref="AY45:AZ45"/>
    <mergeCell ref="BG45:BH45"/>
    <mergeCell ref="BI45:BJ45"/>
    <mergeCell ref="BA45:BB45"/>
    <mergeCell ref="BE45:BF45"/>
    <mergeCell ref="AA43:AA45"/>
    <mergeCell ref="AB43:AB45"/>
    <mergeCell ref="AC43:AC45"/>
    <mergeCell ref="AD43:AD45"/>
    <mergeCell ref="AI43:AN43"/>
    <mergeCell ref="AO43:AT43"/>
    <mergeCell ref="AI45:AJ45"/>
    <mergeCell ref="AK45:AL45"/>
    <mergeCell ref="AM45:AN45"/>
    <mergeCell ref="AO45:AP45"/>
    <mergeCell ref="Q53:S53"/>
    <mergeCell ref="U53:W53"/>
    <mergeCell ref="Q54:R56"/>
    <mergeCell ref="S54:S56"/>
    <mergeCell ref="T54:T56"/>
    <mergeCell ref="U54:W54"/>
    <mergeCell ref="U55:W55"/>
    <mergeCell ref="U56:W56"/>
    <mergeCell ref="AC49:AC51"/>
    <mergeCell ref="AD49:AD51"/>
    <mergeCell ref="U50:W50"/>
    <mergeCell ref="U51:W51"/>
    <mergeCell ref="T49:T51"/>
    <mergeCell ref="U49:W49"/>
    <mergeCell ref="AA49:AA51"/>
    <mergeCell ref="AB49:AB51"/>
    <mergeCell ref="T46:T48"/>
    <mergeCell ref="U46:W46"/>
    <mergeCell ref="AA46:AA48"/>
    <mergeCell ref="AB46:AB48"/>
    <mergeCell ref="AC46:AC48"/>
    <mergeCell ref="AD46:AD48"/>
    <mergeCell ref="U47:W47"/>
    <mergeCell ref="U48:W48"/>
    <mergeCell ref="AQ56:AR56"/>
    <mergeCell ref="AS56:AT56"/>
    <mergeCell ref="AW56:AX56"/>
    <mergeCell ref="AY56:AZ56"/>
    <mergeCell ref="BG56:BH56"/>
    <mergeCell ref="BI56:BJ56"/>
    <mergeCell ref="BA56:BB56"/>
    <mergeCell ref="BE56:BF56"/>
    <mergeCell ref="AA54:AA56"/>
    <mergeCell ref="AB54:AB56"/>
    <mergeCell ref="AC54:AC56"/>
    <mergeCell ref="AD54:AD56"/>
    <mergeCell ref="AI54:AN54"/>
    <mergeCell ref="AO54:AT54"/>
    <mergeCell ref="AI56:AJ56"/>
    <mergeCell ref="AK56:AL56"/>
    <mergeCell ref="AM56:AN56"/>
    <mergeCell ref="AO56:AP56"/>
    <mergeCell ref="Q64:S64"/>
    <mergeCell ref="U64:W64"/>
    <mergeCell ref="Q65:R67"/>
    <mergeCell ref="S65:S67"/>
    <mergeCell ref="T65:T67"/>
    <mergeCell ref="U65:W65"/>
    <mergeCell ref="U66:W66"/>
    <mergeCell ref="U67:W67"/>
    <mergeCell ref="AC60:AC62"/>
    <mergeCell ref="AD60:AD62"/>
    <mergeCell ref="U61:W61"/>
    <mergeCell ref="U62:W62"/>
    <mergeCell ref="T60:T62"/>
    <mergeCell ref="U60:W60"/>
    <mergeCell ref="AA60:AA62"/>
    <mergeCell ref="AB60:AB62"/>
    <mergeCell ref="T57:T59"/>
    <mergeCell ref="U57:W57"/>
    <mergeCell ref="AA57:AA59"/>
    <mergeCell ref="AB57:AB59"/>
    <mergeCell ref="AC57:AC59"/>
    <mergeCell ref="AD57:AD59"/>
    <mergeCell ref="U58:W58"/>
    <mergeCell ref="U59:W59"/>
    <mergeCell ref="AQ67:AR67"/>
    <mergeCell ref="AS67:AT67"/>
    <mergeCell ref="AW67:AX67"/>
    <mergeCell ref="AY67:AZ67"/>
    <mergeCell ref="BG67:BH67"/>
    <mergeCell ref="BI67:BJ67"/>
    <mergeCell ref="BA67:BB67"/>
    <mergeCell ref="BE67:BF67"/>
    <mergeCell ref="AA65:AA67"/>
    <mergeCell ref="AB65:AB67"/>
    <mergeCell ref="AC65:AC67"/>
    <mergeCell ref="AD65:AD67"/>
    <mergeCell ref="AI65:AN65"/>
    <mergeCell ref="AO65:AT65"/>
    <mergeCell ref="AI67:AJ67"/>
    <mergeCell ref="AK67:AL67"/>
    <mergeCell ref="AM67:AN67"/>
    <mergeCell ref="AO67:AP67"/>
    <mergeCell ref="Q75:S75"/>
    <mergeCell ref="U75:W75"/>
    <mergeCell ref="Q76:R78"/>
    <mergeCell ref="S76:S78"/>
    <mergeCell ref="T76:T78"/>
    <mergeCell ref="U76:W76"/>
    <mergeCell ref="U77:W77"/>
    <mergeCell ref="U78:W78"/>
    <mergeCell ref="AC71:AC73"/>
    <mergeCell ref="AD71:AD73"/>
    <mergeCell ref="U72:W72"/>
    <mergeCell ref="U73:W73"/>
    <mergeCell ref="T71:T73"/>
    <mergeCell ref="U71:W71"/>
    <mergeCell ref="AA71:AA73"/>
    <mergeCell ref="AB71:AB73"/>
    <mergeCell ref="T68:T70"/>
    <mergeCell ref="U68:W68"/>
    <mergeCell ref="AA68:AA70"/>
    <mergeCell ref="AB68:AB70"/>
    <mergeCell ref="AC68:AC70"/>
    <mergeCell ref="AD68:AD70"/>
    <mergeCell ref="U69:W69"/>
    <mergeCell ref="U70:W70"/>
    <mergeCell ref="BI78:BJ78"/>
    <mergeCell ref="T79:T81"/>
    <mergeCell ref="U79:W79"/>
    <mergeCell ref="AA79:AA81"/>
    <mergeCell ref="AB79:AB81"/>
    <mergeCell ref="AC79:AC81"/>
    <mergeCell ref="AD79:AD81"/>
    <mergeCell ref="U80:W80"/>
    <mergeCell ref="U81:W81"/>
    <mergeCell ref="AQ78:AR78"/>
    <mergeCell ref="AS78:AT78"/>
    <mergeCell ref="AW78:AX78"/>
    <mergeCell ref="AK78:AL78"/>
    <mergeCell ref="AM78:AN78"/>
    <mergeCell ref="AO78:AP78"/>
    <mergeCell ref="AY78:AZ78"/>
    <mergeCell ref="BA78:BB78"/>
    <mergeCell ref="BE78:BF78"/>
    <mergeCell ref="AA76:AA78"/>
    <mergeCell ref="AB76:AB78"/>
    <mergeCell ref="AC76:AC78"/>
    <mergeCell ref="AD76:AD78"/>
    <mergeCell ref="AI76:AN76"/>
    <mergeCell ref="AO76:AT76"/>
    <mergeCell ref="AI78:AJ78"/>
    <mergeCell ref="Q86:S86"/>
    <mergeCell ref="U86:W86"/>
    <mergeCell ref="Q87:R89"/>
    <mergeCell ref="S87:S89"/>
    <mergeCell ref="T87:T89"/>
    <mergeCell ref="U87:W87"/>
    <mergeCell ref="U88:W88"/>
    <mergeCell ref="U89:W89"/>
    <mergeCell ref="AC82:AC84"/>
    <mergeCell ref="AD82:AD84"/>
    <mergeCell ref="U83:W83"/>
    <mergeCell ref="U84:W84"/>
    <mergeCell ref="T82:T84"/>
    <mergeCell ref="U82:W82"/>
    <mergeCell ref="AA82:AA84"/>
    <mergeCell ref="AB82:AB84"/>
    <mergeCell ref="BG78:BH78"/>
    <mergeCell ref="BG89:BH89"/>
    <mergeCell ref="BA89:BB89"/>
    <mergeCell ref="BI89:BJ89"/>
    <mergeCell ref="T90:T92"/>
    <mergeCell ref="U90:W90"/>
    <mergeCell ref="AA90:AA92"/>
    <mergeCell ref="AB90:AB92"/>
    <mergeCell ref="AC90:AC92"/>
    <mergeCell ref="BE89:BF89"/>
    <mergeCell ref="AA87:AA89"/>
    <mergeCell ref="AB87:AB89"/>
    <mergeCell ref="AC87:AC89"/>
    <mergeCell ref="AD87:AD89"/>
    <mergeCell ref="AI87:AN87"/>
    <mergeCell ref="AO87:AT87"/>
    <mergeCell ref="AI89:AJ89"/>
    <mergeCell ref="AK89:AL89"/>
    <mergeCell ref="AM89:AN89"/>
    <mergeCell ref="AO89:AP89"/>
    <mergeCell ref="Q98:R100"/>
    <mergeCell ref="S98:S100"/>
    <mergeCell ref="T98:T100"/>
    <mergeCell ref="U98:W98"/>
    <mergeCell ref="Q97:S97"/>
    <mergeCell ref="U97:W97"/>
    <mergeCell ref="AD90:AD92"/>
    <mergeCell ref="U91:W91"/>
    <mergeCell ref="U92:W92"/>
    <mergeCell ref="AQ89:AR89"/>
    <mergeCell ref="AC93:AC95"/>
    <mergeCell ref="AD93:AD95"/>
    <mergeCell ref="U94:W94"/>
    <mergeCell ref="U95:W95"/>
    <mergeCell ref="AS89:AT89"/>
    <mergeCell ref="AW89:AX89"/>
    <mergeCell ref="AY89:AZ89"/>
    <mergeCell ref="BI100:BJ100"/>
    <mergeCell ref="T101:T103"/>
    <mergeCell ref="U101:W101"/>
    <mergeCell ref="AB101:AB103"/>
    <mergeCell ref="AC101:AC103"/>
    <mergeCell ref="AD101:AD103"/>
    <mergeCell ref="AI97:AN97"/>
    <mergeCell ref="AO97:AT97"/>
    <mergeCell ref="U99:W99"/>
    <mergeCell ref="U100:W100"/>
    <mergeCell ref="AI100:AJ100"/>
    <mergeCell ref="AK100:AL100"/>
    <mergeCell ref="AB98:AB100"/>
    <mergeCell ref="AC98:AC100"/>
    <mergeCell ref="AM100:AN100"/>
    <mergeCell ref="AO100:AP100"/>
    <mergeCell ref="T93:T95"/>
    <mergeCell ref="U93:W93"/>
    <mergeCell ref="AA93:AA95"/>
    <mergeCell ref="AB93:AB95"/>
    <mergeCell ref="AE101:AE103"/>
    <mergeCell ref="AW101:AX101"/>
    <mergeCell ref="U102:W102"/>
    <mergeCell ref="U103:W103"/>
    <mergeCell ref="U104:W104"/>
    <mergeCell ref="AB104:AB106"/>
    <mergeCell ref="AC104:AC106"/>
    <mergeCell ref="AD104:AD106"/>
    <mergeCell ref="AE104:AE106"/>
    <mergeCell ref="AQ100:AR100"/>
    <mergeCell ref="AS100:AT100"/>
    <mergeCell ref="BA100:BB100"/>
    <mergeCell ref="BC100:BD100"/>
    <mergeCell ref="BE100:BF100"/>
    <mergeCell ref="BG100:BH100"/>
    <mergeCell ref="AW100:AX100"/>
    <mergeCell ref="AY100:AZ100"/>
    <mergeCell ref="AD98:AD100"/>
    <mergeCell ref="AE98:AE100"/>
    <mergeCell ref="AA115:AC115"/>
    <mergeCell ref="T116:U116"/>
    <mergeCell ref="AA116:AC116"/>
    <mergeCell ref="T117:U117"/>
    <mergeCell ref="X117:Z117"/>
    <mergeCell ref="AA117:AC117"/>
    <mergeCell ref="T115:U115"/>
    <mergeCell ref="AD107:AD109"/>
    <mergeCell ref="AE107:AE109"/>
    <mergeCell ref="U108:W108"/>
    <mergeCell ref="U109:W109"/>
    <mergeCell ref="T111:W111"/>
    <mergeCell ref="X111:Z111"/>
    <mergeCell ref="AA111:AC111"/>
    <mergeCell ref="AD111:AF111"/>
    <mergeCell ref="AB107:AB109"/>
    <mergeCell ref="U105:W105"/>
    <mergeCell ref="U106:W106"/>
    <mergeCell ref="T107:T109"/>
    <mergeCell ref="U107:W107"/>
    <mergeCell ref="T104:T106"/>
    <mergeCell ref="X115:Z115"/>
    <mergeCell ref="T113:U113"/>
    <mergeCell ref="X113:Z113"/>
    <mergeCell ref="T114:U114"/>
    <mergeCell ref="X114:Z114"/>
    <mergeCell ref="AC107:AC109"/>
    <mergeCell ref="AD121:AF121"/>
    <mergeCell ref="T122:U122"/>
    <mergeCell ref="X122:Z122"/>
    <mergeCell ref="AD127:AF127"/>
    <mergeCell ref="T128:U128"/>
    <mergeCell ref="AD128:AF128"/>
    <mergeCell ref="T124:U124"/>
    <mergeCell ref="AA124:AC124"/>
    <mergeCell ref="T125:U125"/>
    <mergeCell ref="X125:Z125"/>
    <mergeCell ref="T123:U123"/>
    <mergeCell ref="X123:Z123"/>
    <mergeCell ref="AA123:AC123"/>
    <mergeCell ref="T118:U118"/>
    <mergeCell ref="X118:Z118"/>
    <mergeCell ref="T119:U119"/>
    <mergeCell ref="X119:Z119"/>
    <mergeCell ref="T121:U121"/>
    <mergeCell ref="X121:Z121"/>
    <mergeCell ref="AD119:AF119"/>
    <mergeCell ref="T120:U120"/>
    <mergeCell ref="AD120:AF120"/>
    <mergeCell ref="T129:U129"/>
    <mergeCell ref="X129:Z129"/>
    <mergeCell ref="T132:U132"/>
    <mergeCell ref="AA132:AC132"/>
    <mergeCell ref="T133:U133"/>
    <mergeCell ref="X133:Z133"/>
    <mergeCell ref="AA133:AC133"/>
    <mergeCell ref="AD129:AF129"/>
    <mergeCell ref="T130:U130"/>
    <mergeCell ref="X130:Z130"/>
    <mergeCell ref="T131:U131"/>
    <mergeCell ref="X131:Z131"/>
    <mergeCell ref="AA131:AC131"/>
    <mergeCell ref="AA125:AC125"/>
    <mergeCell ref="AD125:AF125"/>
    <mergeCell ref="T126:U126"/>
    <mergeCell ref="X126:Z126"/>
    <mergeCell ref="T127:U127"/>
    <mergeCell ref="X127:Z127"/>
    <mergeCell ref="AA139:AC139"/>
    <mergeCell ref="T140:U140"/>
    <mergeCell ref="AA140:AC140"/>
    <mergeCell ref="T135:U135"/>
    <mergeCell ref="X135:Z135"/>
    <mergeCell ref="T138:U138"/>
    <mergeCell ref="X138:Z138"/>
    <mergeCell ref="T139:U139"/>
    <mergeCell ref="X139:Z139"/>
    <mergeCell ref="AD135:AF135"/>
    <mergeCell ref="T136:U136"/>
    <mergeCell ref="AD136:AF136"/>
    <mergeCell ref="T137:U137"/>
    <mergeCell ref="X137:Z137"/>
    <mergeCell ref="AD137:AF137"/>
    <mergeCell ref="T134:U134"/>
    <mergeCell ref="X134:Z134"/>
    <mergeCell ref="T144:U144"/>
    <mergeCell ref="T146:AD146"/>
    <mergeCell ref="AI148:AN148"/>
    <mergeCell ref="AO148:AT148"/>
    <mergeCell ref="Q149:R151"/>
    <mergeCell ref="S149:S151"/>
    <mergeCell ref="T149:T151"/>
    <mergeCell ref="U149:W149"/>
    <mergeCell ref="AB149:AB151"/>
    <mergeCell ref="AC149:AC151"/>
    <mergeCell ref="AA141:AC141"/>
    <mergeCell ref="T142:U142"/>
    <mergeCell ref="X142:Z142"/>
    <mergeCell ref="AD142:AF142"/>
    <mergeCell ref="Q148:S148"/>
    <mergeCell ref="U148:W148"/>
    <mergeCell ref="T141:U141"/>
    <mergeCell ref="X141:Z141"/>
    <mergeCell ref="T143:U143"/>
    <mergeCell ref="X143:Z143"/>
    <mergeCell ref="BI151:BJ151"/>
    <mergeCell ref="T152:T154"/>
    <mergeCell ref="U152:W152"/>
    <mergeCell ref="AB152:AB154"/>
    <mergeCell ref="AC152:AC154"/>
    <mergeCell ref="AD152:AD154"/>
    <mergeCell ref="AE152:AE154"/>
    <mergeCell ref="AW152:AX152"/>
    <mergeCell ref="U153:W153"/>
    <mergeCell ref="U154:W154"/>
    <mergeCell ref="AQ151:AR151"/>
    <mergeCell ref="AS151:AT151"/>
    <mergeCell ref="AW151:AX151"/>
    <mergeCell ref="AY151:AZ151"/>
    <mergeCell ref="BE151:BF151"/>
    <mergeCell ref="BG151:BH151"/>
    <mergeCell ref="AD149:AD151"/>
    <mergeCell ref="AE149:AE151"/>
    <mergeCell ref="BA151:BB151"/>
    <mergeCell ref="BC151:BD151"/>
    <mergeCell ref="U150:W150"/>
    <mergeCell ref="U151:W151"/>
    <mergeCell ref="AI151:AJ151"/>
    <mergeCell ref="AK151:AL151"/>
    <mergeCell ref="AM151:AN151"/>
    <mergeCell ref="AO151:AP151"/>
    <mergeCell ref="U159:W159"/>
    <mergeCell ref="U160:W160"/>
    <mergeCell ref="AD158:AD160"/>
    <mergeCell ref="AE158:AE160"/>
    <mergeCell ref="Q162:S162"/>
    <mergeCell ref="U162:W162"/>
    <mergeCell ref="Q163:R165"/>
    <mergeCell ref="S163:S165"/>
    <mergeCell ref="T163:T165"/>
    <mergeCell ref="U163:W163"/>
    <mergeCell ref="U164:W164"/>
    <mergeCell ref="U165:W165"/>
    <mergeCell ref="AD155:AD157"/>
    <mergeCell ref="AE155:AE157"/>
    <mergeCell ref="U156:W156"/>
    <mergeCell ref="U157:W157"/>
    <mergeCell ref="AB155:AB157"/>
    <mergeCell ref="AC155:AC157"/>
    <mergeCell ref="T155:T157"/>
    <mergeCell ref="U155:W155"/>
    <mergeCell ref="T158:T160"/>
    <mergeCell ref="U158:W158"/>
    <mergeCell ref="AB158:AB160"/>
    <mergeCell ref="AC158:AC160"/>
    <mergeCell ref="AQ165:AR165"/>
    <mergeCell ref="AS165:AT165"/>
    <mergeCell ref="AW165:AX165"/>
    <mergeCell ref="AY165:AZ165"/>
    <mergeCell ref="BG165:BH165"/>
    <mergeCell ref="BI165:BJ165"/>
    <mergeCell ref="BA165:BB165"/>
    <mergeCell ref="BE165:BF165"/>
    <mergeCell ref="AA163:AA165"/>
    <mergeCell ref="AB163:AB165"/>
    <mergeCell ref="AC163:AC165"/>
    <mergeCell ref="AD163:AD165"/>
    <mergeCell ref="AI163:AN163"/>
    <mergeCell ref="AO163:AT163"/>
    <mergeCell ref="AI165:AJ165"/>
    <mergeCell ref="AK165:AL165"/>
    <mergeCell ref="AM165:AN165"/>
    <mergeCell ref="AO165:AP165"/>
    <mergeCell ref="Q173:S173"/>
    <mergeCell ref="U173:W173"/>
    <mergeCell ref="Q174:R176"/>
    <mergeCell ref="S174:S176"/>
    <mergeCell ref="T174:T176"/>
    <mergeCell ref="U174:W174"/>
    <mergeCell ref="U175:W175"/>
    <mergeCell ref="U176:W176"/>
    <mergeCell ref="AC169:AC171"/>
    <mergeCell ref="AD169:AD171"/>
    <mergeCell ref="U170:W170"/>
    <mergeCell ref="U171:W171"/>
    <mergeCell ref="T169:T171"/>
    <mergeCell ref="U169:W169"/>
    <mergeCell ref="AA169:AA171"/>
    <mergeCell ref="AB169:AB171"/>
    <mergeCell ref="T166:T168"/>
    <mergeCell ref="U166:W166"/>
    <mergeCell ref="AA166:AA168"/>
    <mergeCell ref="AB166:AB168"/>
    <mergeCell ref="AC166:AC168"/>
    <mergeCell ref="AD166:AD168"/>
    <mergeCell ref="U167:W167"/>
    <mergeCell ref="U168:W168"/>
    <mergeCell ref="AQ176:AR176"/>
    <mergeCell ref="AS176:AT176"/>
    <mergeCell ref="AW176:AX176"/>
    <mergeCell ref="AY176:AZ176"/>
    <mergeCell ref="BG176:BH176"/>
    <mergeCell ref="BI176:BJ176"/>
    <mergeCell ref="BA176:BB176"/>
    <mergeCell ref="BE176:BF176"/>
    <mergeCell ref="AA174:AA176"/>
    <mergeCell ref="AB174:AB176"/>
    <mergeCell ref="AC174:AC176"/>
    <mergeCell ref="AD174:AD176"/>
    <mergeCell ref="AI174:AN174"/>
    <mergeCell ref="AO174:AT174"/>
    <mergeCell ref="AI176:AJ176"/>
    <mergeCell ref="AK176:AL176"/>
    <mergeCell ref="AM176:AN176"/>
    <mergeCell ref="AO176:AP176"/>
    <mergeCell ref="Q184:S184"/>
    <mergeCell ref="U184:W184"/>
    <mergeCell ref="Q185:R187"/>
    <mergeCell ref="S185:S187"/>
    <mergeCell ref="T185:T187"/>
    <mergeCell ref="U185:W185"/>
    <mergeCell ref="U186:W186"/>
    <mergeCell ref="U187:W187"/>
    <mergeCell ref="AC180:AC182"/>
    <mergeCell ref="AD180:AD182"/>
    <mergeCell ref="U181:W181"/>
    <mergeCell ref="U182:W182"/>
    <mergeCell ref="T180:T182"/>
    <mergeCell ref="U180:W180"/>
    <mergeCell ref="AA180:AA182"/>
    <mergeCell ref="AB180:AB182"/>
    <mergeCell ref="T177:T179"/>
    <mergeCell ref="U177:W177"/>
    <mergeCell ref="AA177:AA179"/>
    <mergeCell ref="AB177:AB179"/>
    <mergeCell ref="AC177:AC179"/>
    <mergeCell ref="AD177:AD179"/>
    <mergeCell ref="U178:W178"/>
    <mergeCell ref="U179:W179"/>
    <mergeCell ref="AQ187:AR187"/>
    <mergeCell ref="AS187:AT187"/>
    <mergeCell ref="AW187:AX187"/>
    <mergeCell ref="AY187:AZ187"/>
    <mergeCell ref="BG187:BH187"/>
    <mergeCell ref="BI187:BJ187"/>
    <mergeCell ref="BA187:BB187"/>
    <mergeCell ref="BE187:BF187"/>
    <mergeCell ref="AA185:AA187"/>
    <mergeCell ref="AB185:AB187"/>
    <mergeCell ref="AC185:AC187"/>
    <mergeCell ref="AD185:AD187"/>
    <mergeCell ref="AI185:AN185"/>
    <mergeCell ref="AO185:AT185"/>
    <mergeCell ref="AI187:AJ187"/>
    <mergeCell ref="AK187:AL187"/>
    <mergeCell ref="AM187:AN187"/>
    <mergeCell ref="AO187:AP187"/>
    <mergeCell ref="Q195:S195"/>
    <mergeCell ref="U195:W195"/>
    <mergeCell ref="Q196:R198"/>
    <mergeCell ref="S196:S198"/>
    <mergeCell ref="T196:T198"/>
    <mergeCell ref="U196:W196"/>
    <mergeCell ref="U197:W197"/>
    <mergeCell ref="U198:W198"/>
    <mergeCell ref="AC191:AC193"/>
    <mergeCell ref="AD191:AD193"/>
    <mergeCell ref="U192:W192"/>
    <mergeCell ref="U193:W193"/>
    <mergeCell ref="T191:T193"/>
    <mergeCell ref="U191:W191"/>
    <mergeCell ref="AA191:AA193"/>
    <mergeCell ref="AB191:AB193"/>
    <mergeCell ref="T188:T190"/>
    <mergeCell ref="U188:W188"/>
    <mergeCell ref="AA188:AA190"/>
    <mergeCell ref="AB188:AB190"/>
    <mergeCell ref="AC188:AC190"/>
    <mergeCell ref="AD188:AD190"/>
    <mergeCell ref="U189:W189"/>
    <mergeCell ref="U190:W190"/>
    <mergeCell ref="AQ198:AR198"/>
    <mergeCell ref="AS198:AT198"/>
    <mergeCell ref="AW198:AX198"/>
    <mergeCell ref="AY198:AZ198"/>
    <mergeCell ref="BG198:BH198"/>
    <mergeCell ref="BI198:BJ198"/>
    <mergeCell ref="BA198:BB198"/>
    <mergeCell ref="BE198:BF198"/>
    <mergeCell ref="AA196:AA198"/>
    <mergeCell ref="AB196:AB198"/>
    <mergeCell ref="AC196:AC198"/>
    <mergeCell ref="AD196:AD198"/>
    <mergeCell ref="AI196:AN196"/>
    <mergeCell ref="AO196:AT196"/>
    <mergeCell ref="AI198:AJ198"/>
    <mergeCell ref="AK198:AL198"/>
    <mergeCell ref="AM198:AN198"/>
    <mergeCell ref="AO198:AP198"/>
    <mergeCell ref="Q206:S206"/>
    <mergeCell ref="U206:W206"/>
    <mergeCell ref="Q207:R209"/>
    <mergeCell ref="S207:S209"/>
    <mergeCell ref="T207:T209"/>
    <mergeCell ref="U207:W207"/>
    <mergeCell ref="U208:W208"/>
    <mergeCell ref="U209:W209"/>
    <mergeCell ref="AC202:AC204"/>
    <mergeCell ref="AD202:AD204"/>
    <mergeCell ref="U203:W203"/>
    <mergeCell ref="U204:W204"/>
    <mergeCell ref="T202:T204"/>
    <mergeCell ref="U202:W202"/>
    <mergeCell ref="AA202:AA204"/>
    <mergeCell ref="AB202:AB204"/>
    <mergeCell ref="T199:T201"/>
    <mergeCell ref="U199:W199"/>
    <mergeCell ref="AA199:AA201"/>
    <mergeCell ref="AB199:AB201"/>
    <mergeCell ref="AC199:AC201"/>
    <mergeCell ref="AD199:AD201"/>
    <mergeCell ref="U200:W200"/>
    <mergeCell ref="U201:W201"/>
    <mergeCell ref="AQ209:AR209"/>
    <mergeCell ref="AS209:AT209"/>
    <mergeCell ref="AW209:AX209"/>
    <mergeCell ref="AY209:AZ209"/>
    <mergeCell ref="BG209:BH209"/>
    <mergeCell ref="BI209:BJ209"/>
    <mergeCell ref="BA209:BB209"/>
    <mergeCell ref="BE209:BF209"/>
    <mergeCell ref="AA207:AA209"/>
    <mergeCell ref="AB207:AB209"/>
    <mergeCell ref="AC207:AC209"/>
    <mergeCell ref="AD207:AD209"/>
    <mergeCell ref="AI207:AN207"/>
    <mergeCell ref="AO207:AT207"/>
    <mergeCell ref="AI209:AJ209"/>
    <mergeCell ref="AK209:AL209"/>
    <mergeCell ref="AM209:AN209"/>
    <mergeCell ref="AO209:AP209"/>
    <mergeCell ref="Q217:S217"/>
    <mergeCell ref="U217:W217"/>
    <mergeCell ref="Q218:R220"/>
    <mergeCell ref="S218:S220"/>
    <mergeCell ref="T218:T220"/>
    <mergeCell ref="U218:W218"/>
    <mergeCell ref="U219:W219"/>
    <mergeCell ref="U220:W220"/>
    <mergeCell ref="AC213:AC215"/>
    <mergeCell ref="AD213:AD215"/>
    <mergeCell ref="U214:W214"/>
    <mergeCell ref="U215:W215"/>
    <mergeCell ref="T213:T215"/>
    <mergeCell ref="U213:W213"/>
    <mergeCell ref="AA213:AA215"/>
    <mergeCell ref="AB213:AB215"/>
    <mergeCell ref="T210:T212"/>
    <mergeCell ref="U210:W210"/>
    <mergeCell ref="AA210:AA212"/>
    <mergeCell ref="AB210:AB212"/>
    <mergeCell ref="AC210:AC212"/>
    <mergeCell ref="AD210:AD212"/>
    <mergeCell ref="U211:W211"/>
    <mergeCell ref="U212:W212"/>
    <mergeCell ref="BI220:BJ220"/>
    <mergeCell ref="T221:T223"/>
    <mergeCell ref="U221:W221"/>
    <mergeCell ref="AA221:AA223"/>
    <mergeCell ref="AB221:AB223"/>
    <mergeCell ref="AC221:AC223"/>
    <mergeCell ref="AD221:AD223"/>
    <mergeCell ref="U222:W222"/>
    <mergeCell ref="U223:W223"/>
    <mergeCell ref="AQ220:AR220"/>
    <mergeCell ref="AS220:AT220"/>
    <mergeCell ref="AW220:AX220"/>
    <mergeCell ref="AK220:AL220"/>
    <mergeCell ref="AM220:AN220"/>
    <mergeCell ref="AO220:AP220"/>
    <mergeCell ref="AY220:AZ220"/>
    <mergeCell ref="BA220:BB220"/>
    <mergeCell ref="BE220:BF220"/>
    <mergeCell ref="AA218:AA220"/>
    <mergeCell ref="AB218:AB220"/>
    <mergeCell ref="AC218:AC220"/>
    <mergeCell ref="AD218:AD220"/>
    <mergeCell ref="AI218:AN218"/>
    <mergeCell ref="AO218:AT218"/>
    <mergeCell ref="AI220:AJ220"/>
    <mergeCell ref="Q228:S228"/>
    <mergeCell ref="U228:W228"/>
    <mergeCell ref="Q229:R231"/>
    <mergeCell ref="S229:S231"/>
    <mergeCell ref="T229:T231"/>
    <mergeCell ref="U229:W229"/>
    <mergeCell ref="U230:W230"/>
    <mergeCell ref="U231:W231"/>
    <mergeCell ref="AC224:AC226"/>
    <mergeCell ref="AD224:AD226"/>
    <mergeCell ref="U225:W225"/>
    <mergeCell ref="U226:W226"/>
    <mergeCell ref="T224:T226"/>
    <mergeCell ref="U224:W224"/>
    <mergeCell ref="AA224:AA226"/>
    <mergeCell ref="AB224:AB226"/>
    <mergeCell ref="BG220:BH220"/>
    <mergeCell ref="BG231:BH231"/>
    <mergeCell ref="T232:T234"/>
    <mergeCell ref="U232:W232"/>
    <mergeCell ref="AA232:AA234"/>
    <mergeCell ref="AB232:AB234"/>
    <mergeCell ref="AC232:AC234"/>
    <mergeCell ref="AD232:AD234"/>
    <mergeCell ref="U233:W233"/>
    <mergeCell ref="U234:W234"/>
    <mergeCell ref="AQ231:AR231"/>
    <mergeCell ref="AS231:AT231"/>
    <mergeCell ref="AW231:AX231"/>
    <mergeCell ref="AY231:AZ231"/>
    <mergeCell ref="U237:W237"/>
    <mergeCell ref="BI231:BJ231"/>
    <mergeCell ref="BA231:BB231"/>
    <mergeCell ref="BE231:BF231"/>
    <mergeCell ref="AA229:AA231"/>
    <mergeCell ref="AB229:AB231"/>
    <mergeCell ref="AC229:AC231"/>
    <mergeCell ref="AD229:AD231"/>
    <mergeCell ref="AI229:AN229"/>
    <mergeCell ref="AO229:AT229"/>
    <mergeCell ref="AI231:AJ231"/>
    <mergeCell ref="AK231:AL231"/>
    <mergeCell ref="AM231:AN231"/>
    <mergeCell ref="AO231:AP231"/>
    <mergeCell ref="T243:U243"/>
    <mergeCell ref="X243:Z243"/>
    <mergeCell ref="T244:U244"/>
    <mergeCell ref="X244:Z244"/>
    <mergeCell ref="T246:U246"/>
    <mergeCell ref="X246:Z246"/>
    <mergeCell ref="AA244:AC244"/>
    <mergeCell ref="T245:U245"/>
    <mergeCell ref="AA245:AC245"/>
    <mergeCell ref="T240:W240"/>
    <mergeCell ref="X240:Z240"/>
    <mergeCell ref="AA240:AC240"/>
    <mergeCell ref="AD240:AF240"/>
    <mergeCell ref="T242:U242"/>
    <mergeCell ref="X242:Z242"/>
    <mergeCell ref="T235:T237"/>
    <mergeCell ref="U235:W235"/>
    <mergeCell ref="AA235:AA237"/>
    <mergeCell ref="AB235:AB237"/>
    <mergeCell ref="AC235:AC237"/>
    <mergeCell ref="AD235:AD237"/>
    <mergeCell ref="U236:W236"/>
    <mergeCell ref="AD248:AF248"/>
    <mergeCell ref="T249:U249"/>
    <mergeCell ref="AD249:AF249"/>
    <mergeCell ref="T250:U250"/>
    <mergeCell ref="X250:Z250"/>
    <mergeCell ref="AD250:AF250"/>
    <mergeCell ref="T248:U248"/>
    <mergeCell ref="AA246:AC246"/>
    <mergeCell ref="T247:U247"/>
    <mergeCell ref="X247:Z247"/>
    <mergeCell ref="AA252:AC252"/>
    <mergeCell ref="T253:U253"/>
    <mergeCell ref="AA253:AC253"/>
    <mergeCell ref="T251:U251"/>
    <mergeCell ref="X251:Z251"/>
    <mergeCell ref="T252:U252"/>
    <mergeCell ref="X252:Z252"/>
    <mergeCell ref="X248:Z248"/>
    <mergeCell ref="T259:AD259"/>
    <mergeCell ref="Q261:S261"/>
    <mergeCell ref="U261:W261"/>
    <mergeCell ref="Q262:R264"/>
    <mergeCell ref="S262:S264"/>
    <mergeCell ref="T262:T264"/>
    <mergeCell ref="U262:W262"/>
    <mergeCell ref="U263:W263"/>
    <mergeCell ref="U264:W264"/>
    <mergeCell ref="AI261:AN261"/>
    <mergeCell ref="AO261:AT261"/>
    <mergeCell ref="T254:U254"/>
    <mergeCell ref="X254:Z254"/>
    <mergeCell ref="AA254:AC254"/>
    <mergeCell ref="T255:U255"/>
    <mergeCell ref="X255:Z255"/>
    <mergeCell ref="T256:U256"/>
    <mergeCell ref="X256:Z256"/>
    <mergeCell ref="T257:U257"/>
    <mergeCell ref="BC264:BD264"/>
    <mergeCell ref="BE264:BF264"/>
    <mergeCell ref="BG264:BH264"/>
    <mergeCell ref="AB268:AB270"/>
    <mergeCell ref="AC268:AC270"/>
    <mergeCell ref="AD268:AD270"/>
    <mergeCell ref="AE268:AE270"/>
    <mergeCell ref="AE265:AE267"/>
    <mergeCell ref="AW265:AX265"/>
    <mergeCell ref="BI264:BJ264"/>
    <mergeCell ref="T265:T267"/>
    <mergeCell ref="U265:W265"/>
    <mergeCell ref="AB265:AB267"/>
    <mergeCell ref="AC265:AC267"/>
    <mergeCell ref="AD265:AD267"/>
    <mergeCell ref="AM264:AN264"/>
    <mergeCell ref="AO264:AP264"/>
    <mergeCell ref="AQ264:AR264"/>
    <mergeCell ref="AS264:AT264"/>
    <mergeCell ref="AI264:AJ264"/>
    <mergeCell ref="AK264:AL264"/>
    <mergeCell ref="AB262:AB264"/>
    <mergeCell ref="AC262:AC264"/>
    <mergeCell ref="AW264:AX264"/>
    <mergeCell ref="AY264:AZ264"/>
    <mergeCell ref="AD262:AD264"/>
    <mergeCell ref="AE262:AE264"/>
    <mergeCell ref="AD271:AD273"/>
    <mergeCell ref="AE271:AE273"/>
    <mergeCell ref="U272:W272"/>
    <mergeCell ref="U273:W273"/>
    <mergeCell ref="AB271:AB273"/>
    <mergeCell ref="AC271:AC273"/>
    <mergeCell ref="U266:W266"/>
    <mergeCell ref="U267:W267"/>
    <mergeCell ref="Q275:S275"/>
    <mergeCell ref="U275:W275"/>
    <mergeCell ref="U269:W269"/>
    <mergeCell ref="U270:W270"/>
    <mergeCell ref="T271:T273"/>
    <mergeCell ref="U271:W271"/>
    <mergeCell ref="T268:T270"/>
    <mergeCell ref="U268:W268"/>
    <mergeCell ref="BA264:BB264"/>
    <mergeCell ref="BI278:BJ278"/>
    <mergeCell ref="AQ278:AR278"/>
    <mergeCell ref="AS278:AT278"/>
    <mergeCell ref="AW278:AX278"/>
    <mergeCell ref="AY278:AZ278"/>
    <mergeCell ref="BA278:BB278"/>
    <mergeCell ref="BE278:BF278"/>
    <mergeCell ref="AC279:AC281"/>
    <mergeCell ref="AD279:AD281"/>
    <mergeCell ref="U280:W280"/>
    <mergeCell ref="U281:W281"/>
    <mergeCell ref="T279:T281"/>
    <mergeCell ref="U279:W279"/>
    <mergeCell ref="AA279:AA281"/>
    <mergeCell ref="AB279:AB281"/>
    <mergeCell ref="AI278:AJ278"/>
    <mergeCell ref="AK278:AL278"/>
    <mergeCell ref="AC276:AC278"/>
    <mergeCell ref="AD276:AD278"/>
    <mergeCell ref="AI276:AN276"/>
    <mergeCell ref="AO276:AT276"/>
    <mergeCell ref="AM278:AN278"/>
    <mergeCell ref="AO278:AP278"/>
    <mergeCell ref="T276:T278"/>
    <mergeCell ref="U276:W276"/>
    <mergeCell ref="AA276:AA278"/>
    <mergeCell ref="AB276:AB278"/>
    <mergeCell ref="U277:W277"/>
    <mergeCell ref="U278:W278"/>
    <mergeCell ref="Q286:S286"/>
    <mergeCell ref="U286:W286"/>
    <mergeCell ref="Q287:R289"/>
    <mergeCell ref="S287:S289"/>
    <mergeCell ref="T287:T289"/>
    <mergeCell ref="U287:W287"/>
    <mergeCell ref="U288:W288"/>
    <mergeCell ref="U289:W289"/>
    <mergeCell ref="AC282:AC284"/>
    <mergeCell ref="AD282:AD284"/>
    <mergeCell ref="U283:W283"/>
    <mergeCell ref="U284:W284"/>
    <mergeCell ref="T282:T284"/>
    <mergeCell ref="U282:W282"/>
    <mergeCell ref="AA282:AA284"/>
    <mergeCell ref="AB282:AB284"/>
    <mergeCell ref="BG278:BH278"/>
    <mergeCell ref="Q276:R278"/>
    <mergeCell ref="S276:S278"/>
    <mergeCell ref="AQ289:AR289"/>
    <mergeCell ref="AS289:AT289"/>
    <mergeCell ref="AW289:AX289"/>
    <mergeCell ref="AY289:AZ289"/>
    <mergeCell ref="BG289:BH289"/>
    <mergeCell ref="BI289:BJ289"/>
    <mergeCell ref="BA289:BB289"/>
    <mergeCell ref="BE289:BF289"/>
    <mergeCell ref="AA287:AA289"/>
    <mergeCell ref="AB287:AB289"/>
    <mergeCell ref="AC287:AC289"/>
    <mergeCell ref="AD287:AD289"/>
    <mergeCell ref="AI287:AN287"/>
    <mergeCell ref="AO287:AT287"/>
    <mergeCell ref="AI289:AJ289"/>
    <mergeCell ref="AK289:AL289"/>
    <mergeCell ref="AM289:AN289"/>
    <mergeCell ref="AO289:AP289"/>
    <mergeCell ref="Q297:S297"/>
    <mergeCell ref="U297:W297"/>
    <mergeCell ref="Q298:R300"/>
    <mergeCell ref="S298:S300"/>
    <mergeCell ref="T298:T300"/>
    <mergeCell ref="U298:W298"/>
    <mergeCell ref="U299:W299"/>
    <mergeCell ref="U300:W300"/>
    <mergeCell ref="AC293:AC295"/>
    <mergeCell ref="AD293:AD295"/>
    <mergeCell ref="U294:W294"/>
    <mergeCell ref="U295:W295"/>
    <mergeCell ref="T293:T295"/>
    <mergeCell ref="U293:W293"/>
    <mergeCell ref="AA293:AA295"/>
    <mergeCell ref="AB293:AB295"/>
    <mergeCell ref="T290:T292"/>
    <mergeCell ref="U290:W290"/>
    <mergeCell ref="AA290:AA292"/>
    <mergeCell ref="AB290:AB292"/>
    <mergeCell ref="AC290:AC292"/>
    <mergeCell ref="AD290:AD292"/>
    <mergeCell ref="U291:W291"/>
    <mergeCell ref="U292:W292"/>
    <mergeCell ref="AQ300:AR300"/>
    <mergeCell ref="AS300:AT300"/>
    <mergeCell ref="AW300:AX300"/>
    <mergeCell ref="AY300:AZ300"/>
    <mergeCell ref="BG300:BH300"/>
    <mergeCell ref="BI300:BJ300"/>
    <mergeCell ref="BA300:BB300"/>
    <mergeCell ref="BE300:BF300"/>
    <mergeCell ref="AA298:AA300"/>
    <mergeCell ref="AB298:AB300"/>
    <mergeCell ref="AC298:AC300"/>
    <mergeCell ref="AD298:AD300"/>
    <mergeCell ref="AI298:AN298"/>
    <mergeCell ref="AO298:AT298"/>
    <mergeCell ref="AI300:AJ300"/>
    <mergeCell ref="AK300:AL300"/>
    <mergeCell ref="AM300:AN300"/>
    <mergeCell ref="AO300:AP300"/>
    <mergeCell ref="Q308:S308"/>
    <mergeCell ref="U308:W308"/>
    <mergeCell ref="Q309:R311"/>
    <mergeCell ref="S309:S311"/>
    <mergeCell ref="T309:T311"/>
    <mergeCell ref="U309:W309"/>
    <mergeCell ref="U310:W310"/>
    <mergeCell ref="U311:W311"/>
    <mergeCell ref="AC304:AC306"/>
    <mergeCell ref="AD304:AD306"/>
    <mergeCell ref="U305:W305"/>
    <mergeCell ref="U306:W306"/>
    <mergeCell ref="T304:T306"/>
    <mergeCell ref="U304:W304"/>
    <mergeCell ref="AA304:AA306"/>
    <mergeCell ref="AB304:AB306"/>
    <mergeCell ref="T301:T303"/>
    <mergeCell ref="U301:W301"/>
    <mergeCell ref="AA301:AA303"/>
    <mergeCell ref="AB301:AB303"/>
    <mergeCell ref="AC301:AC303"/>
    <mergeCell ref="AD301:AD303"/>
    <mergeCell ref="U302:W302"/>
    <mergeCell ref="U303:W303"/>
    <mergeCell ref="AQ311:AR311"/>
    <mergeCell ref="AS311:AT311"/>
    <mergeCell ref="AW311:AX311"/>
    <mergeCell ref="AY311:AZ311"/>
    <mergeCell ref="BG311:BH311"/>
    <mergeCell ref="BI311:BJ311"/>
    <mergeCell ref="BA311:BB311"/>
    <mergeCell ref="BE311:BF311"/>
    <mergeCell ref="AA309:AA311"/>
    <mergeCell ref="AB309:AB311"/>
    <mergeCell ref="AC309:AC311"/>
    <mergeCell ref="AD309:AD311"/>
    <mergeCell ref="AI309:AN309"/>
    <mergeCell ref="AO309:AT309"/>
    <mergeCell ref="AI311:AJ311"/>
    <mergeCell ref="AK311:AL311"/>
    <mergeCell ref="AM311:AN311"/>
    <mergeCell ref="AO311:AP311"/>
    <mergeCell ref="Q319:S319"/>
    <mergeCell ref="U319:W319"/>
    <mergeCell ref="Q320:R322"/>
    <mergeCell ref="S320:S322"/>
    <mergeCell ref="T320:T322"/>
    <mergeCell ref="U320:W320"/>
    <mergeCell ref="U321:W321"/>
    <mergeCell ref="U322:W322"/>
    <mergeCell ref="AC315:AC317"/>
    <mergeCell ref="AD315:AD317"/>
    <mergeCell ref="U316:W316"/>
    <mergeCell ref="U317:W317"/>
    <mergeCell ref="T315:T317"/>
    <mergeCell ref="U315:W315"/>
    <mergeCell ref="AA315:AA317"/>
    <mergeCell ref="AB315:AB317"/>
    <mergeCell ref="T312:T314"/>
    <mergeCell ref="U312:W312"/>
    <mergeCell ref="AA312:AA314"/>
    <mergeCell ref="AB312:AB314"/>
    <mergeCell ref="AC312:AC314"/>
    <mergeCell ref="AD312:AD314"/>
    <mergeCell ref="U313:W313"/>
    <mergeCell ref="U314:W314"/>
    <mergeCell ref="BI322:BJ322"/>
    <mergeCell ref="T323:T325"/>
    <mergeCell ref="U323:W323"/>
    <mergeCell ref="AA323:AA325"/>
    <mergeCell ref="AB323:AB325"/>
    <mergeCell ref="AC323:AC325"/>
    <mergeCell ref="AD323:AD325"/>
    <mergeCell ref="U324:W324"/>
    <mergeCell ref="U325:W325"/>
    <mergeCell ref="AQ322:AR322"/>
    <mergeCell ref="AS322:AT322"/>
    <mergeCell ref="AW322:AX322"/>
    <mergeCell ref="AK322:AL322"/>
    <mergeCell ref="AM322:AN322"/>
    <mergeCell ref="AO322:AP322"/>
    <mergeCell ref="AY322:AZ322"/>
    <mergeCell ref="BA322:BB322"/>
    <mergeCell ref="BE322:BF322"/>
    <mergeCell ref="AA320:AA322"/>
    <mergeCell ref="AB320:AB322"/>
    <mergeCell ref="AC320:AC322"/>
    <mergeCell ref="AD320:AD322"/>
    <mergeCell ref="AI320:AN320"/>
    <mergeCell ref="AO320:AT320"/>
    <mergeCell ref="AI322:AJ322"/>
    <mergeCell ref="Q330:S330"/>
    <mergeCell ref="U330:W330"/>
    <mergeCell ref="Q331:R333"/>
    <mergeCell ref="S331:S333"/>
    <mergeCell ref="T331:T333"/>
    <mergeCell ref="U331:W331"/>
    <mergeCell ref="U332:W332"/>
    <mergeCell ref="U333:W333"/>
    <mergeCell ref="AC326:AC328"/>
    <mergeCell ref="AD326:AD328"/>
    <mergeCell ref="U327:W327"/>
    <mergeCell ref="U328:W328"/>
    <mergeCell ref="T326:T328"/>
    <mergeCell ref="U326:W326"/>
    <mergeCell ref="AA326:AA328"/>
    <mergeCell ref="AB326:AB328"/>
    <mergeCell ref="BG322:BH322"/>
    <mergeCell ref="BG333:BH333"/>
    <mergeCell ref="AS333:AT333"/>
    <mergeCell ref="AW333:AX333"/>
    <mergeCell ref="AY333:AZ333"/>
    <mergeCell ref="BA333:BB333"/>
    <mergeCell ref="BI333:BJ333"/>
    <mergeCell ref="T334:T336"/>
    <mergeCell ref="U334:W334"/>
    <mergeCell ref="AA334:AA336"/>
    <mergeCell ref="AB334:AB336"/>
    <mergeCell ref="AC334:AC336"/>
    <mergeCell ref="BE333:BF333"/>
    <mergeCell ref="AA331:AA333"/>
    <mergeCell ref="AB331:AB333"/>
    <mergeCell ref="AC331:AC333"/>
    <mergeCell ref="AD331:AD333"/>
    <mergeCell ref="AI331:AN331"/>
    <mergeCell ref="AO331:AT331"/>
    <mergeCell ref="AI333:AJ333"/>
    <mergeCell ref="AK333:AL333"/>
    <mergeCell ref="AM333:AN333"/>
    <mergeCell ref="AO333:AP333"/>
    <mergeCell ref="T337:T339"/>
    <mergeCell ref="U337:W337"/>
    <mergeCell ref="AA337:AA339"/>
    <mergeCell ref="AB337:AB339"/>
    <mergeCell ref="Q342:R344"/>
    <mergeCell ref="S342:S344"/>
    <mergeCell ref="T342:T344"/>
    <mergeCell ref="U342:W342"/>
    <mergeCell ref="Q341:S341"/>
    <mergeCell ref="U341:W341"/>
    <mergeCell ref="AD334:AD336"/>
    <mergeCell ref="U335:W335"/>
    <mergeCell ref="U336:W336"/>
    <mergeCell ref="AQ333:AR333"/>
    <mergeCell ref="AC337:AC339"/>
    <mergeCell ref="AD337:AD339"/>
    <mergeCell ref="U338:W338"/>
    <mergeCell ref="U339:W339"/>
    <mergeCell ref="AQ344:AR344"/>
    <mergeCell ref="AS344:AT344"/>
    <mergeCell ref="BA344:BB344"/>
    <mergeCell ref="BC344:BD344"/>
    <mergeCell ref="BE344:BF344"/>
    <mergeCell ref="BG344:BH344"/>
    <mergeCell ref="AW344:AX344"/>
    <mergeCell ref="AY344:AZ344"/>
    <mergeCell ref="AD342:AD344"/>
    <mergeCell ref="AE342:AE344"/>
    <mergeCell ref="BI344:BJ344"/>
    <mergeCell ref="T345:T347"/>
    <mergeCell ref="U345:W345"/>
    <mergeCell ref="AB345:AB347"/>
    <mergeCell ref="AC345:AC347"/>
    <mergeCell ref="AD345:AD347"/>
    <mergeCell ref="AI341:AN341"/>
    <mergeCell ref="AO341:AT341"/>
    <mergeCell ref="U343:W343"/>
    <mergeCell ref="U344:W344"/>
    <mergeCell ref="AI344:AJ344"/>
    <mergeCell ref="AK344:AL344"/>
    <mergeCell ref="AB342:AB344"/>
    <mergeCell ref="AC342:AC344"/>
    <mergeCell ref="AM344:AN344"/>
    <mergeCell ref="AO344:AP344"/>
    <mergeCell ref="U349:W349"/>
    <mergeCell ref="U350:W350"/>
    <mergeCell ref="T351:T353"/>
    <mergeCell ref="U351:W351"/>
    <mergeCell ref="T348:T350"/>
    <mergeCell ref="X359:Z359"/>
    <mergeCell ref="T357:U357"/>
    <mergeCell ref="X357:Z357"/>
    <mergeCell ref="T358:U358"/>
    <mergeCell ref="X358:Z358"/>
    <mergeCell ref="AC351:AC353"/>
    <mergeCell ref="AE345:AE347"/>
    <mergeCell ref="AW345:AX345"/>
    <mergeCell ref="U346:W346"/>
    <mergeCell ref="U347:W347"/>
    <mergeCell ref="U348:W348"/>
    <mergeCell ref="AB348:AB350"/>
    <mergeCell ref="AC348:AC350"/>
    <mergeCell ref="AD348:AD350"/>
    <mergeCell ref="AE348:AE350"/>
    <mergeCell ref="T362:U362"/>
    <mergeCell ref="X362:Z362"/>
    <mergeCell ref="T363:U363"/>
    <mergeCell ref="X363:Z363"/>
    <mergeCell ref="T365:U365"/>
    <mergeCell ref="X365:Z365"/>
    <mergeCell ref="AD363:AF363"/>
    <mergeCell ref="T364:U364"/>
    <mergeCell ref="AD364:AF364"/>
    <mergeCell ref="AA359:AC359"/>
    <mergeCell ref="T360:U360"/>
    <mergeCell ref="AA360:AC360"/>
    <mergeCell ref="T361:U361"/>
    <mergeCell ref="X361:Z361"/>
    <mergeCell ref="AA361:AC361"/>
    <mergeCell ref="T359:U359"/>
    <mergeCell ref="AD351:AD353"/>
    <mergeCell ref="AE351:AE353"/>
    <mergeCell ref="U352:W352"/>
    <mergeCell ref="U353:W353"/>
    <mergeCell ref="T355:W355"/>
    <mergeCell ref="X355:Z355"/>
    <mergeCell ref="AA355:AC355"/>
    <mergeCell ref="AD355:AF355"/>
    <mergeCell ref="AB351:AB353"/>
    <mergeCell ref="T370:U370"/>
    <mergeCell ref="X370:Z370"/>
    <mergeCell ref="T371:U371"/>
    <mergeCell ref="X371:Z371"/>
    <mergeCell ref="T372:U372"/>
    <mergeCell ref="T374:AD374"/>
    <mergeCell ref="AD365:AF365"/>
    <mergeCell ref="T366:U366"/>
    <mergeCell ref="X366:Z366"/>
    <mergeCell ref="Q376:S376"/>
    <mergeCell ref="U376:W376"/>
    <mergeCell ref="T368:U368"/>
    <mergeCell ref="AA368:AC368"/>
    <mergeCell ref="T369:U369"/>
    <mergeCell ref="X369:Z369"/>
    <mergeCell ref="AA369:AC369"/>
    <mergeCell ref="T367:U367"/>
    <mergeCell ref="X367:Z367"/>
    <mergeCell ref="AA367:AC367"/>
    <mergeCell ref="BI379:BJ379"/>
    <mergeCell ref="AQ379:AR379"/>
    <mergeCell ref="AS379:AT379"/>
    <mergeCell ref="AW379:AX379"/>
    <mergeCell ref="AY379:AZ379"/>
    <mergeCell ref="BA379:BB379"/>
    <mergeCell ref="BE379:BF379"/>
    <mergeCell ref="AC380:AC382"/>
    <mergeCell ref="AD380:AD382"/>
    <mergeCell ref="U381:W381"/>
    <mergeCell ref="U382:W382"/>
    <mergeCell ref="T380:T382"/>
    <mergeCell ref="U380:W380"/>
    <mergeCell ref="AA380:AA382"/>
    <mergeCell ref="AB380:AB382"/>
    <mergeCell ref="AI379:AJ379"/>
    <mergeCell ref="AK379:AL379"/>
    <mergeCell ref="AC377:AC379"/>
    <mergeCell ref="AD377:AD379"/>
    <mergeCell ref="AI377:AN377"/>
    <mergeCell ref="AO377:AT377"/>
    <mergeCell ref="AM379:AN379"/>
    <mergeCell ref="AO379:AP379"/>
    <mergeCell ref="T377:T379"/>
    <mergeCell ref="U377:W377"/>
    <mergeCell ref="AA377:AA379"/>
    <mergeCell ref="AB377:AB379"/>
    <mergeCell ref="U378:W378"/>
    <mergeCell ref="U379:W379"/>
    <mergeCell ref="Q387:S387"/>
    <mergeCell ref="U387:W387"/>
    <mergeCell ref="Q388:R390"/>
    <mergeCell ref="S388:S390"/>
    <mergeCell ref="T388:T390"/>
    <mergeCell ref="U388:W388"/>
    <mergeCell ref="U389:W389"/>
    <mergeCell ref="U390:W390"/>
    <mergeCell ref="AC383:AC385"/>
    <mergeCell ref="AD383:AD385"/>
    <mergeCell ref="U384:W384"/>
    <mergeCell ref="U385:W385"/>
    <mergeCell ref="T383:T385"/>
    <mergeCell ref="U383:W383"/>
    <mergeCell ref="AA383:AA385"/>
    <mergeCell ref="AB383:AB385"/>
    <mergeCell ref="BG379:BH379"/>
    <mergeCell ref="Q377:R379"/>
    <mergeCell ref="S377:S379"/>
    <mergeCell ref="AQ390:AR390"/>
    <mergeCell ref="AS390:AT390"/>
    <mergeCell ref="AW390:AX390"/>
    <mergeCell ref="AY390:AZ390"/>
    <mergeCell ref="BG390:BH390"/>
    <mergeCell ref="BI390:BJ390"/>
    <mergeCell ref="BA390:BB390"/>
    <mergeCell ref="BE390:BF390"/>
    <mergeCell ref="AA388:AA390"/>
    <mergeCell ref="AB388:AB390"/>
    <mergeCell ref="AC388:AC390"/>
    <mergeCell ref="AD388:AD390"/>
    <mergeCell ref="AI388:AN388"/>
    <mergeCell ref="AO388:AT388"/>
    <mergeCell ref="AI390:AJ390"/>
    <mergeCell ref="AK390:AL390"/>
    <mergeCell ref="AM390:AN390"/>
    <mergeCell ref="AO390:AP390"/>
    <mergeCell ref="Q398:S398"/>
    <mergeCell ref="U398:W398"/>
    <mergeCell ref="Q399:R401"/>
    <mergeCell ref="S399:S401"/>
    <mergeCell ref="T399:T401"/>
    <mergeCell ref="U399:W399"/>
    <mergeCell ref="U400:W400"/>
    <mergeCell ref="U401:W401"/>
    <mergeCell ref="AC394:AC396"/>
    <mergeCell ref="AD394:AD396"/>
    <mergeCell ref="U395:W395"/>
    <mergeCell ref="U396:W396"/>
    <mergeCell ref="T394:T396"/>
    <mergeCell ref="U394:W394"/>
    <mergeCell ref="AA394:AA396"/>
    <mergeCell ref="AB394:AB396"/>
    <mergeCell ref="T391:T393"/>
    <mergeCell ref="U391:W391"/>
    <mergeCell ref="AA391:AA393"/>
    <mergeCell ref="AB391:AB393"/>
    <mergeCell ref="AC391:AC393"/>
    <mergeCell ref="AD391:AD393"/>
    <mergeCell ref="U392:W392"/>
    <mergeCell ref="U393:W393"/>
    <mergeCell ref="AQ401:AR401"/>
    <mergeCell ref="AS401:AT401"/>
    <mergeCell ref="AW401:AX401"/>
    <mergeCell ref="AY401:AZ401"/>
    <mergeCell ref="BG401:BH401"/>
    <mergeCell ref="BI401:BJ401"/>
    <mergeCell ref="BA401:BB401"/>
    <mergeCell ref="BE401:BF401"/>
    <mergeCell ref="AA399:AA401"/>
    <mergeCell ref="AB399:AB401"/>
    <mergeCell ref="AC399:AC401"/>
    <mergeCell ref="AD399:AD401"/>
    <mergeCell ref="AI399:AN399"/>
    <mergeCell ref="AO399:AT399"/>
    <mergeCell ref="AI401:AJ401"/>
    <mergeCell ref="AK401:AL401"/>
    <mergeCell ref="AM401:AN401"/>
    <mergeCell ref="AO401:AP401"/>
    <mergeCell ref="Q409:S409"/>
    <mergeCell ref="U409:W409"/>
    <mergeCell ref="Q410:R412"/>
    <mergeCell ref="S410:S412"/>
    <mergeCell ref="T410:T412"/>
    <mergeCell ref="U410:W410"/>
    <mergeCell ref="U411:W411"/>
    <mergeCell ref="U412:W412"/>
    <mergeCell ref="AC405:AC407"/>
    <mergeCell ref="AD405:AD407"/>
    <mergeCell ref="U406:W406"/>
    <mergeCell ref="U407:W407"/>
    <mergeCell ref="T405:T407"/>
    <mergeCell ref="U405:W405"/>
    <mergeCell ref="AA405:AA407"/>
    <mergeCell ref="AB405:AB407"/>
    <mergeCell ref="T402:T404"/>
    <mergeCell ref="U402:W402"/>
    <mergeCell ref="AA402:AA404"/>
    <mergeCell ref="AB402:AB404"/>
    <mergeCell ref="AC402:AC404"/>
    <mergeCell ref="AD402:AD404"/>
    <mergeCell ref="U403:W403"/>
    <mergeCell ref="U404:W404"/>
    <mergeCell ref="AQ412:AR412"/>
    <mergeCell ref="AS412:AT412"/>
    <mergeCell ref="AW412:AX412"/>
    <mergeCell ref="AY412:AZ412"/>
    <mergeCell ref="BG412:BH412"/>
    <mergeCell ref="BI412:BJ412"/>
    <mergeCell ref="BA412:BB412"/>
    <mergeCell ref="BE412:BF412"/>
    <mergeCell ref="AA410:AA412"/>
    <mergeCell ref="AB410:AB412"/>
    <mergeCell ref="AC410:AC412"/>
    <mergeCell ref="AD410:AD412"/>
    <mergeCell ref="AI410:AN410"/>
    <mergeCell ref="AO410:AT410"/>
    <mergeCell ref="AI412:AJ412"/>
    <mergeCell ref="AK412:AL412"/>
    <mergeCell ref="AM412:AN412"/>
    <mergeCell ref="AO412:AP412"/>
    <mergeCell ref="Q420:S420"/>
    <mergeCell ref="U420:W420"/>
    <mergeCell ref="Q421:R423"/>
    <mergeCell ref="S421:S423"/>
    <mergeCell ref="T421:T423"/>
    <mergeCell ref="U421:W421"/>
    <mergeCell ref="U422:W422"/>
    <mergeCell ref="U423:W423"/>
    <mergeCell ref="AC416:AC418"/>
    <mergeCell ref="AD416:AD418"/>
    <mergeCell ref="U417:W417"/>
    <mergeCell ref="U418:W418"/>
    <mergeCell ref="T416:T418"/>
    <mergeCell ref="U416:W416"/>
    <mergeCell ref="AA416:AA418"/>
    <mergeCell ref="AB416:AB418"/>
    <mergeCell ref="T413:T415"/>
    <mergeCell ref="U413:W413"/>
    <mergeCell ref="AA413:AA415"/>
    <mergeCell ref="AB413:AB415"/>
    <mergeCell ref="AC413:AC415"/>
    <mergeCell ref="AD413:AD415"/>
    <mergeCell ref="U414:W414"/>
    <mergeCell ref="U415:W415"/>
    <mergeCell ref="AQ423:AR423"/>
    <mergeCell ref="AS423:AT423"/>
    <mergeCell ref="AW423:AX423"/>
    <mergeCell ref="AY423:AZ423"/>
    <mergeCell ref="BG423:BH423"/>
    <mergeCell ref="BI423:BJ423"/>
    <mergeCell ref="BA423:BB423"/>
    <mergeCell ref="BE423:BF423"/>
    <mergeCell ref="AA421:AA423"/>
    <mergeCell ref="AB421:AB423"/>
    <mergeCell ref="AC421:AC423"/>
    <mergeCell ref="AD421:AD423"/>
    <mergeCell ref="AI421:AN421"/>
    <mergeCell ref="AO421:AT421"/>
    <mergeCell ref="AI423:AJ423"/>
    <mergeCell ref="AK423:AL423"/>
    <mergeCell ref="AM423:AN423"/>
    <mergeCell ref="AO423:AP423"/>
    <mergeCell ref="Q431:S431"/>
    <mergeCell ref="U431:W431"/>
    <mergeCell ref="Q432:R434"/>
    <mergeCell ref="S432:S434"/>
    <mergeCell ref="T432:T434"/>
    <mergeCell ref="U432:W432"/>
    <mergeCell ref="U433:W433"/>
    <mergeCell ref="U434:W434"/>
    <mergeCell ref="AC427:AC429"/>
    <mergeCell ref="AD427:AD429"/>
    <mergeCell ref="U428:W428"/>
    <mergeCell ref="U429:W429"/>
    <mergeCell ref="T427:T429"/>
    <mergeCell ref="U427:W427"/>
    <mergeCell ref="AA427:AA429"/>
    <mergeCell ref="AB427:AB429"/>
    <mergeCell ref="T424:T426"/>
    <mergeCell ref="U424:W424"/>
    <mergeCell ref="AA424:AA426"/>
    <mergeCell ref="AB424:AB426"/>
    <mergeCell ref="AC424:AC426"/>
    <mergeCell ref="AD424:AD426"/>
    <mergeCell ref="U425:W425"/>
    <mergeCell ref="U426:W426"/>
    <mergeCell ref="AQ434:AR434"/>
    <mergeCell ref="AS434:AT434"/>
    <mergeCell ref="AW434:AX434"/>
    <mergeCell ref="AY434:AZ434"/>
    <mergeCell ref="BG434:BH434"/>
    <mergeCell ref="BI434:BJ434"/>
    <mergeCell ref="BA434:BB434"/>
    <mergeCell ref="BE434:BF434"/>
    <mergeCell ref="AA432:AA434"/>
    <mergeCell ref="AB432:AB434"/>
    <mergeCell ref="AC432:AC434"/>
    <mergeCell ref="AD432:AD434"/>
    <mergeCell ref="AI432:AN432"/>
    <mergeCell ref="AO432:AT432"/>
    <mergeCell ref="AI434:AJ434"/>
    <mergeCell ref="AK434:AL434"/>
    <mergeCell ref="AM434:AN434"/>
    <mergeCell ref="AO434:AP434"/>
    <mergeCell ref="Q442:S442"/>
    <mergeCell ref="U442:W442"/>
    <mergeCell ref="Q443:R445"/>
    <mergeCell ref="S443:S445"/>
    <mergeCell ref="T443:T445"/>
    <mergeCell ref="U443:W443"/>
    <mergeCell ref="U444:W444"/>
    <mergeCell ref="U445:W445"/>
    <mergeCell ref="AC438:AC440"/>
    <mergeCell ref="AD438:AD440"/>
    <mergeCell ref="U439:W439"/>
    <mergeCell ref="U440:W440"/>
    <mergeCell ref="T438:T440"/>
    <mergeCell ref="U438:W438"/>
    <mergeCell ref="AA438:AA440"/>
    <mergeCell ref="AB438:AB440"/>
    <mergeCell ref="T435:T437"/>
    <mergeCell ref="U435:W435"/>
    <mergeCell ref="AA435:AA437"/>
    <mergeCell ref="AB435:AB437"/>
    <mergeCell ref="AC435:AC437"/>
    <mergeCell ref="AD435:AD437"/>
    <mergeCell ref="U436:W436"/>
    <mergeCell ref="U437:W437"/>
    <mergeCell ref="AQ445:AR445"/>
    <mergeCell ref="AS445:AT445"/>
    <mergeCell ref="AW445:AX445"/>
    <mergeCell ref="AY445:AZ445"/>
    <mergeCell ref="BG445:BH445"/>
    <mergeCell ref="BI445:BJ445"/>
    <mergeCell ref="BA445:BB445"/>
    <mergeCell ref="BE445:BF445"/>
    <mergeCell ref="AA443:AA445"/>
    <mergeCell ref="AB443:AB445"/>
    <mergeCell ref="AC443:AC445"/>
    <mergeCell ref="AD443:AD445"/>
    <mergeCell ref="AI443:AN443"/>
    <mergeCell ref="AO443:AT443"/>
    <mergeCell ref="AI445:AJ445"/>
    <mergeCell ref="AK445:AL445"/>
    <mergeCell ref="AM445:AN445"/>
    <mergeCell ref="AO445:AP445"/>
    <mergeCell ref="Q453:S453"/>
    <mergeCell ref="U453:W453"/>
    <mergeCell ref="Q454:R456"/>
    <mergeCell ref="S454:S456"/>
    <mergeCell ref="T454:T456"/>
    <mergeCell ref="U454:W454"/>
    <mergeCell ref="U455:W455"/>
    <mergeCell ref="U456:W456"/>
    <mergeCell ref="AC449:AC451"/>
    <mergeCell ref="AD449:AD451"/>
    <mergeCell ref="U450:W450"/>
    <mergeCell ref="U451:W451"/>
    <mergeCell ref="T449:T451"/>
    <mergeCell ref="U449:W449"/>
    <mergeCell ref="AA449:AA451"/>
    <mergeCell ref="AB449:AB451"/>
    <mergeCell ref="T446:T448"/>
    <mergeCell ref="U446:W446"/>
    <mergeCell ref="AA446:AA448"/>
    <mergeCell ref="AB446:AB448"/>
    <mergeCell ref="AC446:AC448"/>
    <mergeCell ref="AD446:AD448"/>
    <mergeCell ref="U447:W447"/>
    <mergeCell ref="U448:W448"/>
    <mergeCell ref="AQ456:AR456"/>
    <mergeCell ref="AS456:AT456"/>
    <mergeCell ref="AW456:AX456"/>
    <mergeCell ref="AY456:AZ456"/>
    <mergeCell ref="BG456:BH456"/>
    <mergeCell ref="BI456:BJ456"/>
    <mergeCell ref="BA456:BB456"/>
    <mergeCell ref="BE456:BF456"/>
    <mergeCell ref="AA454:AA456"/>
    <mergeCell ref="AB454:AB456"/>
    <mergeCell ref="AC454:AC456"/>
    <mergeCell ref="AD454:AD456"/>
    <mergeCell ref="AI454:AN454"/>
    <mergeCell ref="AO454:AT454"/>
    <mergeCell ref="AI456:AJ456"/>
    <mergeCell ref="AK456:AL456"/>
    <mergeCell ref="AM456:AN456"/>
    <mergeCell ref="AO456:AP456"/>
    <mergeCell ref="Q464:S464"/>
    <mergeCell ref="U464:W464"/>
    <mergeCell ref="Q465:R467"/>
    <mergeCell ref="S465:S467"/>
    <mergeCell ref="T465:T467"/>
    <mergeCell ref="U465:W465"/>
    <mergeCell ref="U466:W466"/>
    <mergeCell ref="U467:W467"/>
    <mergeCell ref="AC460:AC462"/>
    <mergeCell ref="AD460:AD462"/>
    <mergeCell ref="U461:W461"/>
    <mergeCell ref="U462:W462"/>
    <mergeCell ref="T460:T462"/>
    <mergeCell ref="U460:W460"/>
    <mergeCell ref="AA460:AA462"/>
    <mergeCell ref="AB460:AB462"/>
    <mergeCell ref="T457:T459"/>
    <mergeCell ref="U457:W457"/>
    <mergeCell ref="AA457:AA459"/>
    <mergeCell ref="AB457:AB459"/>
    <mergeCell ref="AC457:AC459"/>
    <mergeCell ref="AD457:AD459"/>
    <mergeCell ref="U458:W458"/>
    <mergeCell ref="U459:W459"/>
    <mergeCell ref="AQ467:AR467"/>
    <mergeCell ref="AS467:AT467"/>
    <mergeCell ref="AW467:AX467"/>
    <mergeCell ref="AY467:AZ467"/>
    <mergeCell ref="BG467:BH467"/>
    <mergeCell ref="BI467:BJ467"/>
    <mergeCell ref="BA467:BB467"/>
    <mergeCell ref="BE467:BF467"/>
    <mergeCell ref="AA465:AA467"/>
    <mergeCell ref="AB465:AB467"/>
    <mergeCell ref="AC465:AC467"/>
    <mergeCell ref="AD465:AD467"/>
    <mergeCell ref="AI465:AN465"/>
    <mergeCell ref="AO465:AT465"/>
    <mergeCell ref="AI467:AJ467"/>
    <mergeCell ref="AK467:AL467"/>
    <mergeCell ref="AM467:AN467"/>
    <mergeCell ref="AO467:AP467"/>
    <mergeCell ref="Q475:S475"/>
    <mergeCell ref="U475:W475"/>
    <mergeCell ref="Q476:R478"/>
    <mergeCell ref="S476:S478"/>
    <mergeCell ref="T476:T478"/>
    <mergeCell ref="U476:W476"/>
    <mergeCell ref="U477:W477"/>
    <mergeCell ref="U478:W478"/>
    <mergeCell ref="AC471:AC473"/>
    <mergeCell ref="AD471:AD473"/>
    <mergeCell ref="U472:W472"/>
    <mergeCell ref="U473:W473"/>
    <mergeCell ref="T471:T473"/>
    <mergeCell ref="U471:W471"/>
    <mergeCell ref="AA471:AA473"/>
    <mergeCell ref="AB471:AB473"/>
    <mergeCell ref="T468:T470"/>
    <mergeCell ref="U468:W468"/>
    <mergeCell ref="AA468:AA470"/>
    <mergeCell ref="AB468:AB470"/>
    <mergeCell ref="AC468:AC470"/>
    <mergeCell ref="AD468:AD470"/>
    <mergeCell ref="U469:W469"/>
    <mergeCell ref="U470:W470"/>
    <mergeCell ref="AQ478:AR478"/>
    <mergeCell ref="AS478:AT478"/>
    <mergeCell ref="AW478:AX478"/>
    <mergeCell ref="AY478:AZ478"/>
    <mergeCell ref="BG478:BH478"/>
    <mergeCell ref="BI478:BJ478"/>
    <mergeCell ref="BA478:BB478"/>
    <mergeCell ref="BE478:BF478"/>
    <mergeCell ref="AA476:AA478"/>
    <mergeCell ref="AB476:AB478"/>
    <mergeCell ref="AC476:AC478"/>
    <mergeCell ref="AD476:AD478"/>
    <mergeCell ref="AI476:AN476"/>
    <mergeCell ref="AO476:AT476"/>
    <mergeCell ref="AI478:AJ478"/>
    <mergeCell ref="AK478:AL478"/>
    <mergeCell ref="AM478:AN478"/>
    <mergeCell ref="AO478:AP478"/>
    <mergeCell ref="Q486:S486"/>
    <mergeCell ref="U486:W486"/>
    <mergeCell ref="Q487:R489"/>
    <mergeCell ref="S487:S489"/>
    <mergeCell ref="T487:T489"/>
    <mergeCell ref="U487:W487"/>
    <mergeCell ref="U488:W488"/>
    <mergeCell ref="U489:W489"/>
    <mergeCell ref="AC482:AC484"/>
    <mergeCell ref="AD482:AD484"/>
    <mergeCell ref="U483:W483"/>
    <mergeCell ref="U484:W484"/>
    <mergeCell ref="T482:T484"/>
    <mergeCell ref="U482:W482"/>
    <mergeCell ref="AA482:AA484"/>
    <mergeCell ref="AB482:AB484"/>
    <mergeCell ref="T479:T481"/>
    <mergeCell ref="U479:W479"/>
    <mergeCell ref="AA479:AA481"/>
    <mergeCell ref="AB479:AB481"/>
    <mergeCell ref="AC479:AC481"/>
    <mergeCell ref="AD479:AD481"/>
    <mergeCell ref="U480:W480"/>
    <mergeCell ref="U481:W481"/>
    <mergeCell ref="AQ489:AR489"/>
    <mergeCell ref="AS489:AT489"/>
    <mergeCell ref="AW489:AX489"/>
    <mergeCell ref="AY489:AZ489"/>
    <mergeCell ref="BG489:BH489"/>
    <mergeCell ref="BI489:BJ489"/>
    <mergeCell ref="BA489:BB489"/>
    <mergeCell ref="BE489:BF489"/>
    <mergeCell ref="AA487:AA489"/>
    <mergeCell ref="AB487:AB489"/>
    <mergeCell ref="AC487:AC489"/>
    <mergeCell ref="AD487:AD489"/>
    <mergeCell ref="AI487:AN487"/>
    <mergeCell ref="AO487:AT487"/>
    <mergeCell ref="AI489:AJ489"/>
    <mergeCell ref="AK489:AL489"/>
    <mergeCell ref="AM489:AN489"/>
    <mergeCell ref="AO489:AP489"/>
    <mergeCell ref="Q497:S497"/>
    <mergeCell ref="U497:W497"/>
    <mergeCell ref="Q498:R500"/>
    <mergeCell ref="S498:S500"/>
    <mergeCell ref="T498:T500"/>
    <mergeCell ref="U498:W498"/>
    <mergeCell ref="U499:W499"/>
    <mergeCell ref="U500:W500"/>
    <mergeCell ref="AC493:AC495"/>
    <mergeCell ref="AD493:AD495"/>
    <mergeCell ref="U494:W494"/>
    <mergeCell ref="U495:W495"/>
    <mergeCell ref="T493:T495"/>
    <mergeCell ref="U493:W493"/>
    <mergeCell ref="AA493:AA495"/>
    <mergeCell ref="AB493:AB495"/>
    <mergeCell ref="T490:T492"/>
    <mergeCell ref="U490:W490"/>
    <mergeCell ref="AA490:AA492"/>
    <mergeCell ref="AB490:AB492"/>
    <mergeCell ref="AC490:AC492"/>
    <mergeCell ref="AD490:AD492"/>
    <mergeCell ref="U491:W491"/>
    <mergeCell ref="U492:W492"/>
    <mergeCell ref="BI500:BJ500"/>
    <mergeCell ref="T501:T503"/>
    <mergeCell ref="U501:W501"/>
    <mergeCell ref="AA501:AA503"/>
    <mergeCell ref="AB501:AB503"/>
    <mergeCell ref="AC501:AC503"/>
    <mergeCell ref="AD501:AD503"/>
    <mergeCell ref="U502:W502"/>
    <mergeCell ref="U503:W503"/>
    <mergeCell ref="AQ500:AR500"/>
    <mergeCell ref="AS500:AT500"/>
    <mergeCell ref="AW500:AX500"/>
    <mergeCell ref="AK500:AL500"/>
    <mergeCell ref="AM500:AN500"/>
    <mergeCell ref="AO500:AP500"/>
    <mergeCell ref="AY500:AZ500"/>
    <mergeCell ref="BA500:BB500"/>
    <mergeCell ref="BE500:BF500"/>
    <mergeCell ref="AA498:AA500"/>
    <mergeCell ref="AB498:AB500"/>
    <mergeCell ref="AC498:AC500"/>
    <mergeCell ref="AD498:AD500"/>
    <mergeCell ref="AI498:AN498"/>
    <mergeCell ref="AO498:AT498"/>
    <mergeCell ref="AI500:AJ500"/>
    <mergeCell ref="Q508:S508"/>
    <mergeCell ref="U508:W508"/>
    <mergeCell ref="Q509:R511"/>
    <mergeCell ref="S509:S511"/>
    <mergeCell ref="T509:T511"/>
    <mergeCell ref="U509:W509"/>
    <mergeCell ref="U510:W510"/>
    <mergeCell ref="U511:W511"/>
    <mergeCell ref="AC504:AC506"/>
    <mergeCell ref="AD504:AD506"/>
    <mergeCell ref="U505:W505"/>
    <mergeCell ref="U506:W506"/>
    <mergeCell ref="T504:T506"/>
    <mergeCell ref="U504:W504"/>
    <mergeCell ref="AA504:AA506"/>
    <mergeCell ref="AB504:AB506"/>
    <mergeCell ref="BG500:BH500"/>
    <mergeCell ref="BG511:BH511"/>
    <mergeCell ref="BA511:BB511"/>
    <mergeCell ref="BI511:BJ511"/>
    <mergeCell ref="T512:T514"/>
    <mergeCell ref="U512:W512"/>
    <mergeCell ref="AA512:AA514"/>
    <mergeCell ref="AB512:AB514"/>
    <mergeCell ref="AC512:AC514"/>
    <mergeCell ref="BE511:BF511"/>
    <mergeCell ref="AA509:AA511"/>
    <mergeCell ref="AB509:AB511"/>
    <mergeCell ref="AC509:AC511"/>
    <mergeCell ref="AD509:AD511"/>
    <mergeCell ref="AI509:AN509"/>
    <mergeCell ref="AO509:AT509"/>
    <mergeCell ref="AI511:AJ511"/>
    <mergeCell ref="AK511:AL511"/>
    <mergeCell ref="AM511:AN511"/>
    <mergeCell ref="AO511:AP511"/>
    <mergeCell ref="T515:T517"/>
    <mergeCell ref="U515:W515"/>
    <mergeCell ref="AA515:AA517"/>
    <mergeCell ref="AB515:AB517"/>
    <mergeCell ref="AM522:AN522"/>
    <mergeCell ref="AO522:AP522"/>
    <mergeCell ref="AD512:AD514"/>
    <mergeCell ref="U513:W513"/>
    <mergeCell ref="U514:W514"/>
    <mergeCell ref="AQ511:AR511"/>
    <mergeCell ref="AC515:AC517"/>
    <mergeCell ref="AD515:AD517"/>
    <mergeCell ref="U516:W516"/>
    <mergeCell ref="U517:W517"/>
    <mergeCell ref="AS511:AT511"/>
    <mergeCell ref="AW511:AX511"/>
    <mergeCell ref="AY511:AZ511"/>
    <mergeCell ref="AS522:AT522"/>
    <mergeCell ref="AW522:AX522"/>
    <mergeCell ref="AY522:AZ522"/>
    <mergeCell ref="BG522:BH522"/>
    <mergeCell ref="BI522:BJ522"/>
    <mergeCell ref="BA522:BB522"/>
    <mergeCell ref="BE522:BF522"/>
    <mergeCell ref="AA520:AA522"/>
    <mergeCell ref="AB520:AB522"/>
    <mergeCell ref="AC520:AC522"/>
    <mergeCell ref="AD520:AD522"/>
    <mergeCell ref="AI520:AN520"/>
    <mergeCell ref="AO520:AT520"/>
    <mergeCell ref="AI522:AJ522"/>
    <mergeCell ref="AK522:AL522"/>
    <mergeCell ref="Q519:S519"/>
    <mergeCell ref="U519:W519"/>
    <mergeCell ref="Q520:R522"/>
    <mergeCell ref="S520:S522"/>
    <mergeCell ref="T520:T522"/>
    <mergeCell ref="U520:W520"/>
    <mergeCell ref="U521:W521"/>
    <mergeCell ref="U522:W522"/>
    <mergeCell ref="AC526:AC528"/>
    <mergeCell ref="AD526:AD528"/>
    <mergeCell ref="U527:W527"/>
    <mergeCell ref="U528:W528"/>
    <mergeCell ref="T526:T528"/>
    <mergeCell ref="U526:W526"/>
    <mergeCell ref="AA526:AA528"/>
    <mergeCell ref="AB526:AB528"/>
    <mergeCell ref="T523:T525"/>
    <mergeCell ref="U523:W523"/>
    <mergeCell ref="AA523:AA525"/>
    <mergeCell ref="AB523:AB525"/>
    <mergeCell ref="AC523:AC525"/>
    <mergeCell ref="AD523:AD525"/>
    <mergeCell ref="U524:W524"/>
    <mergeCell ref="U525:W525"/>
    <mergeCell ref="AQ522:AR522"/>
    <mergeCell ref="AA535:AC535"/>
    <mergeCell ref="AA536:AC536"/>
    <mergeCell ref="X545:Z545"/>
    <mergeCell ref="T538:U538"/>
    <mergeCell ref="X538:Z538"/>
    <mergeCell ref="AD539:AF539"/>
    <mergeCell ref="AD540:AF540"/>
    <mergeCell ref="T541:U541"/>
    <mergeCell ref="X541:Z541"/>
    <mergeCell ref="T542:U542"/>
    <mergeCell ref="AA531:AC531"/>
    <mergeCell ref="AD531:AF531"/>
    <mergeCell ref="T533:U533"/>
    <mergeCell ref="X533:Z533"/>
    <mergeCell ref="T537:U537"/>
    <mergeCell ref="X537:Z537"/>
    <mergeCell ref="T531:W531"/>
    <mergeCell ref="X531:Z531"/>
    <mergeCell ref="T534:U534"/>
    <mergeCell ref="X534:Z534"/>
    <mergeCell ref="AA552:AC552"/>
    <mergeCell ref="AD560:AF560"/>
    <mergeCell ref="T561:U561"/>
    <mergeCell ref="X561:Z561"/>
    <mergeCell ref="T554:U554"/>
    <mergeCell ref="X554:Z554"/>
    <mergeCell ref="AD555:AF555"/>
    <mergeCell ref="AD556:AF556"/>
    <mergeCell ref="T557:U557"/>
    <mergeCell ref="X557:Z557"/>
    <mergeCell ref="T549:U549"/>
    <mergeCell ref="X549:Z549"/>
    <mergeCell ref="T545:U545"/>
    <mergeCell ref="T550:U550"/>
    <mergeCell ref="X550:Z550"/>
    <mergeCell ref="AA551:AC551"/>
    <mergeCell ref="X542:Z542"/>
    <mergeCell ref="AA543:AC543"/>
    <mergeCell ref="AA544:AC544"/>
    <mergeCell ref="T553:U553"/>
    <mergeCell ref="X553:Z553"/>
    <mergeCell ref="AD545:AF545"/>
    <mergeCell ref="T546:U546"/>
    <mergeCell ref="X546:Z546"/>
    <mergeCell ref="AD547:AF547"/>
    <mergeCell ref="AD548:AF548"/>
    <mergeCell ref="AA567:AA569"/>
    <mergeCell ref="AY569:AZ569"/>
    <mergeCell ref="BA569:BB569"/>
    <mergeCell ref="AB567:AB569"/>
    <mergeCell ref="AC567:AC569"/>
    <mergeCell ref="AD567:AD569"/>
    <mergeCell ref="AI567:AN567"/>
    <mergeCell ref="AO567:AT567"/>
    <mergeCell ref="AM569:AN569"/>
    <mergeCell ref="T564:AD564"/>
    <mergeCell ref="Q566:S566"/>
    <mergeCell ref="U566:W566"/>
    <mergeCell ref="U568:W568"/>
    <mergeCell ref="U569:W569"/>
    <mergeCell ref="AI569:AJ569"/>
    <mergeCell ref="T558:U558"/>
    <mergeCell ref="X558:Z558"/>
    <mergeCell ref="AA559:AC559"/>
    <mergeCell ref="AA560:AC560"/>
    <mergeCell ref="Q567:R569"/>
    <mergeCell ref="S567:S569"/>
    <mergeCell ref="T567:T569"/>
    <mergeCell ref="U567:W567"/>
    <mergeCell ref="T562:U562"/>
    <mergeCell ref="X562:Z562"/>
    <mergeCell ref="AD573:AD575"/>
    <mergeCell ref="U574:W574"/>
    <mergeCell ref="U575:W575"/>
    <mergeCell ref="Q577:S577"/>
    <mergeCell ref="U577:W577"/>
    <mergeCell ref="AB573:AB575"/>
    <mergeCell ref="AC573:AC575"/>
    <mergeCell ref="T573:T575"/>
    <mergeCell ref="U573:W573"/>
    <mergeCell ref="AA573:AA575"/>
    <mergeCell ref="Q578:R580"/>
    <mergeCell ref="S578:S580"/>
    <mergeCell ref="T578:T580"/>
    <mergeCell ref="U578:W578"/>
    <mergeCell ref="U579:W579"/>
    <mergeCell ref="U580:W580"/>
    <mergeCell ref="BI569:BJ569"/>
    <mergeCell ref="T570:T572"/>
    <mergeCell ref="U570:W570"/>
    <mergeCell ref="AA570:AA572"/>
    <mergeCell ref="AB570:AB572"/>
    <mergeCell ref="AC570:AC572"/>
    <mergeCell ref="AD570:AD572"/>
    <mergeCell ref="U571:W571"/>
    <mergeCell ref="U572:W572"/>
    <mergeCell ref="AO569:AP569"/>
    <mergeCell ref="AQ569:AR569"/>
    <mergeCell ref="AS569:AT569"/>
    <mergeCell ref="AW569:AX569"/>
    <mergeCell ref="BE569:BF569"/>
    <mergeCell ref="BG569:BH569"/>
    <mergeCell ref="AK569:AL569"/>
    <mergeCell ref="BI580:BJ580"/>
    <mergeCell ref="T581:T583"/>
    <mergeCell ref="U581:W581"/>
    <mergeCell ref="AA581:AA583"/>
    <mergeCell ref="AB581:AB583"/>
    <mergeCell ref="AC581:AC583"/>
    <mergeCell ref="AD581:AD583"/>
    <mergeCell ref="U582:W582"/>
    <mergeCell ref="U583:W583"/>
    <mergeCell ref="AM580:AN580"/>
    <mergeCell ref="AO580:AP580"/>
    <mergeCell ref="AQ580:AR580"/>
    <mergeCell ref="AS580:AT580"/>
    <mergeCell ref="AW580:AX580"/>
    <mergeCell ref="BE580:BF580"/>
    <mergeCell ref="AI580:AJ580"/>
    <mergeCell ref="AK580:AL580"/>
    <mergeCell ref="AA578:AA580"/>
    <mergeCell ref="AY580:AZ580"/>
    <mergeCell ref="BA580:BB580"/>
    <mergeCell ref="AB578:AB580"/>
    <mergeCell ref="AC578:AC580"/>
    <mergeCell ref="AD578:AD580"/>
    <mergeCell ref="AI578:AN578"/>
    <mergeCell ref="AO578:AT578"/>
    <mergeCell ref="AD584:AD586"/>
    <mergeCell ref="U585:W585"/>
    <mergeCell ref="U586:W586"/>
    <mergeCell ref="Q588:S588"/>
    <mergeCell ref="U588:W588"/>
    <mergeCell ref="AB584:AB586"/>
    <mergeCell ref="AC584:AC586"/>
    <mergeCell ref="T584:T586"/>
    <mergeCell ref="U584:W584"/>
    <mergeCell ref="AA584:AA586"/>
    <mergeCell ref="Q589:R591"/>
    <mergeCell ref="S589:S591"/>
    <mergeCell ref="T589:T591"/>
    <mergeCell ref="U589:W589"/>
    <mergeCell ref="U590:W590"/>
    <mergeCell ref="U591:W591"/>
    <mergeCell ref="BG580:BH580"/>
    <mergeCell ref="BI591:BJ591"/>
    <mergeCell ref="T592:T594"/>
    <mergeCell ref="U592:W592"/>
    <mergeCell ref="AA592:AA594"/>
    <mergeCell ref="AB592:AB594"/>
    <mergeCell ref="AC592:AC594"/>
    <mergeCell ref="AD592:AD594"/>
    <mergeCell ref="U593:W593"/>
    <mergeCell ref="U594:W594"/>
    <mergeCell ref="AM591:AN591"/>
    <mergeCell ref="AO591:AP591"/>
    <mergeCell ref="AQ591:AR591"/>
    <mergeCell ref="AS591:AT591"/>
    <mergeCell ref="AW591:AX591"/>
    <mergeCell ref="BE591:BF591"/>
    <mergeCell ref="AI591:AJ591"/>
    <mergeCell ref="AK591:AL591"/>
    <mergeCell ref="AA589:AA591"/>
    <mergeCell ref="AY591:AZ591"/>
    <mergeCell ref="BA591:BB591"/>
    <mergeCell ref="AB589:AB591"/>
    <mergeCell ref="AC589:AC591"/>
    <mergeCell ref="AD589:AD591"/>
    <mergeCell ref="AI589:AN589"/>
    <mergeCell ref="AO589:AT589"/>
    <mergeCell ref="AD595:AD597"/>
    <mergeCell ref="U596:W596"/>
    <mergeCell ref="U597:W597"/>
    <mergeCell ref="Q599:S599"/>
    <mergeCell ref="U599:W599"/>
    <mergeCell ref="AB595:AB597"/>
    <mergeCell ref="AC595:AC597"/>
    <mergeCell ref="T595:T597"/>
    <mergeCell ref="U595:W595"/>
    <mergeCell ref="AA595:AA597"/>
    <mergeCell ref="Q600:R602"/>
    <mergeCell ref="S600:S602"/>
    <mergeCell ref="T600:T602"/>
    <mergeCell ref="U600:W600"/>
    <mergeCell ref="U601:W601"/>
    <mergeCell ref="U602:W602"/>
    <mergeCell ref="BG591:BH591"/>
    <mergeCell ref="BI602:BJ602"/>
    <mergeCell ref="T603:T605"/>
    <mergeCell ref="U603:W603"/>
    <mergeCell ref="AA603:AA605"/>
    <mergeCell ref="AB603:AB605"/>
    <mergeCell ref="AC603:AC605"/>
    <mergeCell ref="AD603:AD605"/>
    <mergeCell ref="U604:W604"/>
    <mergeCell ref="U605:W605"/>
    <mergeCell ref="AM602:AN602"/>
    <mergeCell ref="AO602:AP602"/>
    <mergeCell ref="AQ602:AR602"/>
    <mergeCell ref="AS602:AT602"/>
    <mergeCell ref="AW602:AX602"/>
    <mergeCell ref="BE602:BF602"/>
    <mergeCell ref="AI602:AJ602"/>
    <mergeCell ref="AK602:AL602"/>
    <mergeCell ref="AA600:AA602"/>
    <mergeCell ref="AY602:AZ602"/>
    <mergeCell ref="BA602:BB602"/>
    <mergeCell ref="AB600:AB602"/>
    <mergeCell ref="AC600:AC602"/>
    <mergeCell ref="AD600:AD602"/>
    <mergeCell ref="AI600:AN600"/>
    <mergeCell ref="AO600:AT600"/>
    <mergeCell ref="AD606:AD608"/>
    <mergeCell ref="U607:W607"/>
    <mergeCell ref="U608:W608"/>
    <mergeCell ref="Q610:S610"/>
    <mergeCell ref="U610:W610"/>
    <mergeCell ref="AB606:AB608"/>
    <mergeCell ref="AC606:AC608"/>
    <mergeCell ref="T606:T608"/>
    <mergeCell ref="U606:W606"/>
    <mergeCell ref="AA606:AA608"/>
    <mergeCell ref="Q611:R613"/>
    <mergeCell ref="S611:S613"/>
    <mergeCell ref="T611:T613"/>
    <mergeCell ref="U611:W611"/>
    <mergeCell ref="U612:W612"/>
    <mergeCell ref="U613:W613"/>
    <mergeCell ref="BG602:BH602"/>
    <mergeCell ref="BI613:BJ613"/>
    <mergeCell ref="T614:T616"/>
    <mergeCell ref="U614:W614"/>
    <mergeCell ref="AA614:AA616"/>
    <mergeCell ref="AB614:AB616"/>
    <mergeCell ref="AC614:AC616"/>
    <mergeCell ref="AD614:AD616"/>
    <mergeCell ref="U615:W615"/>
    <mergeCell ref="U616:W616"/>
    <mergeCell ref="AM613:AN613"/>
    <mergeCell ref="AO613:AP613"/>
    <mergeCell ref="AQ613:AR613"/>
    <mergeCell ref="AS613:AT613"/>
    <mergeCell ref="AW613:AX613"/>
    <mergeCell ref="BE613:BF613"/>
    <mergeCell ref="AI613:AJ613"/>
    <mergeCell ref="AK613:AL613"/>
    <mergeCell ref="AA611:AA613"/>
    <mergeCell ref="AY613:AZ613"/>
    <mergeCell ref="BA613:BB613"/>
    <mergeCell ref="AB611:AB613"/>
    <mergeCell ref="AC611:AC613"/>
    <mergeCell ref="AD611:AD613"/>
    <mergeCell ref="AI611:AN611"/>
    <mergeCell ref="AO611:AT611"/>
    <mergeCell ref="AD617:AD619"/>
    <mergeCell ref="U618:W618"/>
    <mergeCell ref="U619:W619"/>
    <mergeCell ref="Q621:S621"/>
    <mergeCell ref="U621:W621"/>
    <mergeCell ref="AB617:AB619"/>
    <mergeCell ref="AC617:AC619"/>
    <mergeCell ref="T617:T619"/>
    <mergeCell ref="U617:W617"/>
    <mergeCell ref="AA617:AA619"/>
    <mergeCell ref="Q622:R624"/>
    <mergeCell ref="S622:S624"/>
    <mergeCell ref="T622:T624"/>
    <mergeCell ref="U622:W622"/>
    <mergeCell ref="U623:W623"/>
    <mergeCell ref="U624:W624"/>
    <mergeCell ref="BG613:BH613"/>
    <mergeCell ref="BI624:BJ624"/>
    <mergeCell ref="T625:T627"/>
    <mergeCell ref="U625:W625"/>
    <mergeCell ref="AA625:AA627"/>
    <mergeCell ref="AB625:AB627"/>
    <mergeCell ref="AC625:AC627"/>
    <mergeCell ref="AD625:AD627"/>
    <mergeCell ref="U626:W626"/>
    <mergeCell ref="U627:W627"/>
    <mergeCell ref="AM624:AN624"/>
    <mergeCell ref="AO624:AP624"/>
    <mergeCell ref="AQ624:AR624"/>
    <mergeCell ref="AS624:AT624"/>
    <mergeCell ref="AW624:AX624"/>
    <mergeCell ref="BE624:BF624"/>
    <mergeCell ref="AI624:AJ624"/>
    <mergeCell ref="AK624:AL624"/>
    <mergeCell ref="AA622:AA624"/>
    <mergeCell ref="AY624:AZ624"/>
    <mergeCell ref="BA624:BB624"/>
    <mergeCell ref="AB622:AB624"/>
    <mergeCell ref="AC622:AC624"/>
    <mergeCell ref="AD622:AD624"/>
    <mergeCell ref="AI622:AN622"/>
    <mergeCell ref="AO622:AT622"/>
    <mergeCell ref="AB628:AB630"/>
    <mergeCell ref="AC628:AC630"/>
    <mergeCell ref="T635:U635"/>
    <mergeCell ref="X635:Z635"/>
    <mergeCell ref="T636:U636"/>
    <mergeCell ref="X636:Z636"/>
    <mergeCell ref="T628:T630"/>
    <mergeCell ref="U628:W628"/>
    <mergeCell ref="AA628:AA630"/>
    <mergeCell ref="X637:Z637"/>
    <mergeCell ref="AD628:AD630"/>
    <mergeCell ref="U629:W629"/>
    <mergeCell ref="U630:W630"/>
    <mergeCell ref="T633:W633"/>
    <mergeCell ref="X633:Z633"/>
    <mergeCell ref="AA633:AC633"/>
    <mergeCell ref="BG624:BH624"/>
    <mergeCell ref="T640:U640"/>
    <mergeCell ref="X640:Z640"/>
    <mergeCell ref="T641:U641"/>
    <mergeCell ref="X641:Z641"/>
    <mergeCell ref="T643:U643"/>
    <mergeCell ref="X643:Z643"/>
    <mergeCell ref="AD641:AF641"/>
    <mergeCell ref="T642:U642"/>
    <mergeCell ref="AD642:AF642"/>
    <mergeCell ref="AA637:AC637"/>
    <mergeCell ref="T638:U638"/>
    <mergeCell ref="AA638:AC638"/>
    <mergeCell ref="T639:U639"/>
    <mergeCell ref="X639:Z639"/>
    <mergeCell ref="AA639:AC639"/>
    <mergeCell ref="T637:U637"/>
    <mergeCell ref="AD633:AF633"/>
    <mergeCell ref="T648:U648"/>
    <mergeCell ref="X648:Z648"/>
    <mergeCell ref="T649:U649"/>
    <mergeCell ref="X649:Z649"/>
    <mergeCell ref="T650:U650"/>
    <mergeCell ref="T652:AD652"/>
    <mergeCell ref="AD643:AF643"/>
    <mergeCell ref="T644:U644"/>
    <mergeCell ref="X644:Z644"/>
    <mergeCell ref="Q654:S654"/>
    <mergeCell ref="U654:W654"/>
    <mergeCell ref="T646:U646"/>
    <mergeCell ref="AA646:AC646"/>
    <mergeCell ref="T647:U647"/>
    <mergeCell ref="X647:Z647"/>
    <mergeCell ref="AA647:AC647"/>
    <mergeCell ref="T645:U645"/>
    <mergeCell ref="X645:Z645"/>
    <mergeCell ref="AA645:AC645"/>
    <mergeCell ref="U656:W656"/>
    <mergeCell ref="U657:W657"/>
    <mergeCell ref="AI657:AJ657"/>
    <mergeCell ref="AK657:AL657"/>
    <mergeCell ref="AM657:AN657"/>
    <mergeCell ref="AO657:AP657"/>
    <mergeCell ref="AQ657:AR657"/>
    <mergeCell ref="AS657:AT657"/>
    <mergeCell ref="AI654:AN654"/>
    <mergeCell ref="AO654:AT654"/>
    <mergeCell ref="Q655:R657"/>
    <mergeCell ref="S655:S657"/>
    <mergeCell ref="T655:T657"/>
    <mergeCell ref="U655:W655"/>
    <mergeCell ref="AB655:AB657"/>
    <mergeCell ref="AC655:AC657"/>
    <mergeCell ref="AD655:AD657"/>
    <mergeCell ref="AE655:AE657"/>
    <mergeCell ref="AE658:AE660"/>
    <mergeCell ref="AW658:AX658"/>
    <mergeCell ref="U659:W659"/>
    <mergeCell ref="U660:W660"/>
    <mergeCell ref="T661:T663"/>
    <mergeCell ref="U661:W661"/>
    <mergeCell ref="AW657:AX657"/>
    <mergeCell ref="AY657:AZ657"/>
    <mergeCell ref="BE657:BF657"/>
    <mergeCell ref="BG657:BH657"/>
    <mergeCell ref="BI657:BJ657"/>
    <mergeCell ref="T658:T660"/>
    <mergeCell ref="U658:W658"/>
    <mergeCell ref="AB658:AB660"/>
    <mergeCell ref="AC658:AC660"/>
    <mergeCell ref="AD658:AD660"/>
    <mergeCell ref="BA657:BB657"/>
    <mergeCell ref="BC657:BD657"/>
    <mergeCell ref="U665:W665"/>
    <mergeCell ref="U666:W666"/>
    <mergeCell ref="AD664:AD666"/>
    <mergeCell ref="AE664:AE666"/>
    <mergeCell ref="Q668:S668"/>
    <mergeCell ref="U668:W668"/>
    <mergeCell ref="Q669:R671"/>
    <mergeCell ref="S669:S671"/>
    <mergeCell ref="T669:T671"/>
    <mergeCell ref="U669:W669"/>
    <mergeCell ref="U670:W670"/>
    <mergeCell ref="U671:W671"/>
    <mergeCell ref="T664:T666"/>
    <mergeCell ref="U664:W664"/>
    <mergeCell ref="AB664:AB666"/>
    <mergeCell ref="AC664:AC666"/>
    <mergeCell ref="AD661:AD663"/>
    <mergeCell ref="AE661:AE663"/>
    <mergeCell ref="U662:W662"/>
    <mergeCell ref="U663:W663"/>
    <mergeCell ref="AB661:AB663"/>
    <mergeCell ref="AC661:AC663"/>
    <mergeCell ref="AQ671:AR671"/>
    <mergeCell ref="AS671:AT671"/>
    <mergeCell ref="AW671:AX671"/>
    <mergeCell ref="AY671:AZ671"/>
    <mergeCell ref="BG671:BH671"/>
    <mergeCell ref="BI671:BJ671"/>
    <mergeCell ref="BA671:BB671"/>
    <mergeCell ref="BE671:BF671"/>
    <mergeCell ref="AA669:AA671"/>
    <mergeCell ref="AB669:AB671"/>
    <mergeCell ref="AC669:AC671"/>
    <mergeCell ref="AD669:AD671"/>
    <mergeCell ref="AI669:AN669"/>
    <mergeCell ref="AO669:AT669"/>
    <mergeCell ref="AI671:AJ671"/>
    <mergeCell ref="AK671:AL671"/>
    <mergeCell ref="AM671:AN671"/>
    <mergeCell ref="AO671:AP671"/>
    <mergeCell ref="Q679:S679"/>
    <mergeCell ref="U679:W679"/>
    <mergeCell ref="Q680:R682"/>
    <mergeCell ref="S680:S682"/>
    <mergeCell ref="T680:T682"/>
    <mergeCell ref="U680:W680"/>
    <mergeCell ref="U681:W681"/>
    <mergeCell ref="U682:W682"/>
    <mergeCell ref="AC675:AC677"/>
    <mergeCell ref="AD675:AD677"/>
    <mergeCell ref="U676:W676"/>
    <mergeCell ref="U677:W677"/>
    <mergeCell ref="T675:T677"/>
    <mergeCell ref="U675:W675"/>
    <mergeCell ref="AA675:AA677"/>
    <mergeCell ref="AB675:AB677"/>
    <mergeCell ref="T672:T674"/>
    <mergeCell ref="U672:W672"/>
    <mergeCell ref="AA672:AA674"/>
    <mergeCell ref="AB672:AB674"/>
    <mergeCell ref="AC672:AC674"/>
    <mergeCell ref="AD672:AD674"/>
    <mergeCell ref="U673:W673"/>
    <mergeCell ref="U674:W674"/>
    <mergeCell ref="AQ682:AR682"/>
    <mergeCell ref="AS682:AT682"/>
    <mergeCell ref="AW682:AX682"/>
    <mergeCell ref="AY682:AZ682"/>
    <mergeCell ref="BG682:BH682"/>
    <mergeCell ref="BI682:BJ682"/>
    <mergeCell ref="BA682:BB682"/>
    <mergeCell ref="BE682:BF682"/>
    <mergeCell ref="AA680:AA682"/>
    <mergeCell ref="AB680:AB682"/>
    <mergeCell ref="AC680:AC682"/>
    <mergeCell ref="AD680:AD682"/>
    <mergeCell ref="AI680:AN680"/>
    <mergeCell ref="AO680:AT680"/>
    <mergeCell ref="AI682:AJ682"/>
    <mergeCell ref="AK682:AL682"/>
    <mergeCell ref="AM682:AN682"/>
    <mergeCell ref="AO682:AP682"/>
    <mergeCell ref="Q690:S690"/>
    <mergeCell ref="U690:W690"/>
    <mergeCell ref="Q691:R693"/>
    <mergeCell ref="S691:S693"/>
    <mergeCell ref="T691:T693"/>
    <mergeCell ref="U691:W691"/>
    <mergeCell ref="U692:W692"/>
    <mergeCell ref="U693:W693"/>
    <mergeCell ref="AC686:AC688"/>
    <mergeCell ref="AD686:AD688"/>
    <mergeCell ref="U687:W687"/>
    <mergeCell ref="U688:W688"/>
    <mergeCell ref="T686:T688"/>
    <mergeCell ref="U686:W686"/>
    <mergeCell ref="AA686:AA688"/>
    <mergeCell ref="AB686:AB688"/>
    <mergeCell ref="T683:T685"/>
    <mergeCell ref="U683:W683"/>
    <mergeCell ref="AA683:AA685"/>
    <mergeCell ref="AB683:AB685"/>
    <mergeCell ref="AC683:AC685"/>
    <mergeCell ref="AD683:AD685"/>
    <mergeCell ref="U684:W684"/>
    <mergeCell ref="U685:W685"/>
    <mergeCell ref="BI693:BJ693"/>
    <mergeCell ref="T694:T696"/>
    <mergeCell ref="U694:W694"/>
    <mergeCell ref="AA694:AA696"/>
    <mergeCell ref="AB694:AB696"/>
    <mergeCell ref="AC694:AC696"/>
    <mergeCell ref="AD694:AD696"/>
    <mergeCell ref="U695:W695"/>
    <mergeCell ref="U696:W696"/>
    <mergeCell ref="AQ693:AR693"/>
    <mergeCell ref="AS693:AT693"/>
    <mergeCell ref="AW693:AX693"/>
    <mergeCell ref="AK693:AL693"/>
    <mergeCell ref="AM693:AN693"/>
    <mergeCell ref="AO693:AP693"/>
    <mergeCell ref="AY693:AZ693"/>
    <mergeCell ref="BA693:BB693"/>
    <mergeCell ref="BE693:BF693"/>
    <mergeCell ref="AA691:AA693"/>
    <mergeCell ref="AB691:AB693"/>
    <mergeCell ref="AC691:AC693"/>
    <mergeCell ref="AD691:AD693"/>
    <mergeCell ref="AI691:AN691"/>
    <mergeCell ref="AO691:AT691"/>
    <mergeCell ref="AI693:AJ693"/>
    <mergeCell ref="Q701:S701"/>
    <mergeCell ref="U701:W701"/>
    <mergeCell ref="Q702:R704"/>
    <mergeCell ref="S702:S704"/>
    <mergeCell ref="T702:T704"/>
    <mergeCell ref="U702:W702"/>
    <mergeCell ref="U703:W703"/>
    <mergeCell ref="U704:W704"/>
    <mergeCell ref="AC697:AC699"/>
    <mergeCell ref="AD697:AD699"/>
    <mergeCell ref="U698:W698"/>
    <mergeCell ref="U699:W699"/>
    <mergeCell ref="T697:T699"/>
    <mergeCell ref="U697:W697"/>
    <mergeCell ref="AA697:AA699"/>
    <mergeCell ref="AB697:AB699"/>
    <mergeCell ref="BG693:BH693"/>
    <mergeCell ref="BG704:BH704"/>
    <mergeCell ref="AS704:AT704"/>
    <mergeCell ref="AW704:AX704"/>
    <mergeCell ref="AY704:AZ704"/>
    <mergeCell ref="BA704:BB704"/>
    <mergeCell ref="BI704:BJ704"/>
    <mergeCell ref="T705:T707"/>
    <mergeCell ref="U705:W705"/>
    <mergeCell ref="AA705:AA707"/>
    <mergeCell ref="AB705:AB707"/>
    <mergeCell ref="AC705:AC707"/>
    <mergeCell ref="BE704:BF704"/>
    <mergeCell ref="AA702:AA704"/>
    <mergeCell ref="AB702:AB704"/>
    <mergeCell ref="AC702:AC704"/>
    <mergeCell ref="AD702:AD704"/>
    <mergeCell ref="AI702:AN702"/>
    <mergeCell ref="AO702:AT702"/>
    <mergeCell ref="AI704:AJ704"/>
    <mergeCell ref="AK704:AL704"/>
    <mergeCell ref="AM704:AN704"/>
    <mergeCell ref="AO704:AP704"/>
    <mergeCell ref="T708:T710"/>
    <mergeCell ref="U708:W708"/>
    <mergeCell ref="AA708:AA710"/>
    <mergeCell ref="AB708:AB710"/>
    <mergeCell ref="Q713:R715"/>
    <mergeCell ref="S713:S715"/>
    <mergeCell ref="T713:T715"/>
    <mergeCell ref="U713:W713"/>
    <mergeCell ref="Q712:S712"/>
    <mergeCell ref="U712:W712"/>
    <mergeCell ref="AD705:AD707"/>
    <mergeCell ref="U706:W706"/>
    <mergeCell ref="U707:W707"/>
    <mergeCell ref="AQ704:AR704"/>
    <mergeCell ref="AC708:AC710"/>
    <mergeCell ref="AD708:AD710"/>
    <mergeCell ref="U709:W709"/>
    <mergeCell ref="U710:W710"/>
    <mergeCell ref="AQ715:AR715"/>
    <mergeCell ref="AS715:AT715"/>
    <mergeCell ref="BA715:BB715"/>
    <mergeCell ref="BC715:BD715"/>
    <mergeCell ref="BE715:BF715"/>
    <mergeCell ref="BG715:BH715"/>
    <mergeCell ref="AW715:AX715"/>
    <mergeCell ref="AY715:AZ715"/>
    <mergeCell ref="AD713:AD715"/>
    <mergeCell ref="AE713:AE715"/>
    <mergeCell ref="BI715:BJ715"/>
    <mergeCell ref="T716:T718"/>
    <mergeCell ref="U716:W716"/>
    <mergeCell ref="AB716:AB718"/>
    <mergeCell ref="AC716:AC718"/>
    <mergeCell ref="AD716:AD718"/>
    <mergeCell ref="AI712:AN712"/>
    <mergeCell ref="AO712:AT712"/>
    <mergeCell ref="U714:W714"/>
    <mergeCell ref="U715:W715"/>
    <mergeCell ref="AI715:AJ715"/>
    <mergeCell ref="AK715:AL715"/>
    <mergeCell ref="AB713:AB715"/>
    <mergeCell ref="AC713:AC715"/>
    <mergeCell ref="AM715:AN715"/>
    <mergeCell ref="AO715:AP715"/>
    <mergeCell ref="U720:W720"/>
    <mergeCell ref="U721:W721"/>
    <mergeCell ref="T722:T724"/>
    <mergeCell ref="U722:W722"/>
    <mergeCell ref="T719:T721"/>
    <mergeCell ref="X731:Z731"/>
    <mergeCell ref="T729:U729"/>
    <mergeCell ref="X729:Z729"/>
    <mergeCell ref="T730:U730"/>
    <mergeCell ref="X730:Z730"/>
    <mergeCell ref="AC722:AC724"/>
    <mergeCell ref="AE716:AE718"/>
    <mergeCell ref="AW716:AX716"/>
    <mergeCell ref="U717:W717"/>
    <mergeCell ref="U718:W718"/>
    <mergeCell ref="U719:W719"/>
    <mergeCell ref="AB719:AB721"/>
    <mergeCell ref="AC719:AC721"/>
    <mergeCell ref="AD719:AD721"/>
    <mergeCell ref="AE719:AE721"/>
    <mergeCell ref="T734:U734"/>
    <mergeCell ref="X734:Z734"/>
    <mergeCell ref="T735:U735"/>
    <mergeCell ref="X735:Z735"/>
    <mergeCell ref="T737:U737"/>
    <mergeCell ref="X737:Z737"/>
    <mergeCell ref="AD735:AF735"/>
    <mergeCell ref="T736:U736"/>
    <mergeCell ref="AD736:AF736"/>
    <mergeCell ref="AA731:AC731"/>
    <mergeCell ref="T732:U732"/>
    <mergeCell ref="AA732:AC732"/>
    <mergeCell ref="T733:U733"/>
    <mergeCell ref="X733:Z733"/>
    <mergeCell ref="AA733:AC733"/>
    <mergeCell ref="T731:U731"/>
    <mergeCell ref="AD722:AD724"/>
    <mergeCell ref="AE722:AE724"/>
    <mergeCell ref="U723:W723"/>
    <mergeCell ref="U724:W724"/>
    <mergeCell ref="T727:W727"/>
    <mergeCell ref="X727:Z727"/>
    <mergeCell ref="AA727:AC727"/>
    <mergeCell ref="AD727:AF727"/>
    <mergeCell ref="AB722:AB724"/>
    <mergeCell ref="T742:U742"/>
    <mergeCell ref="X742:Z742"/>
    <mergeCell ref="T743:U743"/>
    <mergeCell ref="X743:Z743"/>
    <mergeCell ref="T744:U744"/>
    <mergeCell ref="T747:AD747"/>
    <mergeCell ref="AD737:AF737"/>
    <mergeCell ref="T738:U738"/>
    <mergeCell ref="X738:Z738"/>
    <mergeCell ref="Q749:S749"/>
    <mergeCell ref="U749:W749"/>
    <mergeCell ref="T740:U740"/>
    <mergeCell ref="AA740:AC740"/>
    <mergeCell ref="T741:U741"/>
    <mergeCell ref="X741:Z741"/>
    <mergeCell ref="AA741:AC741"/>
    <mergeCell ref="T739:U739"/>
    <mergeCell ref="X739:Z739"/>
    <mergeCell ref="AA739:AC739"/>
    <mergeCell ref="U751:W751"/>
    <mergeCell ref="U752:W752"/>
    <mergeCell ref="AI752:AJ752"/>
    <mergeCell ref="AK752:AL752"/>
    <mergeCell ref="AM752:AN752"/>
    <mergeCell ref="AO752:AP752"/>
    <mergeCell ref="AQ752:AR752"/>
    <mergeCell ref="AS752:AT752"/>
    <mergeCell ref="AI749:AN749"/>
    <mergeCell ref="AO749:AT749"/>
    <mergeCell ref="Q750:R752"/>
    <mergeCell ref="S750:S752"/>
    <mergeCell ref="T750:T752"/>
    <mergeCell ref="U750:W750"/>
    <mergeCell ref="AB750:AB752"/>
    <mergeCell ref="AC750:AC752"/>
    <mergeCell ref="AD750:AD752"/>
    <mergeCell ref="AE750:AE752"/>
    <mergeCell ref="AE753:AE755"/>
    <mergeCell ref="AW753:AX753"/>
    <mergeCell ref="U754:W754"/>
    <mergeCell ref="U755:W755"/>
    <mergeCell ref="T756:T758"/>
    <mergeCell ref="U756:W756"/>
    <mergeCell ref="AW752:AX752"/>
    <mergeCell ref="AY752:AZ752"/>
    <mergeCell ref="BE752:BF752"/>
    <mergeCell ref="BG752:BH752"/>
    <mergeCell ref="BI752:BJ752"/>
    <mergeCell ref="T753:T755"/>
    <mergeCell ref="U753:W753"/>
    <mergeCell ref="AB753:AB755"/>
    <mergeCell ref="AC753:AC755"/>
    <mergeCell ref="AD753:AD755"/>
    <mergeCell ref="BA752:BB752"/>
    <mergeCell ref="BC752:BD752"/>
    <mergeCell ref="U760:W760"/>
    <mergeCell ref="U761:W761"/>
    <mergeCell ref="AD759:AD761"/>
    <mergeCell ref="AE759:AE761"/>
    <mergeCell ref="Q763:S763"/>
    <mergeCell ref="U763:W763"/>
    <mergeCell ref="Q764:R766"/>
    <mergeCell ref="S764:S766"/>
    <mergeCell ref="T764:T766"/>
    <mergeCell ref="U764:W764"/>
    <mergeCell ref="U765:W765"/>
    <mergeCell ref="U766:W766"/>
    <mergeCell ref="T759:T761"/>
    <mergeCell ref="U759:W759"/>
    <mergeCell ref="AB759:AB761"/>
    <mergeCell ref="AC759:AC761"/>
    <mergeCell ref="AD756:AD758"/>
    <mergeCell ref="AE756:AE758"/>
    <mergeCell ref="U757:W757"/>
    <mergeCell ref="U758:W758"/>
    <mergeCell ref="AB756:AB758"/>
    <mergeCell ref="AC756:AC758"/>
    <mergeCell ref="AQ766:AR766"/>
    <mergeCell ref="AS766:AT766"/>
    <mergeCell ref="AW766:AX766"/>
    <mergeCell ref="AY766:AZ766"/>
    <mergeCell ref="BG766:BH766"/>
    <mergeCell ref="BI766:BJ766"/>
    <mergeCell ref="BA766:BB766"/>
    <mergeCell ref="BE766:BF766"/>
    <mergeCell ref="AA764:AA766"/>
    <mergeCell ref="AB764:AB766"/>
    <mergeCell ref="AC764:AC766"/>
    <mergeCell ref="AD764:AD766"/>
    <mergeCell ref="AI764:AN764"/>
    <mergeCell ref="AO764:AT764"/>
    <mergeCell ref="AI766:AJ766"/>
    <mergeCell ref="AK766:AL766"/>
    <mergeCell ref="AM766:AN766"/>
    <mergeCell ref="AO766:AP766"/>
    <mergeCell ref="Q774:S774"/>
    <mergeCell ref="U774:W774"/>
    <mergeCell ref="Q775:R777"/>
    <mergeCell ref="S775:S777"/>
    <mergeCell ref="T775:T777"/>
    <mergeCell ref="U775:W775"/>
    <mergeCell ref="U776:W776"/>
    <mergeCell ref="U777:W777"/>
    <mergeCell ref="AC770:AC772"/>
    <mergeCell ref="AD770:AD772"/>
    <mergeCell ref="U771:W771"/>
    <mergeCell ref="U772:W772"/>
    <mergeCell ref="T770:T772"/>
    <mergeCell ref="U770:W770"/>
    <mergeCell ref="AA770:AA772"/>
    <mergeCell ref="AB770:AB772"/>
    <mergeCell ref="T767:T769"/>
    <mergeCell ref="U767:W767"/>
    <mergeCell ref="AA767:AA769"/>
    <mergeCell ref="AB767:AB769"/>
    <mergeCell ref="AC767:AC769"/>
    <mergeCell ref="AD767:AD769"/>
    <mergeCell ref="U768:W768"/>
    <mergeCell ref="U769:W769"/>
    <mergeCell ref="AQ777:AR777"/>
    <mergeCell ref="AS777:AT777"/>
    <mergeCell ref="AW777:AX777"/>
    <mergeCell ref="AY777:AZ777"/>
    <mergeCell ref="BG777:BH777"/>
    <mergeCell ref="BI777:BJ777"/>
    <mergeCell ref="BA777:BB777"/>
    <mergeCell ref="BE777:BF777"/>
    <mergeCell ref="AA775:AA777"/>
    <mergeCell ref="AB775:AB777"/>
    <mergeCell ref="AC775:AC777"/>
    <mergeCell ref="AD775:AD777"/>
    <mergeCell ref="AI775:AN775"/>
    <mergeCell ref="AO775:AT775"/>
    <mergeCell ref="AI777:AJ777"/>
    <mergeCell ref="AK777:AL777"/>
    <mergeCell ref="AM777:AN777"/>
    <mergeCell ref="AO777:AP777"/>
    <mergeCell ref="Q785:S785"/>
    <mergeCell ref="U785:W785"/>
    <mergeCell ref="Q786:R788"/>
    <mergeCell ref="S786:S788"/>
    <mergeCell ref="T786:T788"/>
    <mergeCell ref="U786:W786"/>
    <mergeCell ref="U787:W787"/>
    <mergeCell ref="U788:W788"/>
    <mergeCell ref="AC781:AC783"/>
    <mergeCell ref="AD781:AD783"/>
    <mergeCell ref="U782:W782"/>
    <mergeCell ref="U783:W783"/>
    <mergeCell ref="T781:T783"/>
    <mergeCell ref="U781:W781"/>
    <mergeCell ref="AA781:AA783"/>
    <mergeCell ref="AB781:AB783"/>
    <mergeCell ref="T778:T780"/>
    <mergeCell ref="U778:W778"/>
    <mergeCell ref="AA778:AA780"/>
    <mergeCell ref="AB778:AB780"/>
    <mergeCell ref="AC778:AC780"/>
    <mergeCell ref="AD778:AD780"/>
    <mergeCell ref="U779:W779"/>
    <mergeCell ref="U780:W780"/>
    <mergeCell ref="AQ788:AR788"/>
    <mergeCell ref="AS788:AT788"/>
    <mergeCell ref="AW788:AX788"/>
    <mergeCell ref="AY788:AZ788"/>
    <mergeCell ref="BG788:BH788"/>
    <mergeCell ref="BI788:BJ788"/>
    <mergeCell ref="BA788:BB788"/>
    <mergeCell ref="BE788:BF788"/>
    <mergeCell ref="AA786:AA788"/>
    <mergeCell ref="AB786:AB788"/>
    <mergeCell ref="AC786:AC788"/>
    <mergeCell ref="AD786:AD788"/>
    <mergeCell ref="AI786:AN786"/>
    <mergeCell ref="AO786:AT786"/>
    <mergeCell ref="AI788:AJ788"/>
    <mergeCell ref="AK788:AL788"/>
    <mergeCell ref="AM788:AN788"/>
    <mergeCell ref="AO788:AP788"/>
    <mergeCell ref="Q796:S796"/>
    <mergeCell ref="U796:W796"/>
    <mergeCell ref="Q797:R799"/>
    <mergeCell ref="S797:S799"/>
    <mergeCell ref="T797:T799"/>
    <mergeCell ref="U797:W797"/>
    <mergeCell ref="U798:W798"/>
    <mergeCell ref="U799:W799"/>
    <mergeCell ref="AC792:AC794"/>
    <mergeCell ref="AD792:AD794"/>
    <mergeCell ref="U793:W793"/>
    <mergeCell ref="U794:W794"/>
    <mergeCell ref="T792:T794"/>
    <mergeCell ref="U792:W792"/>
    <mergeCell ref="AA792:AA794"/>
    <mergeCell ref="AB792:AB794"/>
    <mergeCell ref="T789:T791"/>
    <mergeCell ref="U789:W789"/>
    <mergeCell ref="AA789:AA791"/>
    <mergeCell ref="AB789:AB791"/>
    <mergeCell ref="AC789:AC791"/>
    <mergeCell ref="AD789:AD791"/>
    <mergeCell ref="U790:W790"/>
    <mergeCell ref="U791:W791"/>
    <mergeCell ref="AQ799:AR799"/>
    <mergeCell ref="AS799:AT799"/>
    <mergeCell ref="AW799:AX799"/>
    <mergeCell ref="AY799:AZ799"/>
    <mergeCell ref="BG799:BH799"/>
    <mergeCell ref="BI799:BJ799"/>
    <mergeCell ref="BA799:BB799"/>
    <mergeCell ref="BE799:BF799"/>
    <mergeCell ref="AA797:AA799"/>
    <mergeCell ref="AB797:AB799"/>
    <mergeCell ref="AC797:AC799"/>
    <mergeCell ref="AD797:AD799"/>
    <mergeCell ref="AI797:AN797"/>
    <mergeCell ref="AO797:AT797"/>
    <mergeCell ref="AI799:AJ799"/>
    <mergeCell ref="AK799:AL799"/>
    <mergeCell ref="AM799:AN799"/>
    <mergeCell ref="AO799:AP799"/>
    <mergeCell ref="Q807:S807"/>
    <mergeCell ref="U807:W807"/>
    <mergeCell ref="Q808:R810"/>
    <mergeCell ref="S808:S810"/>
    <mergeCell ref="T808:T810"/>
    <mergeCell ref="U808:W808"/>
    <mergeCell ref="U809:W809"/>
    <mergeCell ref="U810:W810"/>
    <mergeCell ref="AC803:AC805"/>
    <mergeCell ref="AD803:AD805"/>
    <mergeCell ref="U804:W804"/>
    <mergeCell ref="U805:W805"/>
    <mergeCell ref="T803:T805"/>
    <mergeCell ref="U803:W803"/>
    <mergeCell ref="AA803:AA805"/>
    <mergeCell ref="AB803:AB805"/>
    <mergeCell ref="T800:T802"/>
    <mergeCell ref="U800:W800"/>
    <mergeCell ref="AA800:AA802"/>
    <mergeCell ref="AB800:AB802"/>
    <mergeCell ref="AC800:AC802"/>
    <mergeCell ref="AD800:AD802"/>
    <mergeCell ref="U801:W801"/>
    <mergeCell ref="U802:W802"/>
    <mergeCell ref="BI810:BJ810"/>
    <mergeCell ref="T811:T813"/>
    <mergeCell ref="U811:W811"/>
    <mergeCell ref="AA811:AA813"/>
    <mergeCell ref="AB811:AB813"/>
    <mergeCell ref="AC811:AC813"/>
    <mergeCell ref="AD811:AD813"/>
    <mergeCell ref="U812:W812"/>
    <mergeCell ref="U813:W813"/>
    <mergeCell ref="AQ810:AR810"/>
    <mergeCell ref="AS810:AT810"/>
    <mergeCell ref="AW810:AX810"/>
    <mergeCell ref="AK810:AL810"/>
    <mergeCell ref="AM810:AN810"/>
    <mergeCell ref="AO810:AP810"/>
    <mergeCell ref="AY810:AZ810"/>
    <mergeCell ref="BA810:BB810"/>
    <mergeCell ref="BE810:BF810"/>
    <mergeCell ref="AA808:AA810"/>
    <mergeCell ref="AB808:AB810"/>
    <mergeCell ref="AC808:AC810"/>
    <mergeCell ref="AD808:AD810"/>
    <mergeCell ref="AI808:AN808"/>
    <mergeCell ref="AO808:AT808"/>
    <mergeCell ref="AI810:AJ810"/>
    <mergeCell ref="Q818:S818"/>
    <mergeCell ref="U818:W818"/>
    <mergeCell ref="Q819:R821"/>
    <mergeCell ref="S819:S821"/>
    <mergeCell ref="T819:T821"/>
    <mergeCell ref="U819:W819"/>
    <mergeCell ref="U820:W820"/>
    <mergeCell ref="U821:W821"/>
    <mergeCell ref="AC814:AC816"/>
    <mergeCell ref="AD814:AD816"/>
    <mergeCell ref="U815:W815"/>
    <mergeCell ref="U816:W816"/>
    <mergeCell ref="T814:T816"/>
    <mergeCell ref="U814:W814"/>
    <mergeCell ref="AA814:AA816"/>
    <mergeCell ref="AB814:AB816"/>
    <mergeCell ref="BG810:BH810"/>
    <mergeCell ref="BG821:BH821"/>
    <mergeCell ref="T822:T824"/>
    <mergeCell ref="U822:W822"/>
    <mergeCell ref="AA822:AA824"/>
    <mergeCell ref="AB822:AB824"/>
    <mergeCell ref="AC822:AC824"/>
    <mergeCell ref="AD822:AD824"/>
    <mergeCell ref="U823:W823"/>
    <mergeCell ref="U824:W824"/>
    <mergeCell ref="AQ821:AR821"/>
    <mergeCell ref="AS821:AT821"/>
    <mergeCell ref="AW821:AX821"/>
    <mergeCell ref="AY821:AZ821"/>
    <mergeCell ref="U827:W827"/>
    <mergeCell ref="BI821:BJ821"/>
    <mergeCell ref="BA821:BB821"/>
    <mergeCell ref="BE821:BF821"/>
    <mergeCell ref="AA819:AA821"/>
    <mergeCell ref="AB819:AB821"/>
    <mergeCell ref="AC819:AC821"/>
    <mergeCell ref="AD819:AD821"/>
    <mergeCell ref="AI819:AN819"/>
    <mergeCell ref="AO819:AT819"/>
    <mergeCell ref="AI821:AJ821"/>
    <mergeCell ref="AK821:AL821"/>
    <mergeCell ref="AM821:AN821"/>
    <mergeCell ref="AO821:AP821"/>
    <mergeCell ref="T833:U833"/>
    <mergeCell ref="X833:Z833"/>
    <mergeCell ref="T834:U834"/>
    <mergeCell ref="X834:Z834"/>
    <mergeCell ref="T836:U836"/>
    <mergeCell ref="X836:Z836"/>
    <mergeCell ref="AA834:AC834"/>
    <mergeCell ref="T835:U835"/>
    <mergeCell ref="AA835:AC835"/>
    <mergeCell ref="T830:W830"/>
    <mergeCell ref="X830:Z830"/>
    <mergeCell ref="AA830:AC830"/>
    <mergeCell ref="AD830:AF830"/>
    <mergeCell ref="T832:U832"/>
    <mergeCell ref="X832:Z832"/>
    <mergeCell ref="T825:T827"/>
    <mergeCell ref="U825:W825"/>
    <mergeCell ref="AA825:AA827"/>
    <mergeCell ref="AB825:AB827"/>
    <mergeCell ref="AC825:AC827"/>
    <mergeCell ref="AD825:AD827"/>
    <mergeCell ref="U826:W826"/>
    <mergeCell ref="AD838:AF838"/>
    <mergeCell ref="T839:U839"/>
    <mergeCell ref="AD839:AF839"/>
    <mergeCell ref="T840:U840"/>
    <mergeCell ref="X840:Z840"/>
    <mergeCell ref="AD840:AF840"/>
    <mergeCell ref="T838:U838"/>
    <mergeCell ref="AA836:AC836"/>
    <mergeCell ref="T837:U837"/>
    <mergeCell ref="X837:Z837"/>
    <mergeCell ref="AA842:AC842"/>
    <mergeCell ref="T843:U843"/>
    <mergeCell ref="AA843:AC843"/>
    <mergeCell ref="T841:U841"/>
    <mergeCell ref="X841:Z841"/>
    <mergeCell ref="T842:U842"/>
    <mergeCell ref="X842:Z842"/>
    <mergeCell ref="X838:Z838"/>
    <mergeCell ref="T849:AD849"/>
    <mergeCell ref="Q851:S851"/>
    <mergeCell ref="U851:W851"/>
    <mergeCell ref="Q852:R854"/>
    <mergeCell ref="S852:S854"/>
    <mergeCell ref="T852:T854"/>
    <mergeCell ref="U852:W852"/>
    <mergeCell ref="U853:W853"/>
    <mergeCell ref="U854:W854"/>
    <mergeCell ref="AI851:AN851"/>
    <mergeCell ref="AO851:AT851"/>
    <mergeCell ref="T844:U844"/>
    <mergeCell ref="X844:Z844"/>
    <mergeCell ref="AA844:AC844"/>
    <mergeCell ref="T845:U845"/>
    <mergeCell ref="X845:Z845"/>
    <mergeCell ref="T846:U846"/>
    <mergeCell ref="X846:Z846"/>
    <mergeCell ref="T847:U847"/>
    <mergeCell ref="BC854:BD854"/>
    <mergeCell ref="BE854:BF854"/>
    <mergeCell ref="BG854:BH854"/>
    <mergeCell ref="AB858:AB860"/>
    <mergeCell ref="AC858:AC860"/>
    <mergeCell ref="AD858:AD860"/>
    <mergeCell ref="AE858:AE860"/>
    <mergeCell ref="AE855:AE857"/>
    <mergeCell ref="AW855:AX855"/>
    <mergeCell ref="BI854:BJ854"/>
    <mergeCell ref="T855:T857"/>
    <mergeCell ref="U855:W855"/>
    <mergeCell ref="AB855:AB857"/>
    <mergeCell ref="AC855:AC857"/>
    <mergeCell ref="AD855:AD857"/>
    <mergeCell ref="AM854:AN854"/>
    <mergeCell ref="AO854:AP854"/>
    <mergeCell ref="AQ854:AR854"/>
    <mergeCell ref="AS854:AT854"/>
    <mergeCell ref="AI854:AJ854"/>
    <mergeCell ref="AK854:AL854"/>
    <mergeCell ref="AB852:AB854"/>
    <mergeCell ref="AC852:AC854"/>
    <mergeCell ref="AW854:AX854"/>
    <mergeCell ref="AY854:AZ854"/>
    <mergeCell ref="AD852:AD854"/>
    <mergeCell ref="AE852:AE854"/>
    <mergeCell ref="AD861:AD863"/>
    <mergeCell ref="AE861:AE863"/>
    <mergeCell ref="U862:W862"/>
    <mergeCell ref="U863:W863"/>
    <mergeCell ref="AB861:AB863"/>
    <mergeCell ref="AC861:AC863"/>
    <mergeCell ref="U856:W856"/>
    <mergeCell ref="U857:W857"/>
    <mergeCell ref="Q865:S865"/>
    <mergeCell ref="U865:W865"/>
    <mergeCell ref="U859:W859"/>
    <mergeCell ref="U860:W860"/>
    <mergeCell ref="T861:T863"/>
    <mergeCell ref="U861:W861"/>
    <mergeCell ref="T858:T860"/>
    <mergeCell ref="U858:W858"/>
    <mergeCell ref="BA854:BB854"/>
    <mergeCell ref="BI868:BJ868"/>
    <mergeCell ref="AQ868:AR868"/>
    <mergeCell ref="AS868:AT868"/>
    <mergeCell ref="AW868:AX868"/>
    <mergeCell ref="AY868:AZ868"/>
    <mergeCell ref="BA868:BB868"/>
    <mergeCell ref="BE868:BF868"/>
    <mergeCell ref="AC869:AC871"/>
    <mergeCell ref="AD869:AD871"/>
    <mergeCell ref="U870:W870"/>
    <mergeCell ref="U871:W871"/>
    <mergeCell ref="T869:T871"/>
    <mergeCell ref="U869:W869"/>
    <mergeCell ref="AA869:AA871"/>
    <mergeCell ref="AB869:AB871"/>
    <mergeCell ref="AI868:AJ868"/>
    <mergeCell ref="AK868:AL868"/>
    <mergeCell ref="AC866:AC868"/>
    <mergeCell ref="AD866:AD868"/>
    <mergeCell ref="AI866:AN866"/>
    <mergeCell ref="AO866:AT866"/>
    <mergeCell ref="AM868:AN868"/>
    <mergeCell ref="AO868:AP868"/>
    <mergeCell ref="T866:T868"/>
    <mergeCell ref="U866:W866"/>
    <mergeCell ref="AA866:AA868"/>
    <mergeCell ref="AB866:AB868"/>
    <mergeCell ref="U867:W867"/>
    <mergeCell ref="U868:W868"/>
    <mergeCell ref="Q876:S876"/>
    <mergeCell ref="U876:W876"/>
    <mergeCell ref="Q877:R879"/>
    <mergeCell ref="S877:S879"/>
    <mergeCell ref="T877:T879"/>
    <mergeCell ref="U877:W877"/>
    <mergeCell ref="U878:W878"/>
    <mergeCell ref="U879:W879"/>
    <mergeCell ref="AC872:AC874"/>
    <mergeCell ref="AD872:AD874"/>
    <mergeCell ref="U873:W873"/>
    <mergeCell ref="U874:W874"/>
    <mergeCell ref="T872:T874"/>
    <mergeCell ref="U872:W872"/>
    <mergeCell ref="AA872:AA874"/>
    <mergeCell ref="AB872:AB874"/>
    <mergeCell ref="BG868:BH868"/>
    <mergeCell ref="Q866:R868"/>
    <mergeCell ref="S866:S868"/>
    <mergeCell ref="AQ879:AR879"/>
    <mergeCell ref="AS879:AT879"/>
    <mergeCell ref="AW879:AX879"/>
    <mergeCell ref="AY879:AZ879"/>
    <mergeCell ref="BG879:BH879"/>
    <mergeCell ref="BI879:BJ879"/>
    <mergeCell ref="BA879:BB879"/>
    <mergeCell ref="BE879:BF879"/>
    <mergeCell ref="AA877:AA879"/>
    <mergeCell ref="AB877:AB879"/>
    <mergeCell ref="AC877:AC879"/>
    <mergeCell ref="AD877:AD879"/>
    <mergeCell ref="AI877:AN877"/>
    <mergeCell ref="AO877:AT877"/>
    <mergeCell ref="AI879:AJ879"/>
    <mergeCell ref="AK879:AL879"/>
    <mergeCell ref="AM879:AN879"/>
    <mergeCell ref="AO879:AP879"/>
    <mergeCell ref="Q887:S887"/>
    <mergeCell ref="U887:W887"/>
    <mergeCell ref="Q888:R890"/>
    <mergeCell ref="S888:S890"/>
    <mergeCell ref="T888:T890"/>
    <mergeCell ref="U888:W888"/>
    <mergeCell ref="U889:W889"/>
    <mergeCell ref="U890:W890"/>
    <mergeCell ref="AC883:AC885"/>
    <mergeCell ref="AD883:AD885"/>
    <mergeCell ref="U884:W884"/>
    <mergeCell ref="U885:W885"/>
    <mergeCell ref="T883:T885"/>
    <mergeCell ref="U883:W883"/>
    <mergeCell ref="AA883:AA885"/>
    <mergeCell ref="AB883:AB885"/>
    <mergeCell ref="T880:T882"/>
    <mergeCell ref="U880:W880"/>
    <mergeCell ref="AA880:AA882"/>
    <mergeCell ref="AB880:AB882"/>
    <mergeCell ref="AC880:AC882"/>
    <mergeCell ref="AD880:AD882"/>
    <mergeCell ref="U881:W881"/>
    <mergeCell ref="U882:W882"/>
    <mergeCell ref="AQ890:AR890"/>
    <mergeCell ref="AS890:AT890"/>
    <mergeCell ref="AW890:AX890"/>
    <mergeCell ref="AY890:AZ890"/>
    <mergeCell ref="BG890:BH890"/>
    <mergeCell ref="BI890:BJ890"/>
    <mergeCell ref="BA890:BB890"/>
    <mergeCell ref="BE890:BF890"/>
    <mergeCell ref="AA888:AA890"/>
    <mergeCell ref="AB888:AB890"/>
    <mergeCell ref="AC888:AC890"/>
    <mergeCell ref="AD888:AD890"/>
    <mergeCell ref="AI888:AN888"/>
    <mergeCell ref="AO888:AT888"/>
    <mergeCell ref="AI890:AJ890"/>
    <mergeCell ref="AK890:AL890"/>
    <mergeCell ref="AM890:AN890"/>
    <mergeCell ref="AO890:AP890"/>
    <mergeCell ref="Q898:S898"/>
    <mergeCell ref="U898:W898"/>
    <mergeCell ref="Q899:R901"/>
    <mergeCell ref="S899:S901"/>
    <mergeCell ref="T899:T901"/>
    <mergeCell ref="U899:W899"/>
    <mergeCell ref="U900:W900"/>
    <mergeCell ref="U901:W901"/>
    <mergeCell ref="AC894:AC896"/>
    <mergeCell ref="AD894:AD896"/>
    <mergeCell ref="U895:W895"/>
    <mergeCell ref="U896:W896"/>
    <mergeCell ref="T894:T896"/>
    <mergeCell ref="U894:W894"/>
    <mergeCell ref="AA894:AA896"/>
    <mergeCell ref="AB894:AB896"/>
    <mergeCell ref="T891:T893"/>
    <mergeCell ref="U891:W891"/>
    <mergeCell ref="AA891:AA893"/>
    <mergeCell ref="AB891:AB893"/>
    <mergeCell ref="AC891:AC893"/>
    <mergeCell ref="AD891:AD893"/>
    <mergeCell ref="U892:W892"/>
    <mergeCell ref="U893:W893"/>
    <mergeCell ref="AQ901:AR901"/>
    <mergeCell ref="AS901:AT901"/>
    <mergeCell ref="AW901:AX901"/>
    <mergeCell ref="AY901:AZ901"/>
    <mergeCell ref="BG901:BH901"/>
    <mergeCell ref="BI901:BJ901"/>
    <mergeCell ref="BA901:BB901"/>
    <mergeCell ref="BE901:BF901"/>
    <mergeCell ref="AA899:AA901"/>
    <mergeCell ref="AB899:AB901"/>
    <mergeCell ref="AC899:AC901"/>
    <mergeCell ref="AD899:AD901"/>
    <mergeCell ref="AI899:AN899"/>
    <mergeCell ref="AO899:AT899"/>
    <mergeCell ref="AI901:AJ901"/>
    <mergeCell ref="AK901:AL901"/>
    <mergeCell ref="AM901:AN901"/>
    <mergeCell ref="AO901:AP901"/>
    <mergeCell ref="Q909:S909"/>
    <mergeCell ref="U909:W909"/>
    <mergeCell ref="Q910:R912"/>
    <mergeCell ref="S910:S912"/>
    <mergeCell ref="T910:T912"/>
    <mergeCell ref="U910:W910"/>
    <mergeCell ref="U911:W911"/>
    <mergeCell ref="U912:W912"/>
    <mergeCell ref="AC905:AC907"/>
    <mergeCell ref="AD905:AD907"/>
    <mergeCell ref="U906:W906"/>
    <mergeCell ref="U907:W907"/>
    <mergeCell ref="T905:T907"/>
    <mergeCell ref="U905:W905"/>
    <mergeCell ref="AA905:AA907"/>
    <mergeCell ref="AB905:AB907"/>
    <mergeCell ref="T902:T904"/>
    <mergeCell ref="U902:W902"/>
    <mergeCell ref="AA902:AA904"/>
    <mergeCell ref="AB902:AB904"/>
    <mergeCell ref="AC902:AC904"/>
    <mergeCell ref="AD902:AD904"/>
    <mergeCell ref="U903:W903"/>
    <mergeCell ref="U904:W904"/>
    <mergeCell ref="BI912:BJ912"/>
    <mergeCell ref="T913:T915"/>
    <mergeCell ref="U913:W913"/>
    <mergeCell ref="AA913:AA915"/>
    <mergeCell ref="AB913:AB915"/>
    <mergeCell ref="AC913:AC915"/>
    <mergeCell ref="AD913:AD915"/>
    <mergeCell ref="U914:W914"/>
    <mergeCell ref="U915:W915"/>
    <mergeCell ref="AQ912:AR912"/>
    <mergeCell ref="AS912:AT912"/>
    <mergeCell ref="AW912:AX912"/>
    <mergeCell ref="AK912:AL912"/>
    <mergeCell ref="AM912:AN912"/>
    <mergeCell ref="AO912:AP912"/>
    <mergeCell ref="AY912:AZ912"/>
    <mergeCell ref="BA912:BB912"/>
    <mergeCell ref="BE912:BF912"/>
    <mergeCell ref="AA910:AA912"/>
    <mergeCell ref="AB910:AB912"/>
    <mergeCell ref="AC910:AC912"/>
    <mergeCell ref="AD910:AD912"/>
    <mergeCell ref="AI910:AN910"/>
    <mergeCell ref="AO910:AT910"/>
    <mergeCell ref="AI912:AJ912"/>
    <mergeCell ref="Q920:S920"/>
    <mergeCell ref="U920:W920"/>
    <mergeCell ref="Q921:R923"/>
    <mergeCell ref="S921:S923"/>
    <mergeCell ref="T921:T923"/>
    <mergeCell ref="U921:W921"/>
    <mergeCell ref="U922:W922"/>
    <mergeCell ref="U923:W923"/>
    <mergeCell ref="AC916:AC918"/>
    <mergeCell ref="AD916:AD918"/>
    <mergeCell ref="U917:W917"/>
    <mergeCell ref="U918:W918"/>
    <mergeCell ref="T916:T918"/>
    <mergeCell ref="U916:W916"/>
    <mergeCell ref="AA916:AA918"/>
    <mergeCell ref="AB916:AB918"/>
    <mergeCell ref="BG912:BH912"/>
    <mergeCell ref="BG923:BH923"/>
    <mergeCell ref="BA923:BB923"/>
    <mergeCell ref="BI923:BJ923"/>
    <mergeCell ref="T924:T926"/>
    <mergeCell ref="U924:W924"/>
    <mergeCell ref="AA924:AA926"/>
    <mergeCell ref="AB924:AB926"/>
    <mergeCell ref="AC924:AC926"/>
    <mergeCell ref="BE923:BF923"/>
    <mergeCell ref="AA921:AA923"/>
    <mergeCell ref="AB921:AB923"/>
    <mergeCell ref="AC921:AC923"/>
    <mergeCell ref="AD921:AD923"/>
    <mergeCell ref="AI921:AN921"/>
    <mergeCell ref="AO921:AT921"/>
    <mergeCell ref="AI923:AJ923"/>
    <mergeCell ref="AK923:AL923"/>
    <mergeCell ref="AM923:AN923"/>
    <mergeCell ref="AO923:AP923"/>
    <mergeCell ref="T927:T929"/>
    <mergeCell ref="U927:W927"/>
    <mergeCell ref="AA927:AA929"/>
    <mergeCell ref="AB927:AB929"/>
    <mergeCell ref="AA932:AC932"/>
    <mergeCell ref="AD932:AF932"/>
    <mergeCell ref="AD924:AD926"/>
    <mergeCell ref="U925:W925"/>
    <mergeCell ref="U926:W926"/>
    <mergeCell ref="AQ923:AR923"/>
    <mergeCell ref="AC927:AC929"/>
    <mergeCell ref="AD927:AD929"/>
    <mergeCell ref="U928:W928"/>
    <mergeCell ref="U929:W929"/>
    <mergeCell ref="AS923:AT923"/>
    <mergeCell ref="AW923:AX923"/>
    <mergeCell ref="AY923:AZ923"/>
    <mergeCell ref="T939:U939"/>
    <mergeCell ref="X939:Z939"/>
    <mergeCell ref="T943:U943"/>
    <mergeCell ref="X943:Z943"/>
    <mergeCell ref="AA936:AC936"/>
    <mergeCell ref="AA937:AC937"/>
    <mergeCell ref="AD940:AF940"/>
    <mergeCell ref="AD941:AF941"/>
    <mergeCell ref="T942:U942"/>
    <mergeCell ref="X942:Z942"/>
    <mergeCell ref="T934:U934"/>
    <mergeCell ref="X934:Z934"/>
    <mergeCell ref="T938:U938"/>
    <mergeCell ref="X938:Z938"/>
    <mergeCell ref="T932:W932"/>
    <mergeCell ref="X932:Z932"/>
    <mergeCell ref="T935:U935"/>
    <mergeCell ref="X935:Z935"/>
    <mergeCell ref="U951:W951"/>
    <mergeCell ref="U953:W953"/>
    <mergeCell ref="U954:W954"/>
    <mergeCell ref="AI954:AJ954"/>
    <mergeCell ref="AK954:AL954"/>
    <mergeCell ref="AA952:AA954"/>
    <mergeCell ref="AA944:AC944"/>
    <mergeCell ref="AA945:AC945"/>
    <mergeCell ref="Q952:R954"/>
    <mergeCell ref="S952:S954"/>
    <mergeCell ref="T952:T954"/>
    <mergeCell ref="U952:W952"/>
    <mergeCell ref="T947:U947"/>
    <mergeCell ref="X947:Z947"/>
    <mergeCell ref="T949:AD949"/>
    <mergeCell ref="Q951:S951"/>
    <mergeCell ref="T946:U946"/>
    <mergeCell ref="X946:Z946"/>
    <mergeCell ref="AS954:AT954"/>
    <mergeCell ref="AW954:AX954"/>
    <mergeCell ref="BE954:BF954"/>
    <mergeCell ref="BG954:BH954"/>
    <mergeCell ref="BI954:BJ954"/>
    <mergeCell ref="T955:T957"/>
    <mergeCell ref="U955:W955"/>
    <mergeCell ref="AA955:AA957"/>
    <mergeCell ref="AB955:AB957"/>
    <mergeCell ref="AC955:AC957"/>
    <mergeCell ref="AY954:AZ954"/>
    <mergeCell ref="BA954:BB954"/>
    <mergeCell ref="AB952:AB954"/>
    <mergeCell ref="AC952:AC954"/>
    <mergeCell ref="AD952:AD954"/>
    <mergeCell ref="AI952:AN952"/>
    <mergeCell ref="AO952:AT952"/>
    <mergeCell ref="AM954:AN954"/>
    <mergeCell ref="AO954:AP954"/>
    <mergeCell ref="AQ954:AR954"/>
    <mergeCell ref="Q963:R965"/>
    <mergeCell ref="S963:S965"/>
    <mergeCell ref="T963:T965"/>
    <mergeCell ref="U963:W963"/>
    <mergeCell ref="AD958:AD960"/>
    <mergeCell ref="U959:W959"/>
    <mergeCell ref="U960:W960"/>
    <mergeCell ref="Q962:S962"/>
    <mergeCell ref="U962:W962"/>
    <mergeCell ref="AB958:AB960"/>
    <mergeCell ref="AD955:AD957"/>
    <mergeCell ref="U956:W956"/>
    <mergeCell ref="U957:W957"/>
    <mergeCell ref="T958:T960"/>
    <mergeCell ref="U958:W958"/>
    <mergeCell ref="AA958:AA960"/>
    <mergeCell ref="AC958:AC960"/>
    <mergeCell ref="BE965:BF965"/>
    <mergeCell ref="BG965:BH965"/>
    <mergeCell ref="BI965:BJ965"/>
    <mergeCell ref="T966:T968"/>
    <mergeCell ref="U966:W966"/>
    <mergeCell ref="AA966:AA968"/>
    <mergeCell ref="AB966:AB968"/>
    <mergeCell ref="AC966:AC968"/>
    <mergeCell ref="AD966:AD968"/>
    <mergeCell ref="U967:W967"/>
    <mergeCell ref="BA965:BB965"/>
    <mergeCell ref="AB963:AB965"/>
    <mergeCell ref="AC963:AC965"/>
    <mergeCell ref="AD963:AD965"/>
    <mergeCell ref="AI963:AN963"/>
    <mergeCell ref="AO963:AT963"/>
    <mergeCell ref="AM965:AN965"/>
    <mergeCell ref="AO965:AP965"/>
    <mergeCell ref="AQ965:AR965"/>
    <mergeCell ref="AS965:AT965"/>
    <mergeCell ref="U964:W964"/>
    <mergeCell ref="U965:W965"/>
    <mergeCell ref="AI965:AJ965"/>
    <mergeCell ref="AK965:AL965"/>
    <mergeCell ref="AA963:AA965"/>
    <mergeCell ref="AY965:AZ965"/>
    <mergeCell ref="AW965:AX965"/>
    <mergeCell ref="AD969:AD971"/>
    <mergeCell ref="U970:W970"/>
    <mergeCell ref="U971:W971"/>
    <mergeCell ref="Q973:S973"/>
    <mergeCell ref="U973:W973"/>
    <mergeCell ref="AB969:AB971"/>
    <mergeCell ref="AC969:AC971"/>
    <mergeCell ref="U968:W968"/>
    <mergeCell ref="T969:T971"/>
    <mergeCell ref="U969:W969"/>
    <mergeCell ref="AA969:AA971"/>
    <mergeCell ref="Q974:R976"/>
    <mergeCell ref="S974:S976"/>
    <mergeCell ref="T974:T976"/>
    <mergeCell ref="U974:W974"/>
    <mergeCell ref="U975:W975"/>
    <mergeCell ref="U976:W976"/>
    <mergeCell ref="BE976:BF976"/>
    <mergeCell ref="BE987:BF987"/>
    <mergeCell ref="BG976:BH976"/>
    <mergeCell ref="BI976:BJ976"/>
    <mergeCell ref="U979:W979"/>
    <mergeCell ref="AC980:AC982"/>
    <mergeCell ref="U986:W986"/>
    <mergeCell ref="U987:W987"/>
    <mergeCell ref="AI987:AJ987"/>
    <mergeCell ref="AM976:AN976"/>
    <mergeCell ref="AO976:AP976"/>
    <mergeCell ref="AQ976:AR976"/>
    <mergeCell ref="AS976:AT976"/>
    <mergeCell ref="AW976:AX976"/>
    <mergeCell ref="AB977:AB979"/>
    <mergeCell ref="AC977:AC979"/>
    <mergeCell ref="AD977:AD979"/>
    <mergeCell ref="AI976:AJ976"/>
    <mergeCell ref="AK976:AL976"/>
    <mergeCell ref="AA974:AA976"/>
    <mergeCell ref="AY976:AZ976"/>
    <mergeCell ref="BA976:BB976"/>
    <mergeCell ref="AB974:AB976"/>
    <mergeCell ref="AC974:AC976"/>
    <mergeCell ref="AD974:AD976"/>
    <mergeCell ref="AI974:AN974"/>
    <mergeCell ref="AO974:AT974"/>
    <mergeCell ref="Q985:R987"/>
    <mergeCell ref="S985:S987"/>
    <mergeCell ref="T985:T987"/>
    <mergeCell ref="U985:W985"/>
    <mergeCell ref="AD980:AD982"/>
    <mergeCell ref="U981:W981"/>
    <mergeCell ref="U982:W982"/>
    <mergeCell ref="Q984:S984"/>
    <mergeCell ref="U984:W984"/>
    <mergeCell ref="AB980:AB982"/>
    <mergeCell ref="T980:T982"/>
    <mergeCell ref="U980:W980"/>
    <mergeCell ref="AA980:AA982"/>
    <mergeCell ref="T977:T979"/>
    <mergeCell ref="U977:W977"/>
    <mergeCell ref="AA977:AA979"/>
    <mergeCell ref="U978:W978"/>
    <mergeCell ref="AD988:AD990"/>
    <mergeCell ref="U989:W989"/>
    <mergeCell ref="AO987:AP987"/>
    <mergeCell ref="U990:W990"/>
    <mergeCell ref="T991:T993"/>
    <mergeCell ref="U991:W991"/>
    <mergeCell ref="AA991:AA993"/>
    <mergeCell ref="AS987:AT987"/>
    <mergeCell ref="AW987:AX987"/>
    <mergeCell ref="AY987:AZ987"/>
    <mergeCell ref="BG987:BH987"/>
    <mergeCell ref="BI987:BJ987"/>
    <mergeCell ref="T988:T990"/>
    <mergeCell ref="U988:W988"/>
    <mergeCell ref="AA988:AA990"/>
    <mergeCell ref="AB988:AB990"/>
    <mergeCell ref="AC988:AC990"/>
    <mergeCell ref="AK987:AL987"/>
    <mergeCell ref="AA985:AA987"/>
    <mergeCell ref="BA987:BB987"/>
    <mergeCell ref="AB985:AB987"/>
    <mergeCell ref="AC985:AC987"/>
    <mergeCell ref="AD985:AD987"/>
    <mergeCell ref="AI985:AN985"/>
    <mergeCell ref="AO985:AT985"/>
    <mergeCell ref="AM987:AN987"/>
    <mergeCell ref="AQ987:AR987"/>
    <mergeCell ref="T1003:U1003"/>
    <mergeCell ref="X1003:Z1003"/>
    <mergeCell ref="T998:U998"/>
    <mergeCell ref="X998:Z998"/>
    <mergeCell ref="T999:U999"/>
    <mergeCell ref="X999:Z999"/>
    <mergeCell ref="T1002:U1002"/>
    <mergeCell ref="X1002:Z1002"/>
    <mergeCell ref="AA1000:AC1000"/>
    <mergeCell ref="AA1001:AC1001"/>
    <mergeCell ref="AD991:AD993"/>
    <mergeCell ref="U992:W992"/>
    <mergeCell ref="U993:W993"/>
    <mergeCell ref="T996:W996"/>
    <mergeCell ref="X996:Z996"/>
    <mergeCell ref="AA996:AC996"/>
    <mergeCell ref="AB991:AB993"/>
    <mergeCell ref="AC991:AC993"/>
  </mergeCells>
  <phoneticPr fontId="0" type="noConversion"/>
  <conditionalFormatting sqref="N378 N411 N521 N488 N433 N466 N389 N510 N477 N499 N455 N444 N422 N400 N392 N513 N414 N447 N480 N502 N524 N461 N458 N491 N403 N469 N505 N527 N516 N450 N439 N494 N425 N472 N381 N384 N395 N406 N417 N428 N483">
    <cfRule type="cellIs" dxfId="4" priority="1" stopIfTrue="1" operator="equal">
      <formula>0</formula>
    </cfRule>
  </conditionalFormatting>
  <dataValidations count="4">
    <dataValidation type="list" allowBlank="1" showInputMessage="1" showErrorMessage="1" sqref="N532 N933 N997">
      <formula1>Poj</formula1>
    </dataValidation>
    <dataValidation type="list" allowBlank="1" showInputMessage="1" showErrorMessage="1" sqref="N241 N831 N356 N634 N728 N112">
      <formula1>Podw</formula1>
    </dataValidation>
    <dataValidation type="list" allowBlank="1" showInputMessage="1" showErrorMessage="1" sqref="N432 N443 N454 N465 N476 N487 N498 N509 N520 N149 N163 N174 N185 N196 N207 N218 N229 N262 N276 N287 N298 N309 N320 N331 N342 N377 N808 N819 N852 N866 N877 N888 N899 N910 N921 N985 N963 N974 N952 N567 N578 N589 N600 N611 N622 N655 N669 N680 N691 N702 N713 N750 N764 N775 N786 N797 N388 N399 N410 N421 N7 N21 N32 N43 N54 N65 N76 N87 N98">
      <formula1>Gry</formula1>
    </dataValidation>
    <dataValidation type="list" allowBlank="1" showInputMessage="1" showErrorMessage="1" error="Niewłściwe dane, wybierz dane z rowijanej listy" prompt="Wybierz z rozwijanej listy rodzaj gry" sqref="N4 N146 N259 N374 N564 N652 N747 N849 N949">
      <formula1>Gry</formula1>
    </dataValidation>
  </dataValidations>
  <printOptions horizontalCentered="1" verticalCentered="1"/>
  <pageMargins left="0.19685039370078741" right="0.19685039370078741" top="0.19685039370078741" bottom="0.59055118110236227" header="0" footer="0.59055118110236227"/>
  <pageSetup paperSize="9" scale="73" orientation="portrait" horizontalDpi="4294967294" r:id="rId1"/>
  <headerFooter alignWithMargins="0">
    <oddHeader>&amp;L&amp;G</oddHead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
  <dimension ref="A1:Y405"/>
  <sheetViews>
    <sheetView tabSelected="1" topLeftCell="L127" zoomScale="80" zoomScaleNormal="80" workbookViewId="0">
      <selection activeCell="U13" sqref="U13"/>
    </sheetView>
  </sheetViews>
  <sheetFormatPr defaultRowHeight="11.45" customHeight="1" x14ac:dyDescent="0.2"/>
  <cols>
    <col min="1" max="1" width="9.33203125" style="1" hidden="1" customWidth="1"/>
    <col min="2" max="7" width="9.33203125" style="2" hidden="1" customWidth="1"/>
    <col min="8" max="9" width="18.83203125" style="2" hidden="1" customWidth="1"/>
    <col min="10" max="10" width="19.6640625" style="2" hidden="1" customWidth="1"/>
    <col min="11" max="11" width="3.6640625" style="95" hidden="1" customWidth="1"/>
    <col min="12" max="12" width="21.1640625" style="95" customWidth="1"/>
    <col min="13" max="13" width="3.83203125" style="193" customWidth="1"/>
    <col min="14" max="14" width="7.33203125" style="1" customWidth="1"/>
    <col min="15" max="15" width="50" style="1" customWidth="1"/>
    <col min="16" max="16" width="4.83203125" style="1" customWidth="1"/>
    <col min="17" max="17" width="20.83203125" style="1" customWidth="1"/>
    <col min="18" max="19" width="14.33203125" style="1" customWidth="1"/>
    <col min="20" max="20" width="15.83203125" style="1" customWidth="1"/>
    <col min="21" max="21" width="20.83203125" style="2" customWidth="1"/>
    <col min="22" max="16384" width="9.33203125" style="2"/>
  </cols>
  <sheetData>
    <row r="1" spans="1:21" ht="15.75" x14ac:dyDescent="0.2">
      <c r="N1" s="289" t="str">
        <f>IF(ISBLANK([1]dane!$D$2),"",[1]dane!$D$2)</f>
        <v>XIII MAZOVIA JUNIOR CUP</v>
      </c>
      <c r="O1" s="289"/>
      <c r="P1" s="289"/>
      <c r="Q1" s="289"/>
      <c r="R1" s="289"/>
      <c r="S1" s="289"/>
      <c r="T1" s="289"/>
      <c r="U1" s="289"/>
    </row>
    <row r="2" spans="1:21" ht="15.75" x14ac:dyDescent="0.2">
      <c r="N2" s="289" t="str">
        <f>IF(ISBLANK([1]dane!$D$3),"",[1]dane!$D$3)</f>
        <v>Sochocin, 25-26.10.2013</v>
      </c>
      <c r="O2" s="289"/>
      <c r="P2" s="289"/>
      <c r="Q2" s="289"/>
      <c r="R2" s="289"/>
      <c r="S2" s="289"/>
      <c r="T2" s="289"/>
      <c r="U2" s="289"/>
    </row>
    <row r="3" spans="1:21" ht="12.75" x14ac:dyDescent="0.2">
      <c r="L3" s="194" t="s">
        <v>405</v>
      </c>
      <c r="N3" s="193"/>
      <c r="O3" s="11"/>
      <c r="P3" s="5"/>
    </row>
    <row r="4" spans="1:21" ht="11.45" customHeight="1" x14ac:dyDescent="0.2">
      <c r="L4" s="195" t="s">
        <v>406</v>
      </c>
      <c r="N4" s="277" t="str">
        <f>"Gra "&amp;L4</f>
        <v>Gra pojedyncza dziewcząt M</v>
      </c>
      <c r="O4" s="277"/>
      <c r="P4" s="277"/>
      <c r="Q4" s="277"/>
      <c r="R4" s="277"/>
      <c r="S4" s="277"/>
      <c r="T4" s="277"/>
      <c r="U4" s="277"/>
    </row>
    <row r="6" spans="1:21" ht="12.75" x14ac:dyDescent="0.2">
      <c r="A6" s="196" t="s">
        <v>407</v>
      </c>
      <c r="L6" s="125"/>
      <c r="M6" s="228" t="s">
        <v>408</v>
      </c>
      <c r="N6" s="229"/>
      <c r="O6" s="229"/>
      <c r="P6" s="229"/>
      <c r="Q6" s="229"/>
      <c r="R6" s="229"/>
      <c r="S6" s="229"/>
      <c r="T6" s="229"/>
      <c r="U6" s="229"/>
    </row>
    <row r="7" spans="1:21" ht="12.75" x14ac:dyDescent="0.2">
      <c r="L7" s="197">
        <v>59</v>
      </c>
      <c r="O7" s="101"/>
      <c r="P7" s="100"/>
      <c r="Q7" s="101"/>
      <c r="R7" s="101"/>
      <c r="S7" s="101"/>
      <c r="T7" s="101"/>
      <c r="U7" s="101"/>
    </row>
    <row r="8" spans="1:21" ht="12.75" x14ac:dyDescent="0.2">
      <c r="L8" s="99" t="s">
        <v>406</v>
      </c>
      <c r="M8" s="11"/>
      <c r="P8" s="100"/>
      <c r="Q8" s="101"/>
      <c r="R8" s="101"/>
      <c r="S8" s="101"/>
      <c r="T8" s="101"/>
      <c r="U8" s="101"/>
    </row>
    <row r="9" spans="1:21" ht="12.75" x14ac:dyDescent="0.2">
      <c r="A9" s="102">
        <f>P9</f>
        <v>0</v>
      </c>
      <c r="B9" s="2" t="str">
        <f>IF(N9="","",N9)</f>
        <v>D3427</v>
      </c>
      <c r="D9" s="2" t="str">
        <f>IF(N10="","",N10)</f>
        <v/>
      </c>
      <c r="F9" s="2" t="str">
        <f>IF(A9=0,IF(AND(LEN(B9)&gt;0,LEN(D9)=0),VLOOKUP(B9,[1]zawodnicy!$A$1:$E$65536,1,FALSE),IF(AND(LEN(D9)&gt;0,LEN(B9)=0),VLOOKUP(D9,[1]zawodnicy!$A$1:$E$65536,1,FALSE),"")),IF((VLOOKUP(A9,'[1]plan gier'!$X$1:$AF$65536,7,FALSE))="","",VLOOKUP(VLOOKUP(A9,'[1]plan gier'!$X$1:$AF$65536,7,FALSE),[1]zawodnicy!$A$1:$E$65536,1,FALSE)))</f>
        <v>D3427</v>
      </c>
      <c r="H9" s="2" t="str">
        <f>IF(A9=0,"",IF((VLOOKUP(A9,'[1]plan gier'!$X$1:$AF$65536,7,FALSE))="","",VLOOKUP(A9,'[1]plan gier'!$X$1:$AF$65536,9,FALSE)))</f>
        <v/>
      </c>
      <c r="I9" s="2" t="str">
        <f>IF(A9=0,"",IF(VLOOKUP(A9,'[1]plan gier'!A$1:S$65536,19,FALSE)="","",VLOOKUP(A9,'[1]plan gier'!A$1:S$65536,19,FALSE)))</f>
        <v/>
      </c>
      <c r="J9" s="2" t="str">
        <f>L8</f>
        <v>pojedyncza dziewcząt M</v>
      </c>
      <c r="K9" s="95">
        <f>IF(L7&gt;32,1,"")</f>
        <v>1</v>
      </c>
      <c r="L9" s="187" t="s">
        <v>166</v>
      </c>
      <c r="M9" s="193">
        <f>IF(K9="","",1)</f>
        <v>1</v>
      </c>
      <c r="N9" s="198" t="str">
        <f>UPPER(IF(M9="","",IF(ISTEXT(L9),L9,IF(AND(L6&gt;0,M9&gt;0),VLOOKUP(L6&amp;M9&amp;J9,'[1]grup-puch'!I$1:J$65536,2,FALSE),""))))</f>
        <v>D3427</v>
      </c>
      <c r="O9" s="199" t="str">
        <f>IF(N9&lt;&gt;"",CONCATENATE(VLOOKUP(N9,[1]zawodnicy!$A$1:$E$65536,2,FALSE)," ",VLOOKUP(N9,[1]zawodnicy!$A$1:$E$65536,3,FALSE)," - ",VLOOKUP(N9,[1]zawodnicy!$A$1:$E$65536,4,FALSE)),"")</f>
        <v>Wiktoria DĄBCZYŃSKA - MKS Orlicz Suchedniów</v>
      </c>
      <c r="P9" s="108"/>
      <c r="Q9" s="200" t="str">
        <f>IF(F9="","",VLOOKUP(F9,[1]zawodnicy!$A$1:$D$65536,3,FALSE))</f>
        <v>DĄBCZYŃSKA</v>
      </c>
      <c r="R9" s="114"/>
      <c r="S9" s="114"/>
      <c r="T9" s="114"/>
      <c r="U9" s="101"/>
    </row>
    <row r="10" spans="1:21" ht="12.75" x14ac:dyDescent="0.2">
      <c r="K10" s="95" t="str">
        <f>IF(L7&gt;63,2,"")</f>
        <v/>
      </c>
      <c r="L10" s="201" t="str">
        <f>UPPER(IF(K10="","",IF(ISTEXT(J10),J10,IF(AND(J6&gt;0,K10&gt;0),VLOOKUP(J6&amp;K10&amp;H9,'[3]grup-puch'!G$1:H$65536,2,FALSE),""))))</f>
        <v/>
      </c>
      <c r="M10" s="193" t="str">
        <f>IF(K10="","",2)</f>
        <v/>
      </c>
      <c r="N10" s="198" t="str">
        <f>UPPER(IF(M10="","",IF(ISTEXT(L10),L10,IF(AND(L6&gt;0,M10&gt;0),VLOOKUP(L6&amp;M10&amp;J9,'[1]grup-puch'!I$1:J$65536,2,FALSE),""))))</f>
        <v/>
      </c>
      <c r="O10" s="199" t="str">
        <f>IF(N10&lt;&gt;"",CONCATENATE(VLOOKUP(N10,[1]zawodnicy!$A$1:$E$65536,2,FALSE)," ",VLOOKUP(N10,[1]zawodnicy!$A$1:$E$65536,3,FALSE)," - ",VLOOKUP(N10,[1]zawodnicy!$A$1:$E$65536,4,FALSE)),"")</f>
        <v/>
      </c>
      <c r="P10" s="202"/>
      <c r="Q10" s="203" t="str">
        <f>IF(H9="",I9,H9)</f>
        <v/>
      </c>
      <c r="R10" s="114"/>
      <c r="S10" s="114"/>
      <c r="T10" s="114"/>
      <c r="U10" s="101"/>
    </row>
    <row r="11" spans="1:21" ht="12.75" x14ac:dyDescent="0.2">
      <c r="A11" s="111">
        <f>Q11</f>
        <v>317</v>
      </c>
      <c r="B11" s="2" t="str">
        <f>F9</f>
        <v>D3427</v>
      </c>
      <c r="D11" s="2" t="str">
        <f>F13</f>
        <v>P4758</v>
      </c>
      <c r="F11" s="2" t="str">
        <f>IF(A11=0,IF(AND(LEN(B11)&gt;0,LEN(D11)=0),B11,IF(AND(LEN(D11)&gt;0,LEN(B11)=0),D11,"")),IF((VLOOKUP(A11,'[1]plan gier'!$X$1:$AF$65536,7,FALSE))="","",VLOOKUP(VLOOKUP(A11,'[1]plan gier'!$X$1:$AF$65536,7,FALSE),[1]zawodnicy!$A$1:$E$65536,1,FALSE)))</f>
        <v>D3427</v>
      </c>
      <c r="H11" s="2" t="str">
        <f>IF(A11=0,"",IF((VLOOKUP(A11,'[1]plan gier'!$X$1:$AF$65536,7,FALSE))="","",VLOOKUP(A11,'[1]plan gier'!$X$1:$AF$65536,9,FALSE)))</f>
        <v>21:7,21:5</v>
      </c>
      <c r="I11" s="2" t="str">
        <f>IF(A11=0,"",IF(VLOOKUP(A11,'[1]plan gier'!A$1:S$65536,19,FALSE)="","",VLOOKUP(A11,'[1]plan gier'!A$1:S$65536,19,FALSE)))</f>
        <v>sob 15:00</v>
      </c>
      <c r="J11" s="2" t="str">
        <f>L8</f>
        <v>pojedyncza dziewcząt M</v>
      </c>
      <c r="L11" s="168"/>
      <c r="N11" s="9"/>
      <c r="O11" s="9"/>
      <c r="P11" s="113"/>
      <c r="Q11" s="115">
        <v>317</v>
      </c>
      <c r="R11" s="200" t="str">
        <f>IF(F11="","",VLOOKUP(F11,[1]zawodnicy!$A$1:$D$65536,3,FALSE))</f>
        <v>DĄBCZYŃSKA</v>
      </c>
      <c r="S11" s="114"/>
      <c r="T11" s="114"/>
      <c r="U11" s="101"/>
    </row>
    <row r="12" spans="1:21" ht="12.75" x14ac:dyDescent="0.2">
      <c r="L12" s="168"/>
      <c r="N12" s="9"/>
      <c r="O12" s="9"/>
      <c r="P12" s="113"/>
      <c r="Q12" s="116"/>
      <c r="R12" s="203" t="str">
        <f>IF(H11="",I11,H11)</f>
        <v>21:7,21:5</v>
      </c>
      <c r="S12" s="114"/>
      <c r="T12" s="114"/>
      <c r="U12" s="101"/>
    </row>
    <row r="13" spans="1:21" ht="12.75" x14ac:dyDescent="0.2">
      <c r="A13" s="102">
        <f>P13</f>
        <v>1</v>
      </c>
      <c r="B13" s="2" t="str">
        <f>IF(N13="","",N13)</f>
        <v>P5195</v>
      </c>
      <c r="D13" s="2" t="str">
        <f>IF(N14="","",N14)</f>
        <v>P4758</v>
      </c>
      <c r="F13" s="2" t="str">
        <f>IF(A13=0,IF(AND(LEN(B13)&gt;0,LEN(D13)=0),VLOOKUP(B13,[1]zawodnicy!$A$1:$E$65536,1,FALSE),IF(AND(LEN(D13)&gt;0,LEN(B13)=0),VLOOKUP(D13,[1]zawodnicy!$A$1:$E$65536,1,FALSE),"")),IF((VLOOKUP(A13,'[1]plan gier'!$X$1:$AF$65536,7,FALSE))="","",VLOOKUP(VLOOKUP(A13,'[1]plan gier'!$X$1:$AF$65536,7,FALSE),[1]zawodnicy!$A$1:$E$65536,1,FALSE)))</f>
        <v>P4758</v>
      </c>
      <c r="H13" s="2" t="str">
        <f>IF(A13=0,"",IF((VLOOKUP(A13,'[1]plan gier'!$X$1:$AF$65536,7,FALSE))="","",VLOOKUP(A13,'[1]plan gier'!$X$1:$AF$65536,9,FALSE)))</f>
        <v>21:11,21:12</v>
      </c>
      <c r="I13" s="2" t="str">
        <f>IF(A13=0,"",IF(VLOOKUP(A13,'[1]plan gier'!A$1:S$65536,19,FALSE)="","",VLOOKUP(A13,'[1]plan gier'!A$1:S$65536,19,FALSE)))</f>
        <v>pt 9:00</v>
      </c>
      <c r="J13" s="2" t="str">
        <f>L8</f>
        <v>pojedyncza dziewcząt M</v>
      </c>
      <c r="K13" s="95">
        <f>IF(L7&gt;32,3,"")</f>
        <v>3</v>
      </c>
      <c r="L13" s="204" t="s">
        <v>192</v>
      </c>
      <c r="M13" s="193">
        <f>IF(K13="","",MAX(M9:M12)+1)</f>
        <v>2</v>
      </c>
      <c r="N13" s="198" t="str">
        <f>UPPER(IF(M13="","",IF(ISTEXT(L13),L13,IF(AND(L6&gt;0,M13&gt;0),VLOOKUP(L6&amp;M13&amp;J13,'[1]grup-puch'!I$1:J$65536,2,FALSE),""))))</f>
        <v>P5195</v>
      </c>
      <c r="O13" s="199" t="str">
        <f>IF(N13&lt;&gt;"",CONCATENATE(VLOOKUP(N13,[1]zawodnicy!$A$1:$E$65536,2,FALSE)," ",VLOOKUP(N13,[1]zawodnicy!$A$1:$E$65536,3,FALSE)," - ",VLOOKUP(N13,[1]zawodnicy!$A$1:$E$65536,4,FALSE)),"")</f>
        <v>Monika PIOTROWSKA - UKS Kiko Zamość</v>
      </c>
      <c r="P13" s="108">
        <v>1</v>
      </c>
      <c r="Q13" s="205" t="str">
        <f>IF(F13="","",VLOOKUP(F13,[1]zawodnicy!$A$1:$D$65536,3,FALSE))</f>
        <v>PIETRZAK</v>
      </c>
      <c r="R13" s="116"/>
      <c r="S13" s="114"/>
      <c r="T13" s="114"/>
      <c r="U13" s="101"/>
    </row>
    <row r="14" spans="1:21" ht="12.75" x14ac:dyDescent="0.2">
      <c r="K14" s="95">
        <f>IF(L7&gt;55,4,"")</f>
        <v>4</v>
      </c>
      <c r="L14" s="204" t="s">
        <v>157</v>
      </c>
      <c r="M14" s="193">
        <f>IF(K14="","",MAX(M9:M13)+1)</f>
        <v>3</v>
      </c>
      <c r="N14" s="198" t="str">
        <f>UPPER(IF(M14="","",IF(ISTEXT(L14),L14,IF(AND(L6&gt;0,M14&gt;0),VLOOKUP(L6&amp;M14&amp;J13,'[1]grup-puch'!I$1:J$65536,2,FALSE),""))))</f>
        <v>P4758</v>
      </c>
      <c r="O14" s="199" t="str">
        <f>IF(N14&lt;&gt;"",CONCATENATE(VLOOKUP(N14,[1]zawodnicy!$A$1:$E$65536,2,FALSE)," ",VLOOKUP(N14,[1]zawodnicy!$A$1:$E$65536,3,FALSE)," - ",VLOOKUP(N14,[1]zawodnicy!$A$1:$E$65536,4,FALSE)),"")</f>
        <v>Natalia PIETRZAK - MLKS Solec Kuj.</v>
      </c>
      <c r="P14" s="202"/>
      <c r="Q14" s="114" t="str">
        <f>IF(H13="",I13,H13)</f>
        <v>21:11,21:12</v>
      </c>
      <c r="R14" s="116"/>
      <c r="S14" s="114"/>
      <c r="T14" s="114"/>
      <c r="U14" s="101"/>
    </row>
    <row r="15" spans="1:21" ht="12.75" x14ac:dyDescent="0.2">
      <c r="A15" s="118">
        <f>R15</f>
        <v>369</v>
      </c>
      <c r="B15" s="2" t="str">
        <f>F11</f>
        <v>D3427</v>
      </c>
      <c r="D15" s="2" t="str">
        <f>F19</f>
        <v>S4547</v>
      </c>
      <c r="F15" s="2" t="str">
        <f>IF(A15=0,IF(AND(LEN(B15)&gt;0,LEN(D15)=0),B15,IF(AND(LEN(D15)&gt;0,LEN(B15)=0),D15,"")),IF((VLOOKUP(A15,'[1]plan gier'!$X$1:$AF$65536,7,FALSE))="","",VLOOKUP(VLOOKUP(A15,'[1]plan gier'!$X$1:$AF$65536,7,FALSE),[1]zawodnicy!$A$1:$E$65536,1,FALSE)))</f>
        <v>D3427</v>
      </c>
      <c r="H15" s="2" t="str">
        <f>IF(A15=0,"",IF((VLOOKUP(A15,'[1]plan gier'!$X$1:$AF$65536,7,FALSE))="","",VLOOKUP(A15,'[1]plan gier'!$X$1:$AF$65536,9,FALSE)))</f>
        <v>21:3,21:11</v>
      </c>
      <c r="I15" s="2" t="str">
        <f>IF(A15=0,"",IF(VLOOKUP(A15,'[1]plan gier'!A$1:S$65536,19,FALSE)="","",VLOOKUP(A15,'[1]plan gier'!A$1:S$65536,19,FALSE)))</f>
        <v>sob 17:50</v>
      </c>
      <c r="J15" s="2" t="str">
        <f>L8</f>
        <v>pojedyncza dziewcząt M</v>
      </c>
      <c r="L15" s="168"/>
      <c r="N15" s="9"/>
      <c r="O15" s="9"/>
      <c r="P15" s="113"/>
      <c r="Q15" s="114"/>
      <c r="R15" s="206">
        <v>369</v>
      </c>
      <c r="S15" s="200" t="str">
        <f>IF(F15="","",VLOOKUP(F15,[1]zawodnicy!$A$1:$D$65536,3,FALSE))</f>
        <v>DĄBCZYŃSKA</v>
      </c>
      <c r="T15" s="114"/>
      <c r="U15" s="101"/>
    </row>
    <row r="16" spans="1:21" ht="12.75" x14ac:dyDescent="0.2">
      <c r="L16" s="168"/>
      <c r="N16" s="9"/>
      <c r="O16" s="9"/>
      <c r="P16" s="113"/>
      <c r="Q16" s="114"/>
      <c r="R16" s="116"/>
      <c r="S16" s="203" t="str">
        <f>IF(H15="",I15,H15)</f>
        <v>21:3,21:11</v>
      </c>
      <c r="T16" s="114"/>
      <c r="U16" s="101"/>
    </row>
    <row r="17" spans="1:21" ht="12.75" x14ac:dyDescent="0.2">
      <c r="A17" s="102">
        <f>P17</f>
        <v>16</v>
      </c>
      <c r="B17" s="2" t="str">
        <f>IF(N17="","",N17)</f>
        <v>X21</v>
      </c>
      <c r="D17" s="2" t="str">
        <f>IF(N18="","",N18)</f>
        <v>K5387</v>
      </c>
      <c r="F17" s="2" t="str">
        <f>IF(A17=0,IF(AND(LEN(B17)&gt;0,LEN(D17)=0),VLOOKUP(B17,[1]zawodnicy!$A$1:$E$65536,1,FALSE),IF(AND(LEN(D17)&gt;0,LEN(B17)=0),VLOOKUP(D17,[1]zawodnicy!$A$1:$E$65536,1,FALSE),"")),IF((VLOOKUP(A17,'[1]plan gier'!$X$1:$AF$65536,7,FALSE))="","",VLOOKUP(VLOOKUP(A17,'[1]plan gier'!$X$1:$AF$65536,7,FALSE),[1]zawodnicy!$A$1:$E$65536,1,FALSE)))</f>
        <v>K5387</v>
      </c>
      <c r="H17" s="2" t="str">
        <f>IF(A17=0,"",IF((VLOOKUP(A17,'[1]plan gier'!$X$1:$AF$65536,7,FALSE))="","",VLOOKUP(A17,'[1]plan gier'!$X$1:$AF$65536,9,FALSE)))</f>
        <v>21:14,17:21,21:11</v>
      </c>
      <c r="I17" s="2" t="str">
        <f>IF(A17=0,"",IF(VLOOKUP(A17,'[1]plan gier'!A$1:S$65536,19,FALSE)="","",VLOOKUP(A17,'[1]plan gier'!A$1:S$65536,19,FALSE)))</f>
        <v>pt 10:30</v>
      </c>
      <c r="J17" s="2" t="str">
        <f>L8</f>
        <v>pojedyncza dziewcząt M</v>
      </c>
      <c r="K17" s="95">
        <f>IF(L7&gt;32,5,"")</f>
        <v>5</v>
      </c>
      <c r="L17" s="207" t="s">
        <v>208</v>
      </c>
      <c r="M17" s="193">
        <f>IF(K17="","",MAX(M9:M16)+1)</f>
        <v>4</v>
      </c>
      <c r="N17" s="198" t="str">
        <f>UPPER(IF(M17="","",IF(ISTEXT(L17),L17,IF(AND(L6&gt;0,M17&gt;0),VLOOKUP(L6&amp;M17&amp;J17,'[1]grup-puch'!I$1:J$65536,2,FALSE),""))))</f>
        <v>X21</v>
      </c>
      <c r="O17" s="199" t="str">
        <f>IF(N17&lt;&gt;"",CONCATENATE(VLOOKUP(N17,[1]zawodnicy!$A$1:$E$65536,2,FALSE)," ",VLOOKUP(N17,[1]zawodnicy!$A$1:$E$65536,3,FALSE)," - ",VLOOKUP(N17,[1]zawodnicy!$A$1:$E$65536,4,FALSE)),"")</f>
        <v>Tetiana ABRAMOVA - Vinnica Ukraina</v>
      </c>
      <c r="P17" s="108">
        <v>16</v>
      </c>
      <c r="Q17" s="200" t="str">
        <f>IF(F17="","",VLOOKUP(F17,[1]zawodnicy!$A$1:$D$65536,3,FALSE))</f>
        <v>KUSIAK</v>
      </c>
      <c r="R17" s="116"/>
      <c r="S17" s="116"/>
      <c r="T17" s="114"/>
      <c r="U17" s="101"/>
    </row>
    <row r="18" spans="1:21" ht="12.75" x14ac:dyDescent="0.2">
      <c r="K18" s="95">
        <f>IF(L7&gt;47,6,"")</f>
        <v>6</v>
      </c>
      <c r="L18" s="207" t="s">
        <v>177</v>
      </c>
      <c r="M18" s="193">
        <f>IF(K18="","",MAX(M9:M17)+1)</f>
        <v>5</v>
      </c>
      <c r="N18" s="198" t="str">
        <f>UPPER(IF(M18="","",IF(ISTEXT(L18),L18,IF(AND(L6&gt;0,M18&gt;0),VLOOKUP(L6&amp;M18&amp;J17,'[1]grup-puch'!I$1:J$65536,2,FALSE),""))))</f>
        <v>K5387</v>
      </c>
      <c r="O18" s="199" t="str">
        <f>IF(N18&lt;&gt;"",CONCATENATE(VLOOKUP(N18,[1]zawodnicy!$A$1:$E$65536,2,FALSE)," ",VLOOKUP(N18,[1]zawodnicy!$A$1:$E$65536,3,FALSE)," - ",VLOOKUP(N18,[1]zawodnicy!$A$1:$E$65536,4,FALSE)),"")</f>
        <v>Klaudia KUSIAK - UKS Orliki Ropica Polska</v>
      </c>
      <c r="P18" s="202"/>
      <c r="Q18" s="203" t="str">
        <f>IF(H17="",I17,H17)</f>
        <v>21:14,17:21,21:11</v>
      </c>
      <c r="R18" s="116"/>
      <c r="S18" s="116"/>
      <c r="T18" s="114"/>
      <c r="U18" s="101"/>
    </row>
    <row r="19" spans="1:21" ht="12.75" x14ac:dyDescent="0.2">
      <c r="A19" s="111">
        <f>Q19</f>
        <v>318</v>
      </c>
      <c r="B19" s="2" t="str">
        <f>F17</f>
        <v>K5387</v>
      </c>
      <c r="D19" s="2" t="str">
        <f>F21</f>
        <v>S4547</v>
      </c>
      <c r="F19" s="2" t="str">
        <f>IF(A19=0,IF(AND(LEN(B19)&gt;0,LEN(D19)=0),B19,IF(AND(LEN(D19)&gt;0,LEN(B19)=0),D19,"")),IF((VLOOKUP(A19,'[1]plan gier'!$X$1:$AF$65536,7,FALSE))="","",VLOOKUP(VLOOKUP(A19,'[1]plan gier'!$X$1:$AF$65536,7,FALSE),[1]zawodnicy!$A$1:$E$65536,1,FALSE)))</f>
        <v>S4547</v>
      </c>
      <c r="H19" s="2" t="str">
        <f>IF(A19=0,"",IF((VLOOKUP(A19,'[1]plan gier'!$X$1:$AF$65536,7,FALSE))="","",VLOOKUP(A19,'[1]plan gier'!$X$1:$AF$65536,9,FALSE)))</f>
        <v>21:8,21:10</v>
      </c>
      <c r="I19" s="2" t="str">
        <f>IF(A19=0,"",IF(VLOOKUP(A19,'[1]plan gier'!A$1:S$65536,19,FALSE)="","",VLOOKUP(A19,'[1]plan gier'!A$1:S$65536,19,FALSE)))</f>
        <v>sob 15:00</v>
      </c>
      <c r="J19" s="2" t="str">
        <f>L8</f>
        <v>pojedyncza dziewcząt M</v>
      </c>
      <c r="L19" s="168"/>
      <c r="M19" s="193" t="str">
        <f>IF(K19="","",MAX(M9:M18)+1)</f>
        <v/>
      </c>
      <c r="N19" s="9"/>
      <c r="O19" s="9"/>
      <c r="P19" s="113"/>
      <c r="Q19" s="115">
        <v>318</v>
      </c>
      <c r="R19" s="205" t="str">
        <f>IF(F19="","",VLOOKUP(F19,[1]zawodnicy!$A$1:$D$65536,3,FALSE))</f>
        <v>SZWEDA</v>
      </c>
      <c r="S19" s="116"/>
      <c r="T19" s="114"/>
      <c r="U19" s="101"/>
    </row>
    <row r="20" spans="1:21" ht="12.75" x14ac:dyDescent="0.2">
      <c r="L20" s="168"/>
      <c r="M20" s="193" t="str">
        <f>IF(K20="","",MAX(M9:M19)+1)</f>
        <v/>
      </c>
      <c r="N20" s="9"/>
      <c r="O20" s="9"/>
      <c r="P20" s="113"/>
      <c r="Q20" s="116"/>
      <c r="R20" s="114" t="str">
        <f>IF(H19="",I19,H19)</f>
        <v>21:8,21:10</v>
      </c>
      <c r="S20" s="116"/>
      <c r="T20" s="114"/>
      <c r="U20" s="101"/>
    </row>
    <row r="21" spans="1:21" ht="12.75" x14ac:dyDescent="0.2">
      <c r="A21" s="102">
        <f>P21</f>
        <v>2</v>
      </c>
      <c r="B21" s="2" t="str">
        <f>IF(N21="","",N21)</f>
        <v>T5056</v>
      </c>
      <c r="D21" s="2" t="str">
        <f>IF(N22="","",N22)</f>
        <v>S4547</v>
      </c>
      <c r="F21" s="2" t="str">
        <f>IF(A21=0,IF(AND(LEN(B21)&gt;0,LEN(D21)=0),VLOOKUP(B21,[1]zawodnicy!$A$1:$E$65536,1,FALSE),IF(AND(LEN(D21)&gt;0,LEN(B21)=0),VLOOKUP(D21,[1]zawodnicy!$A$1:$E$65536,1,FALSE),"")),IF((VLOOKUP(A21,'[1]plan gier'!$X$1:$AF$65536,7,FALSE))="","",VLOOKUP(VLOOKUP(A21,'[1]plan gier'!$X$1:$AF$65536,7,FALSE),[1]zawodnicy!$A$1:$E$65536,1,FALSE)))</f>
        <v>S4547</v>
      </c>
      <c r="H21" s="2" t="str">
        <f>IF(A21=0,"",IF((VLOOKUP(A21,'[1]plan gier'!$X$1:$AF$65536,7,FALSE))="","",VLOOKUP(A21,'[1]plan gier'!$X$1:$AF$65536,9,FALSE)))</f>
        <v>21:16,21:13</v>
      </c>
      <c r="I21" s="2" t="str">
        <f>IF(A21=0,"",IF(VLOOKUP(A21,'[1]plan gier'!A$1:S$65536,19,FALSE)="","",VLOOKUP(A21,'[1]plan gier'!A$1:S$65536,19,FALSE)))</f>
        <v>pt 9:00</v>
      </c>
      <c r="J21" s="2" t="str">
        <f>L8</f>
        <v>pojedyncza dziewcząt M</v>
      </c>
      <c r="K21" s="95">
        <f>IF(L7&gt;32,7,"")</f>
        <v>7</v>
      </c>
      <c r="L21" s="204" t="s">
        <v>199</v>
      </c>
      <c r="M21" s="193">
        <f>IF(K21="","",MAX(M9:M20)+1)</f>
        <v>6</v>
      </c>
      <c r="N21" s="198" t="str">
        <f>UPPER(IF(M21="","",IF(ISTEXT(L21),L21,IF(AND(L6&gt;0,M21&gt;0),VLOOKUP(L6&amp;M21&amp;J21,'[1]grup-puch'!I$1:J$65536,2,FALSE),""))))</f>
        <v>T5056</v>
      </c>
      <c r="O21" s="199" t="str">
        <f>IF(N21&lt;&gt;"",CONCATENATE(VLOOKUP(N21,[1]zawodnicy!$A$1:$E$65536,2,FALSE)," ",VLOOKUP(N21,[1]zawodnicy!$A$1:$E$65536,3,FALSE)," - ",VLOOKUP(N21,[1]zawodnicy!$A$1:$E$65536,4,FALSE)),"")</f>
        <v>Martyna TROJNIAR - SKB Suwałki</v>
      </c>
      <c r="P21" s="108">
        <v>2</v>
      </c>
      <c r="Q21" s="205" t="str">
        <f>IF(F21="","",VLOOKUP(F21,[1]zawodnicy!$A$1:$D$65536,3,FALSE))</f>
        <v>SZWEDA</v>
      </c>
      <c r="R21" s="114"/>
      <c r="S21" s="116"/>
      <c r="T21" s="114"/>
      <c r="U21" s="101"/>
    </row>
    <row r="22" spans="1:21" ht="12.75" x14ac:dyDescent="0.2">
      <c r="K22" s="95">
        <f>IF(L7&gt;39,8,"")</f>
        <v>8</v>
      </c>
      <c r="L22" s="207" t="s">
        <v>162</v>
      </c>
      <c r="M22" s="193">
        <f>IF(K22="","",MAX(M9:M21)+1)</f>
        <v>7</v>
      </c>
      <c r="N22" s="198" t="str">
        <f>UPPER(IF(M22="","",IF(ISTEXT(L22),L22,IF(AND(L6&gt;0,M22&gt;0),VLOOKUP(L6&amp;M22&amp;J21,'[1]grup-puch'!I$1:J$65536,2,FALSE),""))))</f>
        <v>S4547</v>
      </c>
      <c r="O22" s="199" t="str">
        <f>IF(N22&lt;&gt;"",CONCATENATE(VLOOKUP(N22,[1]zawodnicy!$A$1:$E$65536,2,FALSE)," ",VLOOKUP(N22,[1]zawodnicy!$A$1:$E$65536,3,FALSE)," - ",VLOOKUP(N22,[1]zawodnicy!$A$1:$E$65536,4,FALSE)),"")</f>
        <v>Aleksandra SZWEDA - MKB Lednik Miastko</v>
      </c>
      <c r="P22" s="202"/>
      <c r="Q22" s="114" t="str">
        <f>IF(H21="",I21,H21)</f>
        <v>21:16,21:13</v>
      </c>
      <c r="R22" s="114"/>
      <c r="S22" s="116"/>
      <c r="T22" s="114"/>
      <c r="U22" s="101"/>
    </row>
    <row r="23" spans="1:21" ht="12.75" x14ac:dyDescent="0.2">
      <c r="A23" s="172">
        <f>S23</f>
        <v>429</v>
      </c>
      <c r="B23" s="2" t="str">
        <f>F15</f>
        <v>D3427</v>
      </c>
      <c r="D23" s="2" t="str">
        <f>F31</f>
        <v>P4786</v>
      </c>
      <c r="F23" s="2" t="str">
        <f>IF(A23=0,IF(AND(LEN(B23)&gt;0,LEN(D23)=0),B23,IF(AND(LEN(D23)&gt;0,LEN(B23)=0),D23,"")),IF((VLOOKUP(A23,'[1]plan gier'!$X$1:$AF$65536,7,FALSE))="","",VLOOKUP(VLOOKUP(A23,'[1]plan gier'!$X$1:$AF$65536,7,FALSE),[1]zawodnicy!$A$1:$E$65536,1,FALSE)))</f>
        <v>D3427</v>
      </c>
      <c r="H23" s="2" t="str">
        <f>IF(A23=0,"",IF((VLOOKUP(A23,'[1]plan gier'!$X$1:$AF$65536,7,FALSE))="","",VLOOKUP(A23,'[1]plan gier'!$X$1:$AF$65536,9,FALSE)))</f>
        <v>21:9,21:13</v>
      </c>
      <c r="I23" s="2" t="str">
        <f>IF(A23=0,"",IF(VLOOKUP(A23,'[1]plan gier'!A$1:S$65536,19,FALSE)="","",VLOOKUP(A23,'[1]plan gier'!A$1:S$65536,19,FALSE)))</f>
        <v>nie 10:00</v>
      </c>
      <c r="J23" s="2" t="str">
        <f>L8</f>
        <v>pojedyncza dziewcząt M</v>
      </c>
      <c r="L23" s="168"/>
      <c r="M23" s="193" t="str">
        <f>IF(K23="","",MAX(M9:M22)+1)</f>
        <v/>
      </c>
      <c r="N23" s="9"/>
      <c r="O23" s="9"/>
      <c r="P23" s="113"/>
      <c r="Q23" s="114"/>
      <c r="R23" s="114"/>
      <c r="S23" s="115">
        <v>429</v>
      </c>
      <c r="T23" s="200" t="str">
        <f>IF(F23="","",VLOOKUP(F23,[1]zawodnicy!$A$1:$D$65536,3,FALSE))</f>
        <v>DĄBCZYŃSKA</v>
      </c>
      <c r="U23" s="101"/>
    </row>
    <row r="24" spans="1:21" ht="12.75" x14ac:dyDescent="0.2">
      <c r="L24" s="168"/>
      <c r="M24" s="193" t="str">
        <f>IF(K24="","",MAX(M9:M23)+1)</f>
        <v/>
      </c>
      <c r="N24" s="9"/>
      <c r="O24" s="9"/>
      <c r="P24" s="113"/>
      <c r="Q24" s="114"/>
      <c r="R24" s="114"/>
      <c r="S24" s="116"/>
      <c r="T24" s="203" t="str">
        <f>IF(H23="",I23,H23)</f>
        <v>21:9,21:13</v>
      </c>
      <c r="U24" s="101"/>
    </row>
    <row r="25" spans="1:21" ht="12.75" x14ac:dyDescent="0.2">
      <c r="A25" s="102">
        <f>P25</f>
        <v>0</v>
      </c>
      <c r="B25" s="2" t="str">
        <f>IF(N25="","",N25)</f>
        <v>P4786</v>
      </c>
      <c r="D25" s="2" t="str">
        <f>IF(N26="","",N26)</f>
        <v/>
      </c>
      <c r="F25" s="2" t="str">
        <f>IF(A25=0,IF(AND(LEN(B25)&gt;0,LEN(D25)=0),VLOOKUP(B25,[1]zawodnicy!$A$1:$E$65536,1,FALSE),IF(AND(LEN(D25)&gt;0,LEN(B25)=0),VLOOKUP(D25,[1]zawodnicy!$A$1:$E$65536,1,FALSE),"")),IF((VLOOKUP(A25,'[1]plan gier'!$X$1:$AF$65536,7,FALSE))="","",VLOOKUP(VLOOKUP(A25,'[1]plan gier'!$X$1:$AF$65536,7,FALSE),[1]zawodnicy!$A$1:$E$65536,1,FALSE)))</f>
        <v>P4786</v>
      </c>
      <c r="H25" s="2" t="str">
        <f>IF(A25=0,"",IF((VLOOKUP(A25,'[1]plan gier'!$X$1:$AF$65536,7,FALSE))="","",VLOOKUP(A25,'[1]plan gier'!$X$1:$AF$65536,9,FALSE)))</f>
        <v/>
      </c>
      <c r="I25" s="2" t="str">
        <f>IF(A25=0,"",IF(VLOOKUP(A25,'[1]plan gier'!A$1:S$65536,19,FALSE)="","",VLOOKUP(A25,'[1]plan gier'!A$1:S$65536,19,FALSE)))</f>
        <v/>
      </c>
      <c r="J25" s="2" t="str">
        <f>L8</f>
        <v>pojedyncza dziewcząt M</v>
      </c>
      <c r="K25" s="95">
        <f>IF(L7&gt;32,9,"")</f>
        <v>9</v>
      </c>
      <c r="L25" s="204" t="s">
        <v>207</v>
      </c>
      <c r="M25" s="193">
        <f>IF(K25="","",MAX(M9:M24)+1)</f>
        <v>8</v>
      </c>
      <c r="N25" s="198" t="str">
        <f>UPPER(IF(M25="","",IF(ISTEXT(L25),L25,IF(AND(L6&gt;0,M25&gt;0),VLOOKUP(L6&amp;M25&amp;J25,'[1]grup-puch'!I$1:J$65536,2,FALSE),""))))</f>
        <v>P4786</v>
      </c>
      <c r="O25" s="199" t="str">
        <f>IF(N25&lt;&gt;"",CONCATENATE(VLOOKUP(N25,[1]zawodnicy!$A$1:$E$65536,2,FALSE)," ",VLOOKUP(N25,[1]zawodnicy!$A$1:$E$65536,3,FALSE)," - ",VLOOKUP(N25,[1]zawodnicy!$A$1:$E$65536,4,FALSE)),"")</f>
        <v>Aleksandra PTAK - STB Energia Lubliniec</v>
      </c>
      <c r="P25" s="108"/>
      <c r="Q25" s="200" t="str">
        <f>IF(F25="","",VLOOKUP(F25,[1]zawodnicy!$A$1:$D$65536,3,FALSE))</f>
        <v>PTAK</v>
      </c>
      <c r="R25" s="114"/>
      <c r="S25" s="116"/>
      <c r="T25" s="116"/>
      <c r="U25" s="101"/>
    </row>
    <row r="26" spans="1:21" ht="12.75" x14ac:dyDescent="0.2">
      <c r="K26" s="95" t="str">
        <f>IF(L7&gt;59,10,"")</f>
        <v/>
      </c>
      <c r="L26" s="201" t="str">
        <f>UPPER(IF(K26="","",IF(ISTEXT(J26),J26,IF(AND(J6&gt;0,K26&gt;0),VLOOKUP(J6&amp;K26&amp;H25,'[3]grup-puch'!G$1:H$65536,2,FALSE),""))))</f>
        <v/>
      </c>
      <c r="M26" s="193" t="str">
        <f>IF(K26="","",MAX(M9:M25)+1)</f>
        <v/>
      </c>
      <c r="N26" s="198" t="str">
        <f>UPPER(IF(M26="","",IF(ISTEXT(L26),L26,IF(AND(L6&gt;0,M26&gt;0),VLOOKUP(L6&amp;M26&amp;J25,'[1]grup-puch'!I$1:J$65536,2,FALSE),""))))</f>
        <v/>
      </c>
      <c r="O26" s="199" t="str">
        <f>IF(N26&lt;&gt;"",CONCATENATE(VLOOKUP(N26,[1]zawodnicy!$A$1:$E$65536,2,FALSE)," ",VLOOKUP(N26,[1]zawodnicy!$A$1:$E$65536,3,FALSE)," - ",VLOOKUP(N26,[1]zawodnicy!$A$1:$E$65536,4,FALSE)),"")</f>
        <v/>
      </c>
      <c r="P26" s="202"/>
      <c r="Q26" s="203" t="str">
        <f>IF(H25="",I25,H25)</f>
        <v/>
      </c>
      <c r="R26" s="114"/>
      <c r="S26" s="116"/>
      <c r="T26" s="116"/>
      <c r="U26" s="101"/>
    </row>
    <row r="27" spans="1:21" ht="12.75" x14ac:dyDescent="0.2">
      <c r="A27" s="111">
        <f>Q27</f>
        <v>319</v>
      </c>
      <c r="B27" s="2" t="str">
        <f>F25</f>
        <v>P4786</v>
      </c>
      <c r="D27" s="2" t="str">
        <f>F29</f>
        <v>P4197</v>
      </c>
      <c r="F27" s="2" t="str">
        <f>IF(A27=0,IF(AND(LEN(B27)&gt;0,LEN(D27)=0),B27,IF(AND(LEN(D27)&gt;0,LEN(B27)=0),D27,"")),IF((VLOOKUP(A27,'[1]plan gier'!$X$1:$AF$65536,7,FALSE))="","",VLOOKUP(VLOOKUP(A27,'[1]plan gier'!$X$1:$AF$65536,7,FALSE),[1]zawodnicy!$A$1:$E$65536,1,FALSE)))</f>
        <v>P4786</v>
      </c>
      <c r="H27" s="2" t="str">
        <f>IF(A27=0,"",IF((VLOOKUP(A27,'[1]plan gier'!$X$1:$AF$65536,7,FALSE))="","",VLOOKUP(A27,'[1]plan gier'!$X$1:$AF$65536,9,FALSE)))</f>
        <v>21:12,22:20</v>
      </c>
      <c r="I27" s="2" t="str">
        <f>IF(A27=0,"",IF(VLOOKUP(A27,'[1]plan gier'!A$1:S$65536,19,FALSE)="","",VLOOKUP(A27,'[1]plan gier'!A$1:S$65536,19,FALSE)))</f>
        <v>sob 15:00</v>
      </c>
      <c r="J27" s="2" t="str">
        <f>L8</f>
        <v>pojedyncza dziewcząt M</v>
      </c>
      <c r="L27" s="168"/>
      <c r="M27" s="193" t="str">
        <f>IF(K27="","",MAX(M9:M26)+1)</f>
        <v/>
      </c>
      <c r="N27" s="9"/>
      <c r="O27" s="9"/>
      <c r="P27" s="113"/>
      <c r="Q27" s="115">
        <v>319</v>
      </c>
      <c r="R27" s="200" t="str">
        <f>IF(F27="","",VLOOKUP(F27,[1]zawodnicy!$A$1:$D$65536,3,FALSE))</f>
        <v>PTAK</v>
      </c>
      <c r="S27" s="116"/>
      <c r="T27" s="116"/>
      <c r="U27" s="101"/>
    </row>
    <row r="28" spans="1:21" ht="12.75" x14ac:dyDescent="0.2">
      <c r="L28" s="168"/>
      <c r="M28" s="193" t="str">
        <f>IF(K28="","",MAX(M9:M27)+1)</f>
        <v/>
      </c>
      <c r="N28" s="9"/>
      <c r="O28" s="9"/>
      <c r="P28" s="113"/>
      <c r="Q28" s="116"/>
      <c r="R28" s="203" t="str">
        <f>IF(H27="",I27,H27)</f>
        <v>21:12,22:20</v>
      </c>
      <c r="S28" s="116"/>
      <c r="T28" s="116"/>
      <c r="U28" s="101"/>
    </row>
    <row r="29" spans="1:21" ht="12.75" x14ac:dyDescent="0.2">
      <c r="A29" s="102">
        <f>P29</f>
        <v>17</v>
      </c>
      <c r="B29" s="2" t="str">
        <f>IF(N29="","",N29)</f>
        <v>P4197</v>
      </c>
      <c r="D29" s="2" t="str">
        <f>IF(N30="","",N30)</f>
        <v>N4575</v>
      </c>
      <c r="F29" s="2" t="str">
        <f>IF(A29=0,IF(AND(LEN(B29)&gt;0,LEN(D29)=0),VLOOKUP(B29,[1]zawodnicy!$A$1:$E$65536,1,FALSE),IF(AND(LEN(D29)&gt;0,LEN(B29)=0),VLOOKUP(D29,[1]zawodnicy!$A$1:$E$65536,1,FALSE),"")),IF((VLOOKUP(A29,'[1]plan gier'!$X$1:$AF$65536,7,FALSE))="","",VLOOKUP(VLOOKUP(A29,'[1]plan gier'!$X$1:$AF$65536,7,FALSE),[1]zawodnicy!$A$1:$E$65536,1,FALSE)))</f>
        <v>P4197</v>
      </c>
      <c r="H29" s="2" t="str">
        <f>IF(A29=0,"",IF((VLOOKUP(A29,'[1]plan gier'!$X$1:$AF$65536,7,FALSE))="","",VLOOKUP(A29,'[1]plan gier'!$X$1:$AF$65536,9,FALSE)))</f>
        <v>21:18,21:4</v>
      </c>
      <c r="I29" s="2" t="str">
        <f>IF(A29=0,"",IF(VLOOKUP(A29,'[1]plan gier'!A$1:S$65536,19,FALSE)="","",VLOOKUP(A29,'[1]plan gier'!A$1:S$65536,19,FALSE)))</f>
        <v>pt 10:30</v>
      </c>
      <c r="J29" s="2" t="str">
        <f>L8</f>
        <v>pojedyncza dziewcząt M</v>
      </c>
      <c r="K29" s="95">
        <f>IF(L7&gt;32,11,"")</f>
        <v>11</v>
      </c>
      <c r="L29" s="207" t="s">
        <v>187</v>
      </c>
      <c r="M29" s="193">
        <f>IF(K29="","",MAX(M9:M28)+1)</f>
        <v>9</v>
      </c>
      <c r="N29" s="198" t="str">
        <f>UPPER(IF(M29="","",IF(ISTEXT(L29),L29,IF(AND(L6&gt;0,M29&gt;0),VLOOKUP(L6&amp;M29&amp;J29,'[1]grup-puch'!I$1:J$65536,2,FALSE),""))))</f>
        <v>P4197</v>
      </c>
      <c r="O29" s="199" t="str">
        <f>IF(N29&lt;&gt;"",CONCATENATE(VLOOKUP(N29,[1]zawodnicy!$A$1:$E$65536,2,FALSE)," ",VLOOKUP(N29,[1]zawodnicy!$A$1:$E$65536,3,FALSE)," - ",VLOOKUP(N29,[1]zawodnicy!$A$1:$E$65536,4,FALSE)),"")</f>
        <v>Zuzanna PARYSZ - UKS Unia Bieruń</v>
      </c>
      <c r="P29" s="108">
        <v>17</v>
      </c>
      <c r="Q29" s="205" t="str">
        <f>IF(F29="","",VLOOKUP(F29,[1]zawodnicy!$A$1:$D$65536,3,FALSE))</f>
        <v>PARYSZ</v>
      </c>
      <c r="R29" s="116"/>
      <c r="S29" s="116"/>
      <c r="T29" s="116"/>
      <c r="U29" s="101"/>
    </row>
    <row r="30" spans="1:21" ht="12.75" x14ac:dyDescent="0.2">
      <c r="K30" s="95">
        <f>IF(L7&gt;51,12,"")</f>
        <v>12</v>
      </c>
      <c r="L30" s="204" t="s">
        <v>274</v>
      </c>
      <c r="M30" s="193">
        <f>IF(K30="","",MAX(M9:M29)+1)</f>
        <v>10</v>
      </c>
      <c r="N30" s="198" t="str">
        <f>UPPER(IF(M30="","",IF(ISTEXT(L30),L30,IF(AND(L6&gt;0,M30&gt;0),VLOOKUP(L6&amp;M30&amp;J29,'[1]grup-puch'!I$1:J$65536,2,FALSE),""))))</f>
        <v>N4575</v>
      </c>
      <c r="O30" s="199" t="str">
        <f>IF(N30&lt;&gt;"",CONCATENATE(VLOOKUP(N30,[1]zawodnicy!$A$1:$E$65536,2,FALSE)," ",VLOOKUP(N30,[1]zawodnicy!$A$1:$E$65536,3,FALSE)," - ",VLOOKUP(N30,[1]zawodnicy!$A$1:$E$65536,4,FALSE)),"")</f>
        <v>Wiktoria NIEMIEC - MKS Strzelce Opolskie</v>
      </c>
      <c r="P30" s="202"/>
      <c r="Q30" s="114" t="str">
        <f>IF(H29="",I29,H29)</f>
        <v>21:18,21:4</v>
      </c>
      <c r="R30" s="116"/>
      <c r="S30" s="116"/>
      <c r="T30" s="116"/>
      <c r="U30" s="101"/>
    </row>
    <row r="31" spans="1:21" ht="12.75" x14ac:dyDescent="0.2">
      <c r="A31" s="118">
        <f>R31</f>
        <v>370</v>
      </c>
      <c r="B31" s="2" t="str">
        <f>F27</f>
        <v>P4786</v>
      </c>
      <c r="D31" s="2" t="str">
        <f>F35</f>
        <v>J4598</v>
      </c>
      <c r="F31" s="2" t="str">
        <f>IF(A31=0,IF(AND(LEN(B31)&gt;0,LEN(D31)=0),B31,IF(AND(LEN(D31)&gt;0,LEN(B31)=0),D31,"")),IF((VLOOKUP(A31,'[1]plan gier'!$X$1:$AF$65536,7,FALSE))="","",VLOOKUP(VLOOKUP(A31,'[1]plan gier'!$X$1:$AF$65536,7,FALSE),[1]zawodnicy!$A$1:$E$65536,1,FALSE)))</f>
        <v>P4786</v>
      </c>
      <c r="H31" s="2" t="str">
        <f>IF(A31=0,"",IF((VLOOKUP(A31,'[1]plan gier'!$X$1:$AF$65536,7,FALSE))="","",VLOOKUP(A31,'[1]plan gier'!$X$1:$AF$65536,9,FALSE)))</f>
        <v>21:11,21:15</v>
      </c>
      <c r="I31" s="2" t="str">
        <f>IF(A31=0,"",IF(VLOOKUP(A31,'[1]plan gier'!A$1:S$65536,19,FALSE)="","",VLOOKUP(A31,'[1]plan gier'!A$1:S$65536,19,FALSE)))</f>
        <v>sob 17:50</v>
      </c>
      <c r="J31" s="2" t="str">
        <f>L8</f>
        <v>pojedyncza dziewcząt M</v>
      </c>
      <c r="L31" s="168"/>
      <c r="M31" s="193" t="str">
        <f>IF(K31="","",MAX(M9:M30)+1)</f>
        <v/>
      </c>
      <c r="N31" s="9"/>
      <c r="O31" s="9"/>
      <c r="P31" s="113"/>
      <c r="Q31" s="114"/>
      <c r="R31" s="206">
        <v>370</v>
      </c>
      <c r="S31" s="205" t="str">
        <f>IF(F31="","",VLOOKUP(F31,[1]zawodnicy!$A$1:$D$65536,3,FALSE))</f>
        <v>PTAK</v>
      </c>
      <c r="T31" s="116"/>
      <c r="U31" s="101"/>
    </row>
    <row r="32" spans="1:21" ht="12.75" x14ac:dyDescent="0.2">
      <c r="L32" s="168"/>
      <c r="M32" s="193" t="str">
        <f>IF(K32="","",MAX(M9:M31)+1)</f>
        <v/>
      </c>
      <c r="N32" s="9"/>
      <c r="O32" s="9"/>
      <c r="P32" s="113"/>
      <c r="Q32" s="114"/>
      <c r="R32" s="116"/>
      <c r="S32" s="114" t="str">
        <f>IF(H31="",I31,H31)</f>
        <v>21:11,21:15</v>
      </c>
      <c r="T32" s="116"/>
      <c r="U32" s="101"/>
    </row>
    <row r="33" spans="1:21" ht="12.75" x14ac:dyDescent="0.2">
      <c r="A33" s="102">
        <f>P33</f>
        <v>3</v>
      </c>
      <c r="B33" s="2" t="str">
        <f>IF(N33="","",N33)</f>
        <v>X06</v>
      </c>
      <c r="D33" s="2" t="str">
        <f>IF(N34="","",N34)</f>
        <v>Ż5193</v>
      </c>
      <c r="F33" s="2" t="str">
        <f>IF(A33=0,IF(AND(LEN(B33)&gt;0,LEN(D33)=0),VLOOKUP(B33,[1]zawodnicy!$A$1:$E$65536,1,FALSE),IF(AND(LEN(D33)&gt;0,LEN(B33)=0),VLOOKUP(D33,[1]zawodnicy!$A$1:$E$65536,1,FALSE),"")),IF((VLOOKUP(A33,'[1]plan gier'!$X$1:$AF$65536,7,FALSE))="","",VLOOKUP(VLOOKUP(A33,'[1]plan gier'!$X$1:$AF$65536,7,FALSE),[1]zawodnicy!$A$1:$E$65536,1,FALSE)))</f>
        <v>X06</v>
      </c>
      <c r="H33" s="2" t="str">
        <f>IF(A33=0,"",IF((VLOOKUP(A33,'[1]plan gier'!$X$1:$AF$65536,7,FALSE))="","",VLOOKUP(A33,'[1]plan gier'!$X$1:$AF$65536,9,FALSE)))</f>
        <v>21:0,21:0</v>
      </c>
      <c r="I33" s="2" t="str">
        <f>IF(A33=0,"",IF(VLOOKUP(A33,'[1]plan gier'!A$1:S$65536,19,FALSE)="","",VLOOKUP(A33,'[1]plan gier'!A$1:S$65536,19,FALSE)))</f>
        <v>pt 9:00</v>
      </c>
      <c r="J33" s="2" t="str">
        <f>L8</f>
        <v>pojedyncza dziewcząt M</v>
      </c>
      <c r="K33" s="95">
        <f>IF(L7&gt;32,13,"")</f>
        <v>13</v>
      </c>
      <c r="L33" s="187" t="s">
        <v>183</v>
      </c>
      <c r="M33" s="193">
        <f>IF(K33="","",MAX(M9:M32)+1)</f>
        <v>11</v>
      </c>
      <c r="N33" s="198" t="str">
        <f>UPPER(IF(M33="","",IF(ISTEXT(L33),L33,IF(AND(L6&gt;0,M33&gt;0),VLOOKUP(L6&amp;M33&amp;J33,'[1]grup-puch'!I$1:J$65536,2,FALSE),""))))</f>
        <v>X06</v>
      </c>
      <c r="O33" s="199" t="str">
        <f>IF(N33&lt;&gt;"",CONCATENATE(VLOOKUP(N33,[1]zawodnicy!$A$1:$E$65536,2,FALSE)," ",VLOOKUP(N33,[1]zawodnicy!$A$1:$E$65536,3,FALSE)," - ",VLOOKUP(N33,[1]zawodnicy!$A$1:$E$65536,4,FALSE)),"")</f>
        <v>Uliana ZACHROVA - Brześć Białoruś</v>
      </c>
      <c r="P33" s="108">
        <v>3</v>
      </c>
      <c r="Q33" s="200" t="str">
        <f>IF(F33="","",VLOOKUP(F33,[1]zawodnicy!$A$1:$D$65536,3,FALSE))</f>
        <v>ZACHROVA</v>
      </c>
      <c r="R33" s="116"/>
      <c r="S33" s="114"/>
      <c r="T33" s="116"/>
      <c r="U33" s="101"/>
    </row>
    <row r="34" spans="1:21" ht="12.75" x14ac:dyDescent="0.2">
      <c r="K34" s="95">
        <f>IF(L7&gt;43,14,"")</f>
        <v>14</v>
      </c>
      <c r="L34" s="204" t="s">
        <v>193</v>
      </c>
      <c r="M34" s="193">
        <f>IF(K34="","",MAX(M9:M33)+1)</f>
        <v>12</v>
      </c>
      <c r="N34" s="198" t="str">
        <f>UPPER(IF(M34="","",IF(ISTEXT(L34),L34,IF(AND(L6&gt;0,M34&gt;0),VLOOKUP(L6&amp;M34&amp;J33,'[1]grup-puch'!I$1:J$65536,2,FALSE),""))))</f>
        <v>Ż5193</v>
      </c>
      <c r="O34" s="199" t="str">
        <f>IF(N34&lt;&gt;"",CONCATENATE(VLOOKUP(N34,[1]zawodnicy!$A$1:$E$65536,2,FALSE)," ",VLOOKUP(N34,[1]zawodnicy!$A$1:$E$65536,3,FALSE)," - ",VLOOKUP(N34,[1]zawodnicy!$A$1:$E$65536,4,FALSE)),"")</f>
        <v>Natalia ŻUJEWSKA - UKS Kiko Zamość</v>
      </c>
      <c r="P34" s="202"/>
      <c r="Q34" s="203" t="str">
        <f>IF(H33="",I33,H33)</f>
        <v>21:0,21:0</v>
      </c>
      <c r="R34" s="116"/>
      <c r="S34" s="114"/>
      <c r="T34" s="116"/>
      <c r="U34" s="101"/>
    </row>
    <row r="35" spans="1:21" ht="12.75" x14ac:dyDescent="0.2">
      <c r="A35" s="111">
        <f>Q35</f>
        <v>320</v>
      </c>
      <c r="B35" s="2" t="str">
        <f>F33</f>
        <v>X06</v>
      </c>
      <c r="D35" s="2" t="str">
        <f>F37</f>
        <v>J4598</v>
      </c>
      <c r="F35" s="2" t="str">
        <f>IF(A35=0,IF(AND(LEN(B35)&gt;0,LEN(D35)=0),B35,IF(AND(LEN(D35)&gt;0,LEN(B35)=0),D35,"")),IF((VLOOKUP(A35,'[1]plan gier'!$X$1:$AF$65536,7,FALSE))="","",VLOOKUP(VLOOKUP(A35,'[1]plan gier'!$X$1:$AF$65536,7,FALSE),[1]zawodnicy!$A$1:$E$65536,1,FALSE)))</f>
        <v>J4598</v>
      </c>
      <c r="H35" s="2" t="str">
        <f>IF(A35=0,"",IF((VLOOKUP(A35,'[1]plan gier'!$X$1:$AF$65536,7,FALSE))="","",VLOOKUP(A35,'[1]plan gier'!$X$1:$AF$65536,9,FALSE)))</f>
        <v>17:21,21:15,21:17</v>
      </c>
      <c r="I35" s="2" t="str">
        <f>IF(A35=0,"",IF(VLOOKUP(A35,'[1]plan gier'!A$1:S$65536,19,FALSE)="","",VLOOKUP(A35,'[1]plan gier'!A$1:S$65536,19,FALSE)))</f>
        <v>sob 15:00</v>
      </c>
      <c r="J35" s="2" t="str">
        <f>L8</f>
        <v>pojedyncza dziewcząt M</v>
      </c>
      <c r="L35" s="168"/>
      <c r="M35" s="193" t="str">
        <f>IF(K35="","",MAX(M9:M34)+1)</f>
        <v/>
      </c>
      <c r="N35" s="9"/>
      <c r="O35" s="9"/>
      <c r="P35" s="113"/>
      <c r="Q35" s="115">
        <v>320</v>
      </c>
      <c r="R35" s="205" t="str">
        <f>IF(F35="","",VLOOKUP(F35,[1]zawodnicy!$A$1:$D$65536,3,FALSE))</f>
        <v>JODZIO</v>
      </c>
      <c r="S35" s="114"/>
      <c r="T35" s="116"/>
      <c r="U35" s="101"/>
    </row>
    <row r="36" spans="1:21" ht="12.75" x14ac:dyDescent="0.2">
      <c r="L36" s="168"/>
      <c r="M36" s="193" t="str">
        <f>IF(K36="","",MAX(M9:M35)+1)</f>
        <v/>
      </c>
      <c r="N36" s="9"/>
      <c r="O36" s="9"/>
      <c r="P36" s="113"/>
      <c r="Q36" s="116"/>
      <c r="R36" s="114" t="str">
        <f>IF(H35="",I35,H35)</f>
        <v>17:21,21:15,21:17</v>
      </c>
      <c r="S36" s="114"/>
      <c r="T36" s="116"/>
      <c r="U36" s="101"/>
    </row>
    <row r="37" spans="1:21" ht="12.75" x14ac:dyDescent="0.2">
      <c r="A37" s="102">
        <f>P37</f>
        <v>18</v>
      </c>
      <c r="B37" s="2" t="str">
        <f>IF(N37="","",N37)</f>
        <v>J4598</v>
      </c>
      <c r="D37" s="2" t="str">
        <f>IF(N38="","",N38)</f>
        <v>K5206</v>
      </c>
      <c r="F37" s="2" t="str">
        <f>IF(A37=0,IF(AND(LEN(B37)&gt;0,LEN(D37)=0),VLOOKUP(B37,[1]zawodnicy!$A$1:$E$65536,1,FALSE),IF(AND(LEN(D37)&gt;0,LEN(B37)=0),VLOOKUP(D37,[1]zawodnicy!$A$1:$E$65536,1,FALSE),"")),IF((VLOOKUP(A37,'[1]plan gier'!$X$1:$AF$65536,7,FALSE))="","",VLOOKUP(VLOOKUP(A37,'[1]plan gier'!$X$1:$AF$65536,7,FALSE),[1]zawodnicy!$A$1:$E$65536,1,FALSE)))</f>
        <v>J4598</v>
      </c>
      <c r="H37" s="2" t="str">
        <f>IF(A37=0,"",IF((VLOOKUP(A37,'[1]plan gier'!$X$1:$AF$65536,7,FALSE))="","",VLOOKUP(A37,'[1]plan gier'!$X$1:$AF$65536,9,FALSE)))</f>
        <v>21:9,21:14</v>
      </c>
      <c r="I37" s="2" t="str">
        <f>IF(A37=0,"",IF(VLOOKUP(A37,'[1]plan gier'!A$1:S$65536,19,FALSE)="","",VLOOKUP(A37,'[1]plan gier'!A$1:S$65536,19,FALSE)))</f>
        <v>pt 10:30</v>
      </c>
      <c r="J37" s="2" t="str">
        <f>L8</f>
        <v>pojedyncza dziewcząt M</v>
      </c>
      <c r="K37" s="95">
        <f>IF(L7&gt;32,15,"")</f>
        <v>15</v>
      </c>
      <c r="L37" s="204" t="s">
        <v>174</v>
      </c>
      <c r="M37" s="193">
        <f>IF(K37="","",MAX(M9:M36)+1)</f>
        <v>13</v>
      </c>
      <c r="N37" s="198" t="str">
        <f>UPPER(IF(M37="","",IF(ISTEXT(L37),L37,IF(AND(L6&gt;0,M37&gt;0),VLOOKUP(L6&amp;M37&amp;J37,'[1]grup-puch'!I$1:J$65536,2,FALSE),""))))</f>
        <v>J4598</v>
      </c>
      <c r="O37" s="199" t="str">
        <f>IF(N37&lt;&gt;"",CONCATENATE(VLOOKUP(N37,[1]zawodnicy!$A$1:$E$65536,2,FALSE)," ",VLOOKUP(N37,[1]zawodnicy!$A$1:$E$65536,3,FALSE)," - ",VLOOKUP(N37,[1]zawodnicy!$A$1:$E$65536,4,FALSE)),"")</f>
        <v>Karolina JODZIO - SKB Suwałki</v>
      </c>
      <c r="P37" s="108">
        <v>18</v>
      </c>
      <c r="Q37" s="205" t="str">
        <f>IF(F37="","",VLOOKUP(F37,[1]zawodnicy!$A$1:$D$65536,3,FALSE))</f>
        <v>JODZIO</v>
      </c>
      <c r="R37" s="114"/>
      <c r="S37" s="114"/>
      <c r="T37" s="208"/>
      <c r="U37" s="101"/>
    </row>
    <row r="38" spans="1:21" ht="12.75" x14ac:dyDescent="0.2">
      <c r="K38" s="95">
        <f>IF(L7&gt;35,16,"")</f>
        <v>16</v>
      </c>
      <c r="L38" s="207" t="s">
        <v>267</v>
      </c>
      <c r="M38" s="193">
        <f>IF(K38="","",MAX(M9:M37)+1)</f>
        <v>14</v>
      </c>
      <c r="N38" s="198" t="str">
        <f>UPPER(IF(M38="","",IF(ISTEXT(L38),L38,IF(AND(L6&gt;0,M38&gt;0),VLOOKUP(L6&amp;M38&amp;J37,'[1]grup-puch'!I$1:J$65536,2,FALSE),""))))</f>
        <v>K5206</v>
      </c>
      <c r="O38" s="199" t="str">
        <f>IF(N38&lt;&gt;"",CONCATENATE(VLOOKUP(N38,[1]zawodnicy!$A$1:$E$65536,2,FALSE)," ",VLOOKUP(N38,[1]zawodnicy!$A$1:$E$65536,3,FALSE)," - ",VLOOKUP(N38,[1]zawodnicy!$A$1:$E$65536,4,FALSE)),"")</f>
        <v>Klaudia KORDEK - UKS Jagiellonka Medyka</v>
      </c>
      <c r="P38" s="202"/>
      <c r="Q38" s="114" t="str">
        <f>IF(H37="",I37,H37)</f>
        <v>21:9,21:14</v>
      </c>
      <c r="R38" s="114"/>
      <c r="S38" s="114"/>
      <c r="T38" s="116"/>
      <c r="U38" s="101"/>
    </row>
    <row r="39" spans="1:21" ht="12.75" x14ac:dyDescent="0.2">
      <c r="A39" s="196">
        <f>T39</f>
        <v>443</v>
      </c>
      <c r="B39" s="2" t="str">
        <f>F23</f>
        <v>D3427</v>
      </c>
      <c r="D39" s="2" t="str">
        <f>F55</f>
        <v>S4370</v>
      </c>
      <c r="F39" s="2" t="str">
        <f>IF(A39=0,IF(AND(LEN(B39)&gt;0,LEN(D39)=0),B39,IF(AND(LEN(D39)&gt;0,LEN(B39)=0),D39,"")),IF((VLOOKUP(A39,'[1]plan gier'!$X$1:$AF$65536,7,FALSE))="","",VLOOKUP(VLOOKUP(A39,'[1]plan gier'!$X$1:$AF$65536,7,FALSE),[1]zawodnicy!$A$1:$E$65536,1,FALSE)))</f>
        <v>D3427</v>
      </c>
      <c r="H39" s="2" t="str">
        <f>IF(A39=0,"",IF((VLOOKUP(A39,'[1]plan gier'!$X$1:$AF$65536,7,FALSE))="","",VLOOKUP(A39,'[1]plan gier'!$X$1:$AF$65536,9,FALSE)))</f>
        <v>21:17,21:14</v>
      </c>
      <c r="I39" s="2" t="str">
        <f>IF(A39=0,"",IF(VLOOKUP(A39,'[1]plan gier'!A$1:S$65536,19,FALSE)="","",VLOOKUP(A39,'[1]plan gier'!A$1:S$65536,19,FALSE)))</f>
        <v>nie 11:00</v>
      </c>
      <c r="J39" s="2" t="str">
        <f>L8</f>
        <v>pojedyncza dziewcząt M</v>
      </c>
      <c r="L39" s="168"/>
      <c r="M39" s="193" t="str">
        <f>IF(K39="","",MAX(M9:M38)+1)</f>
        <v/>
      </c>
      <c r="N39" s="9"/>
      <c r="O39" s="9"/>
      <c r="P39" s="113"/>
      <c r="Q39" s="114"/>
      <c r="R39" s="114"/>
      <c r="T39" s="115">
        <v>443</v>
      </c>
      <c r="U39" s="200" t="str">
        <f>IF(F39="","",VLOOKUP(F39,[1]zawodnicy!$A$1:$D$65536,3,FALSE))</f>
        <v>DĄBCZYŃSKA</v>
      </c>
    </row>
    <row r="40" spans="1:21" ht="12.75" x14ac:dyDescent="0.2">
      <c r="L40" s="168"/>
      <c r="M40" s="193" t="str">
        <f>IF(K40="","",MAX(M9:M39)+1)</f>
        <v/>
      </c>
      <c r="N40" s="9"/>
      <c r="O40" s="9"/>
      <c r="P40" s="113"/>
      <c r="Q40" s="114"/>
      <c r="R40" s="114"/>
      <c r="T40" s="116"/>
      <c r="U40" s="203" t="str">
        <f>IF(H39="",I39,H39)</f>
        <v>21:17,21:14</v>
      </c>
    </row>
    <row r="41" spans="1:21" ht="12.75" x14ac:dyDescent="0.2">
      <c r="A41" s="102">
        <f>P41</f>
        <v>0</v>
      </c>
      <c r="B41" s="2" t="str">
        <f>IF(N41="","",N41)</f>
        <v>M4748</v>
      </c>
      <c r="D41" s="2" t="str">
        <f>IF(N42="","",N42)</f>
        <v/>
      </c>
      <c r="F41" s="2" t="str">
        <f>IF(A41=0,IF(AND(LEN(B41)&gt;0,LEN(D41)=0),VLOOKUP(B41,[1]zawodnicy!$A$1:$E$65536,1,FALSE),IF(AND(LEN(D41)&gt;0,LEN(B41)=0),VLOOKUP(D41,[1]zawodnicy!$A$1:$E$65536,1,FALSE),"")),IF((VLOOKUP(A41,'[1]plan gier'!$X$1:$AF$65536,7,FALSE))="","",VLOOKUP(VLOOKUP(A41,'[1]plan gier'!$X$1:$AF$65536,7,FALSE),[1]zawodnicy!$A$1:$E$65536,1,FALSE)))</f>
        <v>M4748</v>
      </c>
      <c r="H41" s="2" t="str">
        <f>IF(A41=0,"",IF((VLOOKUP(A41,'[1]plan gier'!$X$1:$AF$65536,7,FALSE))="","",VLOOKUP(A41,'[1]plan gier'!$X$1:$AF$65536,9,FALSE)))</f>
        <v/>
      </c>
      <c r="I41" s="2" t="str">
        <f>IF(A41=0,"",IF(VLOOKUP(A41,'[1]plan gier'!A$1:S$65536,19,FALSE)="","",VLOOKUP(A41,'[1]plan gier'!A$1:S$65536,19,FALSE)))</f>
        <v/>
      </c>
      <c r="J41" s="2" t="str">
        <f>L8</f>
        <v>pojedyncza dziewcząt M</v>
      </c>
      <c r="K41" s="95">
        <f>IF(L7&gt;32,17,"")</f>
        <v>17</v>
      </c>
      <c r="L41" s="207" t="s">
        <v>170</v>
      </c>
      <c r="M41" s="193">
        <f>IF(K41="","",MAX(M9:M40)+1)</f>
        <v>15</v>
      </c>
      <c r="N41" s="198" t="str">
        <f>UPPER(IF(M41="","",IF(ISTEXT(L41),L41,IF(AND(L6&gt;0,M41&gt;0),VLOOKUP(L6&amp;M41&amp;J41,'[1]grup-puch'!I$1:J$65536,2,FALSE),""))))</f>
        <v>M4748</v>
      </c>
      <c r="O41" s="199" t="str">
        <f>IF(N41&lt;&gt;"",CONCATENATE(VLOOKUP(N41,[1]zawodnicy!$A$1:$E$65536,2,FALSE)," ",VLOOKUP(N41,[1]zawodnicy!$A$1:$E$65536,3,FALSE)," - ",VLOOKUP(N41,[1]zawodnicy!$A$1:$E$65536,4,FALSE)),"")</f>
        <v>Olga MIKSZA - KS Wesoła Warszawa</v>
      </c>
      <c r="P41" s="108"/>
      <c r="Q41" s="200" t="str">
        <f>IF(F41="","",VLOOKUP(F41,[1]zawodnicy!$A$1:$D$65536,3,FALSE))</f>
        <v>MIKSZA</v>
      </c>
      <c r="R41" s="114"/>
      <c r="S41" s="114"/>
      <c r="T41" s="116"/>
      <c r="U41" s="116"/>
    </row>
    <row r="42" spans="1:21" ht="12.75" x14ac:dyDescent="0.2">
      <c r="K42" s="95" t="str">
        <f>IF(L7&gt;61,18,"")</f>
        <v/>
      </c>
      <c r="L42" s="207"/>
      <c r="M42" s="193" t="str">
        <f>IF(K42="","",MAX(M9:M41)+1)</f>
        <v/>
      </c>
      <c r="N42" s="198" t="str">
        <f>UPPER(IF(M42="","",IF(ISTEXT(L42),L42,IF(AND(L6&gt;0,M42&gt;0),VLOOKUP(L6&amp;M42&amp;J41,'[1]grup-puch'!I$1:J$65536,2,FALSE),""))))</f>
        <v/>
      </c>
      <c r="O42" s="199" t="str">
        <f>IF(N42&lt;&gt;"",CONCATENATE(VLOOKUP(N42,[1]zawodnicy!$A$1:$E$65536,2,FALSE)," ",VLOOKUP(N42,[1]zawodnicy!$A$1:$E$65536,3,FALSE)," - ",VLOOKUP(N42,[1]zawodnicy!$A$1:$E$65536,4,FALSE)),"")</f>
        <v/>
      </c>
      <c r="P42" s="202"/>
      <c r="Q42" s="203" t="str">
        <f>IF(H41="",I41,H41)</f>
        <v/>
      </c>
      <c r="R42" s="114"/>
      <c r="S42" s="114"/>
      <c r="T42" s="116"/>
      <c r="U42" s="116"/>
    </row>
    <row r="43" spans="1:21" ht="12.75" x14ac:dyDescent="0.2">
      <c r="A43" s="111">
        <f>Q43</f>
        <v>321</v>
      </c>
      <c r="B43" s="2" t="str">
        <f>F41</f>
        <v>M4748</v>
      </c>
      <c r="D43" s="2" t="str">
        <f>F45</f>
        <v>X24</v>
      </c>
      <c r="F43" s="2" t="str">
        <f>IF(A43=0,IF(AND(LEN(B43)&gt;0,LEN(D43)=0),B43,IF(AND(LEN(D43)&gt;0,LEN(B43)=0),D43,"")),IF((VLOOKUP(A43,'[1]plan gier'!$X$1:$AF$65536,7,FALSE))="","",VLOOKUP(VLOOKUP(A43,'[1]plan gier'!$X$1:$AF$65536,7,FALSE),[1]zawodnicy!$A$1:$E$65536,1,FALSE)))</f>
        <v>M4748</v>
      </c>
      <c r="H43" s="2" t="str">
        <f>IF(A43=0,"",IF((VLOOKUP(A43,'[1]plan gier'!$X$1:$AF$65536,7,FALSE))="","",VLOOKUP(A43,'[1]plan gier'!$X$1:$AF$65536,9,FALSE)))</f>
        <v>21:13,21:19</v>
      </c>
      <c r="I43" s="2" t="str">
        <f>IF(A43=0,"",IF(VLOOKUP(A43,'[1]plan gier'!A$1:S$65536,19,FALSE)="","",VLOOKUP(A43,'[1]plan gier'!A$1:S$65536,19,FALSE)))</f>
        <v>sob 15:00</v>
      </c>
      <c r="J43" s="2" t="str">
        <f>L8</f>
        <v>pojedyncza dziewcząt M</v>
      </c>
      <c r="L43" s="168"/>
      <c r="M43" s="193" t="str">
        <f>IF(K43="","",MAX(M9:M42)+1)</f>
        <v/>
      </c>
      <c r="N43" s="9"/>
      <c r="O43" s="9"/>
      <c r="P43" s="113"/>
      <c r="Q43" s="115">
        <v>321</v>
      </c>
      <c r="R43" s="200" t="str">
        <f>IF(F43="","",VLOOKUP(F43,[1]zawodnicy!$A$1:$D$65536,3,FALSE))</f>
        <v>MIKSZA</v>
      </c>
      <c r="S43" s="114"/>
      <c r="T43" s="116"/>
      <c r="U43" s="116"/>
    </row>
    <row r="44" spans="1:21" ht="12.75" x14ac:dyDescent="0.2">
      <c r="L44" s="168"/>
      <c r="M44" s="193" t="str">
        <f>IF(K44="","",MAX(M9:M43)+1)</f>
        <v/>
      </c>
      <c r="N44" s="9"/>
      <c r="O44" s="9"/>
      <c r="P44" s="113"/>
      <c r="Q44" s="116"/>
      <c r="R44" s="203" t="str">
        <f>IF(H43="",I43,H43)</f>
        <v>21:13,21:19</v>
      </c>
      <c r="S44" s="114"/>
      <c r="T44" s="116"/>
      <c r="U44" s="116"/>
    </row>
    <row r="45" spans="1:21" ht="12.75" x14ac:dyDescent="0.2">
      <c r="A45" s="102">
        <f>P45</f>
        <v>19</v>
      </c>
      <c r="B45" s="2" t="str">
        <f>IF(N45="","",N45)</f>
        <v>X24</v>
      </c>
      <c r="D45" s="2" t="str">
        <f>IF(N46="","",N46)</f>
        <v>F3777</v>
      </c>
      <c r="F45" s="2" t="str">
        <f>IF(A45=0,IF(AND(LEN(B45)&gt;0,LEN(D45)=0),VLOOKUP(B45,[1]zawodnicy!$A$1:$E$65536,1,FALSE),IF(AND(LEN(D45)&gt;0,LEN(B45)=0),VLOOKUP(D45,[1]zawodnicy!$A$1:$E$65536,1,FALSE),"")),IF((VLOOKUP(A45,'[1]plan gier'!$X$1:$AF$65536,7,FALSE))="","",VLOOKUP(VLOOKUP(A45,'[1]plan gier'!$X$1:$AF$65536,7,FALSE),[1]zawodnicy!$A$1:$E$65536,1,FALSE)))</f>
        <v>X24</v>
      </c>
      <c r="H45" s="2" t="str">
        <f>IF(A45=0,"",IF((VLOOKUP(A45,'[1]plan gier'!$X$1:$AF$65536,7,FALSE))="","",VLOOKUP(A45,'[1]plan gier'!$X$1:$AF$65536,9,FALSE)))</f>
        <v>21:9,21:16</v>
      </c>
      <c r="I45" s="2" t="str">
        <f>IF(A45=0,"",IF(VLOOKUP(A45,'[1]plan gier'!A$1:S$65536,19,FALSE)="","",VLOOKUP(A45,'[1]plan gier'!A$1:S$65536,19,FALSE)))</f>
        <v>pt 10:30</v>
      </c>
      <c r="J45" s="2" t="str">
        <f>L8</f>
        <v>pojedyncza dziewcząt M</v>
      </c>
      <c r="K45" s="95">
        <f>IF(L7&gt;32,19,"")</f>
        <v>19</v>
      </c>
      <c r="L45" s="207" t="s">
        <v>409</v>
      </c>
      <c r="M45" s="193">
        <f>IF(K45="","",MAX(M9:M44)+1)</f>
        <v>16</v>
      </c>
      <c r="N45" s="198" t="str">
        <f>UPPER(IF(M45="","",IF(ISTEXT(L45),L45,IF(AND(L6&gt;0,M45&gt;0),VLOOKUP(L6&amp;M45&amp;J45,'[1]grup-puch'!I$1:J$65536,2,FALSE),""))))</f>
        <v>X24</v>
      </c>
      <c r="O45" s="199" t="str">
        <f>IF(N45&lt;&gt;"",CONCATENATE(VLOOKUP(N45,[1]zawodnicy!$A$1:$E$65536,2,FALSE)," ",VLOOKUP(N45,[1]zawodnicy!$A$1:$E$65536,3,FALSE)," - ",VLOOKUP(N45,[1]zawodnicy!$A$1:$E$65536,4,FALSE)),"")</f>
        <v>Anna  POLISCHUK - Lwów Ukraina</v>
      </c>
      <c r="P45" s="108">
        <v>19</v>
      </c>
      <c r="Q45" s="205" t="str">
        <f>IF(F45="","",VLOOKUP(F45,[1]zawodnicy!$A$1:$D$65536,3,FALSE))</f>
        <v>POLISCHUK</v>
      </c>
      <c r="R45" s="116"/>
      <c r="S45" s="114"/>
      <c r="T45" s="116"/>
      <c r="U45" s="116"/>
    </row>
    <row r="46" spans="1:21" ht="12.75" x14ac:dyDescent="0.2">
      <c r="K46" s="95">
        <f>IF(L7&gt;53,20,"")</f>
        <v>20</v>
      </c>
      <c r="L46" s="209" t="s">
        <v>176</v>
      </c>
      <c r="M46" s="193">
        <f>IF(K46="","",MAX(M9:M45)+1)</f>
        <v>17</v>
      </c>
      <c r="N46" s="198" t="str">
        <f>UPPER(IF(M46="","",IF(ISTEXT(L46),L46,IF(AND(L6&gt;0,M46&gt;0),VLOOKUP(L6&amp;M46&amp;J45,'[1]grup-puch'!I$1:J$65536,2,FALSE),""))))</f>
        <v>F3777</v>
      </c>
      <c r="O46" s="199" t="str">
        <f>IF(N46&lt;&gt;"",CONCATENATE(VLOOKUP(N46,[1]zawodnicy!$A$1:$E$65536,2,FALSE)," ",VLOOKUP(N46,[1]zawodnicy!$A$1:$E$65536,3,FALSE)," - ",VLOOKUP(N46,[1]zawodnicy!$A$1:$E$65536,4,FALSE)),"")</f>
        <v>Aleksandra FELSKA - UKS Orkan Przeźmierowo</v>
      </c>
      <c r="P46" s="202"/>
      <c r="Q46" s="114" t="str">
        <f>IF(H45="",I45,H45)</f>
        <v>21:9,21:16</v>
      </c>
      <c r="R46" s="116"/>
      <c r="S46" s="114"/>
      <c r="T46" s="116"/>
      <c r="U46" s="116"/>
    </row>
    <row r="47" spans="1:21" ht="12.75" x14ac:dyDescent="0.2">
      <c r="A47" s="118">
        <f>R47</f>
        <v>371</v>
      </c>
      <c r="B47" s="2" t="str">
        <f>F43</f>
        <v>M4748</v>
      </c>
      <c r="D47" s="2" t="str">
        <f>F51</f>
        <v>S4370</v>
      </c>
      <c r="F47" s="2" t="str">
        <f>IF(A47=0,IF(AND(LEN(B47)&gt;0,LEN(D47)=0),B47,IF(AND(LEN(D47)&gt;0,LEN(B47)=0),D47,"")),IF((VLOOKUP(A47,'[1]plan gier'!$X$1:$AF$65536,7,FALSE))="","",VLOOKUP(VLOOKUP(A47,'[1]plan gier'!$X$1:$AF$65536,7,FALSE),[1]zawodnicy!$A$1:$E$65536,1,FALSE)))</f>
        <v>S4370</v>
      </c>
      <c r="H47" s="2" t="str">
        <f>IF(A47=0,"",IF((VLOOKUP(A47,'[1]plan gier'!$X$1:$AF$65536,7,FALSE))="","",VLOOKUP(A47,'[1]plan gier'!$X$1:$AF$65536,9,FALSE)))</f>
        <v>21:11,21:16</v>
      </c>
      <c r="I47" s="2" t="str">
        <f>IF(A47=0,"",IF(VLOOKUP(A47,'[1]plan gier'!A$1:S$65536,19,FALSE)="","",VLOOKUP(A47,'[1]plan gier'!A$1:S$65536,19,FALSE)))</f>
        <v>sob 17:50</v>
      </c>
      <c r="J47" s="2" t="str">
        <f>L8</f>
        <v>pojedyncza dziewcząt M</v>
      </c>
      <c r="L47" s="168"/>
      <c r="M47" s="193" t="str">
        <f>IF(K47="","",MAX(M9:M46)+1)</f>
        <v/>
      </c>
      <c r="N47" s="9"/>
      <c r="O47" s="9"/>
      <c r="P47" s="113"/>
      <c r="Q47" s="114"/>
      <c r="R47" s="206">
        <v>371</v>
      </c>
      <c r="S47" s="200" t="str">
        <f>IF(F47="","",VLOOKUP(F47,[1]zawodnicy!$A$1:$D$65536,3,FALSE))</f>
        <v>SZYMAŃSKA</v>
      </c>
      <c r="T47" s="116"/>
      <c r="U47" s="116"/>
    </row>
    <row r="48" spans="1:21" ht="12.75" x14ac:dyDescent="0.2">
      <c r="L48" s="168"/>
      <c r="M48" s="193" t="str">
        <f>IF(K48="","",MAX(M9:M47)+1)</f>
        <v/>
      </c>
      <c r="N48" s="9"/>
      <c r="O48" s="9"/>
      <c r="P48" s="113"/>
      <c r="Q48" s="114"/>
      <c r="R48" s="116"/>
      <c r="S48" s="203" t="str">
        <f>IF(H47="",I47,H47)</f>
        <v>21:11,21:16</v>
      </c>
      <c r="T48" s="116"/>
      <c r="U48" s="116"/>
    </row>
    <row r="49" spans="1:21" ht="12.75" x14ac:dyDescent="0.2">
      <c r="A49" s="102">
        <f>P49</f>
        <v>20</v>
      </c>
      <c r="B49" s="2" t="str">
        <f>IF(N49="","",N49)</f>
        <v>O4640</v>
      </c>
      <c r="D49" s="2" t="str">
        <f>IF(N50="","",N50)</f>
        <v>S4370</v>
      </c>
      <c r="F49" s="2" t="str">
        <f>IF(A49=0,IF(AND(LEN(B49)&gt;0,LEN(D49)=0),VLOOKUP(B49,[1]zawodnicy!$A$1:$E$65536,1,FALSE),IF(AND(LEN(D49)&gt;0,LEN(B49)=0),VLOOKUP(D49,[1]zawodnicy!$A$1:$E$65536,1,FALSE),"")),IF((VLOOKUP(A49,'[1]plan gier'!$X$1:$AF$65536,7,FALSE))="","",VLOOKUP(VLOOKUP(A49,'[1]plan gier'!$X$1:$AF$65536,7,FALSE),[1]zawodnicy!$A$1:$E$65536,1,FALSE)))</f>
        <v>S4370</v>
      </c>
      <c r="H49" s="2" t="str">
        <f>IF(A49=0,"",IF((VLOOKUP(A49,'[1]plan gier'!$X$1:$AF$65536,7,FALSE))="","",VLOOKUP(A49,'[1]plan gier'!$X$1:$AF$65536,9,FALSE)))</f>
        <v>21:13,21:10</v>
      </c>
      <c r="I49" s="2" t="str">
        <f>IF(A49=0,"",IF(VLOOKUP(A49,'[1]plan gier'!A$1:S$65536,19,FALSE)="","",VLOOKUP(A49,'[1]plan gier'!A$1:S$65536,19,FALSE)))</f>
        <v>pt 10:30</v>
      </c>
      <c r="J49" s="2" t="str">
        <f>L8</f>
        <v>pojedyncza dziewcząt M</v>
      </c>
      <c r="K49" s="95">
        <f>IF(L7&gt;32,21,"")</f>
        <v>21</v>
      </c>
      <c r="L49" s="207" t="s">
        <v>181</v>
      </c>
      <c r="M49" s="193">
        <f>IF(K49="","",MAX(M9:M48)+1)</f>
        <v>18</v>
      </c>
      <c r="N49" s="198" t="str">
        <f>UPPER(IF(M49="","",IF(ISTEXT(L49),L49,IF(AND(L6&gt;0,M49&gt;0),VLOOKUP(L6&amp;M49&amp;J49,'[1]grup-puch'!I$1:J$65536,2,FALSE),""))))</f>
        <v>O4640</v>
      </c>
      <c r="O49" s="199" t="str">
        <f>IF(N49&lt;&gt;"",CONCATENATE(VLOOKUP(N49,[1]zawodnicy!$A$1:$E$65536,2,FALSE)," ",VLOOKUP(N49,[1]zawodnicy!$A$1:$E$65536,3,FALSE)," - ",VLOOKUP(N49,[1]zawodnicy!$A$1:$E$65536,4,FALSE)),"")</f>
        <v>Klaudia OSTROWSKA - MKB Lednik Miastko</v>
      </c>
      <c r="P49" s="108">
        <v>20</v>
      </c>
      <c r="Q49" s="200" t="str">
        <f>IF(F49="","",VLOOKUP(F49,[1]zawodnicy!$A$1:$D$65536,3,FALSE))</f>
        <v>SZYMAŃSKA</v>
      </c>
      <c r="R49" s="116"/>
      <c r="S49" s="116"/>
      <c r="T49" s="116"/>
      <c r="U49" s="116"/>
    </row>
    <row r="50" spans="1:21" ht="12.75" x14ac:dyDescent="0.2">
      <c r="K50" s="95">
        <f>IF(L7&gt;45,22,"")</f>
        <v>22</v>
      </c>
      <c r="L50" s="210" t="s">
        <v>169</v>
      </c>
      <c r="M50" s="193">
        <f>IF(K50="","",MAX(M9:M49)+1)</f>
        <v>19</v>
      </c>
      <c r="N50" s="198" t="str">
        <f>UPPER(IF(M50="","",IF(ISTEXT(L50),L50,IF(AND(L6&gt;0,M50&gt;0),VLOOKUP(L6&amp;M50&amp;J49,'[1]grup-puch'!I$1:J$65536,2,FALSE),""))))</f>
        <v>S4370</v>
      </c>
      <c r="O50" s="199" t="str">
        <f>IF(N50&lt;&gt;"",CONCATENATE(VLOOKUP(N50,[1]zawodnicy!$A$1:$E$65536,2,FALSE)," ",VLOOKUP(N50,[1]zawodnicy!$A$1:$E$65536,3,FALSE)," - ",VLOOKUP(N50,[1]zawodnicy!$A$1:$E$65536,4,FALSE)),"")</f>
        <v>Hanna SZYMAŃSKA - STB Energia Lubliniec</v>
      </c>
      <c r="P50" s="202"/>
      <c r="Q50" s="203" t="str">
        <f>IF(H49="",I49,H49)</f>
        <v>21:13,21:10</v>
      </c>
      <c r="R50" s="116"/>
      <c r="S50" s="116"/>
      <c r="T50" s="116"/>
      <c r="U50" s="116"/>
    </row>
    <row r="51" spans="1:21" ht="12.75" x14ac:dyDescent="0.2">
      <c r="A51" s="111">
        <f>Q51</f>
        <v>322</v>
      </c>
      <c r="B51" s="2" t="str">
        <f>F49</f>
        <v>S4370</v>
      </c>
      <c r="D51" s="2" t="str">
        <f>F53</f>
        <v>X14</v>
      </c>
      <c r="F51" s="2" t="str">
        <f>IF(A51=0,IF(AND(LEN(B51)&gt;0,LEN(D51)=0),B51,IF(AND(LEN(D51)&gt;0,LEN(B51)=0),D51,"")),IF((VLOOKUP(A51,'[1]plan gier'!$X$1:$AF$65536,7,FALSE))="","",VLOOKUP(VLOOKUP(A51,'[1]plan gier'!$X$1:$AF$65536,7,FALSE),[1]zawodnicy!$A$1:$E$65536,1,FALSE)))</f>
        <v>S4370</v>
      </c>
      <c r="H51" s="2" t="str">
        <f>IF(A51=0,"",IF((VLOOKUP(A51,'[1]plan gier'!$X$1:$AF$65536,7,FALSE))="","",VLOOKUP(A51,'[1]plan gier'!$X$1:$AF$65536,9,FALSE)))</f>
        <v>21:12,22:20</v>
      </c>
      <c r="I51" s="2" t="str">
        <f>IF(A51=0,"",IF(VLOOKUP(A51,'[1]plan gier'!A$1:S$65536,19,FALSE)="","",VLOOKUP(A51,'[1]plan gier'!A$1:S$65536,19,FALSE)))</f>
        <v>sob 15:00</v>
      </c>
      <c r="J51" s="2" t="str">
        <f>L8</f>
        <v>pojedyncza dziewcząt M</v>
      </c>
      <c r="L51" s="168"/>
      <c r="M51" s="193" t="str">
        <f>IF(K51="","",MAX(M9:M50)+1)</f>
        <v/>
      </c>
      <c r="N51" s="9"/>
      <c r="O51" s="9"/>
      <c r="P51" s="113"/>
      <c r="Q51" s="115">
        <v>322</v>
      </c>
      <c r="R51" s="205" t="str">
        <f>IF(F51="","",VLOOKUP(F51,[1]zawodnicy!$A$1:$D$65536,3,FALSE))</f>
        <v>SZYMAŃSKA</v>
      </c>
      <c r="S51" s="116"/>
      <c r="T51" s="116"/>
      <c r="U51" s="116"/>
    </row>
    <row r="52" spans="1:21" ht="12.75" x14ac:dyDescent="0.2">
      <c r="L52" s="168"/>
      <c r="M52" s="193" t="str">
        <f>IF(K52="","",MAX(M9:M51)+1)</f>
        <v/>
      </c>
      <c r="N52" s="9"/>
      <c r="O52" s="9"/>
      <c r="P52" s="113"/>
      <c r="Q52" s="116"/>
      <c r="R52" s="114" t="str">
        <f>IF(H51="",I51,H51)</f>
        <v>21:12,22:20</v>
      </c>
      <c r="S52" s="116"/>
      <c r="T52" s="116"/>
      <c r="U52" s="116"/>
    </row>
    <row r="53" spans="1:21" ht="12.75" x14ac:dyDescent="0.2">
      <c r="A53" s="102">
        <f>P53</f>
        <v>4</v>
      </c>
      <c r="B53" s="2" t="str">
        <f>IF(N53="","",N53)</f>
        <v>X14</v>
      </c>
      <c r="D53" s="2" t="str">
        <f>IF(N54="","",N54)</f>
        <v>R4341</v>
      </c>
      <c r="F53" s="2" t="str">
        <f>IF(A53=0,IF(AND(LEN(B53)&gt;0,LEN(D53)=0),VLOOKUP(B53,[1]zawodnicy!$A$1:$E$65536,1,FALSE),IF(AND(LEN(D53)&gt;0,LEN(B53)=0),VLOOKUP(D53,[1]zawodnicy!$A$1:$E$65536,1,FALSE),"")),IF((VLOOKUP(A53,'[1]plan gier'!$X$1:$AF$65536,7,FALSE))="","",VLOOKUP(VLOOKUP(A53,'[1]plan gier'!$X$1:$AF$65536,7,FALSE),[1]zawodnicy!$A$1:$E$65536,1,FALSE)))</f>
        <v>X14</v>
      </c>
      <c r="H53" s="2" t="str">
        <f>IF(A53=0,"",IF((VLOOKUP(A53,'[1]plan gier'!$X$1:$AF$65536,7,FALSE))="","",VLOOKUP(A53,'[1]plan gier'!$X$1:$AF$65536,9,FALSE)))</f>
        <v>21:13,22:20</v>
      </c>
      <c r="I53" s="2" t="str">
        <f>IF(A53=0,"",IF(VLOOKUP(A53,'[1]plan gier'!A$1:S$65536,19,FALSE)="","",VLOOKUP(A53,'[1]plan gier'!A$1:S$65536,19,FALSE)))</f>
        <v>pt 9:00</v>
      </c>
      <c r="J53" s="2" t="str">
        <f>L8</f>
        <v>pojedyncza dziewcząt M</v>
      </c>
      <c r="K53" s="95">
        <f>IF(L7&gt;32,23,"")</f>
        <v>23</v>
      </c>
      <c r="L53" s="207" t="s">
        <v>275</v>
      </c>
      <c r="M53" s="193">
        <f>IF(K53="","",MAX(M9:M52)+1)</f>
        <v>20</v>
      </c>
      <c r="N53" s="198" t="str">
        <f>UPPER(IF(M53="","",IF(ISTEXT(L53),L53,IF(AND(L6&gt;0,M53&gt;0),VLOOKUP(L6&amp;M53&amp;J53,'[1]grup-puch'!I$1:J$65536,2,FALSE),""))))</f>
        <v>X14</v>
      </c>
      <c r="O53" s="199" t="str">
        <f>IF(N53&lt;&gt;"",CONCATENATE(VLOOKUP(N53,[1]zawodnicy!$A$1:$E$65536,2,FALSE)," ",VLOOKUP(N53,[1]zawodnicy!$A$1:$E$65536,3,FALSE)," - ",VLOOKUP(N53,[1]zawodnicy!$A$1:$E$65536,4,FALSE)),"")</f>
        <v>Yana  ZDROK - Mińsk Białoruś</v>
      </c>
      <c r="P53" s="108">
        <v>4</v>
      </c>
      <c r="Q53" s="205" t="str">
        <f>IF(F53="","",VLOOKUP(F53,[1]zawodnicy!$A$1:$D$65536,3,FALSE))</f>
        <v>ZDROK</v>
      </c>
      <c r="R53" s="114"/>
      <c r="S53" s="116"/>
      <c r="T53" s="116"/>
      <c r="U53" s="116"/>
    </row>
    <row r="54" spans="1:21" ht="12.75" x14ac:dyDescent="0.2">
      <c r="K54" s="95">
        <f>IF(L7&gt;37,24,"")</f>
        <v>24</v>
      </c>
      <c r="L54" s="204" t="s">
        <v>201</v>
      </c>
      <c r="M54" s="193">
        <f>IF(K54="","",MAX(M9:M53)+1)</f>
        <v>21</v>
      </c>
      <c r="N54" s="198" t="str">
        <f>UPPER(IF(M54="","",IF(ISTEXT(L54),L54,IF(AND(L6&gt;0,M54&gt;0),VLOOKUP(L6&amp;M54&amp;J53,'[1]grup-puch'!I$1:J$65536,2,FALSE),""))))</f>
        <v>R4341</v>
      </c>
      <c r="O54" s="199" t="str">
        <f>IF(N54&lt;&gt;"",CONCATENATE(VLOOKUP(N54,[1]zawodnicy!$A$1:$E$65536,2,FALSE)," ",VLOOKUP(N54,[1]zawodnicy!$A$1:$E$65536,3,FALSE)," - ",VLOOKUP(N54,[1]zawodnicy!$A$1:$E$65536,4,FALSE)),"")</f>
        <v>Małgorzata ROGUT - MLKS Solec Kuj.</v>
      </c>
      <c r="P54" s="202"/>
      <c r="Q54" s="114" t="str">
        <f>IF(H53="",I53,H53)</f>
        <v>21:13,22:20</v>
      </c>
      <c r="R54" s="114"/>
      <c r="S54" s="116"/>
      <c r="T54" s="116"/>
      <c r="U54" s="116"/>
    </row>
    <row r="55" spans="1:21" ht="12.75" x14ac:dyDescent="0.2">
      <c r="A55" s="172">
        <f>S55</f>
        <v>430</v>
      </c>
      <c r="B55" s="2" t="str">
        <f>F47</f>
        <v>S4370</v>
      </c>
      <c r="D55" s="2" t="str">
        <f>F63</f>
        <v>M3746</v>
      </c>
      <c r="F55" s="2" t="str">
        <f>IF(A55=0,IF(AND(LEN(B55)&gt;0,LEN(D55)=0),B55,IF(AND(LEN(D55)&gt;0,LEN(B55)=0),D55,"")),IF((VLOOKUP(A55,'[1]plan gier'!$X$1:$AF$65536,7,FALSE))="","",VLOOKUP(VLOOKUP(A55,'[1]plan gier'!$X$1:$AF$65536,7,FALSE),[1]zawodnicy!$A$1:$E$65536,1,FALSE)))</f>
        <v>S4370</v>
      </c>
      <c r="H55" s="2" t="str">
        <f>IF(A55=0,"",IF((VLOOKUP(A55,'[1]plan gier'!$X$1:$AF$65536,7,FALSE))="","",VLOOKUP(A55,'[1]plan gier'!$X$1:$AF$65536,9,FALSE)))</f>
        <v>21:18,21:7</v>
      </c>
      <c r="I55" s="2" t="str">
        <f>IF(A55=0,"",IF(VLOOKUP(A55,'[1]plan gier'!A$1:S$65536,19,FALSE)="","",VLOOKUP(A55,'[1]plan gier'!A$1:S$65536,19,FALSE)))</f>
        <v>nie 10:00</v>
      </c>
      <c r="J55" s="2" t="str">
        <f>L8</f>
        <v>pojedyncza dziewcząt M</v>
      </c>
      <c r="L55" s="168"/>
      <c r="M55" s="193" t="str">
        <f>IF(K55="","",MAX(M9:M54)+1)</f>
        <v/>
      </c>
      <c r="N55" s="9"/>
      <c r="O55" s="9"/>
      <c r="P55" s="113"/>
      <c r="Q55" s="114"/>
      <c r="R55" s="114"/>
      <c r="S55" s="115">
        <v>430</v>
      </c>
      <c r="T55" s="205" t="str">
        <f>IF(F55="","",VLOOKUP(F55,[1]zawodnicy!$A$1:$D$65536,3,FALSE))</f>
        <v>SZYMAŃSKA</v>
      </c>
      <c r="U55" s="116"/>
    </row>
    <row r="56" spans="1:21" ht="12.75" x14ac:dyDescent="0.2">
      <c r="L56" s="168"/>
      <c r="M56" s="193" t="str">
        <f>IF(K56="","",MAX(M9:M55)+1)</f>
        <v/>
      </c>
      <c r="N56" s="9"/>
      <c r="O56" s="9"/>
      <c r="P56" s="113"/>
      <c r="Q56" s="114"/>
      <c r="R56" s="114"/>
      <c r="S56" s="116"/>
      <c r="T56" s="114" t="str">
        <f>IF(H55="",I55,H55)</f>
        <v>21:18,21:7</v>
      </c>
      <c r="U56" s="116"/>
    </row>
    <row r="57" spans="1:21" ht="12.75" x14ac:dyDescent="0.2">
      <c r="A57" s="102">
        <f>P57</f>
        <v>5</v>
      </c>
      <c r="B57" s="2" t="str">
        <f>IF(N57="","",N57)</f>
        <v>M3746</v>
      </c>
      <c r="D57" s="2" t="str">
        <f>IF(N58="","",N58)</f>
        <v>G4142</v>
      </c>
      <c r="F57" s="2" t="str">
        <f>IF(A57=0,IF(AND(LEN(B57)&gt;0,LEN(D57)=0),VLOOKUP(B57,[1]zawodnicy!$A$1:$E$65536,1,FALSE),IF(AND(LEN(D57)&gt;0,LEN(B57)=0),VLOOKUP(D57,[1]zawodnicy!$A$1:$E$65536,1,FALSE),"")),IF((VLOOKUP(A57,'[1]plan gier'!$X$1:$AF$65536,7,FALSE))="","",VLOOKUP(VLOOKUP(A57,'[1]plan gier'!$X$1:$AF$65536,7,FALSE),[1]zawodnicy!$A$1:$E$65536,1,FALSE)))</f>
        <v>M3746</v>
      </c>
      <c r="H57" s="2" t="str">
        <f>IF(A57=0,"",IF((VLOOKUP(A57,'[1]plan gier'!$X$1:$AF$65536,7,FALSE))="","",VLOOKUP(A57,'[1]plan gier'!$X$1:$AF$65536,9,FALSE)))</f>
        <v>21:9,21:11</v>
      </c>
      <c r="I57" s="2" t="str">
        <f>IF(A57=0,"",IF(VLOOKUP(A57,'[1]plan gier'!A$1:S$65536,19,FALSE)="","",VLOOKUP(A57,'[1]plan gier'!A$1:S$65536,19,FALSE)))</f>
        <v>pt 9:00</v>
      </c>
      <c r="J57" s="2" t="str">
        <f>L8</f>
        <v>pojedyncza dziewcząt M</v>
      </c>
      <c r="K57" s="95">
        <f>IF(L7&gt;32,25,"")</f>
        <v>25</v>
      </c>
      <c r="L57" s="204" t="s">
        <v>197</v>
      </c>
      <c r="M57" s="193">
        <f>IF(K57="","",MAX(M9:M56)+1)</f>
        <v>22</v>
      </c>
      <c r="N57" s="198" t="str">
        <f>UPPER(IF(M57="","",IF(ISTEXT(L57),L57,IF(AND(L6&gt;0,M57&gt;0),VLOOKUP(L6&amp;M57&amp;J57,'[1]grup-puch'!I$1:J$65536,2,FALSE),""))))</f>
        <v>M3746</v>
      </c>
      <c r="O57" s="199" t="str">
        <f>IF(N57&lt;&gt;"",CONCATENATE(VLOOKUP(N57,[1]zawodnicy!$A$1:$E$65536,2,FALSE)," ",VLOOKUP(N57,[1]zawodnicy!$A$1:$E$65536,3,FALSE)," - ",VLOOKUP(N57,[1]zawodnicy!$A$1:$E$65536,4,FALSE)),"")</f>
        <v>Dorota MATYSIAK - KS Hubertus Zalesie Górne</v>
      </c>
      <c r="P57" s="108">
        <v>5</v>
      </c>
      <c r="Q57" s="200" t="str">
        <f>IF(F57="","",VLOOKUP(F57,[1]zawodnicy!$A$1:$D$65536,3,FALSE))</f>
        <v>MATYSIAK</v>
      </c>
      <c r="R57" s="114"/>
      <c r="S57" s="116"/>
      <c r="T57" s="114"/>
      <c r="U57" s="116"/>
    </row>
    <row r="58" spans="1:21" ht="12.75" x14ac:dyDescent="0.2">
      <c r="K58" s="95">
        <f>IF(L7&gt;57,26,"")</f>
        <v>26</v>
      </c>
      <c r="L58" s="204" t="s">
        <v>184</v>
      </c>
      <c r="M58" s="193">
        <f>IF(K58="","",MAX(M9:M57)+1)</f>
        <v>23</v>
      </c>
      <c r="N58" s="198" t="str">
        <f>UPPER(IF(M58="","",IF(ISTEXT(L58),L58,IF(AND(L6&gt;0,M58&gt;0),VLOOKUP(L6&amp;M58&amp;J57,'[1]grup-puch'!I$1:J$65536,2,FALSE),""))))</f>
        <v>G4142</v>
      </c>
      <c r="O58" s="199" t="str">
        <f>IF(N58&lt;&gt;"",CONCATENATE(VLOOKUP(N58,[1]zawodnicy!$A$1:$E$65536,2,FALSE)," ",VLOOKUP(N58,[1]zawodnicy!$A$1:$E$65536,3,FALSE)," - ",VLOOKUP(N58,[1]zawodnicy!$A$1:$E$65536,4,FALSE)),"")</f>
        <v>Agnieszka GRZEMPA - UKS Lotka Lubiewo</v>
      </c>
      <c r="P58" s="202"/>
      <c r="Q58" s="203" t="str">
        <f>IF(H57="",I57,H57)</f>
        <v>21:9,21:11</v>
      </c>
      <c r="R58" s="114"/>
      <c r="S58" s="116"/>
      <c r="T58" s="114"/>
      <c r="U58" s="116"/>
    </row>
    <row r="59" spans="1:21" ht="12.75" x14ac:dyDescent="0.2">
      <c r="A59" s="111">
        <f>Q59</f>
        <v>323</v>
      </c>
      <c r="B59" s="2" t="str">
        <f>F57</f>
        <v>M3746</v>
      </c>
      <c r="D59" s="2" t="str">
        <f>F61</f>
        <v>D4724</v>
      </c>
      <c r="F59" s="2" t="str">
        <f>IF(A59=0,IF(AND(LEN(B59)&gt;0,LEN(D59)=0),B59,IF(AND(LEN(D59)&gt;0,LEN(B59)=0),D59,"")),IF((VLOOKUP(A59,'[1]plan gier'!$X$1:$AF$65536,7,FALSE))="","",VLOOKUP(VLOOKUP(A59,'[1]plan gier'!$X$1:$AF$65536,7,FALSE),[1]zawodnicy!$A$1:$E$65536,1,FALSE)))</f>
        <v>M3746</v>
      </c>
      <c r="H59" s="2" t="str">
        <f>IF(A59=0,"",IF((VLOOKUP(A59,'[1]plan gier'!$X$1:$AF$65536,7,FALSE))="","",VLOOKUP(A59,'[1]plan gier'!$X$1:$AF$65536,9,FALSE)))</f>
        <v>22:20,21:7</v>
      </c>
      <c r="I59" s="2" t="str">
        <f>IF(A59=0,"",IF(VLOOKUP(A59,'[1]plan gier'!A$1:S$65536,19,FALSE)="","",VLOOKUP(A59,'[1]plan gier'!A$1:S$65536,19,FALSE)))</f>
        <v>sob 15:20</v>
      </c>
      <c r="J59" s="2" t="str">
        <f>L8</f>
        <v>pojedyncza dziewcząt M</v>
      </c>
      <c r="L59" s="168"/>
      <c r="M59" s="193" t="str">
        <f>IF(K59="","",MAX(M9:M58)+1)</f>
        <v/>
      </c>
      <c r="N59" s="9"/>
      <c r="O59" s="9"/>
      <c r="P59" s="113"/>
      <c r="Q59" s="115">
        <v>323</v>
      </c>
      <c r="R59" s="200" t="str">
        <f>IF(F59="","",VLOOKUP(F59,[1]zawodnicy!$A$1:$D$65536,3,FALSE))</f>
        <v>MATYSIAK</v>
      </c>
      <c r="S59" s="116"/>
      <c r="T59" s="114"/>
      <c r="U59" s="116"/>
    </row>
    <row r="60" spans="1:21" ht="12.75" x14ac:dyDescent="0.2">
      <c r="L60" s="168"/>
      <c r="M60" s="193" t="str">
        <f>IF(K60="","",MAX(M9:M59)+1)</f>
        <v/>
      </c>
      <c r="N60" s="9"/>
      <c r="O60" s="9"/>
      <c r="P60" s="113"/>
      <c r="Q60" s="116"/>
      <c r="R60" s="203" t="str">
        <f>IF(H59="",I59,H59)</f>
        <v>22:20,21:7</v>
      </c>
      <c r="S60" s="116"/>
      <c r="T60" s="114"/>
      <c r="U60" s="116"/>
    </row>
    <row r="61" spans="1:21" ht="12.75" x14ac:dyDescent="0.2">
      <c r="A61" s="102">
        <f>P61</f>
        <v>6</v>
      </c>
      <c r="B61" s="2" t="str">
        <f>IF(N61="","",N61)</f>
        <v>T4823</v>
      </c>
      <c r="D61" s="2" t="str">
        <f>IF(N62="","",N62)</f>
        <v>D4724</v>
      </c>
      <c r="F61" s="2" t="str">
        <f>IF(A61=0,IF(AND(LEN(B61)&gt;0,LEN(D61)=0),VLOOKUP(B61,[1]zawodnicy!$A$1:$E$65536,1,FALSE),IF(AND(LEN(D61)&gt;0,LEN(B61)=0),VLOOKUP(D61,[1]zawodnicy!$A$1:$E$65536,1,FALSE),"")),IF((VLOOKUP(A61,'[1]plan gier'!$X$1:$AF$65536,7,FALSE))="","",VLOOKUP(VLOOKUP(A61,'[1]plan gier'!$X$1:$AF$65536,7,FALSE),[1]zawodnicy!$A$1:$E$65536,1,FALSE)))</f>
        <v>D4724</v>
      </c>
      <c r="H61" s="2" t="str">
        <f>IF(A61=0,"",IF((VLOOKUP(A61,'[1]plan gier'!$X$1:$AF$65536,7,FALSE))="","",VLOOKUP(A61,'[1]plan gier'!$X$1:$AF$65536,9,FALSE)))</f>
        <v>21:8,19:21,21:18</v>
      </c>
      <c r="I61" s="2" t="str">
        <f>IF(A61=0,"",IF(VLOOKUP(A61,'[1]plan gier'!A$1:S$65536,19,FALSE)="","",VLOOKUP(A61,'[1]plan gier'!A$1:S$65536,19,FALSE)))</f>
        <v>pt 9:00</v>
      </c>
      <c r="J61" s="2" t="str">
        <f>L8</f>
        <v>pojedyncza dziewcząt M</v>
      </c>
      <c r="K61" s="95">
        <f>IF(L7&gt;32,27,"")</f>
        <v>27</v>
      </c>
      <c r="L61" s="204" t="s">
        <v>410</v>
      </c>
      <c r="M61" s="193">
        <f>IF(K61="","",MAX(M9:M60)+1)</f>
        <v>24</v>
      </c>
      <c r="N61" s="198" t="str">
        <f>UPPER(IF(M61="","",IF(ISTEXT(L61),L61,IF(AND(L6&gt;0,M61&gt;0),VLOOKUP(L6&amp;M61&amp;J61,'[1]grup-puch'!I$1:J$65536,2,FALSE),""))))</f>
        <v>T4823</v>
      </c>
      <c r="O61" s="199" t="str">
        <f>IF(N61&lt;&gt;"",CONCATENATE(VLOOKUP(N61,[1]zawodnicy!$A$1:$E$65536,2,FALSE)," ",VLOOKUP(N61,[1]zawodnicy!$A$1:$E$65536,3,FALSE)," - ",VLOOKUP(N61,[1]zawodnicy!$A$1:$E$65536,4,FALSE)),"")</f>
        <v>Sandra TATARELIS - UKS Kiko Zamość</v>
      </c>
      <c r="P61" s="108">
        <v>6</v>
      </c>
      <c r="Q61" s="205" t="str">
        <f>IF(F61="","",VLOOKUP(F61,[1]zawodnicy!$A$1:$D$65536,3,FALSE))</f>
        <v>DZIKI</v>
      </c>
      <c r="R61" s="116"/>
      <c r="S61" s="116"/>
      <c r="T61" s="114"/>
      <c r="U61" s="116"/>
    </row>
    <row r="62" spans="1:21" ht="12.75" x14ac:dyDescent="0.2">
      <c r="K62" s="95">
        <f>IF(L7&gt;49,28,"")</f>
        <v>28</v>
      </c>
      <c r="L62" s="204" t="s">
        <v>202</v>
      </c>
      <c r="M62" s="193">
        <f>IF(K62="","",MAX(M9:M61)+1)</f>
        <v>25</v>
      </c>
      <c r="N62" s="198" t="str">
        <f>UPPER(IF(M62="","",IF(ISTEXT(L62),L62,IF(AND(L6&gt;0,M62&gt;0),VLOOKUP(L6&amp;M62&amp;J61,'[1]grup-puch'!I$1:J$65536,2,FALSE),""))))</f>
        <v>D4724</v>
      </c>
      <c r="O62" s="199" t="str">
        <f>IF(N62&lt;&gt;"",CONCATENATE(VLOOKUP(N62,[1]zawodnicy!$A$1:$E$65536,2,FALSE)," ",VLOOKUP(N62,[1]zawodnicy!$A$1:$E$65536,3,FALSE)," - ",VLOOKUP(N62,[1]zawodnicy!$A$1:$E$65536,4,FALSE)),"")</f>
        <v>Wiktoria DZIKI - LKS Technik Głubczyce</v>
      </c>
      <c r="P62" s="202"/>
      <c r="Q62" s="114" t="str">
        <f>IF(H61="",I61,H61)</f>
        <v>21:8,19:21,21:18</v>
      </c>
      <c r="R62" s="116"/>
      <c r="S62" s="116"/>
      <c r="T62" s="114"/>
      <c r="U62" s="116"/>
    </row>
    <row r="63" spans="1:21" ht="12.75" x14ac:dyDescent="0.2">
      <c r="A63" s="118">
        <f>R63</f>
        <v>372</v>
      </c>
      <c r="B63" s="2" t="str">
        <f>F59</f>
        <v>M3746</v>
      </c>
      <c r="D63" s="2" t="str">
        <f>F67</f>
        <v>G4680</v>
      </c>
      <c r="F63" s="2" t="str">
        <f>IF(A63=0,IF(AND(LEN(B63)&gt;0,LEN(D63)=0),B63,IF(AND(LEN(D63)&gt;0,LEN(B63)=0),D63,"")),IF((VLOOKUP(A63,'[1]plan gier'!$X$1:$AF$65536,7,FALSE))="","",VLOOKUP(VLOOKUP(A63,'[1]plan gier'!$X$1:$AF$65536,7,FALSE),[1]zawodnicy!$A$1:$E$65536,1,FALSE)))</f>
        <v>M3746</v>
      </c>
      <c r="H63" s="2" t="str">
        <f>IF(A63=0,"",IF((VLOOKUP(A63,'[1]plan gier'!$X$1:$AF$65536,7,FALSE))="","",VLOOKUP(A63,'[1]plan gier'!$X$1:$AF$65536,9,FALSE)))</f>
        <v>22:20,21:13</v>
      </c>
      <c r="I63" s="2" t="str">
        <f>IF(A63=0,"",IF(VLOOKUP(A63,'[1]plan gier'!A$1:S$65536,19,FALSE)="","",VLOOKUP(A63,'[1]plan gier'!A$1:S$65536,19,FALSE)))</f>
        <v>sob 17:50</v>
      </c>
      <c r="J63" s="2" t="str">
        <f>L8</f>
        <v>pojedyncza dziewcząt M</v>
      </c>
      <c r="L63" s="168"/>
      <c r="M63" s="193" t="str">
        <f>IF(K63="","",MAX(M9:M62)+1)</f>
        <v/>
      </c>
      <c r="N63" s="9"/>
      <c r="O63" s="9"/>
      <c r="P63" s="113"/>
      <c r="Q63" s="114"/>
      <c r="R63" s="206">
        <v>372</v>
      </c>
      <c r="S63" s="205" t="str">
        <f>IF(F63="","",VLOOKUP(F63,[1]zawodnicy!$A$1:$D$65536,3,FALSE))</f>
        <v>MATYSIAK</v>
      </c>
      <c r="T63" s="114"/>
      <c r="U63" s="116"/>
    </row>
    <row r="64" spans="1:21" ht="12.75" x14ac:dyDescent="0.2">
      <c r="L64" s="168"/>
      <c r="M64" s="193" t="str">
        <f>IF(K64="","",MAX(M9:M63)+1)</f>
        <v/>
      </c>
      <c r="N64" s="9"/>
      <c r="O64" s="9"/>
      <c r="P64" s="113"/>
      <c r="Q64" s="114"/>
      <c r="R64" s="116"/>
      <c r="S64" s="114" t="str">
        <f>IF(H63="",I63,H63)</f>
        <v>22:20,21:13</v>
      </c>
      <c r="T64" s="114"/>
      <c r="U64" s="116"/>
    </row>
    <row r="65" spans="1:21" ht="12.75" x14ac:dyDescent="0.2">
      <c r="A65" s="102">
        <f>P65</f>
        <v>21</v>
      </c>
      <c r="B65" s="2" t="str">
        <f>IF(N65="","",N65)</f>
        <v>X01</v>
      </c>
      <c r="D65" s="2" t="str">
        <f>IF(N66="","",N66)</f>
        <v>S5361</v>
      </c>
      <c r="F65" s="2" t="str">
        <f>IF(A65=0,IF(AND(LEN(B65)&gt;0,LEN(D65)=0),VLOOKUP(B65,[1]zawodnicy!$A$1:$E$65536,1,FALSE),IF(AND(LEN(D65)&gt;0,LEN(B65)=0),VLOOKUP(D65,[1]zawodnicy!$A$1:$E$65536,1,FALSE),"")),IF((VLOOKUP(A65,'[1]plan gier'!$X$1:$AF$65536,7,FALSE))="","",VLOOKUP(VLOOKUP(A65,'[1]plan gier'!$X$1:$AF$65536,7,FALSE),[1]zawodnicy!$A$1:$E$65536,1,FALSE)))</f>
        <v>X01</v>
      </c>
      <c r="H65" s="2" t="str">
        <f>IF(A65=0,"",IF((VLOOKUP(A65,'[1]plan gier'!$X$1:$AF$65536,7,FALSE))="","",VLOOKUP(A65,'[1]plan gier'!$X$1:$AF$65536,9,FALSE)))</f>
        <v>21:17,16:21,21:11</v>
      </c>
      <c r="I65" s="2" t="str">
        <f>IF(A65=0,"",IF(VLOOKUP(A65,'[1]plan gier'!A$1:S$65536,19,FALSE)="","",VLOOKUP(A65,'[1]plan gier'!A$1:S$65536,19,FALSE)))</f>
        <v>pt 10:30</v>
      </c>
      <c r="J65" s="2" t="str">
        <f>L8</f>
        <v>pojedyncza dziewcząt M</v>
      </c>
      <c r="K65" s="95">
        <f>IF(L7&gt;32,29,"")</f>
        <v>29</v>
      </c>
      <c r="L65" s="187" t="s">
        <v>195</v>
      </c>
      <c r="M65" s="193">
        <f>IF(K65="","",MAX(M9:M64)+1)</f>
        <v>26</v>
      </c>
      <c r="N65" s="198" t="str">
        <f>UPPER(IF(M65="","",IF(ISTEXT(L65),L65,IF(AND(L6&gt;0,M65&gt;0),VLOOKUP(L6&amp;M65&amp;J65,'[1]grup-puch'!I$1:J$65536,2,FALSE),""))))</f>
        <v>X01</v>
      </c>
      <c r="O65" s="199" t="str">
        <f>IF(N65&lt;&gt;"",CONCATENATE(VLOOKUP(N65,[1]zawodnicy!$A$1:$E$65536,2,FALSE)," ",VLOOKUP(N65,[1]zawodnicy!$A$1:$E$65536,3,FALSE)," - ",VLOOKUP(N65,[1]zawodnicy!$A$1:$E$65536,4,FALSE)),"")</f>
        <v>Sofija ORLOVAITE - Litwa</v>
      </c>
      <c r="P65" s="108">
        <v>21</v>
      </c>
      <c r="Q65" s="200" t="str">
        <f>IF(F65="","",VLOOKUP(F65,[1]zawodnicy!$A$1:$D$65536,3,FALSE))</f>
        <v>ORLOVAITE</v>
      </c>
      <c r="R65" s="116"/>
      <c r="S65" s="114"/>
      <c r="T65" s="114"/>
      <c r="U65" s="116"/>
    </row>
    <row r="66" spans="1:21" ht="12.75" x14ac:dyDescent="0.2">
      <c r="A66" s="211">
        <f>T66</f>
        <v>450</v>
      </c>
      <c r="B66" s="2" t="str">
        <f>F39</f>
        <v>D3427</v>
      </c>
      <c r="D66" s="2" t="str">
        <f>F105</f>
        <v>A4292</v>
      </c>
      <c r="F66" s="2" t="str">
        <f>IF(A66=0,IF(AND(LEN(B66)&gt;0,LEN(D66)=0),B66,IF(AND(LEN(D66)&gt;0,LEN(B66)=0),D66,"")),IF((VLOOKUP(A66,'[1]plan gier'!$X$1:$AF$65536,7,FALSE))="","",VLOOKUP(VLOOKUP(A66,'[1]plan gier'!$X$1:$AF$65536,7,FALSE),[1]zawodnicy!$A$1:$E$65536,1,FALSE)))</f>
        <v>D3427</v>
      </c>
      <c r="H66" s="2" t="str">
        <f>IF(A66=0,"",IF((VLOOKUP(A66,'[1]plan gier'!$X$1:$AF$65536,7,FALSE))="","",VLOOKUP(A66,'[1]plan gier'!$X$1:$AF$65536,9,FALSE)))</f>
        <v>21:17,7:21,21:11</v>
      </c>
      <c r="I66" s="2" t="str">
        <f>IF(A66=0,"",IF(VLOOKUP(A66,'[1]plan gier'!A$1:S$65536,19,FALSE)="","",VLOOKUP(A66,'[1]plan gier'!A$1:S$65536,19,FALSE)))</f>
        <v>nie 13:00</v>
      </c>
      <c r="J66" s="2" t="str">
        <f>L8</f>
        <v>pojedyncza dziewcząt M</v>
      </c>
      <c r="K66" s="95">
        <f>IF(L7&gt;41,30,"")</f>
        <v>30</v>
      </c>
      <c r="L66" s="207" t="s">
        <v>211</v>
      </c>
      <c r="M66" s="193">
        <f>IF(K66="","",MAX(M9:M65)+1)</f>
        <v>27</v>
      </c>
      <c r="N66" s="198" t="str">
        <f>UPPER(IF(M66="","",IF(ISTEXT(L66),L66,IF(AND(L6&gt;0,M66&gt;0),VLOOKUP(L6&amp;M66&amp;J65,'[1]grup-puch'!I$1:J$65536,2,FALSE),""))))</f>
        <v>S5361</v>
      </c>
      <c r="O66" s="199" t="str">
        <f>IF(N66&lt;&gt;"",CONCATENATE(VLOOKUP(N66,[1]zawodnicy!$A$1:$E$65536,2,FALSE)," ",VLOOKUP(N66,[1]zawodnicy!$A$1:$E$65536,3,FALSE)," - ",VLOOKUP(N66,[1]zawodnicy!$A$1:$E$65536,4,FALSE)),"")</f>
        <v>Hanna SZEJN - KSR Wolant Łódź</v>
      </c>
      <c r="P66" s="202"/>
      <c r="Q66" s="203" t="str">
        <f>IF(H65="",I65,H65)</f>
        <v>21:17,16:21,21:11</v>
      </c>
      <c r="R66" s="116"/>
      <c r="S66" s="114"/>
      <c r="T66" s="137">
        <v>450</v>
      </c>
      <c r="U66" s="212" t="str">
        <f>IF(F66="","",VLOOKUP(F66,[1]zawodnicy!$A$1:$D$65536,3,FALSE))</f>
        <v>DĄBCZYŃSKA</v>
      </c>
    </row>
    <row r="67" spans="1:21" ht="12.75" x14ac:dyDescent="0.2">
      <c r="A67" s="111">
        <f>Q67</f>
        <v>324</v>
      </c>
      <c r="B67" s="2" t="str">
        <f>F65</f>
        <v>X01</v>
      </c>
      <c r="D67" s="2" t="str">
        <f>F69</f>
        <v>G4680</v>
      </c>
      <c r="F67" s="2" t="str">
        <f>IF(A67=0,IF(AND(LEN(B67)&gt;0,LEN(D67)=0),B67,IF(AND(LEN(D67)&gt;0,LEN(B67)=0),D67,"")),IF((VLOOKUP(A67,'[1]plan gier'!$X$1:$AF$65536,7,FALSE))="","",VLOOKUP(VLOOKUP(A67,'[1]plan gier'!$X$1:$AF$65536,7,FALSE),[1]zawodnicy!$A$1:$E$65536,1,FALSE)))</f>
        <v>G4680</v>
      </c>
      <c r="H67" s="2" t="str">
        <f>IF(A67=0,"",IF((VLOOKUP(A67,'[1]plan gier'!$X$1:$AF$65536,7,FALSE))="","",VLOOKUP(A67,'[1]plan gier'!$X$1:$AF$65536,9,FALSE)))</f>
        <v>21:12,21:7</v>
      </c>
      <c r="I67" s="2" t="str">
        <f>IF(A67=0,"",IF(VLOOKUP(A67,'[1]plan gier'!A$1:S$65536,19,FALSE)="","",VLOOKUP(A67,'[1]plan gier'!A$1:S$65536,19,FALSE)))</f>
        <v>sob 15:20</v>
      </c>
      <c r="J67" s="2" t="str">
        <f>L8</f>
        <v>pojedyncza dziewcząt M</v>
      </c>
      <c r="L67" s="168"/>
      <c r="M67" s="193" t="str">
        <f>IF(K67="","",MAX(M9:M66)+1)</f>
        <v/>
      </c>
      <c r="N67" s="9"/>
      <c r="O67" s="9"/>
      <c r="P67" s="113"/>
      <c r="Q67" s="115">
        <v>324</v>
      </c>
      <c r="R67" s="205" t="str">
        <f>IF(F67="","",VLOOKUP(F67,[1]zawodnicy!$A$1:$D$65536,3,FALSE))</f>
        <v>GADOMSKA</v>
      </c>
      <c r="S67" s="2"/>
      <c r="T67" s="2"/>
      <c r="U67" s="213" t="str">
        <f>IF(H66="",I66,H66)</f>
        <v>21:17,7:21,21:11</v>
      </c>
    </row>
    <row r="68" spans="1:21" ht="12.75" x14ac:dyDescent="0.2">
      <c r="L68" s="168"/>
      <c r="M68" s="193" t="str">
        <f>IF(K68="","",MAX(M9:M67)+1)</f>
        <v/>
      </c>
      <c r="N68" s="9"/>
      <c r="O68" s="9"/>
      <c r="P68" s="113"/>
      <c r="Q68" s="116"/>
      <c r="R68" s="114" t="str">
        <f>IF(H67="",I67,H67)</f>
        <v>21:12,21:7</v>
      </c>
      <c r="S68" s="114"/>
      <c r="T68" s="114"/>
      <c r="U68" s="116"/>
    </row>
    <row r="69" spans="1:21" ht="12.75" x14ac:dyDescent="0.2">
      <c r="A69" s="102">
        <f>P69</f>
        <v>22</v>
      </c>
      <c r="B69" s="2" t="str">
        <f>IF(N69="","",N69)</f>
        <v>M4285</v>
      </c>
      <c r="D69" s="2" t="str">
        <f>IF(N70="","",N70)</f>
        <v>G4680</v>
      </c>
      <c r="F69" s="2" t="str">
        <f>IF(A69=0,IF(AND(LEN(B69)&gt;0,LEN(D69)=0),VLOOKUP(B69,[1]zawodnicy!$A$1:$E$65536,1,FALSE),IF(AND(LEN(D69)&gt;0,LEN(B69)=0),VLOOKUP(D69,[1]zawodnicy!$A$1:$E$65536,1,FALSE),"")),IF((VLOOKUP(A69,'[1]plan gier'!$X$1:$AF$65536,7,FALSE))="","",VLOOKUP(VLOOKUP(A69,'[1]plan gier'!$X$1:$AF$65536,7,FALSE),[1]zawodnicy!$A$1:$E$65536,1,FALSE)))</f>
        <v>G4680</v>
      </c>
      <c r="H69" s="2" t="str">
        <f>IF(A69=0,"",IF((VLOOKUP(A69,'[1]plan gier'!$X$1:$AF$65536,7,FALSE))="","",VLOOKUP(A69,'[1]plan gier'!$X$1:$AF$65536,9,FALSE)))</f>
        <v>21:13,21:11</v>
      </c>
      <c r="I69" s="2" t="str">
        <f>IF(A69=0,"",IF(VLOOKUP(A69,'[1]plan gier'!A$1:S$65536,19,FALSE)="","",VLOOKUP(A69,'[1]plan gier'!A$1:S$65536,19,FALSE)))</f>
        <v>pt 10:30</v>
      </c>
      <c r="J69" s="2" t="str">
        <f>L8</f>
        <v>pojedyncza dziewcząt M</v>
      </c>
      <c r="K69" s="95">
        <f>IF(L7&gt;32,31,"")</f>
        <v>31</v>
      </c>
      <c r="L69" s="204" t="s">
        <v>198</v>
      </c>
      <c r="M69" s="193">
        <f>IF(K69="","",MAX(M9:M68)+1)</f>
        <v>28</v>
      </c>
      <c r="N69" s="198" t="str">
        <f>UPPER(IF(M69="","",IF(ISTEXT(L69),L69,IF(AND(L6&gt;0,M69&gt;0),VLOOKUP(L6&amp;M69&amp;J69,'[1]grup-puch'!I$1:J$65536,2,FALSE),""))))</f>
        <v>M4285</v>
      </c>
      <c r="O69" s="199" t="str">
        <f>IF(N69&lt;&gt;"",CONCATENATE(VLOOKUP(N69,[1]zawodnicy!$A$1:$E$65536,2,FALSE)," ",VLOOKUP(N69,[1]zawodnicy!$A$1:$E$65536,3,FALSE)," - ",VLOOKUP(N69,[1]zawodnicy!$A$1:$E$65536,4,FALSE)),"")</f>
        <v>Beata MICHALUK - SKB Suwałki</v>
      </c>
      <c r="P69" s="108">
        <v>22</v>
      </c>
      <c r="Q69" s="205" t="str">
        <f>IF(F69="","",VLOOKUP(F69,[1]zawodnicy!$A$1:$D$65536,3,FALSE))</f>
        <v>GADOMSKA</v>
      </c>
      <c r="R69" s="114"/>
      <c r="S69" s="229" t="s">
        <v>411</v>
      </c>
      <c r="T69" s="229"/>
      <c r="U69" s="116"/>
    </row>
    <row r="70" spans="1:21" ht="12.75" x14ac:dyDescent="0.2">
      <c r="K70" s="95">
        <f>IF(L7&gt;33,32,"")</f>
        <v>32</v>
      </c>
      <c r="L70" s="187" t="s">
        <v>271</v>
      </c>
      <c r="M70" s="193">
        <f>IF(K70="","",MAX(M9:M69)+1)</f>
        <v>29</v>
      </c>
      <c r="N70" s="198" t="str">
        <f>UPPER(IF(M70="","",IF(ISTEXT(L70),L70,IF(AND(L6&gt;0,M70&gt;0),VLOOKUP(L6&amp;M70&amp;J69,'[1]grup-puch'!I$1:J$65536,2,FALSE),""))))</f>
        <v>G4680</v>
      </c>
      <c r="O70" s="199" t="str">
        <f>IF(N70&lt;&gt;"",CONCATENATE(VLOOKUP(N70,[1]zawodnicy!$A$1:$E$65536,2,FALSE)," ",VLOOKUP(N70,[1]zawodnicy!$A$1:$E$65536,3,FALSE)," - ",VLOOKUP(N70,[1]zawodnicy!$A$1:$E$65536,4,FALSE)),"")</f>
        <v>Aneta GADOMSKA - UTS Akro-Bad Warszawa</v>
      </c>
      <c r="P70" s="202"/>
      <c r="Q70" s="114" t="str">
        <f>IF(H69="",I69,H69)</f>
        <v>21:13,21:11</v>
      </c>
      <c r="R70" s="214"/>
      <c r="S70" s="229" t="str">
        <f>IF(ISBLANK([1]dane!$D$4),"",[1]dane!$D$4)</f>
        <v>Leszek Jagodziński</v>
      </c>
      <c r="T70" s="229"/>
      <c r="U70" s="116"/>
    </row>
    <row r="71" spans="1:21" ht="12.75" x14ac:dyDescent="0.2">
      <c r="N71" s="229" t="str">
        <f>"Gra"&amp;" "&amp;L8</f>
        <v>Gra pojedyncza dziewcząt M</v>
      </c>
      <c r="O71" s="229"/>
      <c r="P71" s="229"/>
      <c r="Q71" s="229"/>
      <c r="R71" s="229"/>
      <c r="S71" s="229"/>
      <c r="T71" s="229"/>
      <c r="U71" s="230"/>
    </row>
    <row r="72" spans="1:21" ht="12.75" x14ac:dyDescent="0.2">
      <c r="M72" s="229" t="s">
        <v>412</v>
      </c>
      <c r="N72" s="229"/>
      <c r="O72" s="229"/>
      <c r="P72" s="229"/>
      <c r="Q72" s="229"/>
      <c r="R72" s="229"/>
      <c r="S72" s="229"/>
      <c r="T72" s="229"/>
      <c r="U72" s="229"/>
    </row>
    <row r="73" spans="1:21" ht="12.75" x14ac:dyDescent="0.2">
      <c r="O73" s="101"/>
      <c r="P73" s="100"/>
      <c r="Q73" s="101"/>
      <c r="R73" s="101"/>
      <c r="S73" s="101"/>
      <c r="T73" s="101"/>
      <c r="U73" s="116"/>
    </row>
    <row r="74" spans="1:21" ht="12.75" x14ac:dyDescent="0.2">
      <c r="P74" s="100"/>
      <c r="Q74" s="101"/>
      <c r="R74" s="101"/>
      <c r="S74" s="101"/>
      <c r="T74" s="101"/>
      <c r="U74" s="116"/>
    </row>
    <row r="75" spans="1:21" ht="12.75" x14ac:dyDescent="0.2">
      <c r="A75" s="102">
        <f>P75</f>
        <v>7</v>
      </c>
      <c r="B75" s="2" t="str">
        <f>IF(N75="","",N75)</f>
        <v>X13</v>
      </c>
      <c r="D75" s="2" t="str">
        <f>IF(N76="","",N76)</f>
        <v>J4505</v>
      </c>
      <c r="F75" s="2" t="str">
        <f>IF(A75=0,IF(AND(LEN(B75)&gt;0,LEN(D75)=0),VLOOKUP(B75,[1]zawodnicy!$A$1:$E$65536,1,FALSE),IF(AND(LEN(D75)&gt;0,LEN(B75)=0),VLOOKUP(D75,[1]zawodnicy!$A$1:$E$65536,1,FALSE),"")),IF((VLOOKUP(A75,'[1]plan gier'!$X$1:$AF$65536,7,FALSE))="","",VLOOKUP(VLOOKUP(A75,'[1]plan gier'!$X$1:$AF$65536,7,FALSE),[1]zawodnicy!$A$1:$E$65536,1,FALSE)))</f>
        <v>X13</v>
      </c>
      <c r="H75" s="2" t="str">
        <f>IF(A75=0,"",IF((VLOOKUP(A75,'[1]plan gier'!$X$1:$AF$65536,7,FALSE))="","",VLOOKUP(A75,'[1]plan gier'!$X$1:$AF$65536,9,FALSE)))</f>
        <v>21:9,21:9</v>
      </c>
      <c r="I75" s="2" t="str">
        <f>IF(A75=0,"",IF(VLOOKUP(A75,'[1]plan gier'!A$1:S$65536,19,FALSE)="","",VLOOKUP(A75,'[1]plan gier'!A$1:S$65536,19,FALSE)))</f>
        <v>pt 9:00</v>
      </c>
      <c r="J75" s="2" t="str">
        <f>L8</f>
        <v>pojedyncza dziewcząt M</v>
      </c>
      <c r="K75" s="95">
        <f>IF(L7&gt;32,33,"")</f>
        <v>33</v>
      </c>
      <c r="L75" s="207" t="s">
        <v>413</v>
      </c>
      <c r="M75" s="193">
        <f>IF(K75="","",MAX(M9:M74)+1)</f>
        <v>30</v>
      </c>
      <c r="N75" s="198" t="str">
        <f>UPPER(IF(M75="","",IF(ISTEXT(L75),L75,IF(AND(L6&gt;0,M75&gt;0),VLOOKUP(L6&amp;M75&amp;J75,'[1]grup-puch'!I$1:J$65536,2,FALSE),""))))</f>
        <v>X13</v>
      </c>
      <c r="O75" s="199" t="str">
        <f>IF(N75&lt;&gt;"",CONCATENATE(VLOOKUP(N75,[1]zawodnicy!$A$1:$E$65536,2,FALSE)," ",VLOOKUP(N75,[1]zawodnicy!$A$1:$E$65536,3,FALSE)," - ",VLOOKUP(N75,[1]zawodnicy!$A$1:$E$65536,4,FALSE)),"")</f>
        <v>Ylija BITSOUKOVA - Mińsk Białoruś</v>
      </c>
      <c r="P75" s="108">
        <v>7</v>
      </c>
      <c r="Q75" s="200" t="str">
        <f>IF(F75="","",VLOOKUP(F75,[1]zawodnicy!$A$1:$D$65536,3,FALSE))</f>
        <v>BITSOUKOVA</v>
      </c>
      <c r="R75" s="114"/>
      <c r="S75" s="114"/>
      <c r="T75" s="114"/>
      <c r="U75" s="116"/>
    </row>
    <row r="76" spans="1:21" ht="12.75" x14ac:dyDescent="0.2">
      <c r="K76" s="95">
        <f>IF(L7&gt;32,34,"")</f>
        <v>34</v>
      </c>
      <c r="L76" s="207" t="s">
        <v>158</v>
      </c>
      <c r="M76" s="193">
        <f>IF(K76="","",MAX(M9:M75)+1)</f>
        <v>31</v>
      </c>
      <c r="N76" s="198" t="str">
        <f>UPPER(IF(M76="","",IF(ISTEXT(L76),L76,IF(AND(L6&gt;0,M76&gt;0),VLOOKUP(L6&amp;M76&amp;J75,'[1]grup-puch'!I$1:J$65536,2,FALSE),""))))</f>
        <v>J4505</v>
      </c>
      <c r="O76" s="199" t="str">
        <f>IF(N76&lt;&gt;"",CONCATENATE(VLOOKUP(N76,[1]zawodnicy!$A$1:$E$65536,2,FALSE)," ",VLOOKUP(N76,[1]zawodnicy!$A$1:$E$65536,3,FALSE)," - ",VLOOKUP(N76,[1]zawodnicy!$A$1:$E$65536,4,FALSE)),"")</f>
        <v>Wiktoria JUSZCZAK - MMKS Gdańsk</v>
      </c>
      <c r="P76" s="202"/>
      <c r="Q76" s="203" t="str">
        <f>IF(H75="",I75,H75)</f>
        <v>21:9,21:9</v>
      </c>
      <c r="R76" s="114"/>
      <c r="S76" s="114"/>
      <c r="T76" s="114"/>
      <c r="U76" s="116"/>
    </row>
    <row r="77" spans="1:21" ht="12.75" x14ac:dyDescent="0.2">
      <c r="A77" s="111">
        <f>Q77</f>
        <v>325</v>
      </c>
      <c r="B77" s="2" t="str">
        <f>F75</f>
        <v>X13</v>
      </c>
      <c r="D77" s="2" t="str">
        <f>F79</f>
        <v>B4564</v>
      </c>
      <c r="F77" s="2" t="str">
        <f>IF(A77=0,IF(AND(LEN(B77)&gt;0,LEN(D77)=0),B77,IF(AND(LEN(D77)&gt;0,LEN(B77)=0),D77,"")),IF((VLOOKUP(A77,'[1]plan gier'!$X$1:$AF$65536,7,FALSE))="","",VLOOKUP(VLOOKUP(A77,'[1]plan gier'!$X$1:$AF$65536,7,FALSE),[1]zawodnicy!$A$1:$E$65536,1,FALSE)))</f>
        <v>X13</v>
      </c>
      <c r="H77" s="2" t="str">
        <f>IF(A77=0,"",IF((VLOOKUP(A77,'[1]plan gier'!$X$1:$AF$65536,7,FALSE))="","",VLOOKUP(A77,'[1]plan gier'!$X$1:$AF$65536,9,FALSE)))</f>
        <v>21:15,21:14</v>
      </c>
      <c r="I77" s="2" t="str">
        <f>IF(A77=0,"",IF(VLOOKUP(A77,'[1]plan gier'!A$1:S$65536,19,FALSE)="","",VLOOKUP(A77,'[1]plan gier'!A$1:S$65536,19,FALSE)))</f>
        <v>sob 15:20</v>
      </c>
      <c r="J77" s="2" t="str">
        <f>L8</f>
        <v>pojedyncza dziewcząt M</v>
      </c>
      <c r="L77" s="168"/>
      <c r="N77" s="9"/>
      <c r="O77" s="9"/>
      <c r="P77" s="113"/>
      <c r="Q77" s="115">
        <v>325</v>
      </c>
      <c r="R77" s="200" t="str">
        <f>IF(F77="","",VLOOKUP(F77,[1]zawodnicy!$A$1:$D$65536,3,FALSE))</f>
        <v>BITSOUKOVA</v>
      </c>
      <c r="S77" s="114"/>
      <c r="T77" s="114"/>
      <c r="U77" s="116"/>
    </row>
    <row r="78" spans="1:21" ht="12.75" x14ac:dyDescent="0.2">
      <c r="L78" s="168"/>
      <c r="N78" s="9"/>
      <c r="O78" s="9"/>
      <c r="P78" s="113"/>
      <c r="Q78" s="116"/>
      <c r="R78" s="203" t="str">
        <f>IF(H77="",I77,H77)</f>
        <v>21:15,21:14</v>
      </c>
      <c r="S78" s="114"/>
      <c r="T78" s="114"/>
      <c r="U78" s="116"/>
    </row>
    <row r="79" spans="1:21" ht="12.75" x14ac:dyDescent="0.2">
      <c r="A79" s="102">
        <f>P79</f>
        <v>23</v>
      </c>
      <c r="B79" s="2" t="str">
        <f>IF(N79="","",N79)</f>
        <v>B4564</v>
      </c>
      <c r="D79" s="2" t="str">
        <f>IF(N80="","",N80)</f>
        <v>G3411</v>
      </c>
      <c r="F79" s="2" t="str">
        <f>IF(A79=0,IF(AND(LEN(B79)&gt;0,LEN(D79)=0),VLOOKUP(B79,[1]zawodnicy!$A$1:$E$65536,1,FALSE),IF(AND(LEN(D79)&gt;0,LEN(B79)=0),VLOOKUP(D79,[1]zawodnicy!$A$1:$E$65536,1,FALSE),"")),IF((VLOOKUP(A79,'[1]plan gier'!$X$1:$AF$65536,7,FALSE))="","",VLOOKUP(VLOOKUP(A79,'[1]plan gier'!$X$1:$AF$65536,7,FALSE),[1]zawodnicy!$A$1:$E$65536,1,FALSE)))</f>
        <v>B4564</v>
      </c>
      <c r="H79" s="2" t="str">
        <f>IF(A79=0,"",IF((VLOOKUP(A79,'[1]plan gier'!$X$1:$AF$65536,7,FALSE))="","",VLOOKUP(A79,'[1]plan gier'!$X$1:$AF$65536,9,FALSE)))</f>
        <v>16:21,21:19,21:19</v>
      </c>
      <c r="I79" s="2" t="str">
        <f>IF(A79=0,"",IF(VLOOKUP(A79,'[1]plan gier'!A$1:S$65536,19,FALSE)="","",VLOOKUP(A79,'[1]plan gier'!A$1:S$65536,19,FALSE)))</f>
        <v>pt 10:30</v>
      </c>
      <c r="J79" s="2" t="str">
        <f>L8</f>
        <v>pojedyncza dziewcząt M</v>
      </c>
      <c r="K79" s="95">
        <f>IF(L7&gt;40,35,"")</f>
        <v>35</v>
      </c>
      <c r="L79" s="215" t="s">
        <v>160</v>
      </c>
      <c r="M79" s="193">
        <f>IF(K79="","",MAX(M9:M78)+1)</f>
        <v>32</v>
      </c>
      <c r="N79" s="198" t="str">
        <f>UPPER(IF(M79="","",IF(ISTEXT(L79),L79,IF(AND(L6&gt;0,M79&gt;0),VLOOKUP(L6&amp;M79&amp;J79,'[1]grup-puch'!I$1:J$65536,2,FALSE),""))))</f>
        <v>B4564</v>
      </c>
      <c r="O79" s="199" t="str">
        <f>IF(N79&lt;&gt;"",CONCATENATE(VLOOKUP(N79,[1]zawodnicy!$A$1:$E$65536,2,FALSE)," ",VLOOKUP(N79,[1]zawodnicy!$A$1:$E$65536,3,FALSE)," - ",VLOOKUP(N79,[1]zawodnicy!$A$1:$E$65536,4,FALSE)),"")</f>
        <v>Laura BERESTECKA - LKS Technik Głubczyce</v>
      </c>
      <c r="P79" s="108">
        <v>23</v>
      </c>
      <c r="Q79" s="205" t="str">
        <f>IF(F79="","",VLOOKUP(F79,[1]zawodnicy!$A$1:$D$65536,3,FALSE))</f>
        <v>BERESTECKA</v>
      </c>
      <c r="R79" s="116"/>
      <c r="S79" s="114"/>
      <c r="T79" s="114"/>
      <c r="U79" s="116"/>
    </row>
    <row r="80" spans="1:21" ht="12.75" x14ac:dyDescent="0.2">
      <c r="K80" s="95">
        <f>IF(L7&gt;32,36,"")</f>
        <v>36</v>
      </c>
      <c r="L80" s="216" t="s">
        <v>209</v>
      </c>
      <c r="M80" s="193">
        <f>IF(K80="","",MAX(M9:M79)+1)</f>
        <v>33</v>
      </c>
      <c r="N80" s="198" t="str">
        <f>UPPER(IF(M80="","",IF(ISTEXT(L80),L80,IF(AND(L6&gt;0,M80&gt;0),VLOOKUP(L6&amp;M80&amp;J79,'[1]grup-puch'!I$1:J$65536,2,FALSE),""))))</f>
        <v>G3411</v>
      </c>
      <c r="O80" s="199" t="str">
        <f>IF(N80&lt;&gt;"",CONCATENATE(VLOOKUP(N80,[1]zawodnicy!$A$1:$E$65536,2,FALSE)," ",VLOOKUP(N80,[1]zawodnicy!$A$1:$E$65536,3,FALSE)," - ",VLOOKUP(N80,[1]zawodnicy!$A$1:$E$65536,4,FALSE)),"")</f>
        <v>Magdalena GOLENIA - UKS Sokół Ropczyce</v>
      </c>
      <c r="P80" s="202"/>
      <c r="Q80" s="114" t="str">
        <f>IF(H79="",I79,H79)</f>
        <v>16:21,21:19,21:19</v>
      </c>
      <c r="R80" s="116"/>
      <c r="S80" s="114"/>
      <c r="T80" s="114"/>
      <c r="U80" s="116"/>
    </row>
    <row r="81" spans="1:21" ht="12.75" x14ac:dyDescent="0.2">
      <c r="A81" s="118">
        <f>R81</f>
        <v>373</v>
      </c>
      <c r="B81" s="2" t="str">
        <f>F77</f>
        <v>X13</v>
      </c>
      <c r="D81" s="2" t="str">
        <f>F85</f>
        <v>Z4822</v>
      </c>
      <c r="F81" s="2" t="str">
        <f>IF(A81=0,IF(AND(LEN(B81)&gt;0,LEN(D81)=0),B81,IF(AND(LEN(D81)&gt;0,LEN(B81)=0),D81,"")),IF((VLOOKUP(A81,'[1]plan gier'!$X$1:$AF$65536,7,FALSE))="","",VLOOKUP(VLOOKUP(A81,'[1]plan gier'!$X$1:$AF$65536,7,FALSE),[1]zawodnicy!$A$1:$E$65536,1,FALSE)))</f>
        <v>X13</v>
      </c>
      <c r="H81" s="2" t="str">
        <f>IF(A81=0,"",IF((VLOOKUP(A81,'[1]plan gier'!$X$1:$AF$65536,7,FALSE))="","",VLOOKUP(A81,'[1]plan gier'!$X$1:$AF$65536,9,FALSE)))</f>
        <v>21:3,21:6</v>
      </c>
      <c r="I81" s="2" t="str">
        <f>IF(A81=0,"",IF(VLOOKUP(A81,'[1]plan gier'!A$1:S$65536,19,FALSE)="","",VLOOKUP(A81,'[1]plan gier'!A$1:S$65536,19,FALSE)))</f>
        <v>sob 17:50</v>
      </c>
      <c r="J81" s="2" t="str">
        <f>L8</f>
        <v>pojedyncza dziewcząt M</v>
      </c>
      <c r="L81" s="168"/>
      <c r="N81" s="9"/>
      <c r="O81" s="9"/>
      <c r="P81" s="113"/>
      <c r="Q81" s="114"/>
      <c r="R81" s="206">
        <v>373</v>
      </c>
      <c r="S81" s="200" t="str">
        <f>IF(F81="","",VLOOKUP(F81,[1]zawodnicy!$A$1:$D$65536,3,FALSE))</f>
        <v>BITSOUKOVA</v>
      </c>
      <c r="T81" s="114"/>
      <c r="U81" s="116"/>
    </row>
    <row r="82" spans="1:21" ht="12.75" x14ac:dyDescent="0.2">
      <c r="L82" s="168"/>
      <c r="N82" s="9"/>
      <c r="O82" s="9"/>
      <c r="P82" s="113"/>
      <c r="Q82" s="114"/>
      <c r="R82" s="116"/>
      <c r="S82" s="203" t="str">
        <f>IF(H81="",I81,H81)</f>
        <v>21:3,21:6</v>
      </c>
      <c r="T82" s="114"/>
      <c r="U82" s="116"/>
    </row>
    <row r="83" spans="1:21" ht="12.75" x14ac:dyDescent="0.2">
      <c r="A83" s="102">
        <f>P83</f>
        <v>8</v>
      </c>
      <c r="B83" s="2" t="str">
        <f>IF(N83="","",N83)</f>
        <v>G5122</v>
      </c>
      <c r="D83" s="2" t="str">
        <f>IF(N84="","",N84)</f>
        <v>S4125</v>
      </c>
      <c r="F83" s="2" t="str">
        <f>IF(A83=0,IF(AND(LEN(B83)&gt;0,LEN(D83)=0),VLOOKUP(B83,[1]zawodnicy!$A$1:$E$65536,1,FALSE),IF(AND(LEN(D83)&gt;0,LEN(B83)=0),VLOOKUP(D83,[1]zawodnicy!$A$1:$E$65536,1,FALSE),"")),IF((VLOOKUP(A83,'[1]plan gier'!$X$1:$AF$65536,7,FALSE))="","",VLOOKUP(VLOOKUP(A83,'[1]plan gier'!$X$1:$AF$65536,7,FALSE),[1]zawodnicy!$A$1:$E$65536,1,FALSE)))</f>
        <v>S4125</v>
      </c>
      <c r="H83" s="2" t="str">
        <f>IF(A83=0,"",IF((VLOOKUP(A83,'[1]plan gier'!$X$1:$AF$65536,7,FALSE))="","",VLOOKUP(A83,'[1]plan gier'!$X$1:$AF$65536,9,FALSE)))</f>
        <v>12:21,21:19,21:12</v>
      </c>
      <c r="I83" s="2" t="str">
        <f>IF(A83=0,"",IF(VLOOKUP(A83,'[1]plan gier'!A$1:S$65536,19,FALSE)="","",VLOOKUP(A83,'[1]plan gier'!A$1:S$65536,19,FALSE)))</f>
        <v>pt 9:00</v>
      </c>
      <c r="J83" s="2" t="str">
        <f>L8</f>
        <v>pojedyncza dziewcząt M</v>
      </c>
      <c r="K83" s="95">
        <f>IF(L7&gt;48,37,"")</f>
        <v>37</v>
      </c>
      <c r="L83" s="204" t="s">
        <v>200</v>
      </c>
      <c r="M83" s="193">
        <f>IF(K83="","",MAX(M9:M82)+1)</f>
        <v>34</v>
      </c>
      <c r="N83" s="198" t="str">
        <f>UPPER(IF(M83="","",IF(ISTEXT(L83),L83,IF(AND(L6&gt;0,M83&gt;0),VLOOKUP(L6&amp;M83&amp;J83,'[1]grup-puch'!I$1:J$65536,2,FALSE),""))))</f>
        <v>G5122</v>
      </c>
      <c r="O83" s="199" t="str">
        <f>IF(N83&lt;&gt;"",CONCATENATE(VLOOKUP(N83,[1]zawodnicy!$A$1:$E$65536,2,FALSE)," ",VLOOKUP(N83,[1]zawodnicy!$A$1:$E$65536,3,FALSE)," - ",VLOOKUP(N83,[1]zawodnicy!$A$1:$E$65536,4,FALSE)),"")</f>
        <v>Weronika GAPIŃSKA - MLKS Solec Kuj.</v>
      </c>
      <c r="P83" s="108">
        <v>8</v>
      </c>
      <c r="Q83" s="200" t="str">
        <f>IF(F83="","",VLOOKUP(F83,[1]zawodnicy!$A$1:$D$65536,3,FALSE))</f>
        <v>SIDOR</v>
      </c>
      <c r="R83" s="116"/>
      <c r="S83" s="116"/>
      <c r="T83" s="114"/>
      <c r="U83" s="116"/>
    </row>
    <row r="84" spans="1:21" ht="12.75" x14ac:dyDescent="0.2">
      <c r="K84" s="95">
        <f>IF(L7&gt;32,38,"")</f>
        <v>38</v>
      </c>
      <c r="L84" s="207" t="s">
        <v>189</v>
      </c>
      <c r="M84" s="193">
        <f>IF(K84="","",MAX(M9:M83)+1)</f>
        <v>35</v>
      </c>
      <c r="N84" s="198" t="str">
        <f>UPPER(IF(M84="","",IF(ISTEXT(L84),L84,IF(AND(L6&gt;0,M84&gt;0),VLOOKUP(L6&amp;M84&amp;J83,'[1]grup-puch'!I$1:J$65536,2,FALSE),""))))</f>
        <v>S4125</v>
      </c>
      <c r="O84" s="199" t="str">
        <f>IF(N84&lt;&gt;"",CONCATENATE(VLOOKUP(N84,[1]zawodnicy!$A$1:$E$65536,2,FALSE)," ",VLOOKUP(N84,[1]zawodnicy!$A$1:$E$65536,3,FALSE)," - ",VLOOKUP(N84,[1]zawodnicy!$A$1:$E$65536,4,FALSE)),"")</f>
        <v>Natalia SIDOR - ŚKBad Harcownik Warszawa</v>
      </c>
      <c r="P84" s="202"/>
      <c r="Q84" s="203" t="str">
        <f>IF(H83="",I83,H83)</f>
        <v>12:21,21:19,21:12</v>
      </c>
      <c r="R84" s="116"/>
      <c r="S84" s="116"/>
      <c r="T84" s="114"/>
      <c r="U84" s="116"/>
    </row>
    <row r="85" spans="1:21" ht="12.75" x14ac:dyDescent="0.2">
      <c r="A85" s="111">
        <f>Q85</f>
        <v>326</v>
      </c>
      <c r="B85" s="2" t="str">
        <f>F83</f>
        <v>S4125</v>
      </c>
      <c r="D85" s="2" t="str">
        <f>F87</f>
        <v>Z4822</v>
      </c>
      <c r="F85" s="2" t="str">
        <f>IF(A85=0,IF(AND(LEN(B85)&gt;0,LEN(D85)=0),B85,IF(AND(LEN(D85)&gt;0,LEN(B85)=0),D85,"")),IF((VLOOKUP(A85,'[1]plan gier'!$X$1:$AF$65536,7,FALSE))="","",VLOOKUP(VLOOKUP(A85,'[1]plan gier'!$X$1:$AF$65536,7,FALSE),[1]zawodnicy!$A$1:$E$65536,1,FALSE)))</f>
        <v>Z4822</v>
      </c>
      <c r="H85" s="2" t="str">
        <f>IF(A85=0,"",IF((VLOOKUP(A85,'[1]plan gier'!$X$1:$AF$65536,7,FALSE))="","",VLOOKUP(A85,'[1]plan gier'!$X$1:$AF$65536,9,FALSE)))</f>
        <v>21:18,22:20</v>
      </c>
      <c r="I85" s="2" t="str">
        <f>IF(A85=0,"",IF(VLOOKUP(A85,'[1]plan gier'!A$1:S$65536,19,FALSE)="","",VLOOKUP(A85,'[1]plan gier'!A$1:S$65536,19,FALSE)))</f>
        <v>sob 15:20</v>
      </c>
      <c r="J85" s="2" t="str">
        <f>L8</f>
        <v>pojedyncza dziewcząt M</v>
      </c>
      <c r="L85" s="168"/>
      <c r="N85" s="9"/>
      <c r="O85" s="9"/>
      <c r="P85" s="113"/>
      <c r="Q85" s="115">
        <v>326</v>
      </c>
      <c r="R85" s="205" t="str">
        <f>IF(F85="","",VLOOKUP(F85,[1]zawodnicy!$A$1:$D$65536,3,FALSE))</f>
        <v>ZIEMIŃSKA</v>
      </c>
      <c r="S85" s="116"/>
      <c r="T85" s="114"/>
      <c r="U85" s="116"/>
    </row>
    <row r="86" spans="1:21" ht="12.75" x14ac:dyDescent="0.2">
      <c r="L86" s="168"/>
      <c r="N86" s="9"/>
      <c r="O86" s="9"/>
      <c r="P86" s="113"/>
      <c r="Q86" s="116"/>
      <c r="R86" s="114" t="str">
        <f>IF(H85="",I85,H85)</f>
        <v>21:18,22:20</v>
      </c>
      <c r="S86" s="116"/>
      <c r="T86" s="114"/>
      <c r="U86" s="116"/>
    </row>
    <row r="87" spans="1:21" ht="12.75" x14ac:dyDescent="0.2">
      <c r="A87" s="102">
        <f>P87</f>
        <v>9</v>
      </c>
      <c r="B87" s="2" t="str">
        <f>IF(N87="","",N87)</f>
        <v>S4873</v>
      </c>
      <c r="D87" s="2" t="str">
        <f>IF(N88="","",N88)</f>
        <v>Z4822</v>
      </c>
      <c r="F87" s="2" t="str">
        <f>IF(A87=0,IF(AND(LEN(B87)&gt;0,LEN(D87)=0),VLOOKUP(B87,[1]zawodnicy!$A$1:$E$65536,1,FALSE),IF(AND(LEN(D87)&gt;0,LEN(B87)=0),VLOOKUP(D87,[1]zawodnicy!$A$1:$E$65536,1,FALSE),"")),IF((VLOOKUP(A87,'[1]plan gier'!$X$1:$AF$65536,7,FALSE))="","",VLOOKUP(VLOOKUP(A87,'[1]plan gier'!$X$1:$AF$65536,7,FALSE),[1]zawodnicy!$A$1:$E$65536,1,FALSE)))</f>
        <v>Z4822</v>
      </c>
      <c r="H87" s="2" t="str">
        <f>IF(A87=0,"",IF((VLOOKUP(A87,'[1]plan gier'!$X$1:$AF$65536,7,FALSE))="","",VLOOKUP(A87,'[1]plan gier'!$X$1:$AF$65536,9,FALSE)))</f>
        <v>22:20,21:19</v>
      </c>
      <c r="I87" s="2" t="str">
        <f>IF(A87=0,"",IF(VLOOKUP(A87,'[1]plan gier'!A$1:S$65536,19,FALSE)="","",VLOOKUP(A87,'[1]plan gier'!A$1:S$65536,19,FALSE)))</f>
        <v>pt 9:00</v>
      </c>
      <c r="J87" s="2" t="str">
        <f>L8</f>
        <v>pojedyncza dziewcząt M</v>
      </c>
      <c r="K87" s="95">
        <f>IF(L7&gt;56,39,"")</f>
        <v>39</v>
      </c>
      <c r="L87" s="204" t="s">
        <v>191</v>
      </c>
      <c r="M87" s="193">
        <f>IF(K87="","",MAX(M9:M86)+1)</f>
        <v>36</v>
      </c>
      <c r="N87" s="198" t="str">
        <f>UPPER(IF(M87="","",IF(ISTEXT(L87),L87,IF(AND(L6&gt;0,M87&gt;0),VLOOKUP(L6&amp;M87&amp;J87,'[1]grup-puch'!I$1:J$65536,2,FALSE),""))))</f>
        <v>S4873</v>
      </c>
      <c r="O87" s="199" t="str">
        <f>IF(N87&lt;&gt;"",CONCATENATE(VLOOKUP(N87,[1]zawodnicy!$A$1:$E$65536,2,FALSE)," ",VLOOKUP(N87,[1]zawodnicy!$A$1:$E$65536,3,FALSE)," - ",VLOOKUP(N87,[1]zawodnicy!$A$1:$E$65536,4,FALSE)),"")</f>
        <v>Natalia STRZELCZYK - KS Hubertus Zalesie Górne</v>
      </c>
      <c r="P87" s="108">
        <v>9</v>
      </c>
      <c r="Q87" s="205" t="str">
        <f>IF(F87="","",VLOOKUP(F87,[1]zawodnicy!$A$1:$D$65536,3,FALSE))</f>
        <v>ZIEMIŃSKA</v>
      </c>
      <c r="R87" s="114"/>
      <c r="S87" s="116"/>
      <c r="T87" s="114"/>
      <c r="U87" s="116"/>
    </row>
    <row r="88" spans="1:21" ht="12.75" x14ac:dyDescent="0.2">
      <c r="K88" s="95">
        <f>IF(L7&gt;32,40,"")</f>
        <v>40</v>
      </c>
      <c r="L88" s="204" t="s">
        <v>205</v>
      </c>
      <c r="M88" s="193">
        <f>IF(K88="","",MAX(M9:M87)+1)</f>
        <v>37</v>
      </c>
      <c r="N88" s="198" t="str">
        <f>UPPER(IF(M88="","",IF(ISTEXT(L88),L88,IF(AND(L6&gt;0,M88&gt;0),VLOOKUP(L6&amp;M88&amp;J87,'[1]grup-puch'!I$1:J$65536,2,FALSE),""))))</f>
        <v>Z4822</v>
      </c>
      <c r="O88" s="199" t="str">
        <f>IF(N88&lt;&gt;"",CONCATENATE(VLOOKUP(N88,[1]zawodnicy!$A$1:$E$65536,2,FALSE)," ",VLOOKUP(N88,[1]zawodnicy!$A$1:$E$65536,3,FALSE)," - ",VLOOKUP(N88,[1]zawodnicy!$A$1:$E$65536,4,FALSE)),"")</f>
        <v>Julia ZIEMIŃSKA - UKS Kiko Zamość</v>
      </c>
      <c r="P88" s="202"/>
      <c r="Q88" s="114" t="str">
        <f>IF(H87="",I87,H87)</f>
        <v>22:20,21:19</v>
      </c>
      <c r="R88" s="114"/>
      <c r="S88" s="116"/>
      <c r="T88" s="114"/>
      <c r="U88" s="116"/>
    </row>
    <row r="89" spans="1:21" ht="12.75" x14ac:dyDescent="0.2">
      <c r="A89" s="172">
        <f>S89</f>
        <v>431</v>
      </c>
      <c r="B89" s="2" t="str">
        <f>F81</f>
        <v>X13</v>
      </c>
      <c r="D89" s="2" t="str">
        <f>F97</f>
        <v>G4208</v>
      </c>
      <c r="F89" s="2" t="str">
        <f>IF(A89=0,IF(AND(LEN(B89)&gt;0,LEN(D89)=0),B89,IF(AND(LEN(D89)&gt;0,LEN(B89)=0),D89,"")),IF((VLOOKUP(A89,'[1]plan gier'!$X$1:$AF$65536,7,FALSE))="","",VLOOKUP(VLOOKUP(A89,'[1]plan gier'!$X$1:$AF$65536,7,FALSE),[1]zawodnicy!$A$1:$E$65536,1,FALSE)))</f>
        <v>G4208</v>
      </c>
      <c r="H89" s="2" t="str">
        <f>IF(A89=0,"",IF((VLOOKUP(A89,'[1]plan gier'!$X$1:$AF$65536,7,FALSE))="","",VLOOKUP(A89,'[1]plan gier'!$X$1:$AF$65536,9,FALSE)))</f>
        <v>21:19,20:22,21:17</v>
      </c>
      <c r="I89" s="2" t="str">
        <f>IF(A89=0,"",IF(VLOOKUP(A89,'[1]plan gier'!A$1:S$65536,19,FALSE)="","",VLOOKUP(A89,'[1]plan gier'!A$1:S$65536,19,FALSE)))</f>
        <v>nie 10:00</v>
      </c>
      <c r="J89" s="2" t="str">
        <f>L8</f>
        <v>pojedyncza dziewcząt M</v>
      </c>
      <c r="L89" s="168"/>
      <c r="N89" s="9"/>
      <c r="O89" s="9"/>
      <c r="P89" s="113"/>
      <c r="Q89" s="114"/>
      <c r="R89" s="114"/>
      <c r="S89" s="115">
        <v>431</v>
      </c>
      <c r="T89" s="200" t="str">
        <f>IF(F89="","",VLOOKUP(F89,[1]zawodnicy!$A$1:$D$65536,3,FALSE))</f>
        <v>GOSZCZYŃSKA</v>
      </c>
      <c r="U89" s="116"/>
    </row>
    <row r="90" spans="1:21" ht="12.75" x14ac:dyDescent="0.2">
      <c r="L90" s="168"/>
      <c r="N90" s="9"/>
      <c r="O90" s="9"/>
      <c r="P90" s="113"/>
      <c r="Q90" s="114"/>
      <c r="R90" s="114"/>
      <c r="S90" s="116"/>
      <c r="T90" s="203" t="str">
        <f>IF(H89="",I89,H89)</f>
        <v>21:19,20:22,21:17</v>
      </c>
      <c r="U90" s="116"/>
    </row>
    <row r="91" spans="1:21" ht="12.75" x14ac:dyDescent="0.2">
      <c r="A91" s="102">
        <f>P91</f>
        <v>24</v>
      </c>
      <c r="B91" s="2" t="str">
        <f>IF(N91="","",N91)</f>
        <v>K5041</v>
      </c>
      <c r="D91" s="2" t="str">
        <f>IF(N92="","",N92)</f>
        <v>P4286</v>
      </c>
      <c r="F91" s="2" t="str">
        <f>IF(A91=0,IF(AND(LEN(B91)&gt;0,LEN(D91)=0),VLOOKUP(B91,[1]zawodnicy!$A$1:$E$65536,1,FALSE),IF(AND(LEN(D91)&gt;0,LEN(B91)=0),VLOOKUP(D91,[1]zawodnicy!$A$1:$E$65536,1,FALSE),"")),IF((VLOOKUP(A91,'[1]plan gier'!$X$1:$AF$65536,7,FALSE))="","",VLOOKUP(VLOOKUP(A91,'[1]plan gier'!$X$1:$AF$65536,7,FALSE),[1]zawodnicy!$A$1:$E$65536,1,FALSE)))</f>
        <v>P4286</v>
      </c>
      <c r="H91" s="2" t="str">
        <f>IF(A91=0,"",IF((VLOOKUP(A91,'[1]plan gier'!$X$1:$AF$65536,7,FALSE))="","",VLOOKUP(A91,'[1]plan gier'!$X$1:$AF$65536,9,FALSE)))</f>
        <v>21:17,21:14</v>
      </c>
      <c r="I91" s="2" t="str">
        <f>IF(A91=0,"",IF(VLOOKUP(A91,'[1]plan gier'!A$1:S$65536,19,FALSE)="","",VLOOKUP(A91,'[1]plan gier'!A$1:S$65536,19,FALSE)))</f>
        <v>pt 10:30</v>
      </c>
      <c r="J91" s="2" t="str">
        <f>L8</f>
        <v>pojedyncza dziewcząt M</v>
      </c>
      <c r="K91" s="95">
        <f>IF(L7&gt;36,41,"")</f>
        <v>41</v>
      </c>
      <c r="L91" s="207" t="s">
        <v>159</v>
      </c>
      <c r="M91" s="193">
        <f>IF(K91="","",MAX(M9:M90)+1)</f>
        <v>38</v>
      </c>
      <c r="N91" s="198" t="str">
        <f>UPPER(IF(M91="","",IF(ISTEXT(L91),L91,IF(AND(L6&gt;0,M91&gt;0),VLOOKUP(L6&amp;M91&amp;J91,'[1]grup-puch'!I$1:J$65536,2,FALSE),""))))</f>
        <v>K5041</v>
      </c>
      <c r="O91" s="199" t="str">
        <f>IF(N91&lt;&gt;"",CONCATENATE(VLOOKUP(N91,[1]zawodnicy!$A$1:$E$65536,2,FALSE)," ",VLOOKUP(N91,[1]zawodnicy!$A$1:$E$65536,3,FALSE)," - ",VLOOKUP(N91,[1]zawodnicy!$A$1:$E$65536,4,FALSE)),"")</f>
        <v>Aleksandra KOŁODZIEJ - KSR Wolant Łódź</v>
      </c>
      <c r="P91" s="108">
        <v>24</v>
      </c>
      <c r="Q91" s="200" t="str">
        <f>IF(F91="","",VLOOKUP(F91,[1]zawodnicy!$A$1:$D$65536,3,FALSE))</f>
        <v>PODZIEWSKA</v>
      </c>
      <c r="R91" s="114"/>
      <c r="S91" s="116"/>
      <c r="T91" s="116"/>
      <c r="U91" s="116"/>
    </row>
    <row r="92" spans="1:21" ht="12.75" x14ac:dyDescent="0.2">
      <c r="K92" s="95">
        <f>IF(L7&gt;32,42,"")</f>
        <v>42</v>
      </c>
      <c r="L92" s="204" t="s">
        <v>276</v>
      </c>
      <c r="M92" s="193">
        <f>IF(K92="","",MAX(M9:M91)+1)</f>
        <v>39</v>
      </c>
      <c r="N92" s="198" t="str">
        <f>UPPER(IF(M92="","",IF(ISTEXT(L92),L92,IF(AND(L6&gt;0,M92&gt;0),VLOOKUP(L6&amp;M92&amp;J91,'[1]grup-puch'!I$1:J$65536,2,FALSE),""))))</f>
        <v>P4286</v>
      </c>
      <c r="O92" s="199" t="str">
        <f>IF(N92&lt;&gt;"",CONCATENATE(VLOOKUP(N92,[1]zawodnicy!$A$1:$E$65536,2,FALSE)," ",VLOOKUP(N92,[1]zawodnicy!$A$1:$E$65536,3,FALSE)," - ",VLOOKUP(N92,[1]zawodnicy!$A$1:$E$65536,4,FALSE)),"")</f>
        <v>Ewelina PODZIEWSKA - SKB Suwałki</v>
      </c>
      <c r="P92" s="202"/>
      <c r="Q92" s="203" t="str">
        <f>IF(H91="",I91,H91)</f>
        <v>21:17,21:14</v>
      </c>
      <c r="R92" s="114"/>
      <c r="S92" s="116"/>
      <c r="T92" s="116"/>
      <c r="U92" s="116"/>
    </row>
    <row r="93" spans="1:21" ht="12.75" x14ac:dyDescent="0.2">
      <c r="A93" s="111">
        <f>Q93</f>
        <v>327</v>
      </c>
      <c r="B93" s="2" t="str">
        <f>F91</f>
        <v>P4286</v>
      </c>
      <c r="D93" s="2" t="str">
        <f>F95</f>
        <v>K5033</v>
      </c>
      <c r="F93" s="2" t="str">
        <f>IF(A93=0,IF(AND(LEN(B93)&gt;0,LEN(D93)=0),B93,IF(AND(LEN(D93)&gt;0,LEN(B93)=0),D93,"")),IF((VLOOKUP(A93,'[1]plan gier'!$X$1:$AF$65536,7,FALSE))="","",VLOOKUP(VLOOKUP(A93,'[1]plan gier'!$X$1:$AF$65536,7,FALSE),[1]zawodnicy!$A$1:$E$65536,1,FALSE)))</f>
        <v>P4286</v>
      </c>
      <c r="H93" s="2" t="str">
        <f>IF(A93=0,"",IF((VLOOKUP(A93,'[1]plan gier'!$X$1:$AF$65536,7,FALSE))="","",VLOOKUP(A93,'[1]plan gier'!$X$1:$AF$65536,9,FALSE)))</f>
        <v>21:13,21:13</v>
      </c>
      <c r="I93" s="2" t="str">
        <f>IF(A93=0,"",IF(VLOOKUP(A93,'[1]plan gier'!A$1:S$65536,19,FALSE)="","",VLOOKUP(A93,'[1]plan gier'!A$1:S$65536,19,FALSE)))</f>
        <v>sob 15:20</v>
      </c>
      <c r="J93" s="2" t="str">
        <f>L8</f>
        <v>pojedyncza dziewcząt M</v>
      </c>
      <c r="L93" s="168"/>
      <c r="N93" s="9"/>
      <c r="O93" s="9"/>
      <c r="P93" s="113"/>
      <c r="Q93" s="115">
        <v>327</v>
      </c>
      <c r="R93" s="200" t="str">
        <f>IF(F93="","",VLOOKUP(F93,[1]zawodnicy!$A$1:$D$65536,3,FALSE))</f>
        <v>PODZIEWSKA</v>
      </c>
      <c r="S93" s="116"/>
      <c r="T93" s="116"/>
      <c r="U93" s="116"/>
    </row>
    <row r="94" spans="1:21" ht="12.75" x14ac:dyDescent="0.2">
      <c r="L94" s="168"/>
      <c r="N94" s="9"/>
      <c r="O94" s="9"/>
      <c r="P94" s="113"/>
      <c r="Q94" s="116"/>
      <c r="R94" s="203" t="str">
        <f>IF(H93="",I93,H93)</f>
        <v>21:13,21:13</v>
      </c>
      <c r="S94" s="116"/>
      <c r="T94" s="116"/>
      <c r="U94" s="116"/>
    </row>
    <row r="95" spans="1:21" ht="12.75" x14ac:dyDescent="0.2">
      <c r="A95" s="102">
        <f>P95</f>
        <v>10</v>
      </c>
      <c r="B95" s="2" t="str">
        <f>IF(N95="","",N95)</f>
        <v>K5033</v>
      </c>
      <c r="D95" s="2" t="str">
        <f>IF(N96="","",N96)</f>
        <v>X03</v>
      </c>
      <c r="F95" s="2" t="str">
        <f>IF(A95=0,IF(AND(LEN(B95)&gt;0,LEN(D95)=0),VLOOKUP(B95,[1]zawodnicy!$A$1:$E$65536,1,FALSE),IF(AND(LEN(D95)&gt;0,LEN(B95)=0),VLOOKUP(D95,[1]zawodnicy!$A$1:$E$65536,1,FALSE),"")),IF((VLOOKUP(A95,'[1]plan gier'!$X$1:$AF$65536,7,FALSE))="","",VLOOKUP(VLOOKUP(A95,'[1]plan gier'!$X$1:$AF$65536,7,FALSE),[1]zawodnicy!$A$1:$E$65536,1,FALSE)))</f>
        <v>K5033</v>
      </c>
      <c r="H95" s="2" t="str">
        <f>IF(A95=0,"",IF((VLOOKUP(A95,'[1]plan gier'!$X$1:$AF$65536,7,FALSE))="","",VLOOKUP(A95,'[1]plan gier'!$X$1:$AF$65536,9,FALSE)))</f>
        <v>21:4,21:6</v>
      </c>
      <c r="I95" s="2" t="str">
        <f>IF(A95=0,"",IF(VLOOKUP(A95,'[1]plan gier'!A$1:S$65536,19,FALSE)="","",VLOOKUP(A95,'[1]plan gier'!A$1:S$65536,19,FALSE)))</f>
        <v>pt 9:00</v>
      </c>
      <c r="J95" s="2" t="str">
        <f>L8</f>
        <v>pojedyncza dziewcząt M</v>
      </c>
      <c r="K95" s="95">
        <f>IF(L7&gt;44,43,"")</f>
        <v>43</v>
      </c>
      <c r="L95" s="207" t="s">
        <v>186</v>
      </c>
      <c r="M95" s="193">
        <f>IF(K95="","",MAX(M9:M94)+1)</f>
        <v>40</v>
      </c>
      <c r="N95" s="198" t="str">
        <f>UPPER(IF(M95="","",IF(ISTEXT(L95),L95,IF(AND(L6&gt;0,M95&gt;0),VLOOKUP(L6&amp;M95&amp;J95,'[1]grup-puch'!I$1:J$65536,2,FALSE),""))))</f>
        <v>K5033</v>
      </c>
      <c r="O95" s="199" t="str">
        <f>IF(N95&lt;&gt;"",CONCATENATE(VLOOKUP(N95,[1]zawodnicy!$A$1:$E$65536,2,FALSE)," ",VLOOKUP(N95,[1]zawodnicy!$A$1:$E$65536,3,FALSE)," - ",VLOOKUP(N95,[1]zawodnicy!$A$1:$E$65536,4,FALSE)),"")</f>
        <v>Magdalena KULSKA - UKS Unia Bieruń</v>
      </c>
      <c r="P95" s="108">
        <v>10</v>
      </c>
      <c r="Q95" s="205" t="str">
        <f>IF(F95="","",VLOOKUP(F95,[1]zawodnicy!$A$1:$D$65536,3,FALSE))</f>
        <v>KULSKA</v>
      </c>
      <c r="R95" s="116"/>
      <c r="S95" s="116"/>
      <c r="T95" s="116"/>
      <c r="U95" s="116"/>
    </row>
    <row r="96" spans="1:21" ht="12.75" x14ac:dyDescent="0.2">
      <c r="K96" s="95">
        <f>IF(L7&gt;32,44,"")</f>
        <v>44</v>
      </c>
      <c r="L96" s="207" t="s">
        <v>194</v>
      </c>
      <c r="M96" s="193">
        <f>IF(K96="","",MAX(M9:M95)+1)</f>
        <v>41</v>
      </c>
      <c r="N96" s="198" t="str">
        <f>UPPER(IF(M96="","",IF(ISTEXT(L96),L96,IF(AND(L6&gt;0,M96&gt;0),VLOOKUP(L6&amp;M96&amp;J95,'[1]grup-puch'!I$1:J$65536,2,FALSE),""))))</f>
        <v>X03</v>
      </c>
      <c r="O96" s="199" t="str">
        <f>IF(N96&lt;&gt;"",CONCATENATE(VLOOKUP(N96,[1]zawodnicy!$A$1:$E$65536,2,FALSE)," ",VLOOKUP(N96,[1]zawodnicy!$A$1:$E$65536,3,FALSE)," - ",VLOOKUP(N96,[1]zawodnicy!$A$1:$E$65536,4,FALSE)),"")</f>
        <v>Ugne MASILIONYTE - Litwa</v>
      </c>
      <c r="P96" s="202"/>
      <c r="Q96" s="114" t="str">
        <f>IF(H95="",I95,H95)</f>
        <v>21:4,21:6</v>
      </c>
      <c r="R96" s="116"/>
      <c r="S96" s="116"/>
      <c r="T96" s="116"/>
      <c r="U96" s="116"/>
    </row>
    <row r="97" spans="1:21" ht="12.75" x14ac:dyDescent="0.2">
      <c r="A97" s="118">
        <f>R97</f>
        <v>374</v>
      </c>
      <c r="B97" s="2" t="str">
        <f>F93</f>
        <v>P4286</v>
      </c>
      <c r="D97" s="2" t="str">
        <f>F101</f>
        <v>G4208</v>
      </c>
      <c r="F97" s="2" t="str">
        <f>IF(A97=0,IF(AND(LEN(B97)&gt;0,LEN(D97)=0),B97,IF(AND(LEN(D97)&gt;0,LEN(B97)=0),D97,"")),IF((VLOOKUP(A97,'[1]plan gier'!$X$1:$AF$65536,7,FALSE))="","",VLOOKUP(VLOOKUP(A97,'[1]plan gier'!$X$1:$AF$65536,7,FALSE),[1]zawodnicy!$A$1:$E$65536,1,FALSE)))</f>
        <v>G4208</v>
      </c>
      <c r="H97" s="2" t="str">
        <f>IF(A97=0,"",IF((VLOOKUP(A97,'[1]plan gier'!$X$1:$AF$65536,7,FALSE))="","",VLOOKUP(A97,'[1]plan gier'!$X$1:$AF$65536,9,FALSE)))</f>
        <v>21:9,21:9</v>
      </c>
      <c r="I97" s="2" t="str">
        <f>IF(A97=0,"",IF(VLOOKUP(A97,'[1]plan gier'!A$1:S$65536,19,FALSE)="","",VLOOKUP(A97,'[1]plan gier'!A$1:S$65536,19,FALSE)))</f>
        <v>sob 17:50</v>
      </c>
      <c r="J97" s="2" t="str">
        <f>L8</f>
        <v>pojedyncza dziewcząt M</v>
      </c>
      <c r="L97" s="168"/>
      <c r="N97" s="9"/>
      <c r="O97" s="9"/>
      <c r="P97" s="113"/>
      <c r="Q97" s="114"/>
      <c r="R97" s="206">
        <v>374</v>
      </c>
      <c r="S97" s="205" t="str">
        <f>IF(F97="","",VLOOKUP(F97,[1]zawodnicy!$A$1:$D$65536,3,FALSE))</f>
        <v>GOSZCZYŃSKA</v>
      </c>
      <c r="T97" s="116"/>
      <c r="U97" s="116"/>
    </row>
    <row r="98" spans="1:21" ht="12.75" x14ac:dyDescent="0.2">
      <c r="L98" s="168"/>
      <c r="N98" s="9"/>
      <c r="O98" s="9"/>
      <c r="P98" s="113"/>
      <c r="Q98" s="114"/>
      <c r="R98" s="116"/>
      <c r="S98" s="114" t="str">
        <f>IF(H97="",I97,H97)</f>
        <v>21:9,21:9</v>
      </c>
      <c r="T98" s="116"/>
      <c r="U98" s="116"/>
    </row>
    <row r="99" spans="1:21" ht="12.75" x14ac:dyDescent="0.2">
      <c r="A99" s="102">
        <f>P99</f>
        <v>11</v>
      </c>
      <c r="B99" s="2" t="str">
        <f>IF(N99="","",N99)</f>
        <v>W4550</v>
      </c>
      <c r="D99" s="2" t="str">
        <f>IF(N100="","",N100)</f>
        <v>K4735</v>
      </c>
      <c r="F99" s="2" t="str">
        <f>IF(A99=0,IF(AND(LEN(B99)&gt;0,LEN(D99)=0),VLOOKUP(B99,[1]zawodnicy!$A$1:$E$65536,1,FALSE),IF(AND(LEN(D99)&gt;0,LEN(B99)=0),VLOOKUP(D99,[1]zawodnicy!$A$1:$E$65536,1,FALSE),"")),IF((VLOOKUP(A99,'[1]plan gier'!$X$1:$AF$65536,7,FALSE))="","",VLOOKUP(VLOOKUP(A99,'[1]plan gier'!$X$1:$AF$65536,7,FALSE),[1]zawodnicy!$A$1:$E$65536,1,FALSE)))</f>
        <v>W4550</v>
      </c>
      <c r="H99" s="2" t="str">
        <f>IF(A99=0,"",IF((VLOOKUP(A99,'[1]plan gier'!$X$1:$AF$65536,7,FALSE))="","",VLOOKUP(A99,'[1]plan gier'!$X$1:$AF$65536,9,FALSE)))</f>
        <v>21:0,21:0</v>
      </c>
      <c r="I99" s="2" t="str">
        <f>IF(A99=0,"",IF(VLOOKUP(A99,'[1]plan gier'!A$1:S$65536,19,FALSE)="","",VLOOKUP(A99,'[1]plan gier'!A$1:S$65536,19,FALSE)))</f>
        <v>pt 9:00</v>
      </c>
      <c r="J99" s="2" t="str">
        <f>L8</f>
        <v>pojedyncza dziewcząt M</v>
      </c>
      <c r="K99" s="95">
        <f>IF(L7&gt;52,45,"")</f>
        <v>45</v>
      </c>
      <c r="L99" s="216" t="s">
        <v>163</v>
      </c>
      <c r="M99" s="193">
        <f>IF(K99="","",MAX(M9:M98)+1)</f>
        <v>42</v>
      </c>
      <c r="N99" s="198" t="str">
        <f>UPPER(IF(M99="","",IF(ISTEXT(L99),L99,IF(AND(L6&gt;0,M99&gt;0),VLOOKUP(L6&amp;M99&amp;J99,'[1]grup-puch'!I$1:J$65536,2,FALSE),""))))</f>
        <v>W4550</v>
      </c>
      <c r="O99" s="199" t="str">
        <f>IF(N99&lt;&gt;"",CONCATENATE(VLOOKUP(N99,[1]zawodnicy!$A$1:$E$65536,2,FALSE)," ",VLOOKUP(N99,[1]zawodnicy!$A$1:$E$65536,3,FALSE)," - ",VLOOKUP(N99,[1]zawodnicy!$A$1:$E$65536,4,FALSE)),"")</f>
        <v>Magdalena WOLSKA - MKB Lednik Miastko</v>
      </c>
      <c r="P99" s="108">
        <v>11</v>
      </c>
      <c r="Q99" s="200" t="str">
        <f>IF(F99="","",VLOOKUP(F99,[1]zawodnicy!$A$1:$D$65536,3,FALSE))</f>
        <v>WOLSKA</v>
      </c>
      <c r="R99" s="116"/>
      <c r="S99" s="114"/>
      <c r="T99" s="116"/>
      <c r="U99" s="116"/>
    </row>
    <row r="100" spans="1:21" ht="12.75" x14ac:dyDescent="0.2">
      <c r="K100" s="95">
        <f>IF(L7&gt;32,46,"")</f>
        <v>46</v>
      </c>
      <c r="L100" s="215" t="s">
        <v>204</v>
      </c>
      <c r="M100" s="193">
        <f>IF(K100="","",MAX(M9:M99)+1)</f>
        <v>43</v>
      </c>
      <c r="N100" s="198" t="str">
        <f>UPPER(IF(M100="","",IF(ISTEXT(L100),L100,IF(AND(L6&gt;0,M100&gt;0),VLOOKUP(L6&amp;M100&amp;J99,'[1]grup-puch'!I$1:J$65536,2,FALSE),""))))</f>
        <v>K4735</v>
      </c>
      <c r="O100" s="199" t="str">
        <f>IF(N100&lt;&gt;"",CONCATENATE(VLOOKUP(N100,[1]zawodnicy!$A$1:$E$65536,2,FALSE)," ",VLOOKUP(N100,[1]zawodnicy!$A$1:$E$65536,3,FALSE)," - ",VLOOKUP(N100,[1]zawodnicy!$A$1:$E$65536,4,FALSE)),"")</f>
        <v>Oktawia KOISZ - UKS Kiko Zamość</v>
      </c>
      <c r="P100" s="202"/>
      <c r="Q100" s="203" t="str">
        <f>IF(H99="",I99,H99)</f>
        <v>21:0,21:0</v>
      </c>
      <c r="R100" s="116"/>
      <c r="S100" s="114"/>
      <c r="T100" s="116"/>
      <c r="U100" s="116"/>
    </row>
    <row r="101" spans="1:21" ht="12.75" x14ac:dyDescent="0.2">
      <c r="A101" s="111">
        <f>Q101</f>
        <v>328</v>
      </c>
      <c r="B101" s="2" t="str">
        <f>F99</f>
        <v>W4550</v>
      </c>
      <c r="D101" s="2" t="str">
        <f>F103</f>
        <v>G4208</v>
      </c>
      <c r="F101" s="2" t="str">
        <f>IF(A101=0,IF(AND(LEN(B101)&gt;0,LEN(D101)=0),B101,IF(AND(LEN(D101)&gt;0,LEN(B101)=0),D101,"")),IF((VLOOKUP(A101,'[1]plan gier'!$X$1:$AF$65536,7,FALSE))="","",VLOOKUP(VLOOKUP(A101,'[1]plan gier'!$X$1:$AF$65536,7,FALSE),[1]zawodnicy!$A$1:$E$65536,1,FALSE)))</f>
        <v>G4208</v>
      </c>
      <c r="H101" s="2" t="str">
        <f>IF(A101=0,"",IF((VLOOKUP(A101,'[1]plan gier'!$X$1:$AF$65536,7,FALSE))="","",VLOOKUP(A101,'[1]plan gier'!$X$1:$AF$65536,9,FALSE)))</f>
        <v>21:4,21:14</v>
      </c>
      <c r="I101" s="2" t="str">
        <f>IF(A101=0,"",IF(VLOOKUP(A101,'[1]plan gier'!A$1:S$65536,19,FALSE)="","",VLOOKUP(A101,'[1]plan gier'!A$1:S$65536,19,FALSE)))</f>
        <v>sob 15:20</v>
      </c>
      <c r="J101" s="2" t="str">
        <f>L8</f>
        <v>pojedyncza dziewcząt M</v>
      </c>
      <c r="L101" s="168"/>
      <c r="N101" s="9"/>
      <c r="O101" s="9"/>
      <c r="P101" s="113"/>
      <c r="Q101" s="115">
        <v>328</v>
      </c>
      <c r="R101" s="205" t="str">
        <f>IF(F101="","",VLOOKUP(F101,[1]zawodnicy!$A$1:$D$65536,3,FALSE))</f>
        <v>GOSZCZYŃSKA</v>
      </c>
      <c r="S101" s="114"/>
      <c r="T101" s="116"/>
      <c r="U101" s="116"/>
    </row>
    <row r="102" spans="1:21" ht="12.75" x14ac:dyDescent="0.2">
      <c r="L102" s="168"/>
      <c r="N102" s="9"/>
      <c r="O102" s="9"/>
      <c r="P102" s="113"/>
      <c r="Q102" s="116"/>
      <c r="R102" s="114" t="str">
        <f>IF(H101="",I101,H101)</f>
        <v>21:4,21:14</v>
      </c>
      <c r="S102" s="114"/>
      <c r="T102" s="116"/>
      <c r="U102" s="116"/>
    </row>
    <row r="103" spans="1:21" ht="12.75" x14ac:dyDescent="0.2">
      <c r="A103" s="102">
        <f>P103</f>
        <v>0</v>
      </c>
      <c r="B103" s="2" t="str">
        <f>IF(N103="","",N103)</f>
        <v/>
      </c>
      <c r="D103" s="2" t="str">
        <f>IF(N104="","",N104)</f>
        <v>G4208</v>
      </c>
      <c r="F103" s="2" t="str">
        <f>IF(A103=0,IF(AND(LEN(B103)&gt;0,LEN(D103)=0),VLOOKUP(B103,[1]zawodnicy!$A$1:$E$65536,1,FALSE),IF(AND(LEN(D103)&gt;0,LEN(B103)=0),VLOOKUP(D103,[1]zawodnicy!$A$1:$E$65536,1,FALSE),"")),IF((VLOOKUP(A103,'[1]plan gier'!$X$1:$AF$65536,7,FALSE))="","",VLOOKUP(VLOOKUP(A103,'[1]plan gier'!$X$1:$AF$65536,7,FALSE),[1]zawodnicy!$A$1:$E$65536,1,FALSE)))</f>
        <v>G4208</v>
      </c>
      <c r="H103" s="2" t="str">
        <f>IF(A103=0,"",IF((VLOOKUP(A103,'[1]plan gier'!$X$1:$AF$65536,7,FALSE))="","",VLOOKUP(A103,'[1]plan gier'!$X$1:$AF$65536,9,FALSE)))</f>
        <v/>
      </c>
      <c r="I103" s="2" t="str">
        <f>IF(A103=0,"",IF(VLOOKUP(A103,'[1]plan gier'!A$1:S$65536,19,FALSE)="","",VLOOKUP(A103,'[1]plan gier'!A$1:S$65536,19,FALSE)))</f>
        <v/>
      </c>
      <c r="J103" s="2" t="str">
        <f>L8</f>
        <v>pojedyncza dziewcząt M</v>
      </c>
      <c r="K103" s="95" t="str">
        <f>IF(L7&gt;60,47,"")</f>
        <v/>
      </c>
      <c r="L103" s="201" t="str">
        <f>UPPER(IF(K103="","",IF(ISTEXT(J103),J103,IF(AND(J6&gt;0,K103&gt;0),VLOOKUP(J6&amp;K103&amp;H103,'[3]grup-puch'!G$1:H$65536,2,FALSE),""))))</f>
        <v/>
      </c>
      <c r="M103" s="193" t="str">
        <f>IF(K103="","",MAX(M9:M102)+1)</f>
        <v/>
      </c>
      <c r="N103" s="198" t="str">
        <f>UPPER(IF(M103="","",IF(ISTEXT(L103),L103,IF(AND(L6&gt;0,M103&gt;0),VLOOKUP(L6&amp;M103&amp;J103,'[1]grup-puch'!I$1:J$65536,2,FALSE),""))))</f>
        <v/>
      </c>
      <c r="O103" s="199" t="str">
        <f>IF(N103&lt;&gt;"",CONCATENATE(VLOOKUP(N103,[1]zawodnicy!$A$1:$E$65536,2,FALSE)," ",VLOOKUP(N103,[1]zawodnicy!$A$1:$E$65536,3,FALSE)," - ",VLOOKUP(N103,[1]zawodnicy!$A$1:$E$65536,4,FALSE)),"")</f>
        <v/>
      </c>
      <c r="P103" s="108"/>
      <c r="Q103" s="205" t="str">
        <f>IF(F103="","",VLOOKUP(F103,[1]zawodnicy!$A$1:$D$65536,3,FALSE))</f>
        <v>GOSZCZYŃSKA</v>
      </c>
      <c r="R103" s="114"/>
      <c r="S103" s="114"/>
      <c r="T103" s="208"/>
      <c r="U103" s="116"/>
    </row>
    <row r="104" spans="1:21" ht="12.75" x14ac:dyDescent="0.2">
      <c r="K104" s="95">
        <f>IF(L7&gt;32,48,"")</f>
        <v>48</v>
      </c>
      <c r="L104" s="187" t="s">
        <v>196</v>
      </c>
      <c r="M104" s="193">
        <f>IF(K104="","",MAX(M9:M103)+1)</f>
        <v>44</v>
      </c>
      <c r="N104" s="198" t="str">
        <f>UPPER(IF(M104="","",IF(ISTEXT(L104),L104,IF(AND(L6&gt;0,M104&gt;0),VLOOKUP(L6&amp;M104&amp;J103,'[1]grup-puch'!I$1:J$65536,2,FALSE),""))))</f>
        <v>G4208</v>
      </c>
      <c r="O104" s="199" t="str">
        <f>IF(N104&lt;&gt;"",CONCATENATE(VLOOKUP(N104,[1]zawodnicy!$A$1:$E$65536,2,FALSE)," ",VLOOKUP(N104,[1]zawodnicy!$A$1:$E$65536,3,FALSE)," - ",VLOOKUP(N104,[1]zawodnicy!$A$1:$E$65536,4,FALSE)),"")</f>
        <v>Aleksandra GOSZCZYŃSKA - UKSB Milenium Warszawa</v>
      </c>
      <c r="P104" s="202"/>
      <c r="Q104" s="114" t="str">
        <f>IF(H103="",I103,H103)</f>
        <v/>
      </c>
      <c r="R104" s="114"/>
      <c r="S104" s="114"/>
      <c r="T104" s="116"/>
      <c r="U104" s="116"/>
    </row>
    <row r="105" spans="1:21" ht="12.75" x14ac:dyDescent="0.2">
      <c r="A105" s="196">
        <f>T105</f>
        <v>444</v>
      </c>
      <c r="B105" s="2" t="str">
        <f>F89</f>
        <v>G4208</v>
      </c>
      <c r="D105" s="2" t="str">
        <f>F121</f>
        <v>A4292</v>
      </c>
      <c r="F105" s="2" t="str">
        <f>IF(A105=0,IF(AND(LEN(B105)&gt;0,LEN(D105)=0),B105,IF(AND(LEN(D105)&gt;0,LEN(B105)=0),D105,"")),IF((VLOOKUP(A105,'[1]plan gier'!$X$1:$AF$65536,7,FALSE))="","",VLOOKUP(VLOOKUP(A105,'[1]plan gier'!$X$1:$AF$65536,7,FALSE),[1]zawodnicy!$A$1:$E$65536,1,FALSE)))</f>
        <v>A4292</v>
      </c>
      <c r="H105" s="2" t="str">
        <f>IF(A105=0,"",IF((VLOOKUP(A105,'[1]plan gier'!$X$1:$AF$65536,7,FALSE))="","",VLOOKUP(A105,'[1]plan gier'!$X$1:$AF$65536,9,FALSE)))</f>
        <v>21:17,25:23</v>
      </c>
      <c r="I105" s="2" t="str">
        <f>IF(A105=0,"",IF(VLOOKUP(A105,'[1]plan gier'!A$1:S$65536,19,FALSE)="","",VLOOKUP(A105,'[1]plan gier'!A$1:S$65536,19,FALSE)))</f>
        <v>nie 12:00</v>
      </c>
      <c r="J105" s="2" t="str">
        <f>L8</f>
        <v>pojedyncza dziewcząt M</v>
      </c>
      <c r="L105" s="168"/>
      <c r="N105" s="9"/>
      <c r="O105" s="9"/>
      <c r="P105" s="113"/>
      <c r="Q105" s="114"/>
      <c r="R105" s="114"/>
      <c r="T105" s="115">
        <v>444</v>
      </c>
      <c r="U105" s="205" t="str">
        <f>IF(F105="","",VLOOKUP(F105,[1]zawodnicy!$A$1:$D$65536,3,FALSE))</f>
        <v>ADAMEK</v>
      </c>
    </row>
    <row r="106" spans="1:21" ht="12.75" x14ac:dyDescent="0.2">
      <c r="L106" s="168"/>
      <c r="N106" s="9"/>
      <c r="O106" s="9"/>
      <c r="P106" s="113"/>
      <c r="Q106" s="114"/>
      <c r="R106" s="114"/>
      <c r="T106" s="116"/>
      <c r="U106" s="170" t="str">
        <f>IF(H105="",I105,H105)</f>
        <v>21:17,25:23</v>
      </c>
    </row>
    <row r="107" spans="1:21" ht="12.75" x14ac:dyDescent="0.2">
      <c r="A107" s="102">
        <f>P107</f>
        <v>12</v>
      </c>
      <c r="B107" s="2" t="str">
        <f>IF(N107="","",N107)</f>
        <v>S4609</v>
      </c>
      <c r="D107" s="2" t="str">
        <f>IF(N108="","",N108)</f>
        <v>B4737</v>
      </c>
      <c r="F107" s="2" t="str">
        <f>IF(A107=0,IF(AND(LEN(B107)&gt;0,LEN(D107)=0),VLOOKUP(B107,[1]zawodnicy!$A$1:$E$65536,1,FALSE),IF(AND(LEN(D107)&gt;0,LEN(B107)=0),VLOOKUP(D107,[1]zawodnicy!$A$1:$E$65536,1,FALSE),"")),IF((VLOOKUP(A107,'[1]plan gier'!$X$1:$AF$65536,7,FALSE))="","",VLOOKUP(VLOOKUP(A107,'[1]plan gier'!$X$1:$AF$65536,7,FALSE),[1]zawodnicy!$A$1:$E$65536,1,FALSE)))</f>
        <v>S4609</v>
      </c>
      <c r="H107" s="2" t="str">
        <f>IF(A107=0,"",IF((VLOOKUP(A107,'[1]plan gier'!$X$1:$AF$65536,7,FALSE))="","",VLOOKUP(A107,'[1]plan gier'!$X$1:$AF$65536,9,FALSE)))</f>
        <v>21:0,21:0</v>
      </c>
      <c r="I107" s="2" t="str">
        <f>IF(A107=0,"",IF(VLOOKUP(A107,'[1]plan gier'!A$1:S$65536,19,FALSE)="","",VLOOKUP(A107,'[1]plan gier'!A$1:S$65536,19,FALSE)))</f>
        <v>pt 9:00</v>
      </c>
      <c r="J107" s="2" t="str">
        <f>L8</f>
        <v>pojedyncza dziewcząt M</v>
      </c>
      <c r="K107" s="95">
        <f>IF(L7&gt;34,49,"")</f>
        <v>49</v>
      </c>
      <c r="L107" s="215" t="s">
        <v>175</v>
      </c>
      <c r="M107" s="193">
        <f>IF(K107="","",MAX(M9:M106)+1)</f>
        <v>45</v>
      </c>
      <c r="N107" s="198" t="str">
        <f>UPPER(IF(M107="","",IF(ISTEXT(L107),L107,IF(AND(L6&gt;0,M107&gt;0),VLOOKUP(L6&amp;M107&amp;J107,'[1]grup-puch'!I$1:J$65536,2,FALSE),""))))</f>
        <v>S4609</v>
      </c>
      <c r="O107" s="199" t="str">
        <f>IF(N107&lt;&gt;"",CONCATENATE(VLOOKUP(N107,[1]zawodnicy!$A$1:$E$65536,2,FALSE)," ",VLOOKUP(N107,[1]zawodnicy!$A$1:$E$65536,3,FALSE)," - ",VLOOKUP(N107,[1]zawodnicy!$A$1:$E$65536,4,FALSE)),"")</f>
        <v>Jolanta SZYMAŃSKA - SKB Suwałki</v>
      </c>
      <c r="P107" s="108">
        <v>12</v>
      </c>
      <c r="Q107" s="200" t="str">
        <f>IF(F107="","",VLOOKUP(F107,[1]zawodnicy!$A$1:$D$65536,3,FALSE))</f>
        <v>SZYMAŃSKA</v>
      </c>
      <c r="R107" s="114"/>
      <c r="S107" s="114"/>
      <c r="T107" s="116"/>
      <c r="U107" s="101"/>
    </row>
    <row r="108" spans="1:21" ht="12.75" x14ac:dyDescent="0.2">
      <c r="K108" s="95">
        <f>IF(L7&gt;32,50,"")</f>
        <v>50</v>
      </c>
      <c r="L108" s="204" t="s">
        <v>154</v>
      </c>
      <c r="M108" s="193">
        <f>IF(K108="","",MAX(M9:M107)+1)</f>
        <v>46</v>
      </c>
      <c r="N108" s="198" t="str">
        <f>UPPER(IF(M108="","",IF(ISTEXT(L108),L108,IF(AND(L6&gt;0,M108&gt;0),VLOOKUP(L6&amp;M108&amp;J107,'[1]grup-puch'!I$1:J$65536,2,FALSE),""))))</f>
        <v>B4737</v>
      </c>
      <c r="O108" s="199" t="str">
        <f>IF(N108&lt;&gt;"",CONCATENATE(VLOOKUP(N108,[1]zawodnicy!$A$1:$E$65536,2,FALSE)," ",VLOOKUP(N108,[1]zawodnicy!$A$1:$E$65536,3,FALSE)," - ",VLOOKUP(N108,[1]zawodnicy!$A$1:$E$65536,4,FALSE)),"")</f>
        <v>Wiktoria BUDZISZEWSKA - UKS Kiko Zamość</v>
      </c>
      <c r="P108" s="202"/>
      <c r="Q108" s="203" t="str">
        <f>IF(H107="",I107,H107)</f>
        <v>21:0,21:0</v>
      </c>
      <c r="R108" s="114"/>
      <c r="S108" s="114"/>
      <c r="T108" s="116"/>
      <c r="U108" s="101"/>
    </row>
    <row r="109" spans="1:21" ht="12.75" x14ac:dyDescent="0.2">
      <c r="A109" s="111">
        <f>Q109</f>
        <v>329</v>
      </c>
      <c r="B109" s="2" t="str">
        <f>F107</f>
        <v>S4609</v>
      </c>
      <c r="D109" s="2" t="str">
        <f>F111</f>
        <v>X22</v>
      </c>
      <c r="F109" s="2" t="str">
        <f>IF(A109=0,IF(AND(LEN(B109)&gt;0,LEN(D109)=0),B109,IF(AND(LEN(D109)&gt;0,LEN(B109)=0),D109,"")),IF((VLOOKUP(A109,'[1]plan gier'!$X$1:$AF$65536,7,FALSE))="","",VLOOKUP(VLOOKUP(A109,'[1]plan gier'!$X$1:$AF$65536,7,FALSE),[1]zawodnicy!$A$1:$E$65536,1,FALSE)))</f>
        <v>S4609</v>
      </c>
      <c r="H109" s="2" t="str">
        <f>IF(A109=0,"",IF((VLOOKUP(A109,'[1]plan gier'!$X$1:$AF$65536,7,FALSE))="","",VLOOKUP(A109,'[1]plan gier'!$X$1:$AF$65536,9,FALSE)))</f>
        <v>21:6,21:18</v>
      </c>
      <c r="I109" s="2" t="str">
        <f>IF(A109=0,"",IF(VLOOKUP(A109,'[1]plan gier'!A$1:S$65536,19,FALSE)="","",VLOOKUP(A109,'[1]plan gier'!A$1:S$65536,19,FALSE)))</f>
        <v>sob 15:20</v>
      </c>
      <c r="J109" s="2" t="str">
        <f>L8</f>
        <v>pojedyncza dziewcząt M</v>
      </c>
      <c r="L109" s="168"/>
      <c r="N109" s="9"/>
      <c r="O109" s="9"/>
      <c r="P109" s="113"/>
      <c r="Q109" s="115">
        <v>329</v>
      </c>
      <c r="R109" s="200" t="str">
        <f>IF(F109="","",VLOOKUP(F109,[1]zawodnicy!$A$1:$D$65536,3,FALSE))</f>
        <v>SZYMAŃSKA</v>
      </c>
      <c r="S109" s="114"/>
      <c r="T109" s="116"/>
      <c r="U109" s="101"/>
    </row>
    <row r="110" spans="1:21" ht="12.75" x14ac:dyDescent="0.2">
      <c r="L110" s="168"/>
      <c r="N110" s="9"/>
      <c r="O110" s="9"/>
      <c r="P110" s="113"/>
      <c r="Q110" s="116"/>
      <c r="R110" s="203" t="str">
        <f>IF(H109="",I109,H109)</f>
        <v>21:6,21:18</v>
      </c>
      <c r="S110" s="114"/>
      <c r="T110" s="116"/>
      <c r="U110" s="101"/>
    </row>
    <row r="111" spans="1:21" ht="12.75" x14ac:dyDescent="0.2">
      <c r="A111" s="102">
        <f>P111</f>
        <v>13</v>
      </c>
      <c r="B111" s="2" t="str">
        <f>IF(N111="","",N111)</f>
        <v>K4576</v>
      </c>
      <c r="D111" s="2" t="str">
        <f>IF(N112="","",N112)</f>
        <v>X22</v>
      </c>
      <c r="F111" s="2" t="str">
        <f>IF(A111=0,IF(AND(LEN(B111)&gt;0,LEN(D111)=0),VLOOKUP(B111,[1]zawodnicy!$A$1:$E$65536,1,FALSE),IF(AND(LEN(D111)&gt;0,LEN(B111)=0),VLOOKUP(D111,[1]zawodnicy!$A$1:$E$65536,1,FALSE),"")),IF((VLOOKUP(A111,'[1]plan gier'!$X$1:$AF$65536,7,FALSE))="","",VLOOKUP(VLOOKUP(A111,'[1]plan gier'!$X$1:$AF$65536,7,FALSE),[1]zawodnicy!$A$1:$E$65536,1,FALSE)))</f>
        <v>X22</v>
      </c>
      <c r="H111" s="2" t="str">
        <f>IF(A111=0,"",IF((VLOOKUP(A111,'[1]plan gier'!$X$1:$AF$65536,7,FALSE))="","",VLOOKUP(A111,'[1]plan gier'!$X$1:$AF$65536,9,FALSE)))</f>
        <v>21:14,21:10</v>
      </c>
      <c r="I111" s="2" t="str">
        <f>IF(A111=0,"",IF(VLOOKUP(A111,'[1]plan gier'!A$1:S$65536,19,FALSE)="","",VLOOKUP(A111,'[1]plan gier'!A$1:S$65536,19,FALSE)))</f>
        <v>pt 9:00</v>
      </c>
      <c r="J111" s="2" t="str">
        <f>L8</f>
        <v>pojedyncza dziewcząt M</v>
      </c>
      <c r="K111" s="95">
        <f>IF(L7&gt;42,51,"")</f>
        <v>51</v>
      </c>
      <c r="L111" s="204" t="s">
        <v>203</v>
      </c>
      <c r="M111" s="193">
        <f>IF(K111="","",MAX(M9:M110)+1)</f>
        <v>47</v>
      </c>
      <c r="N111" s="198" t="str">
        <f>UPPER(IF(M111="","",IF(ISTEXT(L111),L111,IF(AND(L6&gt;0,M111&gt;0),VLOOKUP(L6&amp;M111&amp;J111,'[1]grup-puch'!I$1:J$65536,2,FALSE),""))))</f>
        <v>K4576</v>
      </c>
      <c r="O111" s="199" t="str">
        <f>IF(N111&lt;&gt;"",CONCATENATE(VLOOKUP(N111,[1]zawodnicy!$A$1:$E$65536,2,FALSE)," ",VLOOKUP(N111,[1]zawodnicy!$A$1:$E$65536,3,FALSE)," - ",VLOOKUP(N111,[1]zawodnicy!$A$1:$E$65536,4,FALSE)),"")</f>
        <v>Paulina KLIMEK - MKS Strzelce Opolskie</v>
      </c>
      <c r="P111" s="108">
        <v>13</v>
      </c>
      <c r="Q111" s="205" t="str">
        <f>IF(F111="","",VLOOKUP(F111,[1]zawodnicy!$A$1:$D$65536,3,FALSE))</f>
        <v>NIKOLAEVA</v>
      </c>
      <c r="R111" s="116"/>
      <c r="S111" s="114"/>
      <c r="T111" s="116"/>
      <c r="U111" s="101"/>
    </row>
    <row r="112" spans="1:21" ht="12.75" x14ac:dyDescent="0.2">
      <c r="K112" s="95">
        <f>IF(L7&gt;32,52,"")</f>
        <v>52</v>
      </c>
      <c r="L112" s="207" t="s">
        <v>277</v>
      </c>
      <c r="M112" s="193">
        <f>IF(K112="","",MAX(M9:M111)+1)</f>
        <v>48</v>
      </c>
      <c r="N112" s="198" t="str">
        <f>UPPER(IF(M112="","",IF(ISTEXT(L112),L112,IF(AND(L6&gt;0,M112&gt;0),VLOOKUP(L6&amp;M112&amp;J111,'[1]grup-puch'!I$1:J$65536,2,FALSE),""))))</f>
        <v>X22</v>
      </c>
      <c r="O112" s="199" t="str">
        <f>IF(N112&lt;&gt;"",CONCATENATE(VLOOKUP(N112,[1]zawodnicy!$A$1:$E$65536,2,FALSE)," ",VLOOKUP(N112,[1]zawodnicy!$A$1:$E$65536,3,FALSE)," - ",VLOOKUP(N112,[1]zawodnicy!$A$1:$E$65536,4,FALSE)),"")</f>
        <v>Elyzaveta NIKOLAEVA - Vinnica Ukraina</v>
      </c>
      <c r="P112" s="202"/>
      <c r="Q112" s="114" t="str">
        <f>IF(H111="",I111,H111)</f>
        <v>21:14,21:10</v>
      </c>
      <c r="R112" s="116"/>
      <c r="S112" s="114"/>
      <c r="T112" s="116"/>
      <c r="U112" s="101"/>
    </row>
    <row r="113" spans="1:21" ht="12.75" x14ac:dyDescent="0.2">
      <c r="A113" s="118">
        <f>R113</f>
        <v>375</v>
      </c>
      <c r="B113" s="2" t="str">
        <f>F109</f>
        <v>S4609</v>
      </c>
      <c r="D113" s="2" t="str">
        <f>F117</f>
        <v>X12</v>
      </c>
      <c r="F113" s="2" t="str">
        <f>IF(A113=0,IF(AND(LEN(B113)&gt;0,LEN(D113)=0),B113,IF(AND(LEN(D113)&gt;0,LEN(B113)=0),D113,"")),IF((VLOOKUP(A113,'[1]plan gier'!$X$1:$AF$65536,7,FALSE))="","",VLOOKUP(VLOOKUP(A113,'[1]plan gier'!$X$1:$AF$65536,7,FALSE),[1]zawodnicy!$A$1:$E$65536,1,FALSE)))</f>
        <v>X12</v>
      </c>
      <c r="H113" s="2" t="str">
        <f>IF(A113=0,"",IF((VLOOKUP(A113,'[1]plan gier'!$X$1:$AF$65536,7,FALSE))="","",VLOOKUP(A113,'[1]plan gier'!$X$1:$AF$65536,9,FALSE)))</f>
        <v>21:17,21:17</v>
      </c>
      <c r="I113" s="2" t="str">
        <f>IF(A113=0,"",IF(VLOOKUP(A113,'[1]plan gier'!A$1:S$65536,19,FALSE)="","",VLOOKUP(A113,'[1]plan gier'!A$1:S$65536,19,FALSE)))</f>
        <v>sob 18:10</v>
      </c>
      <c r="J113" s="2" t="str">
        <f>L8</f>
        <v>pojedyncza dziewcząt M</v>
      </c>
      <c r="L113" s="168"/>
      <c r="N113" s="9"/>
      <c r="O113" s="9"/>
      <c r="P113" s="113"/>
      <c r="Q113" s="114"/>
      <c r="R113" s="206">
        <v>375</v>
      </c>
      <c r="S113" s="200" t="str">
        <f>IF(F113="","",VLOOKUP(F113,[1]zawodnicy!$A$1:$D$65536,3,FALSE))</f>
        <v>ZABLOTSKAYA</v>
      </c>
      <c r="T113" s="116"/>
      <c r="U113" s="101"/>
    </row>
    <row r="114" spans="1:21" ht="12.75" x14ac:dyDescent="0.2">
      <c r="L114" s="168"/>
      <c r="N114" s="9"/>
      <c r="O114" s="9"/>
      <c r="P114" s="113"/>
      <c r="Q114" s="114"/>
      <c r="R114" s="116"/>
      <c r="S114" s="203" t="str">
        <f>IF(H113="",I113,H113)</f>
        <v>21:17,21:17</v>
      </c>
      <c r="T114" s="116"/>
      <c r="U114" s="101"/>
    </row>
    <row r="115" spans="1:21" ht="12.75" x14ac:dyDescent="0.2">
      <c r="A115" s="102">
        <f>P115</f>
        <v>14</v>
      </c>
      <c r="B115" s="2" t="str">
        <f>IF(N115="","",N115)</f>
        <v>X12</v>
      </c>
      <c r="D115" s="2" t="str">
        <f>IF(N116="","",N116)</f>
        <v>S5167</v>
      </c>
      <c r="F115" s="2" t="str">
        <f>IF(A115=0,IF(AND(LEN(B115)&gt;0,LEN(D115)=0),VLOOKUP(B115,[1]zawodnicy!$A$1:$E$65536,1,FALSE),IF(AND(LEN(D115)&gt;0,LEN(B115)=0),VLOOKUP(D115,[1]zawodnicy!$A$1:$E$65536,1,FALSE),"")),IF((VLOOKUP(A115,'[1]plan gier'!$X$1:$AF$65536,7,FALSE))="","",VLOOKUP(VLOOKUP(A115,'[1]plan gier'!$X$1:$AF$65536,7,FALSE),[1]zawodnicy!$A$1:$E$65536,1,FALSE)))</f>
        <v>X12</v>
      </c>
      <c r="H115" s="2" t="str">
        <f>IF(A115=0,"",IF((VLOOKUP(A115,'[1]plan gier'!$X$1:$AF$65536,7,FALSE))="","",VLOOKUP(A115,'[1]plan gier'!$X$1:$AF$65536,9,FALSE)))</f>
        <v>21:11,21:5</v>
      </c>
      <c r="I115" s="2" t="str">
        <f>IF(A115=0,"",IF(VLOOKUP(A115,'[1]plan gier'!A$1:S$65536,19,FALSE)="","",VLOOKUP(A115,'[1]plan gier'!A$1:S$65536,19,FALSE)))</f>
        <v>pt 9:00</v>
      </c>
      <c r="J115" s="2" t="str">
        <f>L8</f>
        <v>pojedyncza dziewcząt M</v>
      </c>
      <c r="K115" s="95">
        <f>IF(L7&gt;50,53,"")</f>
        <v>53</v>
      </c>
      <c r="L115" s="187" t="s">
        <v>414</v>
      </c>
      <c r="M115" s="193">
        <f>IF(K115="","",MAX(M9:M114)+1)</f>
        <v>49</v>
      </c>
      <c r="N115" s="198" t="str">
        <f>UPPER(IF(M115="","",IF(ISTEXT(L115),L115,IF(AND(L6&gt;0,M115&gt;0),VLOOKUP(L6&amp;M115&amp;J115,'[1]grup-puch'!I$1:J$65536,2,FALSE),""))))</f>
        <v>X12</v>
      </c>
      <c r="O115" s="199" t="str">
        <f>IF(N115&lt;&gt;"",CONCATENATE(VLOOKUP(N115,[1]zawodnicy!$A$1:$E$65536,2,FALSE)," ",VLOOKUP(N115,[1]zawodnicy!$A$1:$E$65536,3,FALSE)," - ",VLOOKUP(N115,[1]zawodnicy!$A$1:$E$65536,4,FALSE)),"")</f>
        <v>Katsiaryna ZABLOTSKAYA - Mińsk Białoruś</v>
      </c>
      <c r="P115" s="108">
        <v>14</v>
      </c>
      <c r="Q115" s="200" t="str">
        <f>IF(F115="","",VLOOKUP(F115,[1]zawodnicy!$A$1:$D$65536,3,FALSE))</f>
        <v>ZABLOTSKAYA</v>
      </c>
      <c r="R115" s="116"/>
      <c r="S115" s="116"/>
      <c r="T115" s="116"/>
      <c r="U115" s="101"/>
    </row>
    <row r="116" spans="1:21" ht="12.75" x14ac:dyDescent="0.2">
      <c r="K116" s="95">
        <f>IF(L7&gt;32,54,"")</f>
        <v>54</v>
      </c>
      <c r="L116" s="187" t="s">
        <v>190</v>
      </c>
      <c r="M116" s="193">
        <f>IF(K116="","",MAX(M9:M115)+1)</f>
        <v>50</v>
      </c>
      <c r="N116" s="198" t="str">
        <f>UPPER(IF(M116="","",IF(ISTEXT(L116),L116,IF(AND(L6&gt;0,M116&gt;0),VLOOKUP(L6&amp;M116&amp;J115,'[1]grup-puch'!I$1:J$65536,2,FALSE),""))))</f>
        <v>S5167</v>
      </c>
      <c r="O116" s="199" t="str">
        <f>IF(N116&lt;&gt;"",CONCATENATE(VLOOKUP(N116,[1]zawodnicy!$A$1:$E$65536,2,FALSE)," ",VLOOKUP(N116,[1]zawodnicy!$A$1:$E$65536,3,FALSE)," - ",VLOOKUP(N116,[1]zawodnicy!$A$1:$E$65536,4,FALSE)),"")</f>
        <v>Roksana STOKOWSKA - UTS Akro-Bad Warszawa</v>
      </c>
      <c r="P116" s="202"/>
      <c r="Q116" s="203" t="str">
        <f>IF(H115="",I115,H115)</f>
        <v>21:11,21:5</v>
      </c>
      <c r="R116" s="116"/>
      <c r="S116" s="116"/>
      <c r="T116" s="116"/>
      <c r="U116" s="101"/>
    </row>
    <row r="117" spans="1:21" ht="12.75" x14ac:dyDescent="0.2">
      <c r="A117" s="111">
        <f>Q117</f>
        <v>330</v>
      </c>
      <c r="B117" s="2" t="str">
        <f>F115</f>
        <v>X12</v>
      </c>
      <c r="D117" s="2" t="str">
        <f>F119</f>
        <v>K4136</v>
      </c>
      <c r="F117" s="2" t="str">
        <f>IF(A117=0,IF(AND(LEN(B117)&gt;0,LEN(D117)=0),B117,IF(AND(LEN(D117)&gt;0,LEN(B117)=0),D117,"")),IF((VLOOKUP(A117,'[1]plan gier'!$X$1:$AF$65536,7,FALSE))="","",VLOOKUP(VLOOKUP(A117,'[1]plan gier'!$X$1:$AF$65536,7,FALSE),[1]zawodnicy!$A$1:$E$65536,1,FALSE)))</f>
        <v>X12</v>
      </c>
      <c r="H117" s="2" t="str">
        <f>IF(A117=0,"",IF((VLOOKUP(A117,'[1]plan gier'!$X$1:$AF$65536,7,FALSE))="","",VLOOKUP(A117,'[1]plan gier'!$X$1:$AF$65536,9,FALSE)))</f>
        <v>21:13,21:8</v>
      </c>
      <c r="I117" s="2" t="str">
        <f>IF(A117=0,"",IF(VLOOKUP(A117,'[1]plan gier'!A$1:S$65536,19,FALSE)="","",VLOOKUP(A117,'[1]plan gier'!A$1:S$65536,19,FALSE)))</f>
        <v>sob 15:20</v>
      </c>
      <c r="J117" s="2" t="str">
        <f>L8</f>
        <v>pojedyncza dziewcząt M</v>
      </c>
      <c r="L117" s="168"/>
      <c r="N117" s="9"/>
      <c r="O117" s="9"/>
      <c r="P117" s="113"/>
      <c r="Q117" s="115">
        <v>330</v>
      </c>
      <c r="R117" s="205" t="str">
        <f>IF(F117="","",VLOOKUP(F117,[1]zawodnicy!$A$1:$D$65536,3,FALSE))</f>
        <v>ZABLOTSKAYA</v>
      </c>
      <c r="S117" s="116"/>
      <c r="T117" s="116"/>
      <c r="U117" s="101"/>
    </row>
    <row r="118" spans="1:21" ht="12.75" x14ac:dyDescent="0.2">
      <c r="L118" s="168"/>
      <c r="N118" s="9"/>
      <c r="O118" s="9"/>
      <c r="P118" s="113"/>
      <c r="Q118" s="116"/>
      <c r="R118" s="114" t="str">
        <f>IF(H117="",I117,H117)</f>
        <v>21:13,21:8</v>
      </c>
      <c r="S118" s="116"/>
      <c r="T118" s="116"/>
      <c r="U118" s="101"/>
    </row>
    <row r="119" spans="1:21" ht="12.75" x14ac:dyDescent="0.2">
      <c r="A119" s="102">
        <f>P119</f>
        <v>15</v>
      </c>
      <c r="B119" s="2" t="str">
        <f>IF(N119="","",N119)</f>
        <v>M4152</v>
      </c>
      <c r="D119" s="2" t="str">
        <f>IF(N120="","",N120)</f>
        <v>K4136</v>
      </c>
      <c r="F119" s="2" t="str">
        <f>IF(A119=0,IF(AND(LEN(B119)&gt;0,LEN(D119)=0),VLOOKUP(B119,[1]zawodnicy!$A$1:$E$65536,1,FALSE),IF(AND(LEN(D119)&gt;0,LEN(B119)=0),VLOOKUP(D119,[1]zawodnicy!$A$1:$E$65536,1,FALSE),"")),IF((VLOOKUP(A119,'[1]plan gier'!$X$1:$AF$65536,7,FALSE))="","",VLOOKUP(VLOOKUP(A119,'[1]plan gier'!$X$1:$AF$65536,7,FALSE),[1]zawodnicy!$A$1:$E$65536,1,FALSE)))</f>
        <v>K4136</v>
      </c>
      <c r="H119" s="2" t="str">
        <f>IF(A119=0,"",IF((VLOOKUP(A119,'[1]plan gier'!$X$1:$AF$65536,7,FALSE))="","",VLOOKUP(A119,'[1]plan gier'!$X$1:$AF$65536,9,FALSE)))</f>
        <v>21:6,21:13</v>
      </c>
      <c r="I119" s="2" t="str">
        <f>IF(A119=0,"",IF(VLOOKUP(A119,'[1]plan gier'!A$1:S$65536,19,FALSE)="","",VLOOKUP(A119,'[1]plan gier'!A$1:S$65536,19,FALSE)))</f>
        <v>pt 9:00</v>
      </c>
      <c r="J119" s="2" t="str">
        <f>L8</f>
        <v>pojedyncza dziewcząt M</v>
      </c>
      <c r="K119" s="95">
        <f>IF(L7&gt;58,55,"")</f>
        <v>55</v>
      </c>
      <c r="L119" s="204" t="s">
        <v>185</v>
      </c>
      <c r="M119" s="193">
        <f>IF(K119="","",MAX(M9:M118)+1)</f>
        <v>51</v>
      </c>
      <c r="N119" s="198" t="str">
        <f>UPPER(IF(M119="","",IF(ISTEXT(L119),L119,IF(AND(L6&gt;0,M119&gt;0),VLOOKUP(L6&amp;M119&amp;J119,'[1]grup-puch'!I$1:J$65536,2,FALSE),""))))</f>
        <v>M4152</v>
      </c>
      <c r="O119" s="199" t="str">
        <f>IF(N119&lt;&gt;"",CONCATENATE(VLOOKUP(N119,[1]zawodnicy!$A$1:$E$65536,2,FALSE)," ",VLOOKUP(N119,[1]zawodnicy!$A$1:$E$65536,3,FALSE)," - ",VLOOKUP(N119,[1]zawodnicy!$A$1:$E$65536,4,FALSE)),"")</f>
        <v>Aleksandra MARTIN - UKS Lotka Lubiewo</v>
      </c>
      <c r="P119" s="108">
        <v>15</v>
      </c>
      <c r="Q119" s="205" t="str">
        <f>IF(F119="","",VLOOKUP(F119,[1]zawodnicy!$A$1:$D$65536,3,FALSE))</f>
        <v>KOŚCIÓŁEK</v>
      </c>
      <c r="R119" s="114"/>
      <c r="S119" s="116"/>
      <c r="T119" s="116"/>
      <c r="U119" s="101"/>
    </row>
    <row r="120" spans="1:21" ht="12.75" x14ac:dyDescent="0.2">
      <c r="K120" s="95">
        <f>IF(L7&gt;32,56,"")</f>
        <v>56</v>
      </c>
      <c r="L120" s="187" t="s">
        <v>161</v>
      </c>
      <c r="M120" s="193">
        <f>IF(K120="","",MAX(M9:M119)+1)</f>
        <v>52</v>
      </c>
      <c r="N120" s="198" t="str">
        <f>UPPER(IF(M120="","",IF(ISTEXT(L120),L120,IF(AND(L6&gt;0,M120&gt;0),VLOOKUP(L6&amp;M120&amp;J119,'[1]grup-puch'!I$1:J$65536,2,FALSE),""))))</f>
        <v>K4136</v>
      </c>
      <c r="O120" s="199" t="str">
        <f>IF(N120&lt;&gt;"",CONCATENATE(VLOOKUP(N120,[1]zawodnicy!$A$1:$E$65536,2,FALSE)," ",VLOOKUP(N120,[1]zawodnicy!$A$1:$E$65536,3,FALSE)," - ",VLOOKUP(N120,[1]zawodnicy!$A$1:$E$65536,4,FALSE)),"")</f>
        <v>Weronika KOŚCIÓŁEK - LKS Technik Głubczyce</v>
      </c>
      <c r="P120" s="202"/>
      <c r="Q120" s="114" t="str">
        <f>IF(H119="",I119,H119)</f>
        <v>21:6,21:13</v>
      </c>
      <c r="R120" s="114"/>
      <c r="S120" s="116"/>
      <c r="T120" s="116"/>
      <c r="U120" s="101"/>
    </row>
    <row r="121" spans="1:21" ht="12.75" x14ac:dyDescent="0.2">
      <c r="A121" s="172">
        <f>S121</f>
        <v>432</v>
      </c>
      <c r="B121" s="2" t="str">
        <f>F113</f>
        <v>X12</v>
      </c>
      <c r="D121" s="2" t="str">
        <f>F129</f>
        <v>A4292</v>
      </c>
      <c r="F121" s="2" t="str">
        <f>IF(A121=0,IF(AND(LEN(B121)&gt;0,LEN(D121)=0),B121,IF(AND(LEN(D121)&gt;0,LEN(B121)=0),D121,"")),IF((VLOOKUP(A121,'[1]plan gier'!$X$1:$AF$65536,7,FALSE))="","",VLOOKUP(VLOOKUP(A121,'[1]plan gier'!$X$1:$AF$65536,7,FALSE),[1]zawodnicy!$A$1:$E$65536,1,FALSE)))</f>
        <v>A4292</v>
      </c>
      <c r="H121" s="2" t="str">
        <f>IF(A121=0,"",IF((VLOOKUP(A121,'[1]plan gier'!$X$1:$AF$65536,7,FALSE))="","",VLOOKUP(A121,'[1]plan gier'!$X$1:$AF$65536,9,FALSE)))</f>
        <v>21:15,21:14</v>
      </c>
      <c r="I121" s="2" t="str">
        <f>IF(A121=0,"",IF(VLOOKUP(A121,'[1]plan gier'!A$1:S$65536,19,FALSE)="","",VLOOKUP(A121,'[1]plan gier'!A$1:S$65536,19,FALSE)))</f>
        <v>nie 10:00</v>
      </c>
      <c r="J121" s="2" t="str">
        <f>L8</f>
        <v>pojedyncza dziewcząt M</v>
      </c>
      <c r="L121" s="168"/>
      <c r="N121" s="9"/>
      <c r="O121" s="9"/>
      <c r="P121" s="113"/>
      <c r="Q121" s="114"/>
      <c r="R121" s="114"/>
      <c r="S121" s="115">
        <v>432</v>
      </c>
      <c r="T121" s="205" t="str">
        <f>IF(F121="","",VLOOKUP(F121,[1]zawodnicy!$A$1:$D$65536,3,FALSE))</f>
        <v>ADAMEK</v>
      </c>
      <c r="U121" s="101"/>
    </row>
    <row r="122" spans="1:21" ht="12.75" x14ac:dyDescent="0.2">
      <c r="L122" s="168"/>
      <c r="N122" s="9"/>
      <c r="O122" s="9"/>
      <c r="P122" s="113"/>
      <c r="Q122" s="114"/>
      <c r="R122" s="114"/>
      <c r="S122" s="116"/>
      <c r="T122" s="114" t="str">
        <f>IF(H121="",I121,H121)</f>
        <v>21:15,21:14</v>
      </c>
      <c r="U122" s="101"/>
    </row>
    <row r="123" spans="1:21" ht="12.75" x14ac:dyDescent="0.2">
      <c r="A123" s="102">
        <f>P123</f>
        <v>25</v>
      </c>
      <c r="B123" s="2" t="str">
        <f>IF(N123="","",N123)</f>
        <v>D4545</v>
      </c>
      <c r="D123" s="2" t="str">
        <f>IF(N124="","",N124)</f>
        <v>W4281</v>
      </c>
      <c r="F123" s="2" t="str">
        <f>IF(A123=0,IF(AND(LEN(B123)&gt;0,LEN(D123)=0),VLOOKUP(B123,[1]zawodnicy!$A$1:$E$65536,1,FALSE),IF(AND(LEN(D123)&gt;0,LEN(B123)=0),VLOOKUP(D123,[1]zawodnicy!$A$1:$E$65536,1,FALSE),"")),IF((VLOOKUP(A123,'[1]plan gier'!$X$1:$AF$65536,7,FALSE))="","",VLOOKUP(VLOOKUP(A123,'[1]plan gier'!$X$1:$AF$65536,7,FALSE),[1]zawodnicy!$A$1:$E$65536,1,FALSE)))</f>
        <v>D4545</v>
      </c>
      <c r="H123" s="2" t="str">
        <f>IF(A123=0,"",IF((VLOOKUP(A123,'[1]plan gier'!$X$1:$AF$65536,7,FALSE))="","",VLOOKUP(A123,'[1]plan gier'!$X$1:$AF$65536,9,FALSE)))</f>
        <v>21:18,8:21,21:17</v>
      </c>
      <c r="I123" s="2" t="str">
        <f>IF(A123=0,"",IF(VLOOKUP(A123,'[1]plan gier'!A$1:S$65536,19,FALSE)="","",VLOOKUP(A123,'[1]plan gier'!A$1:S$65536,19,FALSE)))</f>
        <v>pt 10:30</v>
      </c>
      <c r="J123" s="2" t="str">
        <f>L8</f>
        <v>pojedyncza dziewcząt M</v>
      </c>
      <c r="K123" s="95">
        <f>IF(L7&gt;38,57,"")</f>
        <v>57</v>
      </c>
      <c r="L123" s="207" t="s">
        <v>180</v>
      </c>
      <c r="M123" s="193">
        <f>IF(K123="","",MAX(M9:M122)+1)</f>
        <v>53</v>
      </c>
      <c r="N123" s="198" t="str">
        <f>UPPER(IF(M123="","",IF(ISTEXT(L123),L123,IF(AND(L6&gt;0,M123&gt;0),VLOOKUP(L6&amp;M123&amp;J123,'[1]grup-puch'!I$1:J$65536,2,FALSE),""))))</f>
        <v>D4545</v>
      </c>
      <c r="O123" s="199" t="str">
        <f>IF(N123&lt;&gt;"",CONCATENATE(VLOOKUP(N123,[1]zawodnicy!$A$1:$E$65536,2,FALSE)," ",VLOOKUP(N123,[1]zawodnicy!$A$1:$E$65536,3,FALSE)," - ",VLOOKUP(N123,[1]zawodnicy!$A$1:$E$65536,4,FALSE)),"")</f>
        <v>Joanna DORAWA - MKB Lednik Miastko</v>
      </c>
      <c r="P123" s="108">
        <v>25</v>
      </c>
      <c r="Q123" s="200" t="str">
        <f>IF(F123="","",VLOOKUP(F123,[1]zawodnicy!$A$1:$D$65536,3,FALSE))</f>
        <v>DORAWA</v>
      </c>
      <c r="R123" s="114"/>
      <c r="S123" s="116"/>
      <c r="T123" s="114"/>
      <c r="U123" s="101"/>
    </row>
    <row r="124" spans="1:21" ht="12.75" x14ac:dyDescent="0.2">
      <c r="K124" s="95">
        <f>IF(L7&gt;32,58,"")</f>
        <v>58</v>
      </c>
      <c r="L124" s="207" t="s">
        <v>171</v>
      </c>
      <c r="M124" s="193">
        <f>IF(K124="","",MAX(M9:M123)+1)</f>
        <v>54</v>
      </c>
      <c r="N124" s="198" t="str">
        <f>UPPER(IF(M124="","",IF(ISTEXT(L124),L124,IF(AND(L6&gt;0,M124&gt;0),VLOOKUP(L6&amp;M124&amp;J123,'[1]grup-puch'!I$1:J$65536,2,FALSE),""))))</f>
        <v>W4281</v>
      </c>
      <c r="O124" s="199" t="str">
        <f>IF(N124&lt;&gt;"",CONCATENATE(VLOOKUP(N124,[1]zawodnicy!$A$1:$E$65536,2,FALSE)," ",VLOOKUP(N124,[1]zawodnicy!$A$1:$E$65536,3,FALSE)," - ",VLOOKUP(N124,[1]zawodnicy!$A$1:$E$65536,4,FALSE)),"")</f>
        <v>Ida WIŚNIEWSKA - ----</v>
      </c>
      <c r="P124" s="202"/>
      <c r="Q124" s="203" t="str">
        <f>IF(H123="",I123,H123)</f>
        <v>21:18,8:21,21:17</v>
      </c>
      <c r="R124" s="114"/>
      <c r="S124" s="116"/>
      <c r="T124" s="114"/>
      <c r="U124" s="101"/>
    </row>
    <row r="125" spans="1:21" ht="12.75" x14ac:dyDescent="0.2">
      <c r="A125" s="111">
        <f>Q125</f>
        <v>331</v>
      </c>
      <c r="B125" s="2" t="str">
        <f>F123</f>
        <v>D4545</v>
      </c>
      <c r="D125" s="2" t="str">
        <f>F127</f>
        <v>F4339</v>
      </c>
      <c r="F125" s="2" t="str">
        <f>IF(A125=0,IF(AND(LEN(B125)&gt;0,LEN(D125)=0),B125,IF(AND(LEN(D125)&gt;0,LEN(B125)=0),D125,"")),IF((VLOOKUP(A125,'[1]plan gier'!$X$1:$AF$65536,7,FALSE))="","",VLOOKUP(VLOOKUP(A125,'[1]plan gier'!$X$1:$AF$65536,7,FALSE),[1]zawodnicy!$A$1:$E$65536,1,FALSE)))</f>
        <v>F4339</v>
      </c>
      <c r="H125" s="2" t="str">
        <f>IF(A125=0,"",IF((VLOOKUP(A125,'[1]plan gier'!$X$1:$AF$65536,7,FALSE))="","",VLOOKUP(A125,'[1]plan gier'!$X$1:$AF$65536,9,FALSE)))</f>
        <v>21:19,24:22</v>
      </c>
      <c r="I125" s="2" t="str">
        <f>IF(A125=0,"",IF(VLOOKUP(A125,'[1]plan gier'!A$1:S$65536,19,FALSE)="","",VLOOKUP(A125,'[1]plan gier'!A$1:S$65536,19,FALSE)))</f>
        <v>sob 15:50</v>
      </c>
      <c r="J125" s="2" t="str">
        <f>L8</f>
        <v>pojedyncza dziewcząt M</v>
      </c>
      <c r="L125" s="168"/>
      <c r="N125" s="9"/>
      <c r="O125" s="9"/>
      <c r="P125" s="113"/>
      <c r="Q125" s="115">
        <v>331</v>
      </c>
      <c r="R125" s="200" t="str">
        <f>IF(F125="","",VLOOKUP(F125,[1]zawodnicy!$A$1:$D$65536,3,FALSE))</f>
        <v>FILIPIAK</v>
      </c>
      <c r="S125" s="116"/>
      <c r="T125" s="114"/>
      <c r="U125" s="101"/>
    </row>
    <row r="126" spans="1:21" ht="12.75" x14ac:dyDescent="0.2">
      <c r="L126" s="168"/>
      <c r="N126" s="9"/>
      <c r="O126" s="9"/>
      <c r="P126" s="113"/>
      <c r="Q126" s="116"/>
      <c r="R126" s="203" t="str">
        <f>IF(H125="",I125,H125)</f>
        <v>21:19,24:22</v>
      </c>
      <c r="S126" s="116"/>
      <c r="T126" s="114"/>
      <c r="U126" s="101"/>
    </row>
    <row r="127" spans="1:21" ht="12.75" x14ac:dyDescent="0.2">
      <c r="A127" s="102">
        <f>P127</f>
        <v>26</v>
      </c>
      <c r="B127" s="2" t="str">
        <f>IF(N127="","",N127)</f>
        <v>R5590</v>
      </c>
      <c r="D127" s="2" t="str">
        <f>IF(N128="","",N128)</f>
        <v>F4339</v>
      </c>
      <c r="F127" s="2" t="str">
        <f>IF(A127=0,IF(AND(LEN(B127)&gt;0,LEN(D127)=0),VLOOKUP(B127,[1]zawodnicy!$A$1:$E$65536,1,FALSE),IF(AND(LEN(D127)&gt;0,LEN(B127)=0),VLOOKUP(D127,[1]zawodnicy!$A$1:$E$65536,1,FALSE),"")),IF((VLOOKUP(A127,'[1]plan gier'!$X$1:$AF$65536,7,FALSE))="","",VLOOKUP(VLOOKUP(A127,'[1]plan gier'!$X$1:$AF$65536,7,FALSE),[1]zawodnicy!$A$1:$E$65536,1,FALSE)))</f>
        <v>F4339</v>
      </c>
      <c r="H127" s="2" t="str">
        <f>IF(A127=0,"",IF((VLOOKUP(A127,'[1]plan gier'!$X$1:$AF$65536,7,FALSE))="","",VLOOKUP(A127,'[1]plan gier'!$X$1:$AF$65536,9,FALSE)))</f>
        <v>21:4,21:7</v>
      </c>
      <c r="I127" s="2" t="str">
        <f>IF(A127=0,"",IF(VLOOKUP(A127,'[1]plan gier'!A$1:S$65536,19,FALSE)="","",VLOOKUP(A127,'[1]plan gier'!A$1:S$65536,19,FALSE)))</f>
        <v>pt 10:30</v>
      </c>
      <c r="J127" s="2" t="str">
        <f>L8</f>
        <v>pojedyncza dziewcząt M</v>
      </c>
      <c r="K127" s="95">
        <f>IF(L7&gt;46,59,"")</f>
        <v>59</v>
      </c>
      <c r="L127" s="207" t="s">
        <v>210</v>
      </c>
      <c r="M127" s="193">
        <f>IF(K127="","",MAX(M9:M126)+1)</f>
        <v>55</v>
      </c>
      <c r="N127" s="198" t="str">
        <f>UPPER(IF(M127="","",IF(ISTEXT(L127),L127,IF(AND(L6&gt;0,M127&gt;0),VLOOKUP(L6&amp;M127&amp;J127,'[1]grup-puch'!I$1:J$65536,2,FALSE),""))))</f>
        <v>R5590</v>
      </c>
      <c r="O127" s="199" t="str">
        <f>IF(N127&lt;&gt;"",CONCATENATE(VLOOKUP(N127,[1]zawodnicy!$A$1:$E$65536,2,FALSE)," ",VLOOKUP(N127,[1]zawodnicy!$A$1:$E$65536,3,FALSE)," - ",VLOOKUP(N127,[1]zawodnicy!$A$1:$E$65536,4,FALSE)),"")</f>
        <v>Julia RUSZKOWSKA - KSR Wolant Łódź</v>
      </c>
      <c r="P127" s="108">
        <v>26</v>
      </c>
      <c r="Q127" s="205" t="str">
        <f>IF(F127="","",VLOOKUP(F127,[1]zawodnicy!$A$1:$D$65536,3,FALSE))</f>
        <v>FILIPIAK</v>
      </c>
      <c r="R127" s="116"/>
      <c r="S127" s="116"/>
      <c r="T127" s="114"/>
      <c r="U127" s="101"/>
    </row>
    <row r="128" spans="1:21" ht="12.75" x14ac:dyDescent="0.2">
      <c r="K128" s="95">
        <f>IF(L7&gt;32,60,"")</f>
        <v>60</v>
      </c>
      <c r="L128" s="217" t="s">
        <v>156</v>
      </c>
      <c r="M128" s="193">
        <f>IF(K128="","",MAX(M9:M127)+1)</f>
        <v>56</v>
      </c>
      <c r="N128" s="198" t="str">
        <f>UPPER(IF(M128="","",IF(ISTEXT(L128),L128,IF(AND(L6&gt;0,M128&gt;0),VLOOKUP(L6&amp;M128&amp;J127,'[1]grup-puch'!I$1:J$65536,2,FALSE),""))))</f>
        <v>F4339</v>
      </c>
      <c r="O128" s="199" t="str">
        <f>IF(N128&lt;&gt;"",CONCATENATE(VLOOKUP(N128,[1]zawodnicy!$A$1:$E$65536,2,FALSE)," ",VLOOKUP(N128,[1]zawodnicy!$A$1:$E$65536,3,FALSE)," - ",VLOOKUP(N128,[1]zawodnicy!$A$1:$E$65536,4,FALSE)),"")</f>
        <v>Martyna FILIPIAK - MLKS Solec Kuj.</v>
      </c>
      <c r="P128" s="202"/>
      <c r="Q128" s="114" t="str">
        <f>IF(H127="",I127,H127)</f>
        <v>21:4,21:7</v>
      </c>
      <c r="R128" s="116"/>
      <c r="S128" s="116"/>
      <c r="T128" s="114"/>
      <c r="U128" s="101"/>
    </row>
    <row r="129" spans="1:25" ht="12.75" x14ac:dyDescent="0.2">
      <c r="A129" s="118">
        <f>R129</f>
        <v>376</v>
      </c>
      <c r="B129" s="2" t="str">
        <f>F125</f>
        <v>F4339</v>
      </c>
      <c r="D129" s="2" t="str">
        <f>F133</f>
        <v>A4292</v>
      </c>
      <c r="F129" s="2" t="str">
        <f>IF(A129=0,IF(AND(LEN(B129)&gt;0,LEN(D129)=0),B129,IF(AND(LEN(D129)&gt;0,LEN(B129)=0),D129,"")),IF((VLOOKUP(A129,'[1]plan gier'!$X$1:$AF$65536,7,FALSE))="","",VLOOKUP(VLOOKUP(A129,'[1]plan gier'!$X$1:$AF$65536,7,FALSE),[1]zawodnicy!$A$1:$E$65536,1,FALSE)))</f>
        <v>A4292</v>
      </c>
      <c r="H129" s="2" t="str">
        <f>IF(A129=0,"",IF((VLOOKUP(A129,'[1]plan gier'!$X$1:$AF$65536,7,FALSE))="","",VLOOKUP(A129,'[1]plan gier'!$X$1:$AF$65536,9,FALSE)))</f>
        <v>21:15,21:13</v>
      </c>
      <c r="I129" s="2" t="str">
        <f>IF(A129=0,"",IF(VLOOKUP(A129,'[1]plan gier'!A$1:S$65536,19,FALSE)="","",VLOOKUP(A129,'[1]plan gier'!A$1:S$65536,19,FALSE)))</f>
        <v>sob 18:10</v>
      </c>
      <c r="J129" s="2" t="str">
        <f>L8</f>
        <v>pojedyncza dziewcząt M</v>
      </c>
      <c r="L129" s="168"/>
      <c r="N129" s="9"/>
      <c r="O129" s="9"/>
      <c r="P129" s="113"/>
      <c r="Q129" s="114"/>
      <c r="R129" s="206">
        <v>376</v>
      </c>
      <c r="S129" s="205" t="str">
        <f>IF(F129="","",VLOOKUP(F129,[1]zawodnicy!$A$1:$D$65536,3,FALSE))</f>
        <v>ADAMEK</v>
      </c>
      <c r="T129" s="114"/>
      <c r="U129" s="101"/>
    </row>
    <row r="130" spans="1:25" ht="12.75" x14ac:dyDescent="0.2">
      <c r="L130" s="168"/>
      <c r="N130" s="9"/>
      <c r="O130" s="9"/>
      <c r="P130" s="113"/>
      <c r="Q130" s="114"/>
      <c r="R130" s="116"/>
      <c r="S130" s="114" t="str">
        <f>IF(H129="",I129,H129)</f>
        <v>21:15,21:13</v>
      </c>
      <c r="T130" s="114"/>
      <c r="U130" s="101"/>
    </row>
    <row r="131" spans="1:25" ht="12.75" x14ac:dyDescent="0.2">
      <c r="A131" s="102">
        <f>P131</f>
        <v>27</v>
      </c>
      <c r="B131" s="2" t="str">
        <f>IF(N131="","",N131)</f>
        <v>G3854</v>
      </c>
      <c r="D131" s="2" t="str">
        <f>IF(N132="","",N132)</f>
        <v>K4023</v>
      </c>
      <c r="F131" s="2" t="str">
        <f>IF(A131=0,IF(AND(LEN(B131)&gt;0,LEN(D131)=0),VLOOKUP(B131,[1]zawodnicy!$A$1:$E$65536,1,FALSE),IF(AND(LEN(D131)&gt;0,LEN(B131)=0),VLOOKUP(D131,[1]zawodnicy!$A$1:$E$65536,1,FALSE),"")),IF((VLOOKUP(A131,'[1]plan gier'!$X$1:$AF$65536,7,FALSE))="","",VLOOKUP(VLOOKUP(A131,'[1]plan gier'!$X$1:$AF$65536,7,FALSE),[1]zawodnicy!$A$1:$E$65536,1,FALSE)))</f>
        <v>K4023</v>
      </c>
      <c r="H131" s="2" t="str">
        <f>IF(A131=0,"",IF((VLOOKUP(A131,'[1]plan gier'!$X$1:$AF$65536,7,FALSE))="","",VLOOKUP(A131,'[1]plan gier'!$X$1:$AF$65536,9,FALSE)))</f>
        <v>21:18,21:13</v>
      </c>
      <c r="I131" s="2" t="str">
        <f>IF(A131=0,"",IF(VLOOKUP(A131,'[1]plan gier'!A$1:S$65536,19,FALSE)="","",VLOOKUP(A131,'[1]plan gier'!A$1:S$65536,19,FALSE)))</f>
        <v>pt 10:30</v>
      </c>
      <c r="J131" s="2" t="str">
        <f>L8</f>
        <v>pojedyncza dziewcząt M</v>
      </c>
      <c r="K131" s="95">
        <f>IF(L7&gt;54,61,"")</f>
        <v>61</v>
      </c>
      <c r="L131" s="204" t="s">
        <v>268</v>
      </c>
      <c r="M131" s="193">
        <f>IF(K131="","",MAX(M9:M130)+1)</f>
        <v>57</v>
      </c>
      <c r="N131" s="198" t="str">
        <f>UPPER(IF(M131="","",IF(ISTEXT(L131),L131,IF(AND(L6&gt;0,M131&gt;0),VLOOKUP(L6&amp;M131&amp;J131,'[1]grup-puch'!I$1:J$65536,2,FALSE),""))))</f>
        <v>G3854</v>
      </c>
      <c r="O131" s="199" t="str">
        <f>IF(N131&lt;&gt;"",CONCATENATE(VLOOKUP(N131,[1]zawodnicy!$A$1:$E$65536,2,FALSE)," ",VLOOKUP(N131,[1]zawodnicy!$A$1:$E$65536,3,FALSE)," - ",VLOOKUP(N131,[1]zawodnicy!$A$1:$E$65536,4,FALSE)),"")</f>
        <v>Katarzyna GĘSICKA - KS Hubertus Zalesie Górne</v>
      </c>
      <c r="P131" s="108">
        <v>27</v>
      </c>
      <c r="Q131" s="200" t="str">
        <f>IF(F131="","",VLOOKUP(F131,[1]zawodnicy!$A$1:$D$65536,3,FALSE))</f>
        <v>KOPER</v>
      </c>
      <c r="R131" s="116"/>
      <c r="S131" s="114"/>
      <c r="T131" s="114"/>
      <c r="U131" s="101"/>
    </row>
    <row r="132" spans="1:25" ht="12.75" x14ac:dyDescent="0.2">
      <c r="A132" s="211"/>
      <c r="K132" s="95">
        <f>IF(L7&gt;32,62,"")</f>
        <v>62</v>
      </c>
      <c r="L132" s="187" t="s">
        <v>188</v>
      </c>
      <c r="M132" s="193">
        <f>IF(K132="","",MAX(M9:M131)+1)</f>
        <v>58</v>
      </c>
      <c r="N132" s="198" t="str">
        <f>UPPER(IF(M132="","",IF(ISTEXT(L132),L132,IF(AND(L6&gt;0,M132&gt;0),VLOOKUP(L6&amp;M132&amp;J131,'[1]grup-puch'!I$1:J$65536,2,FALSE),""))))</f>
        <v>K4023</v>
      </c>
      <c r="O132" s="199" t="str">
        <f>IF(N132&lt;&gt;"",CONCATENATE(VLOOKUP(N132,[1]zawodnicy!$A$1:$E$65536,2,FALSE)," ",VLOOKUP(N132,[1]zawodnicy!$A$1:$E$65536,3,FALSE)," - ",VLOOKUP(N132,[1]zawodnicy!$A$1:$E$65536,4,FALSE)),"")</f>
        <v>Agnieszka KOPER - KKS Warmia Olsztyn</v>
      </c>
      <c r="P132" s="202"/>
      <c r="Q132" s="203" t="str">
        <f>IF(H131="",I131,H131)</f>
        <v>21:18,21:13</v>
      </c>
      <c r="R132" s="116"/>
      <c r="S132" s="114"/>
      <c r="T132" s="114"/>
      <c r="U132" s="101"/>
    </row>
    <row r="133" spans="1:25" ht="12.75" x14ac:dyDescent="0.2">
      <c r="A133" s="111">
        <f>Q133</f>
        <v>332</v>
      </c>
      <c r="B133" s="2" t="str">
        <f>F131</f>
        <v>K4023</v>
      </c>
      <c r="D133" s="2" t="str">
        <f>F135</f>
        <v>A4292</v>
      </c>
      <c r="F133" s="2" t="str">
        <f>IF(A133=0,IF(AND(LEN(B133)&gt;0,LEN(D133)=0),B133,IF(AND(LEN(D133)&gt;0,LEN(B133)=0),D133,"")),IF((VLOOKUP(A133,'[1]plan gier'!$X$1:$AF$65536,7,FALSE))="","",VLOOKUP(VLOOKUP(A133,'[1]plan gier'!$X$1:$AF$65536,7,FALSE),[1]zawodnicy!$A$1:$E$65536,1,FALSE)))</f>
        <v>A4292</v>
      </c>
      <c r="H133" s="2" t="str">
        <f>IF(A133=0,"",IF((VLOOKUP(A133,'[1]plan gier'!$X$1:$AF$65536,7,FALSE))="","",VLOOKUP(A133,'[1]plan gier'!$X$1:$AF$65536,9,FALSE)))</f>
        <v>21:5,21:1</v>
      </c>
      <c r="I133" s="2" t="str">
        <f>IF(A133=0,"",IF(VLOOKUP(A133,'[1]plan gier'!A$1:S$65536,19,FALSE)="","",VLOOKUP(A133,'[1]plan gier'!A$1:S$65536,19,FALSE)))</f>
        <v>sob 15:50</v>
      </c>
      <c r="J133" s="2" t="str">
        <f>L8</f>
        <v>pojedyncza dziewcząt M</v>
      </c>
      <c r="L133" s="168"/>
      <c r="N133" s="9"/>
      <c r="O133" s="9"/>
      <c r="P133" s="113"/>
      <c r="Q133" s="115">
        <v>332</v>
      </c>
      <c r="R133" s="205" t="str">
        <f>IF(F133="","",VLOOKUP(F133,[1]zawodnicy!$A$1:$D$65536,3,FALSE))</f>
        <v>ADAMEK</v>
      </c>
      <c r="S133" s="2"/>
      <c r="T133" s="2"/>
      <c r="U133" s="101"/>
    </row>
    <row r="134" spans="1:25" ht="12.75" x14ac:dyDescent="0.2">
      <c r="L134" s="168"/>
      <c r="N134" s="9"/>
      <c r="O134" s="9"/>
      <c r="P134" s="113"/>
      <c r="Q134" s="116"/>
      <c r="R134" s="114" t="str">
        <f>IF(H133="",I133,H133)</f>
        <v>21:5,21:1</v>
      </c>
      <c r="S134" s="114"/>
      <c r="T134" s="114"/>
      <c r="U134" s="101"/>
    </row>
    <row r="135" spans="1:25" ht="12.75" x14ac:dyDescent="0.2">
      <c r="A135" s="102">
        <f>P135</f>
        <v>0</v>
      </c>
      <c r="B135" s="2" t="str">
        <f>IF(N135="","",N135)</f>
        <v/>
      </c>
      <c r="D135" s="2" t="str">
        <f>IF(N136="","",N136)</f>
        <v>A4292</v>
      </c>
      <c r="F135" s="2" t="str">
        <f>IF(A135=0,IF(AND(LEN(B135)&gt;0,LEN(D135)=0),VLOOKUP(B135,[1]zawodnicy!$A$1:$E$65536,1,FALSE),IF(AND(LEN(D135)&gt;0,LEN(B135)=0),VLOOKUP(D135,[1]zawodnicy!$A$1:$E$65536,1,FALSE),"")),IF((VLOOKUP(A135,'[1]plan gier'!$X$1:$AF$65536,7,FALSE))="","",VLOOKUP(VLOOKUP(A135,'[1]plan gier'!$X$1:$AF$65536,7,FALSE),[1]zawodnicy!$A$1:$E$65536,1,FALSE)))</f>
        <v>A4292</v>
      </c>
      <c r="H135" s="2" t="str">
        <f>IF(A135=0,"",IF((VLOOKUP(A135,'[1]plan gier'!$X$1:$AF$65536,7,FALSE))="","",VLOOKUP(A135,'[1]plan gier'!$X$1:$AF$65536,9,FALSE)))</f>
        <v/>
      </c>
      <c r="I135" s="2" t="str">
        <f>IF(A135=0,"",IF(VLOOKUP(A135,'[1]plan gier'!A$1:S$65536,19,FALSE)="","",VLOOKUP(A135,'[1]plan gier'!A$1:S$65536,19,FALSE)))</f>
        <v/>
      </c>
      <c r="J135" s="2" t="str">
        <f>L8</f>
        <v>pojedyncza dziewcząt M</v>
      </c>
      <c r="K135" s="95" t="str">
        <f>IF(L7&gt;62,63,"")</f>
        <v/>
      </c>
      <c r="L135" s="201" t="str">
        <f>UPPER(IF(K135="","",IF(ISTEXT(J135),J135,IF(AND(J6&gt;0,K135&gt;0),VLOOKUP(J6&amp;K135&amp;H135,'[3]grup-puch'!G$1:H$65536,2,FALSE),""))))</f>
        <v/>
      </c>
      <c r="M135" s="193" t="str">
        <f>IF(K135="","",MAX(M9:M134)+1)</f>
        <v/>
      </c>
      <c r="N135" s="198" t="str">
        <f>UPPER(IF(M135="","",IF(ISTEXT(L135),L135,IF(AND(L6&gt;0,M135&gt;0),VLOOKUP(L6&amp;M135&amp;J135,'[1]grup-puch'!I$1:J$65536,2,FALSE),""))))</f>
        <v/>
      </c>
      <c r="O135" s="199" t="str">
        <f>IF(N135&lt;&gt;"",CONCATENATE(VLOOKUP(N135,[1]zawodnicy!$A$1:$E$65536,2,FALSE)," ",VLOOKUP(N135,[1]zawodnicy!$A$1:$E$65536,3,FALSE)," - ",VLOOKUP(N135,[1]zawodnicy!$A$1:$E$65536,4,FALSE)),"")</f>
        <v/>
      </c>
      <c r="P135" s="108"/>
      <c r="Q135" s="205" t="str">
        <f>IF(F135="","",VLOOKUP(F135,[1]zawodnicy!$A$1:$D$65536,3,FALSE))</f>
        <v>ADAMEK</v>
      </c>
      <c r="R135" s="170"/>
      <c r="S135" s="229" t="s">
        <v>411</v>
      </c>
      <c r="T135" s="229"/>
      <c r="U135" s="101"/>
    </row>
    <row r="136" spans="1:25" ht="12.75" x14ac:dyDescent="0.2">
      <c r="K136" s="95">
        <f>IF(L7&gt;32,64,"")</f>
        <v>64</v>
      </c>
      <c r="L136" s="207" t="s">
        <v>206</v>
      </c>
      <c r="M136" s="193">
        <f>IF(K136="","",MAX(M9:M135)+1)</f>
        <v>59</v>
      </c>
      <c r="N136" s="198" t="str">
        <f>UPPER(IF(M136="","",IF(ISTEXT(L136),L136,IF(AND(L6&gt;0,M136&gt;0),VLOOKUP(L6&amp;M136&amp;J135,'[1]grup-puch'!I$1:J$65536,2,FALSE),""))))</f>
        <v>A4292</v>
      </c>
      <c r="O136" s="199" t="str">
        <f>IF(N136&lt;&gt;"",CONCATENATE(VLOOKUP(N136,[1]zawodnicy!$A$1:$E$65536,2,FALSE)," ",VLOOKUP(N136,[1]zawodnicy!$A$1:$E$65536,3,FALSE)," - ",VLOOKUP(N136,[1]zawodnicy!$A$1:$E$65536,4,FALSE)),"")</f>
        <v>Wiktoria ADAMEK - UKS Ząbkowice Dąbrowa Górn.</v>
      </c>
      <c r="P136" s="202"/>
      <c r="Q136" s="114" t="str">
        <f>IF(H135="",I135,H135)</f>
        <v/>
      </c>
      <c r="R136" s="214"/>
      <c r="S136" s="229" t="str">
        <f>IF(ISBLANK([1]dane!$D$4),"",[1]dane!$D$4)</f>
        <v>Leszek Jagodziński</v>
      </c>
      <c r="T136" s="229"/>
      <c r="U136" s="101"/>
    </row>
    <row r="138" spans="1:25" ht="12.75" x14ac:dyDescent="0.2">
      <c r="L138" s="194" t="s">
        <v>405</v>
      </c>
      <c r="N138" s="193"/>
      <c r="O138" s="11"/>
      <c r="P138" s="5"/>
    </row>
    <row r="139" spans="1:25" ht="11.45" customHeight="1" x14ac:dyDescent="0.2">
      <c r="L139" s="195" t="s">
        <v>415</v>
      </c>
      <c r="N139" s="277" t="str">
        <f>"Gra "&amp;L139</f>
        <v>Gra pojedyncza chłopców M</v>
      </c>
      <c r="O139" s="277"/>
      <c r="P139" s="277"/>
      <c r="Q139" s="277"/>
      <c r="R139" s="277"/>
      <c r="S139" s="277"/>
      <c r="T139" s="277"/>
      <c r="U139" s="277"/>
    </row>
    <row r="141" spans="1:25" ht="12.75" x14ac:dyDescent="0.2">
      <c r="A141" s="196" t="s">
        <v>407</v>
      </c>
      <c r="L141" s="125"/>
      <c r="M141" s="228" t="s">
        <v>408</v>
      </c>
      <c r="N141" s="229"/>
      <c r="O141" s="229"/>
      <c r="P141" s="229"/>
      <c r="Q141" s="229"/>
      <c r="R141" s="229"/>
      <c r="S141" s="229"/>
      <c r="T141" s="229"/>
      <c r="U141" s="229"/>
      <c r="W141"/>
      <c r="X141"/>
      <c r="Y141"/>
    </row>
    <row r="142" spans="1:25" ht="12.75" x14ac:dyDescent="0.2">
      <c r="L142" s="197">
        <v>52</v>
      </c>
      <c r="O142" s="101"/>
      <c r="P142" s="100"/>
      <c r="Q142" s="101"/>
      <c r="R142" s="101"/>
      <c r="S142" s="101"/>
      <c r="T142" s="101"/>
      <c r="U142" s="101"/>
      <c r="W142"/>
      <c r="X142"/>
      <c r="Y142"/>
    </row>
    <row r="143" spans="1:25" ht="12.75" x14ac:dyDescent="0.2">
      <c r="L143" s="99" t="s">
        <v>415</v>
      </c>
      <c r="M143" s="11"/>
      <c r="P143" s="100"/>
      <c r="Q143" s="101"/>
      <c r="R143" s="101"/>
      <c r="S143" s="101"/>
      <c r="T143" s="101"/>
      <c r="U143" s="101"/>
      <c r="W143"/>
      <c r="X143"/>
      <c r="Y143"/>
    </row>
    <row r="144" spans="1:25" ht="12.75" x14ac:dyDescent="0.2">
      <c r="A144" s="102">
        <f>P144</f>
        <v>0</v>
      </c>
      <c r="B144" s="2" t="str">
        <f>IF(N144="","",N144)</f>
        <v>A4673</v>
      </c>
      <c r="D144" s="2" t="str">
        <f>IF(N145="","",N145)</f>
        <v/>
      </c>
      <c r="F144" s="2" t="str">
        <f>IF(A144=0,IF(AND(LEN(B144)&gt;0,LEN(D144)=0),VLOOKUP(B144,[1]zawodnicy!$A$1:$E$65536,1,FALSE),IF(AND(LEN(D144)&gt;0,LEN(B144)=0),VLOOKUP(D144,[1]zawodnicy!$A$1:$E$65536,1,FALSE),"")),IF((VLOOKUP(A144,'[1]plan gier'!$X$1:$AF$65536,7,FALSE))="","",VLOOKUP(VLOOKUP(A144,'[1]plan gier'!$X$1:$AF$65536,7,FALSE),[1]zawodnicy!$A$1:$E$65536,1,FALSE)))</f>
        <v>A4673</v>
      </c>
      <c r="H144" s="2" t="str">
        <f>IF(A144=0,"",IF((VLOOKUP(A144,'[1]plan gier'!$X$1:$AF$65536,7,FALSE))="","",VLOOKUP(A144,'[1]plan gier'!$X$1:$AF$65536,9,FALSE)))</f>
        <v/>
      </c>
      <c r="I144" s="2" t="str">
        <f>IF(A144=0,"",IF(VLOOKUP(A144,'[1]plan gier'!A$1:S$65536,19,FALSE)="","",VLOOKUP(A144,'[1]plan gier'!A$1:S$65536,19,FALSE)))</f>
        <v/>
      </c>
      <c r="J144" s="2" t="str">
        <f>L143</f>
        <v>pojedyncza chłopców M</v>
      </c>
      <c r="K144" s="95">
        <f>IF(L142&gt;32,1,"")</f>
        <v>1</v>
      </c>
      <c r="L144" s="104" t="s">
        <v>213</v>
      </c>
      <c r="M144" s="193">
        <f>IF(K144="","",1)</f>
        <v>1</v>
      </c>
      <c r="N144" s="198" t="str">
        <f>UPPER(IF(M144="","",IF(ISTEXT(L144),L144,IF(AND(L141&gt;0,M144&gt;0),VLOOKUP(L141&amp;M144&amp;J144,'[1]grup-puch'!I$1:J$65536,2,FALSE),""))))</f>
        <v>A4673</v>
      </c>
      <c r="O144" s="199" t="str">
        <f>IF(N144&lt;&gt;"",CONCATENATE(VLOOKUP(N144,[1]zawodnicy!$A$1:$E$65536,2,FALSE)," ",VLOOKUP(N144,[1]zawodnicy!$A$1:$E$65536,3,FALSE)," - ",VLOOKUP(N144,[1]zawodnicy!$A$1:$E$65536,4,FALSE)),"")</f>
        <v>Szymon ADAMCZUK - UKS Kiko Zamość</v>
      </c>
      <c r="P144" s="108"/>
      <c r="Q144" s="200" t="str">
        <f>IF(F144="","",VLOOKUP(F144,[1]zawodnicy!$A$1:$D$65536,3,FALSE))</f>
        <v>ADAMCZUK</v>
      </c>
      <c r="R144" s="114"/>
      <c r="S144" s="114"/>
      <c r="T144" s="114"/>
      <c r="U144" s="101"/>
      <c r="W144"/>
      <c r="X144"/>
      <c r="Y144"/>
    </row>
    <row r="145" spans="1:25" ht="12.75" x14ac:dyDescent="0.2">
      <c r="K145" s="95" t="str">
        <f>IF(L142&gt;63,2,"")</f>
        <v/>
      </c>
      <c r="L145" s="104"/>
      <c r="M145" s="193" t="str">
        <f>IF(K145="","",2)</f>
        <v/>
      </c>
      <c r="N145" s="198" t="str">
        <f>UPPER(IF(M145="","",IF(ISTEXT(L145),L145,IF(AND(L141&gt;0,M145&gt;0),VLOOKUP(L141&amp;M145&amp;J144,'[1]grup-puch'!I$1:J$65536,2,FALSE),""))))</f>
        <v/>
      </c>
      <c r="O145" s="199" t="str">
        <f>IF(N145&lt;&gt;"",CONCATENATE(VLOOKUP(N145,[1]zawodnicy!$A$1:$E$65536,2,FALSE)," ",VLOOKUP(N145,[1]zawodnicy!$A$1:$E$65536,3,FALSE)," - ",VLOOKUP(N145,[1]zawodnicy!$A$1:$E$65536,4,FALSE)),"")</f>
        <v/>
      </c>
      <c r="P145" s="202"/>
      <c r="Q145" s="203" t="str">
        <f>IF(H144="",I144,H144)</f>
        <v/>
      </c>
      <c r="R145" s="114"/>
      <c r="S145" s="114"/>
      <c r="T145" s="114"/>
      <c r="U145" s="101"/>
      <c r="W145"/>
      <c r="X145"/>
      <c r="Y145"/>
    </row>
    <row r="146" spans="1:25" ht="12.75" x14ac:dyDescent="0.2">
      <c r="A146" s="111">
        <f>Q146</f>
        <v>333</v>
      </c>
      <c r="B146" s="2" t="str">
        <f>F144</f>
        <v>A4673</v>
      </c>
      <c r="D146" s="2" t="str">
        <f>F148</f>
        <v>K5874</v>
      </c>
      <c r="F146" s="2" t="str">
        <f>IF(A146=0,IF(AND(LEN(B146)&gt;0,LEN(D146)=0),B146,IF(AND(LEN(D146)&gt;0,LEN(B146)=0),D146,"")),IF((VLOOKUP(A146,'[1]plan gier'!$X$1:$AF$65536,7,FALSE))="","",VLOOKUP(VLOOKUP(A146,'[1]plan gier'!$X$1:$AF$65536,7,FALSE),[1]zawodnicy!$A$1:$E$65536,1,FALSE)))</f>
        <v>A4673</v>
      </c>
      <c r="H146" s="2" t="str">
        <f>IF(A146=0,"",IF((VLOOKUP(A146,'[1]plan gier'!$X$1:$AF$65536,7,FALSE))="","",VLOOKUP(A146,'[1]plan gier'!$X$1:$AF$65536,9,FALSE)))</f>
        <v>21:7,21:7</v>
      </c>
      <c r="I146" s="2" t="str">
        <f>IF(A146=0,"",IF(VLOOKUP(A146,'[1]plan gier'!A$1:S$65536,19,FALSE)="","",VLOOKUP(A146,'[1]plan gier'!A$1:S$65536,19,FALSE)))</f>
        <v>sob 15:50</v>
      </c>
      <c r="J146" s="2" t="str">
        <f>L143</f>
        <v>pojedyncza chłopców M</v>
      </c>
      <c r="N146" s="9"/>
      <c r="O146" s="9"/>
      <c r="P146" s="113"/>
      <c r="Q146" s="115">
        <v>333</v>
      </c>
      <c r="R146" s="200" t="str">
        <f>IF(F146="","",VLOOKUP(F146,[1]zawodnicy!$A$1:$D$65536,3,FALSE))</f>
        <v>ADAMCZUK</v>
      </c>
      <c r="S146" s="114"/>
      <c r="T146" s="114"/>
      <c r="U146" s="101"/>
      <c r="W146"/>
      <c r="X146"/>
      <c r="Y146"/>
    </row>
    <row r="147" spans="1:25" ht="12.75" x14ac:dyDescent="0.2">
      <c r="N147" s="9"/>
      <c r="O147" s="9"/>
      <c r="P147" s="113"/>
      <c r="Q147" s="116"/>
      <c r="R147" s="203" t="str">
        <f>IF(H146="",I146,H146)</f>
        <v>21:7,21:7</v>
      </c>
      <c r="S147" s="114"/>
      <c r="T147" s="114"/>
      <c r="U147" s="101"/>
      <c r="W147"/>
      <c r="X147"/>
      <c r="Y147"/>
    </row>
    <row r="148" spans="1:25" ht="12.75" x14ac:dyDescent="0.2">
      <c r="A148" s="102">
        <f>P148</f>
        <v>0</v>
      </c>
      <c r="B148" s="2" t="str">
        <f>IF(N148="","",N148)</f>
        <v>K5874</v>
      </c>
      <c r="D148" s="2" t="str">
        <f>IF(N149="","",N149)</f>
        <v/>
      </c>
      <c r="F148" s="2" t="str">
        <f>IF(A148=0,IF(AND(LEN(B148)&gt;0,LEN(D148)=0),VLOOKUP(B148,[1]zawodnicy!$A$1:$E$65536,1,FALSE),IF(AND(LEN(D148)&gt;0,LEN(B148)=0),VLOOKUP(D148,[1]zawodnicy!$A$1:$E$65536,1,FALSE),"")),IF((VLOOKUP(A148,'[1]plan gier'!$X$1:$AF$65536,7,FALSE))="","",VLOOKUP(VLOOKUP(A148,'[1]plan gier'!$X$1:$AF$65536,7,FALSE),[1]zawodnicy!$A$1:$E$65536,1,FALSE)))</f>
        <v>K5874</v>
      </c>
      <c r="H148" s="2" t="str">
        <f>IF(A148=0,"",IF((VLOOKUP(A148,'[1]plan gier'!$X$1:$AF$65536,7,FALSE))="","",VLOOKUP(A148,'[1]plan gier'!$X$1:$AF$65536,9,FALSE)))</f>
        <v/>
      </c>
      <c r="I148" s="2" t="str">
        <f>IF(A148=0,"",IF(VLOOKUP(A148,'[1]plan gier'!A$1:S$65536,19,FALSE)="","",VLOOKUP(A148,'[1]plan gier'!A$1:S$65536,19,FALSE)))</f>
        <v/>
      </c>
      <c r="J148" s="2" t="str">
        <f>L143</f>
        <v>pojedyncza chłopców M</v>
      </c>
      <c r="K148" s="95">
        <f>IF(L142&gt;32,3,"")</f>
        <v>3</v>
      </c>
      <c r="L148" s="104" t="s">
        <v>237</v>
      </c>
      <c r="M148" s="193">
        <f>IF(K148="","",MAX(M144:M147)+1)</f>
        <v>2</v>
      </c>
      <c r="N148" s="198" t="str">
        <f>UPPER(IF(M148="","",IF(ISTEXT(L148),L148,IF(AND(L141&gt;0,M148&gt;0),VLOOKUP(L141&amp;M148&amp;J148,'[1]grup-puch'!I$1:J$65536,2,FALSE),""))))</f>
        <v>K5874</v>
      </c>
      <c r="O148" s="199" t="str">
        <f>IF(N148&lt;&gt;"",CONCATENATE(VLOOKUP(N148,[1]zawodnicy!$A$1:$E$65536,2,FALSE)," ",VLOOKUP(N148,[1]zawodnicy!$A$1:$E$65536,3,FALSE)," - ",VLOOKUP(N148,[1]zawodnicy!$A$1:$E$65536,4,FALSE)),"")</f>
        <v>Maciej KURAN - ----</v>
      </c>
      <c r="P148" s="108"/>
      <c r="Q148" s="205" t="str">
        <f>IF(F148="","",VLOOKUP(F148,[1]zawodnicy!$A$1:$D$65536,3,FALSE))</f>
        <v>KURAN</v>
      </c>
      <c r="R148" s="116"/>
      <c r="S148" s="114"/>
      <c r="T148" s="114"/>
      <c r="U148" s="101"/>
      <c r="W148"/>
      <c r="X148"/>
      <c r="Y148"/>
    </row>
    <row r="149" spans="1:25" ht="12.75" x14ac:dyDescent="0.2">
      <c r="K149" s="95" t="str">
        <f>IF(L142&gt;55,4,"")</f>
        <v/>
      </c>
      <c r="L149" s="104"/>
      <c r="M149" s="193" t="str">
        <f>IF(K149="","",MAX(M144:M148)+1)</f>
        <v/>
      </c>
      <c r="N149" s="198" t="str">
        <f>UPPER(IF(M149="","",IF(ISTEXT(L149),L149,IF(AND(L141&gt;0,M149&gt;0),VLOOKUP(L141&amp;M149&amp;J148,'[1]grup-puch'!I$1:J$65536,2,FALSE),""))))</f>
        <v/>
      </c>
      <c r="O149" s="199" t="str">
        <f>IF(N149&lt;&gt;"",CONCATENATE(VLOOKUP(N149,[1]zawodnicy!$A$1:$E$65536,2,FALSE)," ",VLOOKUP(N149,[1]zawodnicy!$A$1:$E$65536,3,FALSE)," - ",VLOOKUP(N149,[1]zawodnicy!$A$1:$E$65536,4,FALSE)),"")</f>
        <v/>
      </c>
      <c r="P149" s="202"/>
      <c r="Q149" s="114" t="str">
        <f>IF(H148="",I148,H148)</f>
        <v/>
      </c>
      <c r="R149" s="116"/>
      <c r="S149" s="114"/>
      <c r="T149" s="114"/>
      <c r="U149" s="101"/>
      <c r="W149"/>
      <c r="X149"/>
      <c r="Y149"/>
    </row>
    <row r="150" spans="1:25" ht="12.75" x14ac:dyDescent="0.2">
      <c r="A150" s="118">
        <f>R150</f>
        <v>377</v>
      </c>
      <c r="B150" s="2" t="str">
        <f>F146</f>
        <v>A4673</v>
      </c>
      <c r="D150" s="2" t="str">
        <f>F154</f>
        <v>W4701</v>
      </c>
      <c r="F150" s="2" t="str">
        <f>IF(A150=0,IF(AND(LEN(B150)&gt;0,LEN(D150)=0),B150,IF(AND(LEN(D150)&gt;0,LEN(B150)=0),D150,"")),IF((VLOOKUP(A150,'[1]plan gier'!$X$1:$AF$65536,7,FALSE))="","",VLOOKUP(VLOOKUP(A150,'[1]plan gier'!$X$1:$AF$65536,7,FALSE),[1]zawodnicy!$A$1:$E$65536,1,FALSE)))</f>
        <v>A4673</v>
      </c>
      <c r="H150" s="2" t="str">
        <f>IF(A150=0,"",IF((VLOOKUP(A150,'[1]plan gier'!$X$1:$AF$65536,7,FALSE))="","",VLOOKUP(A150,'[1]plan gier'!$X$1:$AF$65536,9,FALSE)))</f>
        <v>21:14,21:13</v>
      </c>
      <c r="I150" s="2" t="str">
        <f>IF(A150=0,"",IF(VLOOKUP(A150,'[1]plan gier'!A$1:S$65536,19,FALSE)="","",VLOOKUP(A150,'[1]plan gier'!A$1:S$65536,19,FALSE)))</f>
        <v>sob 18:10</v>
      </c>
      <c r="J150" s="2" t="str">
        <f>L143</f>
        <v>pojedyncza chłopców M</v>
      </c>
      <c r="N150" s="9"/>
      <c r="O150" s="9"/>
      <c r="P150" s="113"/>
      <c r="Q150" s="114"/>
      <c r="R150" s="206">
        <v>377</v>
      </c>
      <c r="S150" s="200" t="str">
        <f>IF(F150="","",VLOOKUP(F150,[1]zawodnicy!$A$1:$D$65536,3,FALSE))</f>
        <v>ADAMCZUK</v>
      </c>
      <c r="T150" s="114"/>
      <c r="U150" s="101"/>
      <c r="W150"/>
      <c r="X150"/>
      <c r="Y150"/>
    </row>
    <row r="151" spans="1:25" ht="12.75" x14ac:dyDescent="0.2">
      <c r="N151" s="9"/>
      <c r="O151" s="9"/>
      <c r="P151" s="113"/>
      <c r="Q151" s="114"/>
      <c r="R151" s="116"/>
      <c r="S151" s="203" t="str">
        <f>IF(H150="",I150,H150)</f>
        <v>21:14,21:13</v>
      </c>
      <c r="T151" s="114"/>
      <c r="U151" s="101"/>
      <c r="W151"/>
      <c r="X151"/>
      <c r="Y151"/>
    </row>
    <row r="152" spans="1:25" ht="12.75" x14ac:dyDescent="0.2">
      <c r="A152" s="102">
        <f>P152</f>
        <v>28</v>
      </c>
      <c r="B152" s="2" t="str">
        <f>IF(N152="","",N152)</f>
        <v>L4473</v>
      </c>
      <c r="D152" s="2" t="str">
        <f>IF(N153="","",N153)</f>
        <v>S5541</v>
      </c>
      <c r="F152" s="2" t="str">
        <f>IF(A152=0,IF(AND(LEN(B152)&gt;0,LEN(D152)=0),VLOOKUP(B152,[1]zawodnicy!$A$1:$E$65536,1,FALSE),IF(AND(LEN(D152)&gt;0,LEN(B152)=0),VLOOKUP(D152,[1]zawodnicy!$A$1:$E$65536,1,FALSE),"")),IF((VLOOKUP(A152,'[1]plan gier'!$X$1:$AF$65536,7,FALSE))="","",VLOOKUP(VLOOKUP(A152,'[1]plan gier'!$X$1:$AF$65536,7,FALSE),[1]zawodnicy!$A$1:$E$65536,1,FALSE)))</f>
        <v>L4473</v>
      </c>
      <c r="H152" s="2" t="str">
        <f>IF(A152=0,"",IF((VLOOKUP(A152,'[1]plan gier'!$X$1:$AF$65536,7,FALSE))="","",VLOOKUP(A152,'[1]plan gier'!$X$1:$AF$65536,9,FALSE)))</f>
        <v>21:11,21:8</v>
      </c>
      <c r="I152" s="2" t="str">
        <f>IF(A152=0,"",IF(VLOOKUP(A152,'[1]plan gier'!A$1:S$65536,19,FALSE)="","",VLOOKUP(A152,'[1]plan gier'!A$1:S$65536,19,FALSE)))</f>
        <v>pt 11:10</v>
      </c>
      <c r="J152" s="2" t="str">
        <f>L143</f>
        <v>pojedyncza chłopców M</v>
      </c>
      <c r="K152" s="95">
        <f>IF(L142&gt;32,5,"")</f>
        <v>5</v>
      </c>
      <c r="L152" s="104" t="s">
        <v>235</v>
      </c>
      <c r="M152" s="193">
        <f>IF(K152="","",MAX(M144:M151)+1)</f>
        <v>3</v>
      </c>
      <c r="N152" s="198" t="str">
        <f>UPPER(IF(M152="","",IF(ISTEXT(L152),L152,IF(AND(L141&gt;0,M152&gt;0),VLOOKUP(L141&amp;M152&amp;J152,'[1]grup-puch'!I$1:J$65536,2,FALSE),""))))</f>
        <v>L4473</v>
      </c>
      <c r="O152" s="199" t="str">
        <f>IF(N152&lt;&gt;"",CONCATENATE(VLOOKUP(N152,[1]zawodnicy!$A$1:$E$65536,2,FALSE)," ",VLOOKUP(N152,[1]zawodnicy!$A$1:$E$65536,3,FALSE)," - ",VLOOKUP(N152,[1]zawodnicy!$A$1:$E$65536,4,FALSE)),"")</f>
        <v>Jan LEWANDOWSKI - BKS Kolejarz Częstochowa</v>
      </c>
      <c r="P152" s="108">
        <v>28</v>
      </c>
      <c r="Q152" s="200" t="str">
        <f>IF(F152="","",VLOOKUP(F152,[1]zawodnicy!$A$1:$D$65536,3,FALSE))</f>
        <v>LEWANDOWSKI</v>
      </c>
      <c r="R152" s="116"/>
      <c r="S152" s="116"/>
      <c r="T152" s="114"/>
      <c r="U152" s="101"/>
      <c r="W152"/>
      <c r="X152"/>
      <c r="Y152"/>
    </row>
    <row r="153" spans="1:25" ht="12.75" x14ac:dyDescent="0.2">
      <c r="K153" s="95">
        <f>IF(L142&gt;47,6,"")</f>
        <v>6</v>
      </c>
      <c r="L153" s="104" t="s">
        <v>218</v>
      </c>
      <c r="M153" s="193">
        <f>IF(K153="","",MAX(M144:M152)+1)</f>
        <v>4</v>
      </c>
      <c r="N153" s="198" t="str">
        <f>UPPER(IF(M153="","",IF(ISTEXT(L153),L153,IF(AND(L141&gt;0,M153&gt;0),VLOOKUP(L141&amp;M153&amp;J152,'[1]grup-puch'!I$1:J$65536,2,FALSE),""))))</f>
        <v>S5541</v>
      </c>
      <c r="O153" s="199" t="str">
        <f>IF(N153&lt;&gt;"",CONCATENATE(VLOOKUP(N153,[1]zawodnicy!$A$1:$E$65536,2,FALSE)," ",VLOOKUP(N153,[1]zawodnicy!$A$1:$E$65536,3,FALSE)," - ",VLOOKUP(N153,[1]zawodnicy!$A$1:$E$65536,4,FALSE)),"")</f>
        <v>Kamil SOKOŁOWSKI - KS Masovia Płock</v>
      </c>
      <c r="P153" s="202"/>
      <c r="Q153" s="203" t="str">
        <f>IF(H152="",I152,H152)</f>
        <v>21:11,21:8</v>
      </c>
      <c r="R153" s="116"/>
      <c r="S153" s="116"/>
      <c r="T153" s="114"/>
      <c r="U153" s="101"/>
      <c r="W153"/>
      <c r="X153"/>
      <c r="Y153"/>
    </row>
    <row r="154" spans="1:25" ht="12.75" x14ac:dyDescent="0.2">
      <c r="A154" s="111">
        <f>Q154</f>
        <v>334</v>
      </c>
      <c r="B154" s="2" t="str">
        <f>F152</f>
        <v>L4473</v>
      </c>
      <c r="D154" s="2" t="str">
        <f>F156</f>
        <v>W4701</v>
      </c>
      <c r="F154" s="2" t="str">
        <f>IF(A154=0,IF(AND(LEN(B154)&gt;0,LEN(D154)=0),B154,IF(AND(LEN(D154)&gt;0,LEN(B154)=0),D154,"")),IF((VLOOKUP(A154,'[1]plan gier'!$X$1:$AF$65536,7,FALSE))="","",VLOOKUP(VLOOKUP(A154,'[1]plan gier'!$X$1:$AF$65536,7,FALSE),[1]zawodnicy!$A$1:$E$65536,1,FALSE)))</f>
        <v>W4701</v>
      </c>
      <c r="H154" s="2" t="str">
        <f>IF(A154=0,"",IF((VLOOKUP(A154,'[1]plan gier'!$X$1:$AF$65536,7,FALSE))="","",VLOOKUP(A154,'[1]plan gier'!$X$1:$AF$65536,9,FALSE)))</f>
        <v>21:17,21:10</v>
      </c>
      <c r="I154" s="2" t="str">
        <f>IF(A154=0,"",IF(VLOOKUP(A154,'[1]plan gier'!A$1:S$65536,19,FALSE)="","",VLOOKUP(A154,'[1]plan gier'!A$1:S$65536,19,FALSE)))</f>
        <v>sob 15:50</v>
      </c>
      <c r="J154" s="2" t="str">
        <f>L143</f>
        <v>pojedyncza chłopców M</v>
      </c>
      <c r="M154" s="193" t="str">
        <f>IF(K154="","",MAX(M144:M153)+1)</f>
        <v/>
      </c>
      <c r="N154" s="9"/>
      <c r="O154" s="9"/>
      <c r="P154" s="113"/>
      <c r="Q154" s="115">
        <v>334</v>
      </c>
      <c r="R154" s="205" t="str">
        <f>IF(F154="","",VLOOKUP(F154,[1]zawodnicy!$A$1:$D$65536,3,FALSE))</f>
        <v>WRÓBEL</v>
      </c>
      <c r="S154" s="116"/>
      <c r="T154" s="114"/>
      <c r="U154" s="101"/>
      <c r="W154"/>
      <c r="X154"/>
      <c r="Y154"/>
    </row>
    <row r="155" spans="1:25" ht="12.75" x14ac:dyDescent="0.2">
      <c r="M155" s="193" t="str">
        <f>IF(K155="","",MAX(M144:M154)+1)</f>
        <v/>
      </c>
      <c r="N155" s="9"/>
      <c r="O155" s="9"/>
      <c r="P155" s="113"/>
      <c r="Q155" s="116"/>
      <c r="R155" s="114" t="str">
        <f>IF(H154="",I154,H154)</f>
        <v>21:17,21:10</v>
      </c>
      <c r="S155" s="116"/>
      <c r="T155" s="114"/>
      <c r="U155" s="101"/>
      <c r="W155"/>
      <c r="X155"/>
      <c r="Y155"/>
    </row>
    <row r="156" spans="1:25" ht="12.75" x14ac:dyDescent="0.2">
      <c r="A156" s="102">
        <f>P156</f>
        <v>29</v>
      </c>
      <c r="B156" s="2" t="str">
        <f>IF(N156="","",N156)</f>
        <v>P4726</v>
      </c>
      <c r="D156" s="2" t="str">
        <f>IF(N157="","",N157)</f>
        <v>W4701</v>
      </c>
      <c r="F156" s="2" t="str">
        <f>IF(A156=0,IF(AND(LEN(B156)&gt;0,LEN(D156)=0),VLOOKUP(B156,[1]zawodnicy!$A$1:$E$65536,1,FALSE),IF(AND(LEN(D156)&gt;0,LEN(B156)=0),VLOOKUP(D156,[1]zawodnicy!$A$1:$E$65536,1,FALSE),"")),IF((VLOOKUP(A156,'[1]plan gier'!$X$1:$AF$65536,7,FALSE))="","",VLOOKUP(VLOOKUP(A156,'[1]plan gier'!$X$1:$AF$65536,7,FALSE),[1]zawodnicy!$A$1:$E$65536,1,FALSE)))</f>
        <v>W4701</v>
      </c>
      <c r="H156" s="2" t="str">
        <f>IF(A156=0,"",IF((VLOOKUP(A156,'[1]plan gier'!$X$1:$AF$65536,7,FALSE))="","",VLOOKUP(A156,'[1]plan gier'!$X$1:$AF$65536,9,FALSE)))</f>
        <v>21:5,21:4</v>
      </c>
      <c r="I156" s="2" t="str">
        <f>IF(A156=0,"",IF(VLOOKUP(A156,'[1]plan gier'!A$1:S$65536,19,FALSE)="","",VLOOKUP(A156,'[1]plan gier'!A$1:S$65536,19,FALSE)))</f>
        <v>pt 11:10</v>
      </c>
      <c r="J156" s="2" t="str">
        <f>L143</f>
        <v>pojedyncza chłopców M</v>
      </c>
      <c r="K156" s="95">
        <f>IF(L142&gt;32,7,"")</f>
        <v>7</v>
      </c>
      <c r="L156" s="104" t="s">
        <v>230</v>
      </c>
      <c r="M156" s="193">
        <f>IF(K156="","",MAX(M144:M155)+1)</f>
        <v>5</v>
      </c>
      <c r="N156" s="198" t="str">
        <f>UPPER(IF(M156="","",IF(ISTEXT(L156),L156,IF(AND(L141&gt;0,M156&gt;0),VLOOKUP(L141&amp;M156&amp;J156,'[1]grup-puch'!I$1:J$65536,2,FALSE),""))))</f>
        <v>P4726</v>
      </c>
      <c r="O156" s="199" t="str">
        <f>IF(N156&lt;&gt;"",CONCATENATE(VLOOKUP(N156,[1]zawodnicy!$A$1:$E$65536,2,FALSE)," ",VLOOKUP(N156,[1]zawodnicy!$A$1:$E$65536,3,FALSE)," - ",VLOOKUP(N156,[1]zawodnicy!$A$1:$E$65536,4,FALSE)),"")</f>
        <v>Paweł POLAKOWSKI - UKS Hubal Białystok</v>
      </c>
      <c r="P156" s="108">
        <v>29</v>
      </c>
      <c r="Q156" s="205" t="str">
        <f>IF(F156="","",VLOOKUP(F156,[1]zawodnicy!$A$1:$D$65536,3,FALSE))</f>
        <v>WRÓBEL</v>
      </c>
      <c r="R156" s="114"/>
      <c r="S156" s="116"/>
      <c r="T156" s="114"/>
      <c r="U156" s="101"/>
      <c r="W156"/>
      <c r="X156"/>
      <c r="Y156"/>
    </row>
    <row r="157" spans="1:25" ht="12.75" x14ac:dyDescent="0.2">
      <c r="K157" s="95">
        <f>IF(L142&gt;39,8,"")</f>
        <v>8</v>
      </c>
      <c r="L157" s="104" t="s">
        <v>264</v>
      </c>
      <c r="M157" s="193">
        <f>IF(K157="","",MAX(M144:M156)+1)</f>
        <v>6</v>
      </c>
      <c r="N157" s="198" t="str">
        <f>UPPER(IF(M157="","",IF(ISTEXT(L157),L157,IF(AND(L141&gt;0,M157&gt;0),VLOOKUP(L141&amp;M157&amp;J156,'[1]grup-puch'!I$1:J$65536,2,FALSE),""))))</f>
        <v>W4701</v>
      </c>
      <c r="O157" s="199" t="str">
        <f>IF(N157&lt;&gt;"",CONCATENATE(VLOOKUP(N157,[1]zawodnicy!$A$1:$E$65536,2,FALSE)," ",VLOOKUP(N157,[1]zawodnicy!$A$1:$E$65536,3,FALSE)," - ",VLOOKUP(N157,[1]zawodnicy!$A$1:$E$65536,4,FALSE)),"")</f>
        <v>Radosław WRÓBEL - KB Vol-Trick Kępno</v>
      </c>
      <c r="P157" s="202"/>
      <c r="Q157" s="114" t="str">
        <f>IF(H156="",I156,H156)</f>
        <v>21:5,21:4</v>
      </c>
      <c r="R157" s="114"/>
      <c r="S157" s="116"/>
      <c r="T157" s="114"/>
      <c r="U157" s="101"/>
      <c r="W157"/>
      <c r="X157"/>
      <c r="Y157"/>
    </row>
    <row r="158" spans="1:25" ht="12.75" x14ac:dyDescent="0.2">
      <c r="A158" s="172">
        <f>S158</f>
        <v>433</v>
      </c>
      <c r="B158" s="2" t="str">
        <f>F150</f>
        <v>A4673</v>
      </c>
      <c r="D158" s="2" t="str">
        <f>F166</f>
        <v>K4283</v>
      </c>
      <c r="F158" s="2" t="str">
        <f>IF(A158=0,IF(AND(LEN(B158)&gt;0,LEN(D158)=0),B158,IF(AND(LEN(D158)&gt;0,LEN(B158)=0),D158,"")),IF((VLOOKUP(A158,'[1]plan gier'!$X$1:$AF$65536,7,FALSE))="","",VLOOKUP(VLOOKUP(A158,'[1]plan gier'!$X$1:$AF$65536,7,FALSE),[1]zawodnicy!$A$1:$E$65536,1,FALSE)))</f>
        <v>K4283</v>
      </c>
      <c r="H158" s="2" t="str">
        <f>IF(A158=0,"",IF((VLOOKUP(A158,'[1]plan gier'!$X$1:$AF$65536,7,FALSE))="","",VLOOKUP(A158,'[1]plan gier'!$X$1:$AF$65536,9,FALSE)))</f>
        <v>21:16,21:9</v>
      </c>
      <c r="I158" s="2" t="str">
        <f>IF(A158=0,"",IF(VLOOKUP(A158,'[1]plan gier'!A$1:S$65536,19,FALSE)="","",VLOOKUP(A158,'[1]plan gier'!A$1:S$65536,19,FALSE)))</f>
        <v>nie 10:00</v>
      </c>
      <c r="J158" s="2" t="str">
        <f>L143</f>
        <v>pojedyncza chłopców M</v>
      </c>
      <c r="M158" s="193" t="str">
        <f>IF(K158="","",MAX(M144:M157)+1)</f>
        <v/>
      </c>
      <c r="N158" s="9"/>
      <c r="O158" s="9"/>
      <c r="P158" s="113"/>
      <c r="Q158" s="114"/>
      <c r="R158" s="114"/>
      <c r="S158" s="115">
        <v>433</v>
      </c>
      <c r="T158" s="200" t="str">
        <f>IF(F158="","",VLOOKUP(F158,[1]zawodnicy!$A$1:$D$65536,3,FALSE))</f>
        <v>KRUKOWSKI</v>
      </c>
      <c r="U158" s="101"/>
      <c r="W158"/>
      <c r="X158"/>
      <c r="Y158"/>
    </row>
    <row r="159" spans="1:25" ht="12.75" x14ac:dyDescent="0.2">
      <c r="M159" s="193" t="str">
        <f>IF(K159="","",MAX(M144:M158)+1)</f>
        <v/>
      </c>
      <c r="N159" s="9"/>
      <c r="O159" s="9"/>
      <c r="P159" s="113"/>
      <c r="Q159" s="114"/>
      <c r="R159" s="114"/>
      <c r="S159" s="116"/>
      <c r="T159" s="203" t="str">
        <f>IF(H158="",I158,H158)</f>
        <v>21:16,21:9</v>
      </c>
      <c r="U159" s="101"/>
      <c r="W159"/>
      <c r="X159"/>
      <c r="Y159"/>
    </row>
    <row r="160" spans="1:25" ht="12.75" x14ac:dyDescent="0.2">
      <c r="A160" s="102">
        <f>P160</f>
        <v>0</v>
      </c>
      <c r="B160" s="2" t="str">
        <f>IF(N160="","",N160)</f>
        <v>Ś5003</v>
      </c>
      <c r="D160" s="2" t="str">
        <f>IF(N161="","",N161)</f>
        <v/>
      </c>
      <c r="F160" s="2" t="str">
        <f>IF(A160=0,IF(AND(LEN(B160)&gt;0,LEN(D160)=0),VLOOKUP(B160,[1]zawodnicy!$A$1:$E$65536,1,FALSE),IF(AND(LEN(D160)&gt;0,LEN(B160)=0),VLOOKUP(D160,[1]zawodnicy!$A$1:$E$65536,1,FALSE),"")),IF((VLOOKUP(A160,'[1]plan gier'!$X$1:$AF$65536,7,FALSE))="","",VLOOKUP(VLOOKUP(A160,'[1]plan gier'!$X$1:$AF$65536,7,FALSE),[1]zawodnicy!$A$1:$E$65536,1,FALSE)))</f>
        <v>Ś5003</v>
      </c>
      <c r="H160" s="2" t="str">
        <f>IF(A160=0,"",IF((VLOOKUP(A160,'[1]plan gier'!$X$1:$AF$65536,7,FALSE))="","",VLOOKUP(A160,'[1]plan gier'!$X$1:$AF$65536,9,FALSE)))</f>
        <v/>
      </c>
      <c r="I160" s="2" t="str">
        <f>IF(A160=0,"",IF(VLOOKUP(A160,'[1]plan gier'!A$1:S$65536,19,FALSE)="","",VLOOKUP(A160,'[1]plan gier'!A$1:S$65536,19,FALSE)))</f>
        <v/>
      </c>
      <c r="J160" s="2" t="str">
        <f>L143</f>
        <v>pojedyncza chłopców M</v>
      </c>
      <c r="K160" s="95">
        <f>IF(L142&gt;32,9,"")</f>
        <v>9</v>
      </c>
      <c r="L160" s="104" t="s">
        <v>266</v>
      </c>
      <c r="M160" s="193">
        <f>IF(K160="","",MAX(M144:M159)+1)</f>
        <v>7</v>
      </c>
      <c r="N160" s="198" t="str">
        <f>UPPER(IF(M160="","",IF(ISTEXT(L160),L160,IF(AND(L141&gt;0,M160&gt;0),VLOOKUP(L141&amp;M160&amp;J160,'[1]grup-puch'!I$1:J$65536,2,FALSE),""))))</f>
        <v>Ś5003</v>
      </c>
      <c r="O160" s="199" t="str">
        <f>IF(N160&lt;&gt;"",CONCATENATE(VLOOKUP(N160,[1]zawodnicy!$A$1:$E$65536,2,FALSE)," ",VLOOKUP(N160,[1]zawodnicy!$A$1:$E$65536,3,FALSE)," - ",VLOOKUP(N160,[1]zawodnicy!$A$1:$E$65536,4,FALSE)),"")</f>
        <v>Norbert ŚWIERK - UKS Aktywna Piątka Przemyśl</v>
      </c>
      <c r="P160" s="108"/>
      <c r="Q160" s="200" t="str">
        <f>IF(F160="","",VLOOKUP(F160,[1]zawodnicy!$A$1:$D$65536,3,FALSE))</f>
        <v>ŚWIERK</v>
      </c>
      <c r="R160" s="114"/>
      <c r="S160" s="116"/>
      <c r="T160" s="116"/>
      <c r="U160" s="101"/>
      <c r="W160"/>
      <c r="X160"/>
      <c r="Y160"/>
    </row>
    <row r="161" spans="1:25" ht="12.75" x14ac:dyDescent="0.2">
      <c r="K161" s="95" t="str">
        <f>IF(L142&gt;59,10,"")</f>
        <v/>
      </c>
      <c r="L161" s="104"/>
      <c r="M161" s="193" t="str">
        <f>IF(K161="","",MAX(M144:M160)+1)</f>
        <v/>
      </c>
      <c r="N161" s="198" t="str">
        <f>UPPER(IF(M161="","",IF(ISTEXT(L161),L161,IF(AND(L141&gt;0,M161&gt;0),VLOOKUP(L141&amp;M161&amp;J160,'[1]grup-puch'!I$1:J$65536,2,FALSE),""))))</f>
        <v/>
      </c>
      <c r="O161" s="199" t="str">
        <f>IF(N161&lt;&gt;"",CONCATENATE(VLOOKUP(N161,[1]zawodnicy!$A$1:$E$65536,2,FALSE)," ",VLOOKUP(N161,[1]zawodnicy!$A$1:$E$65536,3,FALSE)," - ",VLOOKUP(N161,[1]zawodnicy!$A$1:$E$65536,4,FALSE)),"")</f>
        <v/>
      </c>
      <c r="P161" s="202"/>
      <c r="Q161" s="203" t="str">
        <f>IF(H160="",I160,H160)</f>
        <v/>
      </c>
      <c r="R161" s="114"/>
      <c r="S161" s="116"/>
      <c r="T161" s="116"/>
      <c r="U161" s="101"/>
      <c r="W161"/>
      <c r="X161"/>
      <c r="Y161"/>
    </row>
    <row r="162" spans="1:25" ht="12.75" x14ac:dyDescent="0.2">
      <c r="A162" s="111">
        <f>Q162</f>
        <v>335</v>
      </c>
      <c r="B162" s="2" t="str">
        <f>F160</f>
        <v>Ś5003</v>
      </c>
      <c r="D162" s="2" t="str">
        <f>F164</f>
        <v>K4283</v>
      </c>
      <c r="F162" s="2" t="str">
        <f>IF(A162=0,IF(AND(LEN(B162)&gt;0,LEN(D162)=0),B162,IF(AND(LEN(D162)&gt;0,LEN(B162)=0),D162,"")),IF((VLOOKUP(A162,'[1]plan gier'!$X$1:$AF$65536,7,FALSE))="","",VLOOKUP(VLOOKUP(A162,'[1]plan gier'!$X$1:$AF$65536,7,FALSE),[1]zawodnicy!$A$1:$E$65536,1,FALSE)))</f>
        <v>K4283</v>
      </c>
      <c r="H162" s="2" t="str">
        <f>IF(A162=0,"",IF((VLOOKUP(A162,'[1]plan gier'!$X$1:$AF$65536,7,FALSE))="","",VLOOKUP(A162,'[1]plan gier'!$X$1:$AF$65536,9,FALSE)))</f>
        <v>21:16,16:21,21:10</v>
      </c>
      <c r="I162" s="2" t="str">
        <f>IF(A162=0,"",IF(VLOOKUP(A162,'[1]plan gier'!A$1:S$65536,19,FALSE)="","",VLOOKUP(A162,'[1]plan gier'!A$1:S$65536,19,FALSE)))</f>
        <v>sob 15:50</v>
      </c>
      <c r="J162" s="2" t="str">
        <f>L143</f>
        <v>pojedyncza chłopców M</v>
      </c>
      <c r="M162" s="193" t="str">
        <f>IF(K162="","",MAX(M144:M161)+1)</f>
        <v/>
      </c>
      <c r="N162" s="9"/>
      <c r="O162" s="9"/>
      <c r="P162" s="113"/>
      <c r="Q162" s="115">
        <v>335</v>
      </c>
      <c r="R162" s="200" t="str">
        <f>IF(F162="","",VLOOKUP(F162,[1]zawodnicy!$A$1:$D$65536,3,FALSE))</f>
        <v>KRUKOWSKI</v>
      </c>
      <c r="S162" s="116"/>
      <c r="T162" s="116"/>
      <c r="U162" s="101"/>
      <c r="W162"/>
      <c r="X162"/>
      <c r="Y162"/>
    </row>
    <row r="163" spans="1:25" ht="12.75" x14ac:dyDescent="0.2">
      <c r="M163" s="193" t="str">
        <f>IF(K163="","",MAX(M144:M162)+1)</f>
        <v/>
      </c>
      <c r="N163" s="9"/>
      <c r="O163" s="9"/>
      <c r="P163" s="113"/>
      <c r="Q163" s="116"/>
      <c r="R163" s="203" t="str">
        <f>IF(H162="",I162,H162)</f>
        <v>21:16,16:21,21:10</v>
      </c>
      <c r="S163" s="116"/>
      <c r="T163" s="116"/>
      <c r="U163" s="101"/>
      <c r="W163"/>
      <c r="X163"/>
      <c r="Y163"/>
    </row>
    <row r="164" spans="1:25" ht="12.75" x14ac:dyDescent="0.2">
      <c r="A164" s="102">
        <f>P164</f>
        <v>30</v>
      </c>
      <c r="B164" s="2" t="str">
        <f>IF(N164="","",N164)</f>
        <v>K4283</v>
      </c>
      <c r="D164" s="2" t="str">
        <f>IF(N165="","",N165)</f>
        <v>K4563</v>
      </c>
      <c r="F164" s="2" t="str">
        <f>IF(A164=0,IF(AND(LEN(B164)&gt;0,LEN(D164)=0),VLOOKUP(B164,[1]zawodnicy!$A$1:$E$65536,1,FALSE),IF(AND(LEN(D164)&gt;0,LEN(B164)=0),VLOOKUP(D164,[1]zawodnicy!$A$1:$E$65536,1,FALSE),"")),IF((VLOOKUP(A164,'[1]plan gier'!$X$1:$AF$65536,7,FALSE))="","",VLOOKUP(VLOOKUP(A164,'[1]plan gier'!$X$1:$AF$65536,7,FALSE),[1]zawodnicy!$A$1:$E$65536,1,FALSE)))</f>
        <v>K4283</v>
      </c>
      <c r="H164" s="2" t="str">
        <f>IF(A164=0,"",IF((VLOOKUP(A164,'[1]plan gier'!$X$1:$AF$65536,7,FALSE))="","",VLOOKUP(A164,'[1]plan gier'!$X$1:$AF$65536,9,FALSE)))</f>
        <v>21:14,21:19</v>
      </c>
      <c r="I164" s="2" t="str">
        <f>IF(A164=0,"",IF(VLOOKUP(A164,'[1]plan gier'!A$1:S$65536,19,FALSE)="","",VLOOKUP(A164,'[1]plan gier'!A$1:S$65536,19,FALSE)))</f>
        <v>pt 11:10</v>
      </c>
      <c r="J164" s="2" t="str">
        <f>L143</f>
        <v>pojedyncza chłopców M</v>
      </c>
      <c r="K164" s="95">
        <f>IF(L142&gt;32,11,"")</f>
        <v>11</v>
      </c>
      <c r="L164" s="104" t="s">
        <v>233</v>
      </c>
      <c r="M164" s="193">
        <f>IF(K164="","",MAX(M144:M163)+1)</f>
        <v>8</v>
      </c>
      <c r="N164" s="198" t="str">
        <f>UPPER(IF(M164="","",IF(ISTEXT(L164),L164,IF(AND(L141&gt;0,M164&gt;0),VLOOKUP(L141&amp;M164&amp;J164,'[1]grup-puch'!I$1:J$65536,2,FALSE),""))))</f>
        <v>K4283</v>
      </c>
      <c r="O164" s="199" t="str">
        <f>IF(N164&lt;&gt;"",CONCATENATE(VLOOKUP(N164,[1]zawodnicy!$A$1:$E$65536,2,FALSE)," ",VLOOKUP(N164,[1]zawodnicy!$A$1:$E$65536,3,FALSE)," - ",VLOOKUP(N164,[1]zawodnicy!$A$1:$E$65536,4,FALSE)),"")</f>
        <v>Filip KRUKOWSKI - SKB Suwałki</v>
      </c>
      <c r="P164" s="108">
        <v>30</v>
      </c>
      <c r="Q164" s="205" t="str">
        <f>IF(F164="","",VLOOKUP(F164,[1]zawodnicy!$A$1:$D$65536,3,FALSE))</f>
        <v>KRUKOWSKI</v>
      </c>
      <c r="R164" s="116"/>
      <c r="S164" s="116"/>
      <c r="T164" s="116"/>
      <c r="U164" s="101"/>
      <c r="W164"/>
      <c r="X164"/>
      <c r="Y164"/>
    </row>
    <row r="165" spans="1:25" ht="12.75" x14ac:dyDescent="0.2">
      <c r="K165" s="95">
        <f>IF(L142&gt;51,12,"")</f>
        <v>12</v>
      </c>
      <c r="L165" s="104" t="s">
        <v>252</v>
      </c>
      <c r="M165" s="193">
        <f>IF(K165="","",MAX(M144:M164)+1)</f>
        <v>9</v>
      </c>
      <c r="N165" s="198" t="str">
        <f>UPPER(IF(M165="","",IF(ISTEXT(L165),L165,IF(AND(L141&gt;0,M165&gt;0),VLOOKUP(L141&amp;M165&amp;J164,'[1]grup-puch'!I$1:J$65536,2,FALSE),""))))</f>
        <v>K4563</v>
      </c>
      <c r="O165" s="199" t="str">
        <f>IF(N165&lt;&gt;"",CONCATENATE(VLOOKUP(N165,[1]zawodnicy!$A$1:$E$65536,2,FALSE)," ",VLOOKUP(N165,[1]zawodnicy!$A$1:$E$65536,3,FALSE)," - ",VLOOKUP(N165,[1]zawodnicy!$A$1:$E$65536,4,FALSE)),"")</f>
        <v>Kordian KOBYLNIK - LKS Technik Głubczyce</v>
      </c>
      <c r="P165" s="202"/>
      <c r="Q165" s="114" t="str">
        <f>IF(H164="",I164,H164)</f>
        <v>21:14,21:19</v>
      </c>
      <c r="R165" s="116"/>
      <c r="S165" s="116"/>
      <c r="T165" s="116"/>
      <c r="U165" s="101"/>
      <c r="W165"/>
      <c r="X165"/>
      <c r="Y165"/>
    </row>
    <row r="166" spans="1:25" ht="12.75" x14ac:dyDescent="0.2">
      <c r="A166" s="118">
        <f>R166</f>
        <v>378</v>
      </c>
      <c r="B166" s="2" t="str">
        <f>F162</f>
        <v>K4283</v>
      </c>
      <c r="D166" s="2" t="str">
        <f>F170</f>
        <v>W4657</v>
      </c>
      <c r="F166" s="2" t="str">
        <f>IF(A166=0,IF(AND(LEN(B166)&gt;0,LEN(D166)=0),B166,IF(AND(LEN(D166)&gt;0,LEN(B166)=0),D166,"")),IF((VLOOKUP(A166,'[1]plan gier'!$X$1:$AF$65536,7,FALSE))="","",VLOOKUP(VLOOKUP(A166,'[1]plan gier'!$X$1:$AF$65536,7,FALSE),[1]zawodnicy!$A$1:$E$65536,1,FALSE)))</f>
        <v>K4283</v>
      </c>
      <c r="H166" s="2" t="str">
        <f>IF(A166=0,"",IF((VLOOKUP(A166,'[1]plan gier'!$X$1:$AF$65536,7,FALSE))="","",VLOOKUP(A166,'[1]plan gier'!$X$1:$AF$65536,9,FALSE)))</f>
        <v>21:14,21:9</v>
      </c>
      <c r="I166" s="2" t="str">
        <f>IF(A166=0,"",IF(VLOOKUP(A166,'[1]plan gier'!A$1:S$65536,19,FALSE)="","",VLOOKUP(A166,'[1]plan gier'!A$1:S$65536,19,FALSE)))</f>
        <v>sob 18:10</v>
      </c>
      <c r="J166" s="2" t="str">
        <f>L143</f>
        <v>pojedyncza chłopców M</v>
      </c>
      <c r="M166" s="193" t="str">
        <f>IF(K166="","",MAX(M144:M165)+1)</f>
        <v/>
      </c>
      <c r="N166" s="9"/>
      <c r="O166" s="9"/>
      <c r="P166" s="113"/>
      <c r="Q166" s="114"/>
      <c r="R166" s="206">
        <v>378</v>
      </c>
      <c r="S166" s="205" t="str">
        <f>IF(F166="","",VLOOKUP(F166,[1]zawodnicy!$A$1:$D$65536,3,FALSE))</f>
        <v>KRUKOWSKI</v>
      </c>
      <c r="T166" s="116"/>
      <c r="U166" s="101"/>
      <c r="W166"/>
      <c r="X166"/>
      <c r="Y166"/>
    </row>
    <row r="167" spans="1:25" ht="12.75" x14ac:dyDescent="0.2">
      <c r="M167" s="193" t="str">
        <f>IF(K167="","",MAX(M144:M166)+1)</f>
        <v/>
      </c>
      <c r="N167" s="9"/>
      <c r="O167" s="9"/>
      <c r="P167" s="113"/>
      <c r="Q167" s="114"/>
      <c r="R167" s="116"/>
      <c r="S167" s="114" t="str">
        <f>IF(H166="",I166,H166)</f>
        <v>21:14,21:9</v>
      </c>
      <c r="T167" s="116"/>
      <c r="U167" s="101"/>
      <c r="W167"/>
      <c r="X167"/>
      <c r="Y167"/>
    </row>
    <row r="168" spans="1:25" ht="12.75" x14ac:dyDescent="0.2">
      <c r="A168" s="102">
        <f>P168</f>
        <v>31</v>
      </c>
      <c r="B168" s="2" t="str">
        <f>IF(N168="","",N168)</f>
        <v>W4657</v>
      </c>
      <c r="D168" s="2" t="str">
        <f>IF(N169="","",N169)</f>
        <v>M4170</v>
      </c>
      <c r="F168" s="2" t="str">
        <f>IF(A168=0,IF(AND(LEN(B168)&gt;0,LEN(D168)=0),VLOOKUP(B168,[1]zawodnicy!$A$1:$E$65536,1,FALSE),IF(AND(LEN(D168)&gt;0,LEN(B168)=0),VLOOKUP(D168,[1]zawodnicy!$A$1:$E$65536,1,FALSE),"")),IF((VLOOKUP(A168,'[1]plan gier'!$X$1:$AF$65536,7,FALSE))="","",VLOOKUP(VLOOKUP(A168,'[1]plan gier'!$X$1:$AF$65536,7,FALSE),[1]zawodnicy!$A$1:$E$65536,1,FALSE)))</f>
        <v>W4657</v>
      </c>
      <c r="H168" s="2" t="str">
        <f>IF(A168=0,"",IF((VLOOKUP(A168,'[1]plan gier'!$X$1:$AF$65536,7,FALSE))="","",VLOOKUP(A168,'[1]plan gier'!$X$1:$AF$65536,9,FALSE)))</f>
        <v>21:10,21:13</v>
      </c>
      <c r="I168" s="2" t="str">
        <f>IF(A168=0,"",IF(VLOOKUP(A168,'[1]plan gier'!A$1:S$65536,19,FALSE)="","",VLOOKUP(A168,'[1]plan gier'!A$1:S$65536,19,FALSE)))</f>
        <v>pt 11:10</v>
      </c>
      <c r="J168" s="2" t="str">
        <f>L143</f>
        <v>pojedyncza chłopców M</v>
      </c>
      <c r="K168" s="95">
        <f>IF(L142&gt;32,13,"")</f>
        <v>13</v>
      </c>
      <c r="L168" s="104" t="s">
        <v>224</v>
      </c>
      <c r="M168" s="193">
        <f>IF(K168="","",MAX(M144:M167)+1)</f>
        <v>10</v>
      </c>
      <c r="N168" s="198" t="str">
        <f>UPPER(IF(M168="","",IF(ISTEXT(L168),L168,IF(AND(L141&gt;0,M168&gt;0),VLOOKUP(L141&amp;M168&amp;J168,'[1]grup-puch'!I$1:J$65536,2,FALSE),""))))</f>
        <v>W4657</v>
      </c>
      <c r="O168" s="199" t="str">
        <f>IF(N168&lt;&gt;"",CONCATENATE(VLOOKUP(N168,[1]zawodnicy!$A$1:$E$65536,2,FALSE)," ",VLOOKUP(N168,[1]zawodnicy!$A$1:$E$65536,3,FALSE)," - ",VLOOKUP(N168,[1]zawodnicy!$A$1:$E$65536,4,FALSE)),"")</f>
        <v>Aleksander WYŻYKOWSKI - KS Hubertus Zalesie Górne</v>
      </c>
      <c r="P168" s="108">
        <v>31</v>
      </c>
      <c r="Q168" s="200" t="str">
        <f>IF(F168="","",VLOOKUP(F168,[1]zawodnicy!$A$1:$D$65536,3,FALSE))</f>
        <v>WYŻYKOWSKI</v>
      </c>
      <c r="R168" s="116"/>
      <c r="S168" s="114"/>
      <c r="T168" s="116"/>
      <c r="U168" s="101"/>
      <c r="W168"/>
      <c r="X168"/>
      <c r="Y168"/>
    </row>
    <row r="169" spans="1:25" ht="12.75" x14ac:dyDescent="0.2">
      <c r="K169" s="95">
        <f>IF(L142&gt;43,14,"")</f>
        <v>14</v>
      </c>
      <c r="L169" s="104" t="s">
        <v>247</v>
      </c>
      <c r="M169" s="193">
        <f>IF(K169="","",MAX(M144:M168)+1)</f>
        <v>11</v>
      </c>
      <c r="N169" s="198" t="str">
        <f>UPPER(IF(M169="","",IF(ISTEXT(L169),L169,IF(AND(L141&gt;0,M169&gt;0),VLOOKUP(L141&amp;M169&amp;J168,'[1]grup-puch'!I$1:J$65536,2,FALSE),""))))</f>
        <v>M4170</v>
      </c>
      <c r="O169" s="199" t="str">
        <f>IF(N169&lt;&gt;"",CONCATENATE(VLOOKUP(N169,[1]zawodnicy!$A$1:$E$65536,2,FALSE)," ",VLOOKUP(N169,[1]zawodnicy!$A$1:$E$65536,3,FALSE)," - ",VLOOKUP(N169,[1]zawodnicy!$A$1:$E$65536,4,FALSE)),"")</f>
        <v>Kamil MICHAŁEK - UKS Orbitek Straszęcin</v>
      </c>
      <c r="P169" s="202"/>
      <c r="Q169" s="203" t="str">
        <f>IF(H168="",I168,H168)</f>
        <v>21:10,21:13</v>
      </c>
      <c r="R169" s="116"/>
      <c r="S169" s="114"/>
      <c r="T169" s="116"/>
      <c r="U169" s="101"/>
      <c r="W169"/>
      <c r="X169"/>
      <c r="Y169"/>
    </row>
    <row r="170" spans="1:25" ht="12.75" x14ac:dyDescent="0.2">
      <c r="A170" s="111">
        <f>Q170</f>
        <v>336</v>
      </c>
      <c r="B170" s="2" t="str">
        <f>F168</f>
        <v>W4657</v>
      </c>
      <c r="D170" s="2" t="str">
        <f>F172</f>
        <v>P4530</v>
      </c>
      <c r="F170" s="2" t="str">
        <f>IF(A170=0,IF(AND(LEN(B170)&gt;0,LEN(D170)=0),B170,IF(AND(LEN(D170)&gt;0,LEN(B170)=0),D170,"")),IF((VLOOKUP(A170,'[1]plan gier'!$X$1:$AF$65536,7,FALSE))="","",VLOOKUP(VLOOKUP(A170,'[1]plan gier'!$X$1:$AF$65536,7,FALSE),[1]zawodnicy!$A$1:$E$65536,1,FALSE)))</f>
        <v>W4657</v>
      </c>
      <c r="H170" s="2" t="str">
        <f>IF(A170=0,"",IF((VLOOKUP(A170,'[1]plan gier'!$X$1:$AF$65536,7,FALSE))="","",VLOOKUP(A170,'[1]plan gier'!$X$1:$AF$65536,9,FALSE)))</f>
        <v>21:16,21:7</v>
      </c>
      <c r="I170" s="2" t="str">
        <f>IF(A170=0,"",IF(VLOOKUP(A170,'[1]plan gier'!A$1:S$65536,19,FALSE)="","",VLOOKUP(A170,'[1]plan gier'!A$1:S$65536,19,FALSE)))</f>
        <v>sob 15:50</v>
      </c>
      <c r="J170" s="2" t="str">
        <f>L143</f>
        <v>pojedyncza chłopców M</v>
      </c>
      <c r="M170" s="193" t="str">
        <f>IF(K170="","",MAX(M144:M169)+1)</f>
        <v/>
      </c>
      <c r="N170" s="9"/>
      <c r="O170" s="9"/>
      <c r="P170" s="113"/>
      <c r="Q170" s="115">
        <v>336</v>
      </c>
      <c r="R170" s="205" t="str">
        <f>IF(F170="","",VLOOKUP(F170,[1]zawodnicy!$A$1:$D$65536,3,FALSE))</f>
        <v>WYŻYKOWSKI</v>
      </c>
      <c r="S170" s="114"/>
      <c r="T170" s="116"/>
      <c r="U170" s="101"/>
      <c r="W170"/>
      <c r="X170"/>
      <c r="Y170"/>
    </row>
    <row r="171" spans="1:25" ht="12.75" x14ac:dyDescent="0.2">
      <c r="M171" s="193" t="str">
        <f>IF(K171="","",MAX(M144:M170)+1)</f>
        <v/>
      </c>
      <c r="N171" s="9"/>
      <c r="O171" s="9"/>
      <c r="P171" s="113"/>
      <c r="Q171" s="116"/>
      <c r="R171" s="114" t="str">
        <f>IF(H170="",I170,H170)</f>
        <v>21:16,21:7</v>
      </c>
      <c r="S171" s="114"/>
      <c r="T171" s="116"/>
      <c r="U171" s="101"/>
      <c r="W171"/>
      <c r="X171"/>
      <c r="Y171"/>
    </row>
    <row r="172" spans="1:25" ht="12.75" x14ac:dyDescent="0.2">
      <c r="A172" s="102">
        <f>P172</f>
        <v>32</v>
      </c>
      <c r="B172" s="2" t="str">
        <f>IF(N172="","",N172)</f>
        <v>X04</v>
      </c>
      <c r="D172" s="2" t="str">
        <f>IF(N173="","",N173)</f>
        <v>P4530</v>
      </c>
      <c r="F172" s="2" t="str">
        <f>IF(A172=0,IF(AND(LEN(B172)&gt;0,LEN(D172)=0),VLOOKUP(B172,[1]zawodnicy!$A$1:$E$65536,1,FALSE),IF(AND(LEN(D172)&gt;0,LEN(B172)=0),VLOOKUP(D172,[1]zawodnicy!$A$1:$E$65536,1,FALSE),"")),IF((VLOOKUP(A172,'[1]plan gier'!$X$1:$AF$65536,7,FALSE))="","",VLOOKUP(VLOOKUP(A172,'[1]plan gier'!$X$1:$AF$65536,7,FALSE),[1]zawodnicy!$A$1:$E$65536,1,FALSE)))</f>
        <v>P4530</v>
      </c>
      <c r="H172" s="2" t="str">
        <f>IF(A172=0,"",IF((VLOOKUP(A172,'[1]plan gier'!$X$1:$AF$65536,7,FALSE))="","",VLOOKUP(A172,'[1]plan gier'!$X$1:$AF$65536,9,FALSE)))</f>
        <v>21:15,21:17</v>
      </c>
      <c r="I172" s="2" t="str">
        <f>IF(A172=0,"",IF(VLOOKUP(A172,'[1]plan gier'!A$1:S$65536,19,FALSE)="","",VLOOKUP(A172,'[1]plan gier'!A$1:S$65536,19,FALSE)))</f>
        <v>pt 11:10</v>
      </c>
      <c r="J172" s="2" t="str">
        <f>L143</f>
        <v>pojedyncza chłopców M</v>
      </c>
      <c r="K172" s="95">
        <f>IF(L142&gt;32,15,"")</f>
        <v>15</v>
      </c>
      <c r="L172" s="104" t="s">
        <v>226</v>
      </c>
      <c r="M172" s="193">
        <f>IF(K172="","",MAX(M144:M171)+1)</f>
        <v>12</v>
      </c>
      <c r="N172" s="198" t="str">
        <f>UPPER(IF(M172="","",IF(ISTEXT(L172),L172,IF(AND(L141&gt;0,M172&gt;0),VLOOKUP(L141&amp;M172&amp;J172,'[1]grup-puch'!I$1:J$65536,2,FALSE),""))))</f>
        <v>X04</v>
      </c>
      <c r="O172" s="199" t="str">
        <f>IF(N172&lt;&gt;"",CONCATENATE(VLOOKUP(N172,[1]zawodnicy!$A$1:$E$65536,2,FALSE)," ",VLOOKUP(N172,[1]zawodnicy!$A$1:$E$65536,3,FALSE)," - ",VLOOKUP(N172,[1]zawodnicy!$A$1:$E$65536,4,FALSE)),"")</f>
        <v>Mantes  MAULE - Litwa</v>
      </c>
      <c r="P172" s="108">
        <v>32</v>
      </c>
      <c r="Q172" s="205" t="str">
        <f>IF(F172="","",VLOOKUP(F172,[1]zawodnicy!$A$1:$D$65536,3,FALSE))</f>
        <v>PŁOCH</v>
      </c>
      <c r="R172" s="114"/>
      <c r="S172" s="114"/>
      <c r="T172" s="208"/>
      <c r="U172" s="101"/>
      <c r="W172"/>
      <c r="X172"/>
      <c r="Y172"/>
    </row>
    <row r="173" spans="1:25" ht="12.75" x14ac:dyDescent="0.2">
      <c r="K173" s="95">
        <f>IF(L142&gt;35,16,"")</f>
        <v>16</v>
      </c>
      <c r="L173" s="104" t="s">
        <v>228</v>
      </c>
      <c r="M173" s="193">
        <f>IF(K173="","",MAX(M144:M172)+1)</f>
        <v>13</v>
      </c>
      <c r="N173" s="198" t="str">
        <f>UPPER(IF(M173="","",IF(ISTEXT(L173),L173,IF(AND(L141&gt;0,M173&gt;0),VLOOKUP(L141&amp;M173&amp;J172,'[1]grup-puch'!I$1:J$65536,2,FALSE),""))))</f>
        <v>P4530</v>
      </c>
      <c r="O173" s="199" t="str">
        <f>IF(N173&lt;&gt;"",CONCATENATE(VLOOKUP(N173,[1]zawodnicy!$A$1:$E$65536,2,FALSE)," ",VLOOKUP(N173,[1]zawodnicy!$A$1:$E$65536,3,FALSE)," - ",VLOOKUP(N173,[1]zawodnicy!$A$1:$E$65536,4,FALSE)),"")</f>
        <v>Krzysztof PŁOCH - UKS Start Widełka</v>
      </c>
      <c r="P173" s="202"/>
      <c r="Q173" s="114" t="str">
        <f>IF(H172="",I172,H172)</f>
        <v>21:15,21:17</v>
      </c>
      <c r="R173" s="114"/>
      <c r="S173" s="114"/>
      <c r="T173" s="116"/>
      <c r="U173" s="101"/>
      <c r="W173"/>
      <c r="X173"/>
      <c r="Y173"/>
    </row>
    <row r="174" spans="1:25" ht="12.75" x14ac:dyDescent="0.2">
      <c r="A174" s="196">
        <f>T174</f>
        <v>445</v>
      </c>
      <c r="B174" s="2" t="str">
        <f>F158</f>
        <v>K4283</v>
      </c>
      <c r="D174" s="2" t="str">
        <f>F190</f>
        <v>S3748</v>
      </c>
      <c r="F174" s="2" t="str">
        <f>IF(A174=0,IF(AND(LEN(B174)&gt;0,LEN(D174)=0),B174,IF(AND(LEN(D174)&gt;0,LEN(B174)=0),D174,"")),IF((VLOOKUP(A174,'[1]plan gier'!$X$1:$AF$65536,7,FALSE))="","",VLOOKUP(VLOOKUP(A174,'[1]plan gier'!$X$1:$AF$65536,7,FALSE),[1]zawodnicy!$A$1:$E$65536,1,FALSE)))</f>
        <v>S3748</v>
      </c>
      <c r="H174" s="2" t="str">
        <f>IF(A174=0,"",IF((VLOOKUP(A174,'[1]plan gier'!$X$1:$AF$65536,7,FALSE))="","",VLOOKUP(A174,'[1]plan gier'!$X$1:$AF$65536,9,FALSE)))</f>
        <v>21:15,21:5</v>
      </c>
      <c r="I174" s="2" t="str">
        <f>IF(A174=0,"",IF(VLOOKUP(A174,'[1]plan gier'!A$1:S$65536,19,FALSE)="","",VLOOKUP(A174,'[1]plan gier'!A$1:S$65536,19,FALSE)))</f>
        <v>nie 12:00</v>
      </c>
      <c r="J174" s="2" t="str">
        <f>L143</f>
        <v>pojedyncza chłopców M</v>
      </c>
      <c r="M174" s="193" t="str">
        <f>IF(K174="","",MAX(M144:M173)+1)</f>
        <v/>
      </c>
      <c r="N174" s="9"/>
      <c r="O174" s="9"/>
      <c r="P174" s="113"/>
      <c r="Q174" s="114"/>
      <c r="R174" s="114"/>
      <c r="T174" s="115">
        <v>445</v>
      </c>
      <c r="U174" s="200" t="str">
        <f>IF(F174="","",VLOOKUP(F174,[1]zawodnicy!$A$1:$D$65536,3,FALSE))</f>
        <v>SZOLC</v>
      </c>
      <c r="W174"/>
      <c r="X174"/>
      <c r="Y174"/>
    </row>
    <row r="175" spans="1:25" ht="12.75" x14ac:dyDescent="0.2">
      <c r="M175" s="193" t="str">
        <f>IF(K175="","",MAX(M144:M174)+1)</f>
        <v/>
      </c>
      <c r="N175" s="9"/>
      <c r="O175" s="9"/>
      <c r="P175" s="113"/>
      <c r="Q175" s="114"/>
      <c r="R175" s="114"/>
      <c r="T175" s="116"/>
      <c r="U175" s="203" t="str">
        <f>IF(H174="",I174,H174)</f>
        <v>21:15,21:5</v>
      </c>
      <c r="W175"/>
      <c r="X175"/>
      <c r="Y175"/>
    </row>
    <row r="176" spans="1:25" ht="12.75" x14ac:dyDescent="0.2">
      <c r="A176" s="102">
        <f>P176</f>
        <v>0</v>
      </c>
      <c r="B176" s="2" t="str">
        <f>IF(N176="","",N176)</f>
        <v>S3748</v>
      </c>
      <c r="D176" s="2" t="str">
        <f>IF(N177="","",N177)</f>
        <v/>
      </c>
      <c r="F176" s="2" t="str">
        <f>IF(A176=0,IF(AND(LEN(B176)&gt;0,LEN(D176)=0),VLOOKUP(B176,[1]zawodnicy!$A$1:$E$65536,1,FALSE),IF(AND(LEN(D176)&gt;0,LEN(B176)=0),VLOOKUP(D176,[1]zawodnicy!$A$1:$E$65536,1,FALSE),"")),IF((VLOOKUP(A176,'[1]plan gier'!$X$1:$AF$65536,7,FALSE))="","",VLOOKUP(VLOOKUP(A176,'[1]plan gier'!$X$1:$AF$65536,7,FALSE),[1]zawodnicy!$A$1:$E$65536,1,FALSE)))</f>
        <v>S3748</v>
      </c>
      <c r="H176" s="2" t="str">
        <f>IF(A176=0,"",IF((VLOOKUP(A176,'[1]plan gier'!$X$1:$AF$65536,7,FALSE))="","",VLOOKUP(A176,'[1]plan gier'!$X$1:$AF$65536,9,FALSE)))</f>
        <v/>
      </c>
      <c r="I176" s="2" t="str">
        <f>IF(A176=0,"",IF(VLOOKUP(A176,'[1]plan gier'!A$1:S$65536,19,FALSE)="","",VLOOKUP(A176,'[1]plan gier'!A$1:S$65536,19,FALSE)))</f>
        <v/>
      </c>
      <c r="J176" s="2" t="str">
        <f>L143</f>
        <v>pojedyncza chłopców M</v>
      </c>
      <c r="K176" s="95">
        <f>IF(L142&gt;32,17,"")</f>
        <v>17</v>
      </c>
      <c r="L176" s="104" t="s">
        <v>246</v>
      </c>
      <c r="M176" s="193">
        <f>IF(K176="","",MAX(M144:M175)+1)</f>
        <v>14</v>
      </c>
      <c r="N176" s="198" t="str">
        <f>UPPER(IF(M176="","",IF(ISTEXT(L176),L176,IF(AND(L141&gt;0,M176&gt;0),VLOOKUP(L141&amp;M176&amp;J176,'[1]grup-puch'!I$1:J$65536,2,FALSE),""))))</f>
        <v>S3748</v>
      </c>
      <c r="O176" s="199" t="str">
        <f>IF(N176&lt;&gt;"",CONCATENATE(VLOOKUP(N176,[1]zawodnicy!$A$1:$E$65536,2,FALSE)," ",VLOOKUP(N176,[1]zawodnicy!$A$1:$E$65536,3,FALSE)," - ",VLOOKUP(N176,[1]zawodnicy!$A$1:$E$65536,4,FALSE)),"")</f>
        <v>Adam SZOLC - KS Hubertus Zalesie Górne</v>
      </c>
      <c r="P176" s="108"/>
      <c r="Q176" s="200" t="str">
        <f>IF(F176="","",VLOOKUP(F176,[1]zawodnicy!$A$1:$D$65536,3,FALSE))</f>
        <v>SZOLC</v>
      </c>
      <c r="R176" s="114"/>
      <c r="S176" s="114"/>
      <c r="T176" s="116"/>
      <c r="U176" s="116"/>
      <c r="W176"/>
      <c r="X176"/>
      <c r="Y176"/>
    </row>
    <row r="177" spans="1:25" ht="12.75" x14ac:dyDescent="0.2">
      <c r="K177" s="95" t="str">
        <f>IF(L142&gt;61,18,"")</f>
        <v/>
      </c>
      <c r="L177" s="104"/>
      <c r="M177" s="193" t="str">
        <f>IF(K177="","",MAX(M144:M176)+1)</f>
        <v/>
      </c>
      <c r="N177" s="198" t="str">
        <f>UPPER(IF(M177="","",IF(ISTEXT(L177),L177,IF(AND(L141&gt;0,M177&gt;0),VLOOKUP(L141&amp;M177&amp;J176,'[1]grup-puch'!I$1:J$65536,2,FALSE),""))))</f>
        <v/>
      </c>
      <c r="O177" s="199" t="str">
        <f>IF(N177&lt;&gt;"",CONCATENATE(VLOOKUP(N177,[1]zawodnicy!$A$1:$E$65536,2,FALSE)," ",VLOOKUP(N177,[1]zawodnicy!$A$1:$E$65536,3,FALSE)," - ",VLOOKUP(N177,[1]zawodnicy!$A$1:$E$65536,4,FALSE)),"")</f>
        <v/>
      </c>
      <c r="P177" s="202"/>
      <c r="Q177" s="203" t="str">
        <f>IF(H176="",I176,H176)</f>
        <v/>
      </c>
      <c r="R177" s="114"/>
      <c r="S177" s="114"/>
      <c r="T177" s="116"/>
      <c r="U177" s="116"/>
      <c r="W177"/>
      <c r="X177"/>
      <c r="Y177"/>
    </row>
    <row r="178" spans="1:25" ht="12.75" x14ac:dyDescent="0.2">
      <c r="A178" s="111">
        <f>Q178</f>
        <v>337</v>
      </c>
      <c r="B178" s="2" t="str">
        <f>F176</f>
        <v>S3748</v>
      </c>
      <c r="D178" s="2" t="str">
        <f>F180</f>
        <v>F4551</v>
      </c>
      <c r="F178" s="2" t="str">
        <f>IF(A178=0,IF(AND(LEN(B178)&gt;0,LEN(D178)=0),B178,IF(AND(LEN(D178)&gt;0,LEN(B178)=0),D178,"")),IF((VLOOKUP(A178,'[1]plan gier'!$X$1:$AF$65536,7,FALSE))="","",VLOOKUP(VLOOKUP(A178,'[1]plan gier'!$X$1:$AF$65536,7,FALSE),[1]zawodnicy!$A$1:$E$65536,1,FALSE)))</f>
        <v>S3748</v>
      </c>
      <c r="H178" s="2" t="str">
        <f>IF(A178=0,"",IF((VLOOKUP(A178,'[1]plan gier'!$X$1:$AF$65536,7,FALSE))="","",VLOOKUP(A178,'[1]plan gier'!$X$1:$AF$65536,9,FALSE)))</f>
        <v>21:9,21:16</v>
      </c>
      <c r="I178" s="2" t="str">
        <f>IF(A178=0,"",IF(VLOOKUP(A178,'[1]plan gier'!A$1:S$65536,19,FALSE)="","",VLOOKUP(A178,'[1]plan gier'!A$1:S$65536,19,FALSE)))</f>
        <v>sob 16:10</v>
      </c>
      <c r="J178" s="2" t="str">
        <f>L143</f>
        <v>pojedyncza chłopców M</v>
      </c>
      <c r="M178" s="193" t="str">
        <f>IF(K178="","",MAX(M144:M177)+1)</f>
        <v/>
      </c>
      <c r="N178" s="9"/>
      <c r="O178" s="9"/>
      <c r="P178" s="113"/>
      <c r="Q178" s="115">
        <v>337</v>
      </c>
      <c r="R178" s="200" t="str">
        <f>IF(F178="","",VLOOKUP(F178,[1]zawodnicy!$A$1:$D$65536,3,FALSE))</f>
        <v>SZOLC</v>
      </c>
      <c r="S178" s="114"/>
      <c r="T178" s="116"/>
      <c r="U178" s="116"/>
      <c r="W178"/>
      <c r="X178"/>
      <c r="Y178"/>
    </row>
    <row r="179" spans="1:25" ht="12.75" x14ac:dyDescent="0.2">
      <c r="M179" s="193" t="str">
        <f>IF(K179="","",MAX(M144:M178)+1)</f>
        <v/>
      </c>
      <c r="N179" s="9"/>
      <c r="O179" s="9"/>
      <c r="P179" s="113"/>
      <c r="Q179" s="116"/>
      <c r="R179" s="203" t="str">
        <f>IF(H178="",I178,H178)</f>
        <v>21:9,21:16</v>
      </c>
      <c r="S179" s="114"/>
      <c r="T179" s="116"/>
      <c r="U179" s="116"/>
      <c r="W179"/>
      <c r="X179"/>
      <c r="Y179"/>
    </row>
    <row r="180" spans="1:25" ht="12.75" x14ac:dyDescent="0.2">
      <c r="A180" s="102">
        <f>P180</f>
        <v>0</v>
      </c>
      <c r="B180" s="2" t="str">
        <f>IF(N180="","",N180)</f>
        <v>F4551</v>
      </c>
      <c r="D180" s="2" t="str">
        <f>IF(N181="","",N181)</f>
        <v/>
      </c>
      <c r="F180" s="2" t="str">
        <f>IF(A180=0,IF(AND(LEN(B180)&gt;0,LEN(D180)=0),VLOOKUP(B180,[1]zawodnicy!$A$1:$E$65536,1,FALSE),IF(AND(LEN(D180)&gt;0,LEN(B180)=0),VLOOKUP(D180,[1]zawodnicy!$A$1:$E$65536,1,FALSE),"")),IF((VLOOKUP(A180,'[1]plan gier'!$X$1:$AF$65536,7,FALSE))="","",VLOOKUP(VLOOKUP(A180,'[1]plan gier'!$X$1:$AF$65536,7,FALSE),[1]zawodnicy!$A$1:$E$65536,1,FALSE)))</f>
        <v>F4551</v>
      </c>
      <c r="H180" s="2" t="str">
        <f>IF(A180=0,"",IF((VLOOKUP(A180,'[1]plan gier'!$X$1:$AF$65536,7,FALSE))="","",VLOOKUP(A180,'[1]plan gier'!$X$1:$AF$65536,9,FALSE)))</f>
        <v/>
      </c>
      <c r="I180" s="2" t="str">
        <f>IF(A180=0,"",IF(VLOOKUP(A180,'[1]plan gier'!A$1:S$65536,19,FALSE)="","",VLOOKUP(A180,'[1]plan gier'!A$1:S$65536,19,FALSE)))</f>
        <v/>
      </c>
      <c r="J180" s="2" t="str">
        <f>L143</f>
        <v>pojedyncza chłopców M</v>
      </c>
      <c r="K180" s="95">
        <f>IF(L142&gt;32,19,"")</f>
        <v>19</v>
      </c>
      <c r="L180" s="104" t="s">
        <v>239</v>
      </c>
      <c r="M180" s="193">
        <f>IF(K180="","",MAX(M144:M179)+1)</f>
        <v>15</v>
      </c>
      <c r="N180" s="198" t="str">
        <f>UPPER(IF(M180="","",IF(ISTEXT(L180),L180,IF(AND(L141&gt;0,M180&gt;0),VLOOKUP(L141&amp;M180&amp;J180,'[1]grup-puch'!I$1:J$65536,2,FALSE),""))))</f>
        <v>F4551</v>
      </c>
      <c r="O180" s="199" t="str">
        <f>IF(N180&lt;&gt;"",CONCATENATE(VLOOKUP(N180,[1]zawodnicy!$A$1:$E$65536,2,FALSE)," ",VLOOKUP(N180,[1]zawodnicy!$A$1:$E$65536,3,FALSE)," - ",VLOOKUP(N180,[1]zawodnicy!$A$1:$E$65536,4,FALSE)),"")</f>
        <v>Grzegorz FRAŚ - MKS Spartakus Niepołomice</v>
      </c>
      <c r="P180" s="108"/>
      <c r="Q180" s="205" t="str">
        <f>IF(F180="","",VLOOKUP(F180,[1]zawodnicy!$A$1:$D$65536,3,FALSE))</f>
        <v>FRAŚ</v>
      </c>
      <c r="R180" s="116"/>
      <c r="S180" s="114"/>
      <c r="T180" s="116"/>
      <c r="U180" s="116"/>
      <c r="W180"/>
      <c r="X180"/>
      <c r="Y180"/>
    </row>
    <row r="181" spans="1:25" ht="12.75" x14ac:dyDescent="0.2">
      <c r="K181" s="95" t="str">
        <f>IF(L142&gt;53,20,"")</f>
        <v/>
      </c>
      <c r="L181" s="104"/>
      <c r="M181" s="193" t="str">
        <f>IF(K181="","",MAX(M144:M180)+1)</f>
        <v/>
      </c>
      <c r="N181" s="198" t="str">
        <f>UPPER(IF(M181="","",IF(ISTEXT(L181),L181,IF(AND(L141&gt;0,M181&gt;0),VLOOKUP(L141&amp;M181&amp;J180,'[1]grup-puch'!I$1:J$65536,2,FALSE),""))))</f>
        <v/>
      </c>
      <c r="O181" s="199" t="str">
        <f>IF(N181&lt;&gt;"",CONCATENATE(VLOOKUP(N181,[1]zawodnicy!$A$1:$E$65536,2,FALSE)," ",VLOOKUP(N181,[1]zawodnicy!$A$1:$E$65536,3,FALSE)," - ",VLOOKUP(N181,[1]zawodnicy!$A$1:$E$65536,4,FALSE)),"")</f>
        <v/>
      </c>
      <c r="P181" s="202"/>
      <c r="Q181" s="114" t="str">
        <f>IF(H180="",I180,H180)</f>
        <v/>
      </c>
      <c r="R181" s="116"/>
      <c r="S181" s="114"/>
      <c r="T181" s="116"/>
      <c r="U181" s="116"/>
      <c r="W181"/>
      <c r="X181"/>
      <c r="Y181"/>
    </row>
    <row r="182" spans="1:25" ht="12.75" x14ac:dyDescent="0.2">
      <c r="A182" s="118">
        <f>R182</f>
        <v>379</v>
      </c>
      <c r="B182" s="2" t="str">
        <f>F178</f>
        <v>S3748</v>
      </c>
      <c r="D182" s="2" t="str">
        <f>F186</f>
        <v>S4265</v>
      </c>
      <c r="F182" s="2" t="str">
        <f>IF(A182=0,IF(AND(LEN(B182)&gt;0,LEN(D182)=0),B182,IF(AND(LEN(D182)&gt;0,LEN(B182)=0),D182,"")),IF((VLOOKUP(A182,'[1]plan gier'!$X$1:$AF$65536,7,FALSE))="","",VLOOKUP(VLOOKUP(A182,'[1]plan gier'!$X$1:$AF$65536,7,FALSE),[1]zawodnicy!$A$1:$E$65536,1,FALSE)))</f>
        <v>S3748</v>
      </c>
      <c r="H182" s="2" t="str">
        <f>IF(A182=0,"",IF((VLOOKUP(A182,'[1]plan gier'!$X$1:$AF$65536,7,FALSE))="","",VLOOKUP(A182,'[1]plan gier'!$X$1:$AF$65536,9,FALSE)))</f>
        <v>21:8,21:8</v>
      </c>
      <c r="I182" s="2" t="str">
        <f>IF(A182=0,"",IF(VLOOKUP(A182,'[1]plan gier'!A$1:S$65536,19,FALSE)="","",VLOOKUP(A182,'[1]plan gier'!A$1:S$65536,19,FALSE)))</f>
        <v>sob 18:10</v>
      </c>
      <c r="J182" s="2" t="str">
        <f>L143</f>
        <v>pojedyncza chłopców M</v>
      </c>
      <c r="M182" s="193" t="str">
        <f>IF(K182="","",MAX(M144:M181)+1)</f>
        <v/>
      </c>
      <c r="N182" s="9"/>
      <c r="O182" s="9"/>
      <c r="P182" s="113"/>
      <c r="Q182" s="114"/>
      <c r="R182" s="206">
        <v>379</v>
      </c>
      <c r="S182" s="200" t="str">
        <f>IF(F182="","",VLOOKUP(F182,[1]zawodnicy!$A$1:$D$65536,3,FALSE))</f>
        <v>SZOLC</v>
      </c>
      <c r="T182" s="116"/>
      <c r="U182" s="116"/>
      <c r="W182"/>
      <c r="X182"/>
      <c r="Y182"/>
    </row>
    <row r="183" spans="1:25" ht="12.75" x14ac:dyDescent="0.2">
      <c r="M183" s="193" t="str">
        <f>IF(K183="","",MAX(M144:M182)+1)</f>
        <v/>
      </c>
      <c r="N183" s="9"/>
      <c r="O183" s="9"/>
      <c r="P183" s="113"/>
      <c r="Q183" s="114"/>
      <c r="R183" s="116"/>
      <c r="S183" s="203" t="str">
        <f>IF(H182="",I182,H182)</f>
        <v>21:8,21:8</v>
      </c>
      <c r="T183" s="116"/>
      <c r="U183" s="116"/>
      <c r="W183"/>
      <c r="X183"/>
      <c r="Y183"/>
    </row>
    <row r="184" spans="1:25" ht="12.75" x14ac:dyDescent="0.2">
      <c r="A184" s="102">
        <f>P184</f>
        <v>33</v>
      </c>
      <c r="B184" s="2" t="str">
        <f>IF(N184="","",N184)</f>
        <v>M4817</v>
      </c>
      <c r="D184" s="2" t="str">
        <f>IF(N185="","",N185)</f>
        <v>S4265</v>
      </c>
      <c r="F184" s="2" t="str">
        <f>IF(A184=0,IF(AND(LEN(B184)&gt;0,LEN(D184)=0),VLOOKUP(B184,[1]zawodnicy!$A$1:$E$65536,1,FALSE),IF(AND(LEN(D184)&gt;0,LEN(B184)=0),VLOOKUP(D184,[1]zawodnicy!$A$1:$E$65536,1,FALSE),"")),IF((VLOOKUP(A184,'[1]plan gier'!$X$1:$AF$65536,7,FALSE))="","",VLOOKUP(VLOOKUP(A184,'[1]plan gier'!$X$1:$AF$65536,7,FALSE),[1]zawodnicy!$A$1:$E$65536,1,FALSE)))</f>
        <v>S4265</v>
      </c>
      <c r="H184" s="2" t="str">
        <f>IF(A184=0,"",IF((VLOOKUP(A184,'[1]plan gier'!$X$1:$AF$65536,7,FALSE))="","",VLOOKUP(A184,'[1]plan gier'!$X$1:$AF$65536,9,FALSE)))</f>
        <v>21:11,21:10</v>
      </c>
      <c r="I184" s="2" t="str">
        <f>IF(A184=0,"",IF(VLOOKUP(A184,'[1]plan gier'!A$1:S$65536,19,FALSE)="","",VLOOKUP(A184,'[1]plan gier'!A$1:S$65536,19,FALSE)))</f>
        <v>pt 11:10</v>
      </c>
      <c r="J184" s="2" t="str">
        <f>L143</f>
        <v>pojedyncza chłopców M</v>
      </c>
      <c r="K184" s="95">
        <f>IF(L142&gt;32,21,"")</f>
        <v>21</v>
      </c>
      <c r="L184" s="104" t="s">
        <v>229</v>
      </c>
      <c r="M184" s="193">
        <f>IF(K184="","",MAX(M144:M183)+1)</f>
        <v>16</v>
      </c>
      <c r="N184" s="198" t="str">
        <f>UPPER(IF(M184="","",IF(ISTEXT(L184),L184,IF(AND(L141&gt;0,M184&gt;0),VLOOKUP(L141&amp;M184&amp;J184,'[1]grup-puch'!I$1:J$65536,2,FALSE),""))))</f>
        <v>M4817</v>
      </c>
      <c r="O184" s="199" t="str">
        <f>IF(N184&lt;&gt;"",CONCATENATE(VLOOKUP(N184,[1]zawodnicy!$A$1:$E$65536,2,FALSE)," ",VLOOKUP(N184,[1]zawodnicy!$A$1:$E$65536,3,FALSE)," - ",VLOOKUP(N184,[1]zawodnicy!$A$1:$E$65536,4,FALSE)),"")</f>
        <v>Arkadiusz MIECZKOWSKI - UKS Hubal Białystok</v>
      </c>
      <c r="P184" s="108">
        <v>33</v>
      </c>
      <c r="Q184" s="200" t="str">
        <f>IF(F184="","",VLOOKUP(F184,[1]zawodnicy!$A$1:$D$65536,3,FALSE))</f>
        <v>STĘPNIEWSKI</v>
      </c>
      <c r="R184" s="116"/>
      <c r="S184" s="116"/>
      <c r="T184" s="116"/>
      <c r="U184" s="116"/>
      <c r="W184"/>
      <c r="X184"/>
      <c r="Y184"/>
    </row>
    <row r="185" spans="1:25" ht="12.75" x14ac:dyDescent="0.2">
      <c r="K185" s="95">
        <f>IF(L142&gt;45,22,"")</f>
        <v>22</v>
      </c>
      <c r="L185" s="104" t="s">
        <v>262</v>
      </c>
      <c r="M185" s="193">
        <f>IF(K185="","",MAX(M144:M184)+1)</f>
        <v>17</v>
      </c>
      <c r="N185" s="198" t="str">
        <f>UPPER(IF(M185="","",IF(ISTEXT(L185),L185,IF(AND(L141&gt;0,M185&gt;0),VLOOKUP(L141&amp;M185&amp;J184,'[1]grup-puch'!I$1:J$65536,2,FALSE),""))))</f>
        <v>S4265</v>
      </c>
      <c r="O185" s="199" t="str">
        <f>IF(N185&lt;&gt;"",CONCATENATE(VLOOKUP(N185,[1]zawodnicy!$A$1:$E$65536,2,FALSE)," ",VLOOKUP(N185,[1]zawodnicy!$A$1:$E$65536,3,FALSE)," - ",VLOOKUP(N185,[1]zawodnicy!$A$1:$E$65536,4,FALSE)),"")</f>
        <v>Łukasz STĘPNIEWSKI - MKB Lednik Miastko</v>
      </c>
      <c r="P185" s="202"/>
      <c r="Q185" s="203" t="str">
        <f>IF(H184="",I184,H184)</f>
        <v>21:11,21:10</v>
      </c>
      <c r="R185" s="116"/>
      <c r="S185" s="116"/>
      <c r="T185" s="116"/>
      <c r="U185" s="116"/>
      <c r="W185"/>
      <c r="X185"/>
      <c r="Y185"/>
    </row>
    <row r="186" spans="1:25" ht="12.75" x14ac:dyDescent="0.2">
      <c r="A186" s="111">
        <f>Q186</f>
        <v>338</v>
      </c>
      <c r="B186" s="2" t="str">
        <f>F184</f>
        <v>S4265</v>
      </c>
      <c r="D186" s="2" t="str">
        <f>F188</f>
        <v>X15</v>
      </c>
      <c r="F186" s="2" t="str">
        <f>IF(A186=0,IF(AND(LEN(B186)&gt;0,LEN(D186)=0),B186,IF(AND(LEN(D186)&gt;0,LEN(B186)=0),D186,"")),IF((VLOOKUP(A186,'[1]plan gier'!$X$1:$AF$65536,7,FALSE))="","",VLOOKUP(VLOOKUP(A186,'[1]plan gier'!$X$1:$AF$65536,7,FALSE),[1]zawodnicy!$A$1:$E$65536,1,FALSE)))</f>
        <v>S4265</v>
      </c>
      <c r="H186" s="2" t="str">
        <f>IF(A186=0,"",IF((VLOOKUP(A186,'[1]plan gier'!$X$1:$AF$65536,7,FALSE))="","",VLOOKUP(A186,'[1]plan gier'!$X$1:$AF$65536,9,FALSE)))</f>
        <v>25:23,21:10</v>
      </c>
      <c r="I186" s="2" t="str">
        <f>IF(A186=0,"",IF(VLOOKUP(A186,'[1]plan gier'!A$1:S$65536,19,FALSE)="","",VLOOKUP(A186,'[1]plan gier'!A$1:S$65536,19,FALSE)))</f>
        <v>sob 16:10</v>
      </c>
      <c r="J186" s="2" t="str">
        <f>L143</f>
        <v>pojedyncza chłopców M</v>
      </c>
      <c r="M186" s="193" t="str">
        <f>IF(K186="","",MAX(M144:M185)+1)</f>
        <v/>
      </c>
      <c r="N186" s="9"/>
      <c r="O186" s="9"/>
      <c r="P186" s="113"/>
      <c r="Q186" s="115">
        <v>338</v>
      </c>
      <c r="R186" s="205" t="str">
        <f>IF(F186="","",VLOOKUP(F186,[1]zawodnicy!$A$1:$D$65536,3,FALSE))</f>
        <v>STĘPNIEWSKI</v>
      </c>
      <c r="S186" s="116"/>
      <c r="T186" s="116"/>
      <c r="U186" s="116"/>
      <c r="W186"/>
      <c r="X186"/>
      <c r="Y186"/>
    </row>
    <row r="187" spans="1:25" ht="12.75" x14ac:dyDescent="0.2">
      <c r="M187" s="193" t="str">
        <f>IF(K187="","",MAX(M144:M186)+1)</f>
        <v/>
      </c>
      <c r="N187" s="9"/>
      <c r="O187" s="9"/>
      <c r="P187" s="113"/>
      <c r="Q187" s="116"/>
      <c r="R187" s="114" t="str">
        <f>IF(H186="",I186,H186)</f>
        <v>25:23,21:10</v>
      </c>
      <c r="S187" s="116"/>
      <c r="T187" s="116"/>
      <c r="U187" s="116"/>
      <c r="W187"/>
      <c r="X187"/>
      <c r="Y187"/>
    </row>
    <row r="188" spans="1:25" ht="12.75" x14ac:dyDescent="0.2">
      <c r="A188" s="102">
        <f>P188</f>
        <v>34</v>
      </c>
      <c r="B188" s="2" t="str">
        <f>IF(N188="","",N188)</f>
        <v>S5947</v>
      </c>
      <c r="D188" s="2" t="str">
        <f>IF(N189="","",N189)</f>
        <v>X15</v>
      </c>
      <c r="F188" s="2" t="str">
        <f>IF(A188=0,IF(AND(LEN(B188)&gt;0,LEN(D188)=0),VLOOKUP(B188,[1]zawodnicy!$A$1:$E$65536,1,FALSE),IF(AND(LEN(D188)&gt;0,LEN(B188)=0),VLOOKUP(D188,[1]zawodnicy!$A$1:$E$65536,1,FALSE),"")),IF((VLOOKUP(A188,'[1]plan gier'!$X$1:$AF$65536,7,FALSE))="","",VLOOKUP(VLOOKUP(A188,'[1]plan gier'!$X$1:$AF$65536,7,FALSE),[1]zawodnicy!$A$1:$E$65536,1,FALSE)))</f>
        <v>X15</v>
      </c>
      <c r="H188" s="2" t="str">
        <f>IF(A188=0,"",IF((VLOOKUP(A188,'[1]plan gier'!$X$1:$AF$65536,7,FALSE))="","",VLOOKUP(A188,'[1]plan gier'!$X$1:$AF$65536,9,FALSE)))</f>
        <v>21:12,21:8</v>
      </c>
      <c r="I188" s="2" t="str">
        <f>IF(A188=0,"",IF(VLOOKUP(A188,'[1]plan gier'!A$1:S$65536,19,FALSE)="","",VLOOKUP(A188,'[1]plan gier'!A$1:S$65536,19,FALSE)))</f>
        <v>pt 11:10</v>
      </c>
      <c r="J188" s="2" t="str">
        <f>L143</f>
        <v>pojedyncza chłopców M</v>
      </c>
      <c r="K188" s="95">
        <f>IF(L142&gt;32,23,"")</f>
        <v>23</v>
      </c>
      <c r="L188" s="104" t="s">
        <v>254</v>
      </c>
      <c r="M188" s="193">
        <f>IF(K188="","",MAX(M144:M187)+1)</f>
        <v>18</v>
      </c>
      <c r="N188" s="198" t="str">
        <f>UPPER(IF(M188="","",IF(ISTEXT(L188),L188,IF(AND(L141&gt;0,M188&gt;0),VLOOKUP(L141&amp;M188&amp;J188,'[1]grup-puch'!I$1:J$65536,2,FALSE),""))))</f>
        <v>S5947</v>
      </c>
      <c r="O188" s="199" t="str">
        <f>IF(N188&lt;&gt;"",CONCATENATE(VLOOKUP(N188,[1]zawodnicy!$A$1:$E$65536,2,FALSE)," ",VLOOKUP(N188,[1]zawodnicy!$A$1:$E$65536,3,FALSE)," - ",VLOOKUP(N188,[1]zawodnicy!$A$1:$E$65536,4,FALSE)),"")</f>
        <v>Mateusz SADOWSKI - UKSB Milenium Warszawa</v>
      </c>
      <c r="P188" s="108">
        <v>34</v>
      </c>
      <c r="Q188" s="205" t="str">
        <f>IF(F188="","",VLOOKUP(F188,[1]zawodnicy!$A$1:$D$65536,3,FALSE))</f>
        <v>SHCHARBENKA</v>
      </c>
      <c r="R188" s="114"/>
      <c r="S188" s="116"/>
      <c r="T188" s="116"/>
      <c r="U188" s="116"/>
      <c r="W188"/>
      <c r="X188"/>
      <c r="Y188"/>
    </row>
    <row r="189" spans="1:25" ht="12.75" x14ac:dyDescent="0.2">
      <c r="K189" s="95">
        <f>IF(L142&gt;37,24,"")</f>
        <v>24</v>
      </c>
      <c r="L189" s="104" t="s">
        <v>244</v>
      </c>
      <c r="M189" s="193">
        <f>IF(K189="","",MAX(M144:M188)+1)</f>
        <v>19</v>
      </c>
      <c r="N189" s="198" t="str">
        <f>UPPER(IF(M189="","",IF(ISTEXT(L189),L189,IF(AND(L141&gt;0,M189&gt;0),VLOOKUP(L141&amp;M189&amp;J188,'[1]grup-puch'!I$1:J$65536,2,FALSE),""))))</f>
        <v>X15</v>
      </c>
      <c r="O189" s="199" t="str">
        <f>IF(N189&lt;&gt;"",CONCATENATE(VLOOKUP(N189,[1]zawodnicy!$A$1:$E$65536,2,FALSE)," ",VLOOKUP(N189,[1]zawodnicy!$A$1:$E$65536,3,FALSE)," - ",VLOOKUP(N189,[1]zawodnicy!$A$1:$E$65536,4,FALSE)),"")</f>
        <v>Ilya SHCHARBENKA - Mińsk Białoruś</v>
      </c>
      <c r="P189" s="202"/>
      <c r="Q189" s="114" t="str">
        <f>IF(H188="",I188,H188)</f>
        <v>21:12,21:8</v>
      </c>
      <c r="R189" s="114"/>
      <c r="S189" s="116"/>
      <c r="T189" s="116"/>
      <c r="U189" s="116"/>
      <c r="W189"/>
      <c r="X189"/>
      <c r="Y189"/>
    </row>
    <row r="190" spans="1:25" ht="12.75" x14ac:dyDescent="0.2">
      <c r="A190" s="172">
        <f>S190</f>
        <v>434</v>
      </c>
      <c r="B190" s="2" t="str">
        <f>F182</f>
        <v>S3748</v>
      </c>
      <c r="D190" s="2" t="str">
        <f>F198</f>
        <v>G4577</v>
      </c>
      <c r="F190" s="2" t="str">
        <f>IF(A190=0,IF(AND(LEN(B190)&gt;0,LEN(D190)=0),B190,IF(AND(LEN(D190)&gt;0,LEN(B190)=0),D190,"")),IF((VLOOKUP(A190,'[1]plan gier'!$X$1:$AF$65536,7,FALSE))="","",VLOOKUP(VLOOKUP(A190,'[1]plan gier'!$X$1:$AF$65536,7,FALSE),[1]zawodnicy!$A$1:$E$65536,1,FALSE)))</f>
        <v>S3748</v>
      </c>
      <c r="H190" s="2" t="str">
        <f>IF(A190=0,"",IF((VLOOKUP(A190,'[1]plan gier'!$X$1:$AF$65536,7,FALSE))="","",VLOOKUP(A190,'[1]plan gier'!$X$1:$AF$65536,9,FALSE)))</f>
        <v>21:19,18:21,21:14</v>
      </c>
      <c r="I190" s="2" t="str">
        <f>IF(A190=0,"",IF(VLOOKUP(A190,'[1]plan gier'!A$1:S$65536,19,FALSE)="","",VLOOKUP(A190,'[1]plan gier'!A$1:S$65536,19,FALSE)))</f>
        <v>nie 11:00</v>
      </c>
      <c r="J190" s="2" t="str">
        <f>L143</f>
        <v>pojedyncza chłopców M</v>
      </c>
      <c r="M190" s="193" t="str">
        <f>IF(K190="","",MAX(M144:M189)+1)</f>
        <v/>
      </c>
      <c r="N190" s="9"/>
      <c r="O190" s="9"/>
      <c r="P190" s="113"/>
      <c r="Q190" s="114"/>
      <c r="R190" s="114"/>
      <c r="S190" s="115">
        <v>434</v>
      </c>
      <c r="T190" s="205" t="str">
        <f>IF(F190="","",VLOOKUP(F190,[1]zawodnicy!$A$1:$D$65536,3,FALSE))</f>
        <v>SZOLC</v>
      </c>
      <c r="U190" s="116"/>
      <c r="W190"/>
      <c r="X190"/>
      <c r="Y190"/>
    </row>
    <row r="191" spans="1:25" ht="12.75" x14ac:dyDescent="0.2">
      <c r="M191" s="193" t="str">
        <f>IF(K191="","",MAX(M144:M190)+1)</f>
        <v/>
      </c>
      <c r="N191" s="9"/>
      <c r="O191" s="9"/>
      <c r="P191" s="113"/>
      <c r="Q191" s="114"/>
      <c r="R191" s="114"/>
      <c r="S191" s="116"/>
      <c r="T191" s="114" t="str">
        <f>IF(H190="",I190,H190)</f>
        <v>21:19,18:21,21:14</v>
      </c>
      <c r="U191" s="116"/>
      <c r="W191"/>
      <c r="X191"/>
      <c r="Y191"/>
    </row>
    <row r="192" spans="1:25" ht="12.75" x14ac:dyDescent="0.2">
      <c r="A192" s="102">
        <f>P192</f>
        <v>0</v>
      </c>
      <c r="B192" s="2" t="str">
        <f>IF(N192="","",N192)</f>
        <v>G4560</v>
      </c>
      <c r="D192" s="2" t="str">
        <f>IF(N193="","",N193)</f>
        <v/>
      </c>
      <c r="F192" s="2" t="str">
        <f>IF(A192=0,IF(AND(LEN(B192)&gt;0,LEN(D192)=0),VLOOKUP(B192,[1]zawodnicy!$A$1:$E$65536,1,FALSE),IF(AND(LEN(D192)&gt;0,LEN(B192)=0),VLOOKUP(D192,[1]zawodnicy!$A$1:$E$65536,1,FALSE),"")),IF((VLOOKUP(A192,'[1]plan gier'!$X$1:$AF$65536,7,FALSE))="","",VLOOKUP(VLOOKUP(A192,'[1]plan gier'!$X$1:$AF$65536,7,FALSE),[1]zawodnicy!$A$1:$E$65536,1,FALSE)))</f>
        <v>G4560</v>
      </c>
      <c r="H192" s="2" t="str">
        <f>IF(A192=0,"",IF((VLOOKUP(A192,'[1]plan gier'!$X$1:$AF$65536,7,FALSE))="","",VLOOKUP(A192,'[1]plan gier'!$X$1:$AF$65536,9,FALSE)))</f>
        <v/>
      </c>
      <c r="I192" s="2" t="str">
        <f>IF(A192=0,"",IF(VLOOKUP(A192,'[1]plan gier'!A$1:S$65536,19,FALSE)="","",VLOOKUP(A192,'[1]plan gier'!A$1:S$65536,19,FALSE)))</f>
        <v/>
      </c>
      <c r="J192" s="2" t="str">
        <f>L143</f>
        <v>pojedyncza chłopców M</v>
      </c>
      <c r="K192" s="95">
        <f>IF(L142&gt;32,25,"")</f>
        <v>25</v>
      </c>
      <c r="L192" s="104" t="s">
        <v>258</v>
      </c>
      <c r="M192" s="193">
        <f>IF(K192="","",MAX(M144:M191)+1)</f>
        <v>20</v>
      </c>
      <c r="N192" s="198" t="str">
        <f>UPPER(IF(M192="","",IF(ISTEXT(L192),L192,IF(AND(L141&gt;0,M192&gt;0),VLOOKUP(L141&amp;M192&amp;J192,'[1]grup-puch'!I$1:J$65536,2,FALSE),""))))</f>
        <v>G4560</v>
      </c>
      <c r="O192" s="199" t="str">
        <f>IF(N192&lt;&gt;"",CONCATENATE(VLOOKUP(N192,[1]zawodnicy!$A$1:$E$65536,2,FALSE)," ",VLOOKUP(N192,[1]zawodnicy!$A$1:$E$65536,3,FALSE)," - ",VLOOKUP(N192,[1]zawodnicy!$A$1:$E$65536,4,FALSE)),"")</f>
        <v>Michał GOMOŁA - KS Masovia Płock</v>
      </c>
      <c r="P192" s="108"/>
      <c r="Q192" s="200" t="str">
        <f>IF(F192="","",VLOOKUP(F192,[1]zawodnicy!$A$1:$D$65536,3,FALSE))</f>
        <v>GOMOŁA</v>
      </c>
      <c r="R192" s="114"/>
      <c r="S192" s="116"/>
      <c r="T192" s="114"/>
      <c r="U192" s="116"/>
      <c r="W192"/>
      <c r="X192"/>
      <c r="Y192"/>
    </row>
    <row r="193" spans="1:21" ht="12.75" x14ac:dyDescent="0.2">
      <c r="K193" s="95" t="str">
        <f>IF(L142&gt;57,26,"")</f>
        <v/>
      </c>
      <c r="L193" s="104"/>
      <c r="M193" s="193" t="str">
        <f>IF(K193="","",MAX(M144:M192)+1)</f>
        <v/>
      </c>
      <c r="N193" s="198" t="str">
        <f>UPPER(IF(M193="","",IF(ISTEXT(L193),L193,IF(AND(L141&gt;0,M193&gt;0),VLOOKUP(L141&amp;M193&amp;J192,'[1]grup-puch'!I$1:J$65536,2,FALSE),""))))</f>
        <v/>
      </c>
      <c r="O193" s="199" t="str">
        <f>IF(N193&lt;&gt;"",CONCATENATE(VLOOKUP(N193,[1]zawodnicy!$A$1:$E$65536,2,FALSE)," ",VLOOKUP(N193,[1]zawodnicy!$A$1:$E$65536,3,FALSE)," - ",VLOOKUP(N193,[1]zawodnicy!$A$1:$E$65536,4,FALSE)),"")</f>
        <v/>
      </c>
      <c r="P193" s="202"/>
      <c r="Q193" s="203" t="str">
        <f>IF(H192="",I192,H192)</f>
        <v/>
      </c>
      <c r="R193" s="114"/>
      <c r="S193" s="116"/>
      <c r="T193" s="114"/>
      <c r="U193" s="116"/>
    </row>
    <row r="194" spans="1:21" ht="12.75" x14ac:dyDescent="0.2">
      <c r="A194" s="111">
        <f>Q194</f>
        <v>339</v>
      </c>
      <c r="B194" s="2" t="str">
        <f>F192</f>
        <v>G4560</v>
      </c>
      <c r="D194" s="2" t="str">
        <f>F196</f>
        <v>L4716</v>
      </c>
      <c r="F194" s="2" t="str">
        <f>IF(A194=0,IF(AND(LEN(B194)&gt;0,LEN(D194)=0),B194,IF(AND(LEN(D194)&gt;0,LEN(B194)=0),D194,"")),IF((VLOOKUP(A194,'[1]plan gier'!$X$1:$AF$65536,7,FALSE))="","",VLOOKUP(VLOOKUP(A194,'[1]plan gier'!$X$1:$AF$65536,7,FALSE),[1]zawodnicy!$A$1:$E$65536,1,FALSE)))</f>
        <v>G4560</v>
      </c>
      <c r="H194" s="2" t="str">
        <f>IF(A194=0,"",IF((VLOOKUP(A194,'[1]plan gier'!$X$1:$AF$65536,7,FALSE))="","",VLOOKUP(A194,'[1]plan gier'!$X$1:$AF$65536,9,FALSE)))</f>
        <v>10:21,21:16,21:19</v>
      </c>
      <c r="I194" s="2" t="str">
        <f>IF(A194=0,"",IF(VLOOKUP(A194,'[1]plan gier'!A$1:S$65536,19,FALSE)="","",VLOOKUP(A194,'[1]plan gier'!A$1:S$65536,19,FALSE)))</f>
        <v>sob 16:10</v>
      </c>
      <c r="J194" s="2" t="str">
        <f>L143</f>
        <v>pojedyncza chłopców M</v>
      </c>
      <c r="M194" s="193" t="str">
        <f>IF(K194="","",MAX(M144:M193)+1)</f>
        <v/>
      </c>
      <c r="N194" s="9"/>
      <c r="O194" s="9"/>
      <c r="P194" s="113"/>
      <c r="Q194" s="115">
        <v>339</v>
      </c>
      <c r="R194" s="200" t="str">
        <f>IF(F194="","",VLOOKUP(F194,[1]zawodnicy!$A$1:$D$65536,3,FALSE))</f>
        <v>GOMOŁA</v>
      </c>
      <c r="S194" s="116"/>
      <c r="T194" s="114"/>
      <c r="U194" s="116"/>
    </row>
    <row r="195" spans="1:21" ht="12.75" x14ac:dyDescent="0.2">
      <c r="M195" s="193" t="str">
        <f>IF(K195="","",MAX(M144:M194)+1)</f>
        <v/>
      </c>
      <c r="N195" s="9"/>
      <c r="O195" s="9"/>
      <c r="P195" s="113"/>
      <c r="Q195" s="116"/>
      <c r="R195" s="203" t="str">
        <f>IF(H194="",I194,H194)</f>
        <v>10:21,21:16,21:19</v>
      </c>
      <c r="S195" s="116"/>
      <c r="T195" s="114"/>
      <c r="U195" s="116"/>
    </row>
    <row r="196" spans="1:21" ht="12.75" x14ac:dyDescent="0.2">
      <c r="A196" s="102">
        <f>P196</f>
        <v>35</v>
      </c>
      <c r="B196" s="2" t="str">
        <f>IF(N196="","",N196)</f>
        <v>L4716</v>
      </c>
      <c r="D196" s="2" t="str">
        <f>IF(N197="","",N197)</f>
        <v>G4178</v>
      </c>
      <c r="F196" s="2" t="str">
        <f>IF(A196=0,IF(AND(LEN(B196)&gt;0,LEN(D196)=0),VLOOKUP(B196,[1]zawodnicy!$A$1:$E$65536,1,FALSE),IF(AND(LEN(D196)&gt;0,LEN(B196)=0),VLOOKUP(D196,[1]zawodnicy!$A$1:$E$65536,1,FALSE),"")),IF((VLOOKUP(A196,'[1]plan gier'!$X$1:$AF$65536,7,FALSE))="","",VLOOKUP(VLOOKUP(A196,'[1]plan gier'!$X$1:$AF$65536,7,FALSE),[1]zawodnicy!$A$1:$E$65536,1,FALSE)))</f>
        <v>L4716</v>
      </c>
      <c r="H196" s="2" t="str">
        <f>IF(A196=0,"",IF((VLOOKUP(A196,'[1]plan gier'!$X$1:$AF$65536,7,FALSE))="","",VLOOKUP(A196,'[1]plan gier'!$X$1:$AF$65536,9,FALSE)))</f>
        <v>21:11,21:18</v>
      </c>
      <c r="I196" s="2" t="str">
        <f>IF(A196=0,"",IF(VLOOKUP(A196,'[1]plan gier'!A$1:S$65536,19,FALSE)="","",VLOOKUP(A196,'[1]plan gier'!A$1:S$65536,19,FALSE)))</f>
        <v>pt 11:10</v>
      </c>
      <c r="J196" s="2" t="str">
        <f>L143</f>
        <v>pojedyncza chłopców M</v>
      </c>
      <c r="K196" s="95">
        <f>IF(L142&gt;32,27,"")</f>
        <v>27</v>
      </c>
      <c r="L196" s="104" t="s">
        <v>220</v>
      </c>
      <c r="M196" s="193">
        <f>IF(K196="","",MAX(M144:M195)+1)</f>
        <v>21</v>
      </c>
      <c r="N196" s="198" t="str">
        <f>UPPER(IF(M196="","",IF(ISTEXT(L196),L196,IF(AND(L141&gt;0,M196&gt;0),VLOOKUP(L141&amp;M196&amp;J196,'[1]grup-puch'!I$1:J$65536,2,FALSE),""))))</f>
        <v>L4716</v>
      </c>
      <c r="O196" s="199" t="str">
        <f>IF(N196&lt;&gt;"",CONCATENATE(VLOOKUP(N196,[1]zawodnicy!$A$1:$E$65536,2,FALSE)," ",VLOOKUP(N196,[1]zawodnicy!$A$1:$E$65536,3,FALSE)," - ",VLOOKUP(N196,[1]zawodnicy!$A$1:$E$65536,4,FALSE)),"")</f>
        <v>Rafał LEJKO - MKS Stal Nowa Dęba</v>
      </c>
      <c r="P196" s="108">
        <v>35</v>
      </c>
      <c r="Q196" s="205" t="str">
        <f>IF(F196="","",VLOOKUP(F196,[1]zawodnicy!$A$1:$D$65536,3,FALSE))</f>
        <v>LEJKO</v>
      </c>
      <c r="R196" s="116"/>
      <c r="S196" s="116"/>
      <c r="T196" s="114"/>
      <c r="U196" s="116"/>
    </row>
    <row r="197" spans="1:21" ht="12.75" x14ac:dyDescent="0.2">
      <c r="K197" s="95">
        <f>IF(L142&gt;49,28,"")</f>
        <v>28</v>
      </c>
      <c r="L197" s="104" t="s">
        <v>261</v>
      </c>
      <c r="M197" s="193">
        <f>IF(K197="","",MAX(M144:M196)+1)</f>
        <v>22</v>
      </c>
      <c r="N197" s="198" t="str">
        <f>UPPER(IF(M197="","",IF(ISTEXT(L197),L197,IF(AND(L141&gt;0,M197&gt;0),VLOOKUP(L141&amp;M197&amp;J196,'[1]grup-puch'!I$1:J$65536,2,FALSE),""))))</f>
        <v>G4178</v>
      </c>
      <c r="O197" s="199" t="str">
        <f>IF(N197&lt;&gt;"",CONCATENATE(VLOOKUP(N197,[1]zawodnicy!$A$1:$E$65536,2,FALSE)," ",VLOOKUP(N197,[1]zawodnicy!$A$1:$E$65536,3,FALSE)," - ",VLOOKUP(N197,[1]zawodnicy!$A$1:$E$65536,4,FALSE)),"")</f>
        <v>Piotr GAJDA - KS Chojnik Jelenia Góra</v>
      </c>
      <c r="P197" s="202"/>
      <c r="Q197" s="114" t="str">
        <f>IF(H196="",I196,H196)</f>
        <v>21:11,21:18</v>
      </c>
      <c r="R197" s="116"/>
      <c r="S197" s="116"/>
      <c r="T197" s="114"/>
      <c r="U197" s="116"/>
    </row>
    <row r="198" spans="1:21" ht="12.75" x14ac:dyDescent="0.2">
      <c r="A198" s="118">
        <f>R198</f>
        <v>380</v>
      </c>
      <c r="B198" s="2" t="str">
        <f>F194</f>
        <v>G4560</v>
      </c>
      <c r="D198" s="2" t="str">
        <f>F202</f>
        <v>G4577</v>
      </c>
      <c r="F198" s="2" t="str">
        <f>IF(A198=0,IF(AND(LEN(B198)&gt;0,LEN(D198)=0),B198,IF(AND(LEN(D198)&gt;0,LEN(B198)=0),D198,"")),IF((VLOOKUP(A198,'[1]plan gier'!$X$1:$AF$65536,7,FALSE))="","",VLOOKUP(VLOOKUP(A198,'[1]plan gier'!$X$1:$AF$65536,7,FALSE),[1]zawodnicy!$A$1:$E$65536,1,FALSE)))</f>
        <v>G4577</v>
      </c>
      <c r="H198" s="2" t="str">
        <f>IF(A198=0,"",IF((VLOOKUP(A198,'[1]plan gier'!$X$1:$AF$65536,7,FALSE))="","",VLOOKUP(A198,'[1]plan gier'!$X$1:$AF$65536,9,FALSE)))</f>
        <v>21:15,21:13</v>
      </c>
      <c r="I198" s="2" t="str">
        <f>IF(A198=0,"",IF(VLOOKUP(A198,'[1]plan gier'!A$1:S$65536,19,FALSE)="","",VLOOKUP(A198,'[1]plan gier'!A$1:S$65536,19,FALSE)))</f>
        <v>sob 18:10</v>
      </c>
      <c r="J198" s="2" t="str">
        <f>L143</f>
        <v>pojedyncza chłopców M</v>
      </c>
      <c r="M198" s="193" t="str">
        <f>IF(K198="","",MAX(M144:M197)+1)</f>
        <v/>
      </c>
      <c r="N198" s="9"/>
      <c r="O198" s="9"/>
      <c r="P198" s="113"/>
      <c r="Q198" s="114"/>
      <c r="R198" s="206">
        <v>380</v>
      </c>
      <c r="S198" s="205" t="str">
        <f>IF(F198="","",VLOOKUP(F198,[1]zawodnicy!$A$1:$D$65536,3,FALSE))</f>
        <v>GIREŃ</v>
      </c>
      <c r="T198" s="114"/>
      <c r="U198" s="116"/>
    </row>
    <row r="199" spans="1:21" ht="12.75" x14ac:dyDescent="0.2">
      <c r="M199" s="193" t="str">
        <f>IF(K199="","",MAX(M144:M198)+1)</f>
        <v/>
      </c>
      <c r="N199" s="9"/>
      <c r="O199" s="9"/>
      <c r="P199" s="113"/>
      <c r="Q199" s="114"/>
      <c r="R199" s="116"/>
      <c r="S199" s="114" t="str">
        <f>IF(H198="",I198,H198)</f>
        <v>21:15,21:13</v>
      </c>
      <c r="T199" s="114"/>
      <c r="U199" s="116"/>
    </row>
    <row r="200" spans="1:21" ht="12.75" x14ac:dyDescent="0.2">
      <c r="A200" s="102">
        <f>P200</f>
        <v>36</v>
      </c>
      <c r="B200" s="2" t="str">
        <f>IF(N200="","",N200)</f>
        <v>G4577</v>
      </c>
      <c r="D200" s="2" t="str">
        <f>IF(N201="","",N201)</f>
        <v>W4753</v>
      </c>
      <c r="F200" s="2" t="str">
        <f>IF(A200=0,IF(AND(LEN(B200)&gt;0,LEN(D200)=0),VLOOKUP(B200,[1]zawodnicy!$A$1:$E$65536,1,FALSE),IF(AND(LEN(D200)&gt;0,LEN(B200)=0),VLOOKUP(D200,[1]zawodnicy!$A$1:$E$65536,1,FALSE),"")),IF((VLOOKUP(A200,'[1]plan gier'!$X$1:$AF$65536,7,FALSE))="","",VLOOKUP(VLOOKUP(A200,'[1]plan gier'!$X$1:$AF$65536,7,FALSE),[1]zawodnicy!$A$1:$E$65536,1,FALSE)))</f>
        <v>G4577</v>
      </c>
      <c r="H200" s="2" t="str">
        <f>IF(A200=0,"",IF((VLOOKUP(A200,'[1]plan gier'!$X$1:$AF$65536,7,FALSE))="","",VLOOKUP(A200,'[1]plan gier'!$X$1:$AF$65536,9,FALSE)))</f>
        <v>21:9,21:19</v>
      </c>
      <c r="I200" s="2" t="str">
        <f>IF(A200=0,"",IF(VLOOKUP(A200,'[1]plan gier'!A$1:S$65536,19,FALSE)="","",VLOOKUP(A200,'[1]plan gier'!A$1:S$65536,19,FALSE)))</f>
        <v>pt 11:10</v>
      </c>
      <c r="J200" s="2" t="str">
        <f>L143</f>
        <v>pojedyncza chłopców M</v>
      </c>
      <c r="K200" s="95">
        <f>IF(L142&gt;32,29,"")</f>
        <v>29</v>
      </c>
      <c r="L200" s="104" t="s">
        <v>251</v>
      </c>
      <c r="M200" s="193">
        <f>IF(K200="","",MAX(M144:M199)+1)</f>
        <v>23</v>
      </c>
      <c r="N200" s="198" t="str">
        <f>UPPER(IF(M200="","",IF(ISTEXT(L200),L200,IF(AND(L141&gt;0,M200&gt;0),VLOOKUP(L141&amp;M200&amp;J200,'[1]grup-puch'!I$1:J$65536,2,FALSE),""))))</f>
        <v>G4577</v>
      </c>
      <c r="O200" s="199" t="str">
        <f>IF(N200&lt;&gt;"",CONCATENATE(VLOOKUP(N200,[1]zawodnicy!$A$1:$E$65536,2,FALSE)," ",VLOOKUP(N200,[1]zawodnicy!$A$1:$E$65536,3,FALSE)," - ",VLOOKUP(N200,[1]zawodnicy!$A$1:$E$65536,4,FALSE)),"")</f>
        <v>Jakub GIREŃ - MKS Strzelce Opolskie</v>
      </c>
      <c r="P200" s="108">
        <v>36</v>
      </c>
      <c r="Q200" s="200" t="str">
        <f>IF(F200="","",VLOOKUP(F200,[1]zawodnicy!$A$1:$D$65536,3,FALSE))</f>
        <v>GIREŃ</v>
      </c>
      <c r="R200" s="116"/>
      <c r="S200" s="114"/>
      <c r="T200" s="114"/>
      <c r="U200" s="116"/>
    </row>
    <row r="201" spans="1:21" ht="12.75" x14ac:dyDescent="0.2">
      <c r="A201" s="211">
        <f>T201</f>
        <v>451</v>
      </c>
      <c r="B201" s="2" t="str">
        <f>F174</f>
        <v>S3748</v>
      </c>
      <c r="D201" s="2" t="str">
        <f>F240</f>
        <v>C3670</v>
      </c>
      <c r="F201" s="2" t="str">
        <f>IF(A201=0,IF(AND(LEN(B201)&gt;0,LEN(D201)=0),B201,IF(AND(LEN(D201)&gt;0,LEN(B201)=0),D201,"")),IF((VLOOKUP(A201,'[1]plan gier'!$X$1:$AF$65536,7,FALSE))="","",VLOOKUP(VLOOKUP(A201,'[1]plan gier'!$X$1:$AF$65536,7,FALSE),[1]zawodnicy!$A$1:$E$65536,1,FALSE)))</f>
        <v>C3670</v>
      </c>
      <c r="H201" s="2" t="str">
        <f>IF(A201=0,"",IF((VLOOKUP(A201,'[1]plan gier'!$X$1:$AF$65536,7,FALSE))="","",VLOOKUP(A201,'[1]plan gier'!$X$1:$AF$65536,9,FALSE)))</f>
        <v>25:23,19:21,22:20</v>
      </c>
      <c r="I201" s="2" t="str">
        <f>IF(A201=0,"",IF(VLOOKUP(A201,'[1]plan gier'!A$1:S$65536,19,FALSE)="","",VLOOKUP(A201,'[1]plan gier'!A$1:S$65536,19,FALSE)))</f>
        <v>nie 13:00</v>
      </c>
      <c r="J201" s="2" t="str">
        <f>L143</f>
        <v>pojedyncza chłopców M</v>
      </c>
      <c r="K201" s="95">
        <f>IF(L142&gt;41,30,"")</f>
        <v>30</v>
      </c>
      <c r="L201" s="104" t="s">
        <v>248</v>
      </c>
      <c r="M201" s="193">
        <f>IF(K201="","",MAX(M144:M200)+1)</f>
        <v>24</v>
      </c>
      <c r="N201" s="198" t="str">
        <f>UPPER(IF(M201="","",IF(ISTEXT(L201),L201,IF(AND(L141&gt;0,M201&gt;0),VLOOKUP(L141&amp;M201&amp;J200,'[1]grup-puch'!I$1:J$65536,2,FALSE),""))))</f>
        <v>W4753</v>
      </c>
      <c r="O201" s="199" t="str">
        <f>IF(N201&lt;&gt;"",CONCATENATE(VLOOKUP(N201,[1]zawodnicy!$A$1:$E$65536,2,FALSE)," ",VLOOKUP(N201,[1]zawodnicy!$A$1:$E$65536,3,FALSE)," - ",VLOOKUP(N201,[1]zawodnicy!$A$1:$E$65536,4,FALSE)),"")</f>
        <v>Natan VOGT - MMKS Kędzierzyn-Koźle</v>
      </c>
      <c r="P201" s="202"/>
      <c r="Q201" s="203" t="str">
        <f>IF(H200="",I200,H200)</f>
        <v>21:9,21:19</v>
      </c>
      <c r="R201" s="116"/>
      <c r="S201" s="114"/>
      <c r="T201" s="137">
        <v>451</v>
      </c>
      <c r="U201" s="212" t="str">
        <f>IF(F201="","",VLOOKUP(F201,[1]zawodnicy!$A$1:$D$65536,3,FALSE))</f>
        <v>CYBULSKI</v>
      </c>
    </row>
    <row r="202" spans="1:21" ht="12.75" x14ac:dyDescent="0.2">
      <c r="A202" s="111">
        <f>Q202</f>
        <v>340</v>
      </c>
      <c r="B202" s="2" t="str">
        <f>F200</f>
        <v>G4577</v>
      </c>
      <c r="D202" s="2" t="str">
        <f>F204</f>
        <v>J4722</v>
      </c>
      <c r="F202" s="2" t="str">
        <f>IF(A202=0,IF(AND(LEN(B202)&gt;0,LEN(D202)=0),B202,IF(AND(LEN(D202)&gt;0,LEN(B202)=0),D202,"")),IF((VLOOKUP(A202,'[1]plan gier'!$X$1:$AF$65536,7,FALSE))="","",VLOOKUP(VLOOKUP(A202,'[1]plan gier'!$X$1:$AF$65536,7,FALSE),[1]zawodnicy!$A$1:$E$65536,1,FALSE)))</f>
        <v>G4577</v>
      </c>
      <c r="H202" s="2" t="str">
        <f>IF(A202=0,"",IF((VLOOKUP(A202,'[1]plan gier'!$X$1:$AF$65536,7,FALSE))="","",VLOOKUP(A202,'[1]plan gier'!$X$1:$AF$65536,9,FALSE)))</f>
        <v>21:11,21:3</v>
      </c>
      <c r="I202" s="2" t="str">
        <f>IF(A202=0,"",IF(VLOOKUP(A202,'[1]plan gier'!A$1:S$65536,19,FALSE)="","",VLOOKUP(A202,'[1]plan gier'!A$1:S$65536,19,FALSE)))</f>
        <v>sob 16:10</v>
      </c>
      <c r="J202" s="2" t="str">
        <f>L143</f>
        <v>pojedyncza chłopców M</v>
      </c>
      <c r="M202" s="193" t="str">
        <f>IF(K202="","",MAX(M144:M201)+1)</f>
        <v/>
      </c>
      <c r="N202" s="9"/>
      <c r="O202" s="9"/>
      <c r="P202" s="113"/>
      <c r="Q202" s="115">
        <v>340</v>
      </c>
      <c r="R202" s="205" t="str">
        <f>IF(F202="","",VLOOKUP(F202,[1]zawodnicy!$A$1:$D$65536,3,FALSE))</f>
        <v>GIREŃ</v>
      </c>
      <c r="S202" s="2"/>
      <c r="T202" s="2"/>
      <c r="U202" s="213" t="str">
        <f>IF(H201="",I201,H201)</f>
        <v>25:23,19:21,22:20</v>
      </c>
    </row>
    <row r="203" spans="1:21" ht="12.75" x14ac:dyDescent="0.2">
      <c r="M203" s="193" t="str">
        <f>IF(K203="","",MAX(M144:M202)+1)</f>
        <v/>
      </c>
      <c r="N203" s="9"/>
      <c r="O203" s="9"/>
      <c r="P203" s="113"/>
      <c r="Q203" s="116"/>
      <c r="R203" s="114" t="str">
        <f>IF(H202="",I202,H202)</f>
        <v>21:11,21:3</v>
      </c>
      <c r="S203" s="114"/>
      <c r="T203" s="114"/>
      <c r="U203" s="116"/>
    </row>
    <row r="204" spans="1:21" ht="12.75" x14ac:dyDescent="0.2">
      <c r="A204" s="102">
        <f>P204</f>
        <v>37</v>
      </c>
      <c r="B204" s="2" t="str">
        <f>IF(N204="","",N204)</f>
        <v>J4722</v>
      </c>
      <c r="D204" s="2" t="str">
        <f>IF(N205="","",N205)</f>
        <v>F4652</v>
      </c>
      <c r="F204" s="2" t="str">
        <f>IF(A204=0,IF(AND(LEN(B204)&gt;0,LEN(D204)=0),VLOOKUP(B204,[1]zawodnicy!$A$1:$E$65536,1,FALSE),IF(AND(LEN(D204)&gt;0,LEN(B204)=0),VLOOKUP(D204,[1]zawodnicy!$A$1:$E$65536,1,FALSE),"")),IF((VLOOKUP(A204,'[1]plan gier'!$X$1:$AF$65536,7,FALSE))="","",VLOOKUP(VLOOKUP(A204,'[1]plan gier'!$X$1:$AF$65536,7,FALSE),[1]zawodnicy!$A$1:$E$65536,1,FALSE)))</f>
        <v>J4722</v>
      </c>
      <c r="H204" s="2" t="str">
        <f>IF(A204=0,"",IF((VLOOKUP(A204,'[1]plan gier'!$X$1:$AF$65536,7,FALSE))="","",VLOOKUP(A204,'[1]plan gier'!$X$1:$AF$65536,9,FALSE)))</f>
        <v>13:21,21:17,21:18</v>
      </c>
      <c r="I204" s="2" t="str">
        <f>IF(A204=0,"",IF(VLOOKUP(A204,'[1]plan gier'!A$1:S$65536,19,FALSE)="","",VLOOKUP(A204,'[1]plan gier'!A$1:S$65536,19,FALSE)))</f>
        <v>pt 11:10</v>
      </c>
      <c r="J204" s="2" t="str">
        <f>L143</f>
        <v>pojedyncza chłopców M</v>
      </c>
      <c r="K204" s="95">
        <f>IF(L142&gt;32,31,"")</f>
        <v>31</v>
      </c>
      <c r="L204" s="104" t="s">
        <v>241</v>
      </c>
      <c r="M204" s="193">
        <f>IF(K204="","",MAX(M144:M203)+1)</f>
        <v>25</v>
      </c>
      <c r="N204" s="198" t="str">
        <f>UPPER(IF(M204="","",IF(ISTEXT(L204),L204,IF(AND(L141&gt;0,M204&gt;0),VLOOKUP(L141&amp;M204&amp;J204,'[1]grup-puch'!I$1:J$65536,2,FALSE),""))))</f>
        <v>J4722</v>
      </c>
      <c r="O204" s="199" t="str">
        <f>IF(N204&lt;&gt;"",CONCATENATE(VLOOKUP(N204,[1]zawodnicy!$A$1:$E$65536,2,FALSE)," ",VLOOKUP(N204,[1]zawodnicy!$A$1:$E$65536,3,FALSE)," - ",VLOOKUP(N204,[1]zawodnicy!$A$1:$E$65536,4,FALSE)),"")</f>
        <v>Mikołaj JÓŹWIAK - KS Hubertus Zalesie Górne</v>
      </c>
      <c r="P204" s="108">
        <v>37</v>
      </c>
      <c r="Q204" s="205" t="str">
        <f>IF(F204="","",VLOOKUP(F204,[1]zawodnicy!$A$1:$D$65536,3,FALSE))</f>
        <v>JÓŹWIAK</v>
      </c>
      <c r="R204" s="114"/>
      <c r="S204" s="229" t="s">
        <v>411</v>
      </c>
      <c r="T204" s="229"/>
      <c r="U204" s="116"/>
    </row>
    <row r="205" spans="1:21" ht="12.75" x14ac:dyDescent="0.2">
      <c r="K205" s="95">
        <f>IF(L142&gt;33,32,"")</f>
        <v>32</v>
      </c>
      <c r="L205" s="104" t="s">
        <v>231</v>
      </c>
      <c r="M205" s="193">
        <f>IF(K205="","",MAX(M144:M204)+1)</f>
        <v>26</v>
      </c>
      <c r="N205" s="198" t="str">
        <f>UPPER(IF(M205="","",IF(ISTEXT(L205),L205,IF(AND(L141&gt;0,M205&gt;0),VLOOKUP(L141&amp;M205&amp;J204,'[1]grup-puch'!I$1:J$65536,2,FALSE),""))))</f>
        <v>F4652</v>
      </c>
      <c r="O205" s="199" t="str">
        <f>IF(N205&lt;&gt;"",CONCATENATE(VLOOKUP(N205,[1]zawodnicy!$A$1:$E$65536,2,FALSE)," ",VLOOKUP(N205,[1]zawodnicy!$A$1:$E$65536,3,FALSE)," - ",VLOOKUP(N205,[1]zawodnicy!$A$1:$E$65536,4,FALSE)),"")</f>
        <v>Kamil FRĄTCZAK - UKS Iskra Sarbice</v>
      </c>
      <c r="P205" s="202"/>
      <c r="Q205" s="114" t="str">
        <f>IF(H204="",I204,H204)</f>
        <v>13:21,21:17,21:18</v>
      </c>
      <c r="R205" s="214"/>
      <c r="S205" s="229" t="str">
        <f>IF(ISBLANK([1]dane!$D$4),"",[1]dane!$D$4)</f>
        <v>Leszek Jagodziński</v>
      </c>
      <c r="T205" s="229"/>
      <c r="U205" s="116"/>
    </row>
    <row r="206" spans="1:21" ht="12.75" x14ac:dyDescent="0.2">
      <c r="N206" s="229" t="str">
        <f>"Gra"&amp;" "&amp;L143</f>
        <v>Gra pojedyncza chłopców M</v>
      </c>
      <c r="O206" s="229"/>
      <c r="P206" s="229"/>
      <c r="Q206" s="229"/>
      <c r="R206" s="229"/>
      <c r="S206" s="229"/>
      <c r="T206" s="229"/>
      <c r="U206" s="230"/>
    </row>
    <row r="207" spans="1:21" ht="12.75" x14ac:dyDescent="0.2">
      <c r="M207" s="229" t="s">
        <v>412</v>
      </c>
      <c r="N207" s="229"/>
      <c r="O207" s="229"/>
      <c r="P207" s="229"/>
      <c r="Q207" s="229"/>
      <c r="R207" s="229"/>
      <c r="S207" s="229"/>
      <c r="T207" s="229"/>
      <c r="U207" s="229"/>
    </row>
    <row r="208" spans="1:21" ht="12.75" x14ac:dyDescent="0.2">
      <c r="O208" s="101"/>
      <c r="P208" s="100"/>
      <c r="Q208" s="101"/>
      <c r="R208" s="101"/>
      <c r="S208" s="101"/>
      <c r="T208" s="101"/>
      <c r="U208" s="116"/>
    </row>
    <row r="209" spans="1:21" ht="12.75" x14ac:dyDescent="0.2">
      <c r="P209" s="100"/>
      <c r="Q209" s="101"/>
      <c r="R209" s="101"/>
      <c r="S209" s="101"/>
      <c r="T209" s="101"/>
      <c r="U209" s="116"/>
    </row>
    <row r="210" spans="1:21" ht="12.75" x14ac:dyDescent="0.2">
      <c r="A210" s="102">
        <f>P210</f>
        <v>38</v>
      </c>
      <c r="B210" s="2" t="str">
        <f>IF(N210="","",N210)</f>
        <v>M4689</v>
      </c>
      <c r="D210" s="2" t="str">
        <f>IF(N211="","",N211)</f>
        <v>K4579</v>
      </c>
      <c r="F210" s="2" t="str">
        <f>IF(A210=0,IF(AND(LEN(B210)&gt;0,LEN(D210)=0),VLOOKUP(B210,[1]zawodnicy!$A$1:$E$65536,1,FALSE),IF(AND(LEN(D210)&gt;0,LEN(B210)=0),VLOOKUP(D210,[1]zawodnicy!$A$1:$E$65536,1,FALSE),"")),IF((VLOOKUP(A210,'[1]plan gier'!$X$1:$AF$65536,7,FALSE))="","",VLOOKUP(VLOOKUP(A210,'[1]plan gier'!$X$1:$AF$65536,7,FALSE),[1]zawodnicy!$A$1:$E$65536,1,FALSE)))</f>
        <v>K4579</v>
      </c>
      <c r="H210" s="2" t="str">
        <f>IF(A210=0,"",IF((VLOOKUP(A210,'[1]plan gier'!$X$1:$AF$65536,7,FALSE))="","",VLOOKUP(A210,'[1]plan gier'!$X$1:$AF$65536,9,FALSE)))</f>
        <v>21:8,21:14</v>
      </c>
      <c r="I210" s="2" t="str">
        <f>IF(A210=0,"",IF(VLOOKUP(A210,'[1]plan gier'!A$1:S$65536,19,FALSE)="","",VLOOKUP(A210,'[1]plan gier'!A$1:S$65536,19,FALSE)))</f>
        <v>pt 11:10</v>
      </c>
      <c r="J210" s="2" t="str">
        <f>L143</f>
        <v>pojedyncza chłopców M</v>
      </c>
      <c r="K210" s="95">
        <f>IF(L142&gt;32,33,"")</f>
        <v>33</v>
      </c>
      <c r="L210" s="104" t="s">
        <v>273</v>
      </c>
      <c r="M210" s="193">
        <f>IF(K210="","",MAX(M144:M209)+1)</f>
        <v>27</v>
      </c>
      <c r="N210" s="198" t="str">
        <f>UPPER(IF(M210="","",IF(ISTEXT(L210),L210,IF(AND(L141&gt;0,M210&gt;0),VLOOKUP(L141&amp;M210&amp;J210,'[1]grup-puch'!I$1:J$65536,2,FALSE),""))))</f>
        <v>M4689</v>
      </c>
      <c r="O210" s="199" t="str">
        <f>IF(N210&lt;&gt;"",CONCATENATE(VLOOKUP(N210,[1]zawodnicy!$A$1:$E$65536,2,FALSE)," ",VLOOKUP(N210,[1]zawodnicy!$A$1:$E$65536,3,FALSE)," - ",VLOOKUP(N210,[1]zawodnicy!$A$1:$E$65536,4,FALSE)),"")</f>
        <v>Maciej MAŁACHOWSKI - UKS Kometa Sianów</v>
      </c>
      <c r="P210" s="108">
        <v>38</v>
      </c>
      <c r="Q210" s="200" t="str">
        <f>IF(F210="","",VLOOKUP(F210,[1]zawodnicy!$A$1:$D$65536,3,FALSE))</f>
        <v>KAIM</v>
      </c>
      <c r="R210" s="114"/>
      <c r="S210" s="114"/>
      <c r="T210" s="114"/>
      <c r="U210" s="116"/>
    </row>
    <row r="211" spans="1:21" ht="12.75" x14ac:dyDescent="0.2">
      <c r="K211" s="95">
        <f>IF(L142&gt;32,34,"")</f>
        <v>34</v>
      </c>
      <c r="L211" s="104" t="s">
        <v>217</v>
      </c>
      <c r="M211" s="193">
        <f>IF(K211="","",MAX(M144:M210)+1)</f>
        <v>28</v>
      </c>
      <c r="N211" s="198" t="str">
        <f>UPPER(IF(M211="","",IF(ISTEXT(L211),L211,IF(AND(L141&gt;0,M211&gt;0),VLOOKUP(L141&amp;M211&amp;J210,'[1]grup-puch'!I$1:J$65536,2,FALSE),""))))</f>
        <v>K4579</v>
      </c>
      <c r="O211" s="199" t="str">
        <f>IF(N211&lt;&gt;"",CONCATENATE(VLOOKUP(N211,[1]zawodnicy!$A$1:$E$65536,2,FALSE)," ",VLOOKUP(N211,[1]zawodnicy!$A$1:$E$65536,3,FALSE)," - ",VLOOKUP(N211,[1]zawodnicy!$A$1:$E$65536,4,FALSE)),"")</f>
        <v>Miłosz KAIM - KS Masovia Płock</v>
      </c>
      <c r="P211" s="202"/>
      <c r="Q211" s="203" t="str">
        <f>IF(H210="",I210,H210)</f>
        <v>21:8,21:14</v>
      </c>
      <c r="R211" s="114"/>
      <c r="S211" s="114"/>
      <c r="T211" s="114"/>
      <c r="U211" s="116"/>
    </row>
    <row r="212" spans="1:21" ht="12.75" x14ac:dyDescent="0.2">
      <c r="A212" s="111">
        <f>Q212</f>
        <v>341</v>
      </c>
      <c r="B212" s="2" t="str">
        <f>F210</f>
        <v>K4579</v>
      </c>
      <c r="D212" s="2" t="str">
        <f>F214</f>
        <v>T3691</v>
      </c>
      <c r="F212" s="2" t="str">
        <f>IF(A212=0,IF(AND(LEN(B212)&gt;0,LEN(D212)=0),B212,IF(AND(LEN(D212)&gt;0,LEN(B212)=0),D212,"")),IF((VLOOKUP(A212,'[1]plan gier'!$X$1:$AF$65536,7,FALSE))="","",VLOOKUP(VLOOKUP(A212,'[1]plan gier'!$X$1:$AF$65536,7,FALSE),[1]zawodnicy!$A$1:$E$65536,1,FALSE)))</f>
        <v>K4579</v>
      </c>
      <c r="H212" s="2" t="str">
        <f>IF(A212=0,"",IF((VLOOKUP(A212,'[1]plan gier'!$X$1:$AF$65536,7,FALSE))="","",VLOOKUP(A212,'[1]plan gier'!$X$1:$AF$65536,9,FALSE)))</f>
        <v>21:12,21:19</v>
      </c>
      <c r="I212" s="2" t="str">
        <f>IF(A212=0,"",IF(VLOOKUP(A212,'[1]plan gier'!A$1:S$65536,19,FALSE)="","",VLOOKUP(A212,'[1]plan gier'!A$1:S$65536,19,FALSE)))</f>
        <v>sob 16:10</v>
      </c>
      <c r="J212" s="2" t="str">
        <f>L143</f>
        <v>pojedyncza chłopców M</v>
      </c>
      <c r="N212" s="9"/>
      <c r="O212" s="9"/>
      <c r="P212" s="113"/>
      <c r="Q212" s="115">
        <v>341</v>
      </c>
      <c r="R212" s="200" t="str">
        <f>IF(F212="","",VLOOKUP(F212,[1]zawodnicy!$A$1:$D$65536,3,FALSE))</f>
        <v>KAIM</v>
      </c>
      <c r="S212" s="114"/>
      <c r="T212" s="114"/>
      <c r="U212" s="116"/>
    </row>
    <row r="213" spans="1:21" ht="12.75" x14ac:dyDescent="0.2">
      <c r="N213" s="9"/>
      <c r="O213" s="9"/>
      <c r="P213" s="113"/>
      <c r="Q213" s="116"/>
      <c r="R213" s="203" t="str">
        <f>IF(H212="",I212,H212)</f>
        <v>21:12,21:19</v>
      </c>
      <c r="S213" s="114"/>
      <c r="T213" s="114"/>
      <c r="U213" s="116"/>
    </row>
    <row r="214" spans="1:21" ht="12.75" x14ac:dyDescent="0.2">
      <c r="A214" s="102">
        <f>P214</f>
        <v>39</v>
      </c>
      <c r="B214" s="2" t="str">
        <f>IF(N214="","",N214)</f>
        <v>T3691</v>
      </c>
      <c r="D214" s="2" t="str">
        <f>IF(N215="","",N215)</f>
        <v>X02</v>
      </c>
      <c r="F214" s="2" t="str">
        <f>IF(A214=0,IF(AND(LEN(B214)&gt;0,LEN(D214)=0),VLOOKUP(B214,[1]zawodnicy!$A$1:$E$65536,1,FALSE),IF(AND(LEN(D214)&gt;0,LEN(B214)=0),VLOOKUP(D214,[1]zawodnicy!$A$1:$E$65536,1,FALSE),"")),IF((VLOOKUP(A214,'[1]plan gier'!$X$1:$AF$65536,7,FALSE))="","",VLOOKUP(VLOOKUP(A214,'[1]plan gier'!$X$1:$AF$65536,7,FALSE),[1]zawodnicy!$A$1:$E$65536,1,FALSE)))</f>
        <v>T3691</v>
      </c>
      <c r="H214" s="2" t="str">
        <f>IF(A214=0,"",IF((VLOOKUP(A214,'[1]plan gier'!$X$1:$AF$65536,7,FALSE))="","",VLOOKUP(A214,'[1]plan gier'!$X$1:$AF$65536,9,FALSE)))</f>
        <v>21:17,21:13</v>
      </c>
      <c r="I214" s="2" t="str">
        <f>IF(A214=0,"",IF(VLOOKUP(A214,'[1]plan gier'!A$1:S$65536,19,FALSE)="","",VLOOKUP(A214,'[1]plan gier'!A$1:S$65536,19,FALSE)))</f>
        <v>pt 11:10</v>
      </c>
      <c r="J214" s="2" t="str">
        <f>L143</f>
        <v>pojedyncza chłopców M</v>
      </c>
      <c r="K214" s="95">
        <f>IF(L142&gt;40,35,"")</f>
        <v>35</v>
      </c>
      <c r="L214" s="104" t="s">
        <v>272</v>
      </c>
      <c r="M214" s="193">
        <f>IF(K214="","",MAX(M144:M213)+1)</f>
        <v>29</v>
      </c>
      <c r="N214" s="198" t="str">
        <f>UPPER(IF(M214="","",IF(ISTEXT(L214),L214,IF(AND(L141&gt;0,M214&gt;0),VLOOKUP(L141&amp;M214&amp;J214,'[1]grup-puch'!I$1:J$65536,2,FALSE),""))))</f>
        <v>T3691</v>
      </c>
      <c r="O214" s="199" t="str">
        <f>IF(N214&lt;&gt;"",CONCATENATE(VLOOKUP(N214,[1]zawodnicy!$A$1:$E$65536,2,FALSE)," ",VLOOKUP(N214,[1]zawodnicy!$A$1:$E$65536,3,FALSE)," - ",VLOOKUP(N214,[1]zawodnicy!$A$1:$E$65536,4,FALSE)),"")</f>
        <v>Jakub TEMBIKOWSKI - UKS Badminton Stare Babice</v>
      </c>
      <c r="P214" s="108">
        <v>39</v>
      </c>
      <c r="Q214" s="205" t="str">
        <f>IF(F214="","",VLOOKUP(F214,[1]zawodnicy!$A$1:$D$65536,3,FALSE))</f>
        <v>TEMBIKOWSKI</v>
      </c>
      <c r="R214" s="116"/>
      <c r="S214" s="114"/>
      <c r="T214" s="114"/>
      <c r="U214" s="116"/>
    </row>
    <row r="215" spans="1:21" ht="12.75" x14ac:dyDescent="0.2">
      <c r="K215" s="95">
        <f>IF(L142&gt;32,36,"")</f>
        <v>36</v>
      </c>
      <c r="L215" s="104" t="s">
        <v>225</v>
      </c>
      <c r="M215" s="193">
        <f>IF(K215="","",MAX(M144:M214)+1)</f>
        <v>30</v>
      </c>
      <c r="N215" s="198" t="str">
        <f>UPPER(IF(M215="","",IF(ISTEXT(L215),L215,IF(AND(L141&gt;0,M215&gt;0),VLOOKUP(L141&amp;M215&amp;J214,'[1]grup-puch'!I$1:J$65536,2,FALSE),""))))</f>
        <v>X02</v>
      </c>
      <c r="O215" s="199" t="str">
        <f>IF(N215&lt;&gt;"",CONCATENATE(VLOOKUP(N215,[1]zawodnicy!$A$1:$E$65536,2,FALSE)," ",VLOOKUP(N215,[1]zawodnicy!$A$1:$E$65536,3,FALSE)," - ",VLOOKUP(N215,[1]zawodnicy!$A$1:$E$65536,4,FALSE)),"")</f>
        <v>Matas GELZINIS - Litwa</v>
      </c>
      <c r="P215" s="202"/>
      <c r="Q215" s="114" t="str">
        <f>IF(H214="",I214,H214)</f>
        <v>21:17,21:13</v>
      </c>
      <c r="R215" s="116"/>
      <c r="S215" s="114"/>
      <c r="T215" s="114"/>
      <c r="U215" s="116"/>
    </row>
    <row r="216" spans="1:21" ht="12.75" x14ac:dyDescent="0.2">
      <c r="A216" s="118">
        <f>R216</f>
        <v>381</v>
      </c>
      <c r="B216" s="2" t="str">
        <f>F212</f>
        <v>K4579</v>
      </c>
      <c r="D216" s="2" t="str">
        <f>F220</f>
        <v>J4677</v>
      </c>
      <c r="F216" s="2" t="str">
        <f>IF(A216=0,IF(AND(LEN(B216)&gt;0,LEN(D216)=0),B216,IF(AND(LEN(D216)&gt;0,LEN(B216)=0),D216,"")),IF((VLOOKUP(A216,'[1]plan gier'!$X$1:$AF$65536,7,FALSE))="","",VLOOKUP(VLOOKUP(A216,'[1]plan gier'!$X$1:$AF$65536,7,FALSE),[1]zawodnicy!$A$1:$E$65536,1,FALSE)))</f>
        <v>K4579</v>
      </c>
      <c r="H216" s="2" t="str">
        <f>IF(A216=0,"",IF((VLOOKUP(A216,'[1]plan gier'!$X$1:$AF$65536,7,FALSE))="","",VLOOKUP(A216,'[1]plan gier'!$X$1:$AF$65536,9,FALSE)))</f>
        <v>21:12,26:24</v>
      </c>
      <c r="I216" s="2" t="str">
        <f>IF(A216=0,"",IF(VLOOKUP(A216,'[1]plan gier'!A$1:S$65536,19,FALSE)="","",VLOOKUP(A216,'[1]plan gier'!A$1:S$65536,19,FALSE)))</f>
        <v>sob 18:10</v>
      </c>
      <c r="J216" s="2" t="str">
        <f>L143</f>
        <v>pojedyncza chłopców M</v>
      </c>
      <c r="N216" s="9"/>
      <c r="O216" s="9"/>
      <c r="P216" s="113"/>
      <c r="Q216" s="114"/>
      <c r="R216" s="206">
        <v>381</v>
      </c>
      <c r="S216" s="200" t="str">
        <f>IF(F216="","",VLOOKUP(F216,[1]zawodnicy!$A$1:$D$65536,3,FALSE))</f>
        <v>KAIM</v>
      </c>
      <c r="T216" s="114"/>
      <c r="U216" s="116"/>
    </row>
    <row r="217" spans="1:21" ht="12.75" x14ac:dyDescent="0.2">
      <c r="N217" s="9"/>
      <c r="O217" s="9"/>
      <c r="P217" s="113"/>
      <c r="Q217" s="114"/>
      <c r="R217" s="116"/>
      <c r="S217" s="203" t="str">
        <f>IF(H216="",I216,H216)</f>
        <v>21:12,26:24</v>
      </c>
      <c r="T217" s="114"/>
      <c r="U217" s="116"/>
    </row>
    <row r="218" spans="1:21" ht="12.75" x14ac:dyDescent="0.2">
      <c r="A218" s="102">
        <f>P218</f>
        <v>40</v>
      </c>
      <c r="B218" s="2" t="str">
        <f>IF(N218="","",N218)</f>
        <v>S5092</v>
      </c>
      <c r="D218" s="2" t="str">
        <f>IF(N219="","",N219)</f>
        <v>W4651</v>
      </c>
      <c r="F218" s="2" t="str">
        <f>IF(A218=0,IF(AND(LEN(B218)&gt;0,LEN(D218)=0),VLOOKUP(B218,[1]zawodnicy!$A$1:$E$65536,1,FALSE),IF(AND(LEN(D218)&gt;0,LEN(B218)=0),VLOOKUP(D218,[1]zawodnicy!$A$1:$E$65536,1,FALSE),"")),IF((VLOOKUP(A218,'[1]plan gier'!$X$1:$AF$65536,7,FALSE))="","",VLOOKUP(VLOOKUP(A218,'[1]plan gier'!$X$1:$AF$65536,7,FALSE),[1]zawodnicy!$A$1:$E$65536,1,FALSE)))</f>
        <v>S5092</v>
      </c>
      <c r="H218" s="2" t="str">
        <f>IF(A218=0,"",IF((VLOOKUP(A218,'[1]plan gier'!$X$1:$AF$65536,7,FALSE))="","",VLOOKUP(A218,'[1]plan gier'!$X$1:$AF$65536,9,FALSE)))</f>
        <v>21:6,21:5</v>
      </c>
      <c r="I218" s="2" t="str">
        <f>IF(A218=0,"",IF(VLOOKUP(A218,'[1]plan gier'!A$1:S$65536,19,FALSE)="","",VLOOKUP(A218,'[1]plan gier'!A$1:S$65536,19,FALSE)))</f>
        <v>pt 11:10</v>
      </c>
      <c r="J218" s="2" t="str">
        <f>L143</f>
        <v>pojedyncza chłopców M</v>
      </c>
      <c r="K218" s="95">
        <f>IF(L142&gt;48,37,"")</f>
        <v>37</v>
      </c>
      <c r="L218" s="104" t="s">
        <v>259</v>
      </c>
      <c r="M218" s="193">
        <f>IF(K218="","",MAX(M144:M217)+1)</f>
        <v>31</v>
      </c>
      <c r="N218" s="198" t="str">
        <f>UPPER(IF(M218="","",IF(ISTEXT(L218),L218,IF(AND(L141&gt;0,M218&gt;0),VLOOKUP(L141&amp;M218&amp;J218,'[1]grup-puch'!I$1:J$65536,2,FALSE),""))))</f>
        <v>S5092</v>
      </c>
      <c r="O218" s="199" t="str">
        <f>IF(N218&lt;&gt;"",CONCATENATE(VLOOKUP(N218,[1]zawodnicy!$A$1:$E$65536,2,FALSE)," ",VLOOKUP(N218,[1]zawodnicy!$A$1:$E$65536,3,FALSE)," - ",VLOOKUP(N218,[1]zawodnicy!$A$1:$E$65536,4,FALSE)),"")</f>
        <v>Andrzej SAWICKI - UKS Hubal Białystok</v>
      </c>
      <c r="P218" s="108">
        <v>40</v>
      </c>
      <c r="Q218" s="200" t="str">
        <f>IF(F218="","",VLOOKUP(F218,[1]zawodnicy!$A$1:$D$65536,3,FALSE))</f>
        <v>SAWICKI</v>
      </c>
      <c r="R218" s="116"/>
      <c r="S218" s="116"/>
      <c r="T218" s="114"/>
      <c r="U218" s="116"/>
    </row>
    <row r="219" spans="1:21" ht="12.75" x14ac:dyDescent="0.2">
      <c r="K219" s="95">
        <f>IF(L142&gt;32,38,"")</f>
        <v>38</v>
      </c>
      <c r="L219" s="104" t="s">
        <v>232</v>
      </c>
      <c r="M219" s="193">
        <f>IF(K219="","",MAX(M144:M218)+1)</f>
        <v>32</v>
      </c>
      <c r="N219" s="198" t="str">
        <f>UPPER(IF(M219="","",IF(ISTEXT(L219),L219,IF(AND(L141&gt;0,M219&gt;0),VLOOKUP(L141&amp;M219&amp;J218,'[1]grup-puch'!I$1:J$65536,2,FALSE),""))))</f>
        <v>W4651</v>
      </c>
      <c r="O219" s="199" t="str">
        <f>IF(N219&lt;&gt;"",CONCATENATE(VLOOKUP(N219,[1]zawodnicy!$A$1:$E$65536,2,FALSE)," ",VLOOKUP(N219,[1]zawodnicy!$A$1:$E$65536,3,FALSE)," - ",VLOOKUP(N219,[1]zawodnicy!$A$1:$E$65536,4,FALSE)),"")</f>
        <v>Mateusz WUDARSKI - UKS Iskra Sarbice</v>
      </c>
      <c r="P219" s="202"/>
      <c r="Q219" s="203" t="str">
        <f>IF(H218="",I218,H218)</f>
        <v>21:6,21:5</v>
      </c>
      <c r="R219" s="116"/>
      <c r="S219" s="116"/>
      <c r="T219" s="114"/>
      <c r="U219" s="116"/>
    </row>
    <row r="220" spans="1:21" ht="12.75" x14ac:dyDescent="0.2">
      <c r="A220" s="111">
        <f>Q220</f>
        <v>342</v>
      </c>
      <c r="B220" s="2" t="str">
        <f>F218</f>
        <v>S5092</v>
      </c>
      <c r="D220" s="2" t="str">
        <f>F222</f>
        <v>J4677</v>
      </c>
      <c r="F220" s="2" t="str">
        <f>IF(A220=0,IF(AND(LEN(B220)&gt;0,LEN(D220)=0),B220,IF(AND(LEN(D220)&gt;0,LEN(B220)=0),D220,"")),IF((VLOOKUP(A220,'[1]plan gier'!$X$1:$AF$65536,7,FALSE))="","",VLOOKUP(VLOOKUP(A220,'[1]plan gier'!$X$1:$AF$65536,7,FALSE),[1]zawodnicy!$A$1:$E$65536,1,FALSE)))</f>
        <v>J4677</v>
      </c>
      <c r="H220" s="2" t="str">
        <f>IF(A220=0,"",IF((VLOOKUP(A220,'[1]plan gier'!$X$1:$AF$65536,7,FALSE))="","",VLOOKUP(A220,'[1]plan gier'!$X$1:$AF$65536,9,FALSE)))</f>
        <v>14:21,21:16,21:18</v>
      </c>
      <c r="I220" s="2" t="str">
        <f>IF(A220=0,"",IF(VLOOKUP(A220,'[1]plan gier'!A$1:S$65536,19,FALSE)="","",VLOOKUP(A220,'[1]plan gier'!A$1:S$65536,19,FALSE)))</f>
        <v>sob 16:10</v>
      </c>
      <c r="J220" s="2" t="str">
        <f>L143</f>
        <v>pojedyncza chłopców M</v>
      </c>
      <c r="N220" s="9"/>
      <c r="O220" s="9"/>
      <c r="P220" s="113"/>
      <c r="Q220" s="115">
        <v>342</v>
      </c>
      <c r="R220" s="205" t="str">
        <f>IF(F220="","",VLOOKUP(F220,[1]zawodnicy!$A$1:$D$65536,3,FALSE))</f>
        <v>JAGODA</v>
      </c>
      <c r="S220" s="116"/>
      <c r="T220" s="114"/>
      <c r="U220" s="116"/>
    </row>
    <row r="221" spans="1:21" ht="12.75" x14ac:dyDescent="0.2">
      <c r="N221" s="9"/>
      <c r="O221" s="9"/>
      <c r="P221" s="113"/>
      <c r="Q221" s="116"/>
      <c r="R221" s="114" t="str">
        <f>IF(H220="",I220,H220)</f>
        <v>14:21,21:16,21:18</v>
      </c>
      <c r="S221" s="116"/>
      <c r="T221" s="114"/>
      <c r="U221" s="116"/>
    </row>
    <row r="222" spans="1:21" ht="12.75" x14ac:dyDescent="0.2">
      <c r="A222" s="102">
        <f>P222</f>
        <v>0</v>
      </c>
      <c r="B222" s="2" t="str">
        <f>IF(N222="","",N222)</f>
        <v/>
      </c>
      <c r="D222" s="2" t="str">
        <f>IF(N223="","",N223)</f>
        <v>J4677</v>
      </c>
      <c r="F222" s="2" t="str">
        <f>IF(A222=0,IF(AND(LEN(B222)&gt;0,LEN(D222)=0),VLOOKUP(B222,[1]zawodnicy!$A$1:$E$65536,1,FALSE),IF(AND(LEN(D222)&gt;0,LEN(B222)=0),VLOOKUP(D222,[1]zawodnicy!$A$1:$E$65536,1,FALSE),"")),IF((VLOOKUP(A222,'[1]plan gier'!$X$1:$AF$65536,7,FALSE))="","",VLOOKUP(VLOOKUP(A222,'[1]plan gier'!$X$1:$AF$65536,7,FALSE),[1]zawodnicy!$A$1:$E$65536,1,FALSE)))</f>
        <v>J4677</v>
      </c>
      <c r="H222" s="2" t="str">
        <f>IF(A222=0,"",IF((VLOOKUP(A222,'[1]plan gier'!$X$1:$AF$65536,7,FALSE))="","",VLOOKUP(A222,'[1]plan gier'!$X$1:$AF$65536,9,FALSE)))</f>
        <v/>
      </c>
      <c r="I222" s="2" t="str">
        <f>IF(A222=0,"",IF(VLOOKUP(A222,'[1]plan gier'!A$1:S$65536,19,FALSE)="","",VLOOKUP(A222,'[1]plan gier'!A$1:S$65536,19,FALSE)))</f>
        <v/>
      </c>
      <c r="J222" s="2" t="str">
        <f>L143</f>
        <v>pojedyncza chłopców M</v>
      </c>
      <c r="K222" s="95" t="str">
        <f>IF(L142&gt;56,39,"")</f>
        <v/>
      </c>
      <c r="L222" s="104"/>
      <c r="M222" s="193" t="str">
        <f>IF(K222="","",MAX(M144:M221)+1)</f>
        <v/>
      </c>
      <c r="N222" s="198" t="str">
        <f>UPPER(IF(M222="","",IF(ISTEXT(L222),L222,IF(AND(L141&gt;0,M222&gt;0),VLOOKUP(L141&amp;M222&amp;J222,'[1]grup-puch'!I$1:J$65536,2,FALSE),""))))</f>
        <v/>
      </c>
      <c r="O222" s="199" t="str">
        <f>IF(N222&lt;&gt;"",CONCATENATE(VLOOKUP(N222,[1]zawodnicy!$A$1:$E$65536,2,FALSE)," ",VLOOKUP(N222,[1]zawodnicy!$A$1:$E$65536,3,FALSE)," - ",VLOOKUP(N222,[1]zawodnicy!$A$1:$E$65536,4,FALSE)),"")</f>
        <v/>
      </c>
      <c r="P222" s="108"/>
      <c r="Q222" s="205" t="str">
        <f>IF(F222="","",VLOOKUP(F222,[1]zawodnicy!$A$1:$D$65536,3,FALSE))</f>
        <v>JAGODA</v>
      </c>
      <c r="R222" s="114"/>
      <c r="S222" s="116"/>
      <c r="T222" s="114"/>
      <c r="U222" s="116"/>
    </row>
    <row r="223" spans="1:21" ht="12.75" x14ac:dyDescent="0.2">
      <c r="K223" s="95">
        <f>IF(L142&gt;32,40,"")</f>
        <v>40</v>
      </c>
      <c r="L223" s="104" t="s">
        <v>214</v>
      </c>
      <c r="M223" s="193">
        <f>IF(K223="","",MAX(M144:M222)+1)</f>
        <v>33</v>
      </c>
      <c r="N223" s="198" t="str">
        <f>UPPER(IF(M223="","",IF(ISTEXT(L223),L223,IF(AND(L141&gt;0,M223&gt;0),VLOOKUP(L141&amp;M223&amp;J222,'[1]grup-puch'!I$1:J$65536,2,FALSE),""))))</f>
        <v>J4677</v>
      </c>
      <c r="O223" s="199" t="str">
        <f>IF(N223&lt;&gt;"",CONCATENATE(VLOOKUP(N223,[1]zawodnicy!$A$1:$E$65536,2,FALSE)," ",VLOOKUP(N223,[1]zawodnicy!$A$1:$E$65536,3,FALSE)," - ",VLOOKUP(N223,[1]zawodnicy!$A$1:$E$65536,4,FALSE)),"")</f>
        <v>Adam JAGODA - UKS Kiko Zamość</v>
      </c>
      <c r="P223" s="202"/>
      <c r="Q223" s="114" t="str">
        <f>IF(H222="",I222,H222)</f>
        <v/>
      </c>
      <c r="R223" s="114"/>
      <c r="S223" s="116"/>
      <c r="T223" s="114"/>
      <c r="U223" s="116"/>
    </row>
    <row r="224" spans="1:21" ht="12.75" x14ac:dyDescent="0.2">
      <c r="A224" s="172">
        <f>S224</f>
        <v>435</v>
      </c>
      <c r="B224" s="2" t="str">
        <f>F216</f>
        <v>K4579</v>
      </c>
      <c r="D224" s="2" t="str">
        <f>F232</f>
        <v>S4287</v>
      </c>
      <c r="F224" s="2" t="str">
        <f>IF(A224=0,IF(AND(LEN(B224)&gt;0,LEN(D224)=0),B224,IF(AND(LEN(D224)&gt;0,LEN(B224)=0),D224,"")),IF((VLOOKUP(A224,'[1]plan gier'!$X$1:$AF$65536,7,FALSE))="","",VLOOKUP(VLOOKUP(A224,'[1]plan gier'!$X$1:$AF$65536,7,FALSE),[1]zawodnicy!$A$1:$E$65536,1,FALSE)))</f>
        <v>S4287</v>
      </c>
      <c r="H224" s="2" t="str">
        <f>IF(A224=0,"",IF((VLOOKUP(A224,'[1]plan gier'!$X$1:$AF$65536,7,FALSE))="","",VLOOKUP(A224,'[1]plan gier'!$X$1:$AF$65536,9,FALSE)))</f>
        <v>15:21,21:18,21:16</v>
      </c>
      <c r="I224" s="2" t="str">
        <f>IF(A224=0,"",IF(VLOOKUP(A224,'[1]plan gier'!A$1:S$65536,19,FALSE)="","",VLOOKUP(A224,'[1]plan gier'!A$1:S$65536,19,FALSE)))</f>
        <v>nie 11:00</v>
      </c>
      <c r="J224" s="2" t="str">
        <f>L143</f>
        <v>pojedyncza chłopców M</v>
      </c>
      <c r="N224" s="9"/>
      <c r="O224" s="9"/>
      <c r="P224" s="113"/>
      <c r="Q224" s="114"/>
      <c r="R224" s="114"/>
      <c r="S224" s="115">
        <v>435</v>
      </c>
      <c r="T224" s="200" t="str">
        <f>IF(F224="","",VLOOKUP(F224,[1]zawodnicy!$A$1:$D$65536,3,FALSE))</f>
        <v>SOBOLEWSKI</v>
      </c>
      <c r="U224" s="116"/>
    </row>
    <row r="225" spans="1:21" ht="12.75" x14ac:dyDescent="0.2">
      <c r="N225" s="9"/>
      <c r="O225" s="9"/>
      <c r="P225" s="113"/>
      <c r="Q225" s="114"/>
      <c r="R225" s="114"/>
      <c r="S225" s="116"/>
      <c r="T225" s="203" t="str">
        <f>IF(H224="",I224,H224)</f>
        <v>15:21,21:18,21:16</v>
      </c>
      <c r="U225" s="116"/>
    </row>
    <row r="226" spans="1:21" ht="12.75" x14ac:dyDescent="0.2">
      <c r="A226" s="102">
        <f>P226</f>
        <v>41</v>
      </c>
      <c r="B226" s="2" t="str">
        <f>IF(N226="","",N226)</f>
        <v>S4287</v>
      </c>
      <c r="D226" s="2" t="str">
        <f>IF(N227="","",N227)</f>
        <v>K4556</v>
      </c>
      <c r="F226" s="2" t="str">
        <f>IF(A226=0,IF(AND(LEN(B226)&gt;0,LEN(D226)=0),VLOOKUP(B226,[1]zawodnicy!$A$1:$E$65536,1,FALSE),IF(AND(LEN(D226)&gt;0,LEN(B226)=0),VLOOKUP(D226,[1]zawodnicy!$A$1:$E$65536,1,FALSE),"")),IF((VLOOKUP(A226,'[1]plan gier'!$X$1:$AF$65536,7,FALSE))="","",VLOOKUP(VLOOKUP(A226,'[1]plan gier'!$X$1:$AF$65536,7,FALSE),[1]zawodnicy!$A$1:$E$65536,1,FALSE)))</f>
        <v>S4287</v>
      </c>
      <c r="H226" s="2" t="str">
        <f>IF(A226=0,"",IF((VLOOKUP(A226,'[1]plan gier'!$X$1:$AF$65536,7,FALSE))="","",VLOOKUP(A226,'[1]plan gier'!$X$1:$AF$65536,9,FALSE)))</f>
        <v>21:6,21:11</v>
      </c>
      <c r="I226" s="2" t="str">
        <f>IF(A226=0,"",IF(VLOOKUP(A226,'[1]plan gier'!A$1:S$65536,19,FALSE)="","",VLOOKUP(A226,'[1]plan gier'!A$1:S$65536,19,FALSE)))</f>
        <v>pt 11:10</v>
      </c>
      <c r="J226" s="2" t="str">
        <f>L143</f>
        <v>pojedyncza chłopców M</v>
      </c>
      <c r="K226" s="95">
        <f>IF(L142&gt;36,41,"")</f>
        <v>41</v>
      </c>
      <c r="L226" s="104" t="s">
        <v>234</v>
      </c>
      <c r="M226" s="193">
        <f>IF(K226="","",MAX(M144:M225)+1)</f>
        <v>34</v>
      </c>
      <c r="N226" s="198" t="str">
        <f>UPPER(IF(M226="","",IF(ISTEXT(L226),L226,IF(AND(L141&gt;0,M226&gt;0),VLOOKUP(L141&amp;M226&amp;J226,'[1]grup-puch'!I$1:J$65536,2,FALSE),""))))</f>
        <v>S4287</v>
      </c>
      <c r="O226" s="199" t="str">
        <f>IF(N226&lt;&gt;"",CONCATENATE(VLOOKUP(N226,[1]zawodnicy!$A$1:$E$65536,2,FALSE)," ",VLOOKUP(N226,[1]zawodnicy!$A$1:$E$65536,3,FALSE)," - ",VLOOKUP(N226,[1]zawodnicy!$A$1:$E$65536,4,FALSE)),"")</f>
        <v>Michał SOBOLEWSKI - SKB Suwałki</v>
      </c>
      <c r="P226" s="108">
        <v>41</v>
      </c>
      <c r="Q226" s="200" t="str">
        <f>IF(F226="","",VLOOKUP(F226,[1]zawodnicy!$A$1:$D$65536,3,FALSE))</f>
        <v>SOBOLEWSKI</v>
      </c>
      <c r="R226" s="114"/>
      <c r="S226" s="116"/>
      <c r="T226" s="116"/>
      <c r="U226" s="116"/>
    </row>
    <row r="227" spans="1:21" ht="12.75" x14ac:dyDescent="0.2">
      <c r="K227" s="95">
        <f>IF(L142&gt;32,42,"")</f>
        <v>42</v>
      </c>
      <c r="L227" s="104" t="s">
        <v>240</v>
      </c>
      <c r="M227" s="193">
        <f>IF(K227="","",MAX(M144:M226)+1)</f>
        <v>35</v>
      </c>
      <c r="N227" s="198" t="str">
        <f>UPPER(IF(M227="","",IF(ISTEXT(L227),L227,IF(AND(L141&gt;0,M227&gt;0),VLOOKUP(L141&amp;M227&amp;J226,'[1]grup-puch'!I$1:J$65536,2,FALSE),""))))</f>
        <v>K4556</v>
      </c>
      <c r="O227" s="199" t="str">
        <f>IF(N227&lt;&gt;"",CONCATENATE(VLOOKUP(N227,[1]zawodnicy!$A$1:$E$65536,2,FALSE)," ",VLOOKUP(N227,[1]zawodnicy!$A$1:$E$65536,3,FALSE)," - ",VLOOKUP(N227,[1]zawodnicy!$A$1:$E$65536,4,FALSE)),"")</f>
        <v>Piotr KUKUŁA - UKS Orliki Ropica Polska</v>
      </c>
      <c r="P227" s="202"/>
      <c r="Q227" s="203" t="str">
        <f>IF(H226="",I226,H226)</f>
        <v>21:6,21:11</v>
      </c>
      <c r="R227" s="114"/>
      <c r="S227" s="116"/>
      <c r="T227" s="116"/>
      <c r="U227" s="116"/>
    </row>
    <row r="228" spans="1:21" ht="12.75" x14ac:dyDescent="0.2">
      <c r="A228" s="111">
        <f>Q228</f>
        <v>343</v>
      </c>
      <c r="B228" s="2" t="str">
        <f>F226</f>
        <v>S4287</v>
      </c>
      <c r="D228" s="2" t="str">
        <f>F230</f>
        <v>E4320</v>
      </c>
      <c r="F228" s="2" t="str">
        <f>IF(A228=0,IF(AND(LEN(B228)&gt;0,LEN(D228)=0),B228,IF(AND(LEN(D228)&gt;0,LEN(B228)=0),D228,"")),IF((VLOOKUP(A228,'[1]plan gier'!$X$1:$AF$65536,7,FALSE))="","",VLOOKUP(VLOOKUP(A228,'[1]plan gier'!$X$1:$AF$65536,7,FALSE),[1]zawodnicy!$A$1:$E$65536,1,FALSE)))</f>
        <v>S4287</v>
      </c>
      <c r="H228" s="2" t="str">
        <f>IF(A228=0,"",IF((VLOOKUP(A228,'[1]plan gier'!$X$1:$AF$65536,7,FALSE))="","",VLOOKUP(A228,'[1]plan gier'!$X$1:$AF$65536,9,FALSE)))</f>
        <v>21:4,21:11</v>
      </c>
      <c r="I228" s="2" t="str">
        <f>IF(A228=0,"",IF(VLOOKUP(A228,'[1]plan gier'!A$1:S$65536,19,FALSE)="","",VLOOKUP(A228,'[1]plan gier'!A$1:S$65536,19,FALSE)))</f>
        <v>sob 16:30</v>
      </c>
      <c r="J228" s="2" t="str">
        <f>L143</f>
        <v>pojedyncza chłopców M</v>
      </c>
      <c r="N228" s="9"/>
      <c r="O228" s="9"/>
      <c r="P228" s="113"/>
      <c r="Q228" s="115">
        <v>343</v>
      </c>
      <c r="R228" s="200" t="str">
        <f>IF(F228="","",VLOOKUP(F228,[1]zawodnicy!$A$1:$D$65536,3,FALSE))</f>
        <v>SOBOLEWSKI</v>
      </c>
      <c r="S228" s="116"/>
      <c r="T228" s="116"/>
      <c r="U228" s="116"/>
    </row>
    <row r="229" spans="1:21" ht="12.75" x14ac:dyDescent="0.2">
      <c r="N229" s="9"/>
      <c r="O229" s="9"/>
      <c r="P229" s="113"/>
      <c r="Q229" s="116"/>
      <c r="R229" s="203" t="str">
        <f>IF(H228="",I228,H228)</f>
        <v>21:4,21:11</v>
      </c>
      <c r="S229" s="116"/>
      <c r="T229" s="116"/>
      <c r="U229" s="116"/>
    </row>
    <row r="230" spans="1:21" ht="12.75" x14ac:dyDescent="0.2">
      <c r="A230" s="102">
        <f>P230</f>
        <v>42</v>
      </c>
      <c r="B230" s="2" t="str">
        <f>IF(N230="","",N230)</f>
        <v>M5027</v>
      </c>
      <c r="D230" s="2" t="str">
        <f>IF(N231="","",N231)</f>
        <v>E4320</v>
      </c>
      <c r="F230" s="2" t="str">
        <f>IF(A230=0,IF(AND(LEN(B230)&gt;0,LEN(D230)=0),VLOOKUP(B230,[1]zawodnicy!$A$1:$E$65536,1,FALSE),IF(AND(LEN(D230)&gt;0,LEN(B230)=0),VLOOKUP(D230,[1]zawodnicy!$A$1:$E$65536,1,FALSE),"")),IF((VLOOKUP(A230,'[1]plan gier'!$X$1:$AF$65536,7,FALSE))="","",VLOOKUP(VLOOKUP(A230,'[1]plan gier'!$X$1:$AF$65536,7,FALSE),[1]zawodnicy!$A$1:$E$65536,1,FALSE)))</f>
        <v>E4320</v>
      </c>
      <c r="H230" s="2" t="str">
        <f>IF(A230=0,"",IF((VLOOKUP(A230,'[1]plan gier'!$X$1:$AF$65536,7,FALSE))="","",VLOOKUP(A230,'[1]plan gier'!$X$1:$AF$65536,9,FALSE)))</f>
        <v>21:10,21:11</v>
      </c>
      <c r="I230" s="2" t="str">
        <f>IF(A230=0,"",IF(VLOOKUP(A230,'[1]plan gier'!A$1:S$65536,19,FALSE)="","",VLOOKUP(A230,'[1]plan gier'!A$1:S$65536,19,FALSE)))</f>
        <v>pt 11:10</v>
      </c>
      <c r="J230" s="2" t="str">
        <f>L143</f>
        <v>pojedyncza chłopców M</v>
      </c>
      <c r="K230" s="95">
        <f>IF(L142&gt;44,43,"")</f>
        <v>43</v>
      </c>
      <c r="L230" s="104" t="s">
        <v>215</v>
      </c>
      <c r="M230" s="193">
        <f>IF(K230="","",MAX(M144:M229)+1)</f>
        <v>36</v>
      </c>
      <c r="N230" s="198" t="str">
        <f>UPPER(IF(M230="","",IF(ISTEXT(L230),L230,IF(AND(L141&gt;0,M230&gt;0),VLOOKUP(L141&amp;M230&amp;J230,'[1]grup-puch'!I$1:J$65536,2,FALSE),""))))</f>
        <v>M5027</v>
      </c>
      <c r="O230" s="199" t="str">
        <f>IF(N230&lt;&gt;"",CONCATENATE(VLOOKUP(N230,[1]zawodnicy!$A$1:$E$65536,2,FALSE)," ",VLOOKUP(N230,[1]zawodnicy!$A$1:$E$65536,3,FALSE)," - ",VLOOKUP(N230,[1]zawodnicy!$A$1:$E$65536,4,FALSE)),"")</f>
        <v>Kamil MACIOŁEK - MKS Strzelce Opolskie</v>
      </c>
      <c r="P230" s="108">
        <v>42</v>
      </c>
      <c r="Q230" s="205" t="str">
        <f>IF(F230="","",VLOOKUP(F230,[1]zawodnicy!$A$1:$D$65536,3,FALSE))</f>
        <v>EBERT</v>
      </c>
      <c r="R230" s="116"/>
      <c r="S230" s="116"/>
      <c r="T230" s="116"/>
      <c r="U230" s="116"/>
    </row>
    <row r="231" spans="1:21" ht="12.75" x14ac:dyDescent="0.2">
      <c r="K231" s="95">
        <f>IF(L142&gt;32,44,"")</f>
        <v>44</v>
      </c>
      <c r="L231" s="104" t="s">
        <v>223</v>
      </c>
      <c r="M231" s="193">
        <f>IF(K231="","",MAX(M144:M230)+1)</f>
        <v>37</v>
      </c>
      <c r="N231" s="198" t="str">
        <f>UPPER(IF(M231="","",IF(ISTEXT(L231),L231,IF(AND(L141&gt;0,M231&gt;0),VLOOKUP(L141&amp;M231&amp;J230,'[1]grup-puch'!I$1:J$65536,2,FALSE),""))))</f>
        <v>E4320</v>
      </c>
      <c r="O231" s="199" t="str">
        <f>IF(N231&lt;&gt;"",CONCATENATE(VLOOKUP(N231,[1]zawodnicy!$A$1:$E$65536,2,FALSE)," ",VLOOKUP(N231,[1]zawodnicy!$A$1:$E$65536,3,FALSE)," - ",VLOOKUP(N231,[1]zawodnicy!$A$1:$E$65536,4,FALSE)),"")</f>
        <v>Franciszek EBERT - KS Hubertus Zalesie Górne</v>
      </c>
      <c r="P231" s="202"/>
      <c r="Q231" s="114" t="str">
        <f>IF(H230="",I230,H230)</f>
        <v>21:10,21:11</v>
      </c>
      <c r="R231" s="116"/>
      <c r="S231" s="116"/>
      <c r="T231" s="116"/>
      <c r="U231" s="116"/>
    </row>
    <row r="232" spans="1:21" ht="12.75" x14ac:dyDescent="0.2">
      <c r="A232" s="118">
        <f>R232</f>
        <v>382</v>
      </c>
      <c r="B232" s="2" t="str">
        <f>F228</f>
        <v>S4287</v>
      </c>
      <c r="D232" s="2" t="str">
        <f>F236</f>
        <v>B4431</v>
      </c>
      <c r="F232" s="2" t="str">
        <f>IF(A232=0,IF(AND(LEN(B232)&gt;0,LEN(D232)=0),B232,IF(AND(LEN(D232)&gt;0,LEN(B232)=0),D232,"")),IF((VLOOKUP(A232,'[1]plan gier'!$X$1:$AF$65536,7,FALSE))="","",VLOOKUP(VLOOKUP(A232,'[1]plan gier'!$X$1:$AF$65536,7,FALSE),[1]zawodnicy!$A$1:$E$65536,1,FALSE)))</f>
        <v>S4287</v>
      </c>
      <c r="H232" s="2" t="str">
        <f>IF(A232=0,"",IF((VLOOKUP(A232,'[1]plan gier'!$X$1:$AF$65536,7,FALSE))="","",VLOOKUP(A232,'[1]plan gier'!$X$1:$AF$65536,9,FALSE)))</f>
        <v>21:12,21:16</v>
      </c>
      <c r="I232" s="2" t="str">
        <f>IF(A232=0,"",IF(VLOOKUP(A232,'[1]plan gier'!A$1:S$65536,19,FALSE)="","",VLOOKUP(A232,'[1]plan gier'!A$1:S$65536,19,FALSE)))</f>
        <v>sob 18:10</v>
      </c>
      <c r="J232" s="2" t="str">
        <f>L143</f>
        <v>pojedyncza chłopców M</v>
      </c>
      <c r="N232" s="9"/>
      <c r="O232" s="9"/>
      <c r="P232" s="113"/>
      <c r="Q232" s="114"/>
      <c r="R232" s="206">
        <v>382</v>
      </c>
      <c r="S232" s="205" t="str">
        <f>IF(F232="","",VLOOKUP(F232,[1]zawodnicy!$A$1:$D$65536,3,FALSE))</f>
        <v>SOBOLEWSKI</v>
      </c>
      <c r="T232" s="116"/>
      <c r="U232" s="116"/>
    </row>
    <row r="233" spans="1:21" ht="12.75" x14ac:dyDescent="0.2">
      <c r="N233" s="9"/>
      <c r="O233" s="9"/>
      <c r="P233" s="113"/>
      <c r="Q233" s="114"/>
      <c r="R233" s="116"/>
      <c r="S233" s="114" t="str">
        <f>IF(H232="",I232,H232)</f>
        <v>21:12,21:16</v>
      </c>
      <c r="T233" s="116"/>
      <c r="U233" s="116"/>
    </row>
    <row r="234" spans="1:21" ht="12.75" x14ac:dyDescent="0.2">
      <c r="A234" s="102">
        <f>P234</f>
        <v>0</v>
      </c>
      <c r="B234" s="2" t="str">
        <f>IF(N234="","",N234)</f>
        <v/>
      </c>
      <c r="D234" s="2" t="str">
        <f>IF(N235="","",N235)</f>
        <v>K5132</v>
      </c>
      <c r="F234" s="2" t="str">
        <f>IF(A234=0,IF(AND(LEN(B234)&gt;0,LEN(D234)=0),VLOOKUP(B234,[1]zawodnicy!$A$1:$E$65536,1,FALSE),IF(AND(LEN(D234)&gt;0,LEN(B234)=0),VLOOKUP(D234,[1]zawodnicy!$A$1:$E$65536,1,FALSE),"")),IF((VLOOKUP(A234,'[1]plan gier'!$X$1:$AF$65536,7,FALSE))="","",VLOOKUP(VLOOKUP(A234,'[1]plan gier'!$X$1:$AF$65536,7,FALSE),[1]zawodnicy!$A$1:$E$65536,1,FALSE)))</f>
        <v>K5132</v>
      </c>
      <c r="H234" s="2" t="str">
        <f>IF(A234=0,"",IF((VLOOKUP(A234,'[1]plan gier'!$X$1:$AF$65536,7,FALSE))="","",VLOOKUP(A234,'[1]plan gier'!$X$1:$AF$65536,9,FALSE)))</f>
        <v/>
      </c>
      <c r="I234" s="2" t="str">
        <f>IF(A234=0,"",IF(VLOOKUP(A234,'[1]plan gier'!A$1:S$65536,19,FALSE)="","",VLOOKUP(A234,'[1]plan gier'!A$1:S$65536,19,FALSE)))</f>
        <v/>
      </c>
      <c r="J234" s="2" t="str">
        <f>L143</f>
        <v>pojedyncza chłopców M</v>
      </c>
      <c r="K234" s="95" t="str">
        <f>IF(L142&gt;52,45,"")</f>
        <v/>
      </c>
      <c r="L234" s="104"/>
      <c r="M234" s="193" t="str">
        <f>IF(K234="","",MAX(M144:M233)+1)</f>
        <v/>
      </c>
      <c r="N234" s="198" t="str">
        <f>UPPER(IF(M234="","",IF(ISTEXT(L234),L234,IF(AND(L141&gt;0,M234&gt;0),VLOOKUP(L141&amp;M234&amp;J234,'[1]grup-puch'!I$1:J$65536,2,FALSE),""))))</f>
        <v/>
      </c>
      <c r="O234" s="199" t="str">
        <f>IF(N234&lt;&gt;"",CONCATENATE(VLOOKUP(N234,[1]zawodnicy!$A$1:$E$65536,2,FALSE)," ",VLOOKUP(N234,[1]zawodnicy!$A$1:$E$65536,3,FALSE)," - ",VLOOKUP(N234,[1]zawodnicy!$A$1:$E$65536,4,FALSE)),"")</f>
        <v/>
      </c>
      <c r="P234" s="108"/>
      <c r="Q234" s="200" t="str">
        <f>IF(F234="","",VLOOKUP(F234,[1]zawodnicy!$A$1:$D$65536,3,FALSE))</f>
        <v>KRAJEWSKI</v>
      </c>
      <c r="R234" s="116"/>
      <c r="S234" s="114"/>
      <c r="T234" s="116"/>
      <c r="U234" s="116"/>
    </row>
    <row r="235" spans="1:21" ht="12.75" x14ac:dyDescent="0.2">
      <c r="K235" s="95">
        <f>IF(L142&gt;32,46,"")</f>
        <v>46</v>
      </c>
      <c r="L235" s="104" t="s">
        <v>253</v>
      </c>
      <c r="M235" s="193">
        <f>IF(K235="","",MAX(M144:M234)+1)</f>
        <v>38</v>
      </c>
      <c r="N235" s="198" t="str">
        <f>UPPER(IF(M235="","",IF(ISTEXT(L235),L235,IF(AND(L141&gt;0,M235&gt;0),VLOOKUP(L141&amp;M235&amp;J234,'[1]grup-puch'!I$1:J$65536,2,FALSE),""))))</f>
        <v>K5132</v>
      </c>
      <c r="O235" s="199" t="str">
        <f>IF(N235&lt;&gt;"",CONCATENATE(VLOOKUP(N235,[1]zawodnicy!$A$1:$E$65536,2,FALSE)," ",VLOOKUP(N235,[1]zawodnicy!$A$1:$E$65536,3,FALSE)," - ",VLOOKUP(N235,[1]zawodnicy!$A$1:$E$65536,4,FALSE)),"")</f>
        <v>Piotr KRAJEWSKI - UKSB Milenium Warszawa</v>
      </c>
      <c r="P235" s="202"/>
      <c r="Q235" s="203" t="str">
        <f>IF(H234="",I234,H234)</f>
        <v/>
      </c>
      <c r="R235" s="116"/>
      <c r="S235" s="114"/>
      <c r="T235" s="116"/>
      <c r="U235" s="116"/>
    </row>
    <row r="236" spans="1:21" ht="12.75" x14ac:dyDescent="0.2">
      <c r="A236" s="111">
        <f>Q236</f>
        <v>344</v>
      </c>
      <c r="B236" s="2" t="str">
        <f>F234</f>
        <v>K5132</v>
      </c>
      <c r="D236" s="2" t="str">
        <f>F238</f>
        <v>B4431</v>
      </c>
      <c r="F236" s="2" t="str">
        <f>IF(A236=0,IF(AND(LEN(B236)&gt;0,LEN(D236)=0),B236,IF(AND(LEN(D236)&gt;0,LEN(B236)=0),D236,"")),IF((VLOOKUP(A236,'[1]plan gier'!$X$1:$AF$65536,7,FALSE))="","",VLOOKUP(VLOOKUP(A236,'[1]plan gier'!$X$1:$AF$65536,7,FALSE),[1]zawodnicy!$A$1:$E$65536,1,FALSE)))</f>
        <v>B4431</v>
      </c>
      <c r="H236" s="2" t="str">
        <f>IF(A236=0,"",IF((VLOOKUP(A236,'[1]plan gier'!$X$1:$AF$65536,7,FALSE))="","",VLOOKUP(A236,'[1]plan gier'!$X$1:$AF$65536,9,FALSE)))</f>
        <v>21:12,21:18</v>
      </c>
      <c r="I236" s="2" t="str">
        <f>IF(A236=0,"",IF(VLOOKUP(A236,'[1]plan gier'!A$1:S$65536,19,FALSE)="","",VLOOKUP(A236,'[1]plan gier'!A$1:S$65536,19,FALSE)))</f>
        <v>sob 16:30</v>
      </c>
      <c r="J236" s="2" t="str">
        <f>L143</f>
        <v>pojedyncza chłopców M</v>
      </c>
      <c r="N236" s="9"/>
      <c r="O236" s="9"/>
      <c r="P236" s="113"/>
      <c r="Q236" s="115">
        <v>344</v>
      </c>
      <c r="R236" s="205" t="str">
        <f>IF(F236="","",VLOOKUP(F236,[1]zawodnicy!$A$1:$D$65536,3,FALSE))</f>
        <v>BIENIA</v>
      </c>
      <c r="S236" s="114"/>
      <c r="T236" s="116"/>
      <c r="U236" s="116"/>
    </row>
    <row r="237" spans="1:21" ht="12.75" x14ac:dyDescent="0.2">
      <c r="N237" s="9"/>
      <c r="O237" s="9"/>
      <c r="P237" s="113"/>
      <c r="Q237" s="116"/>
      <c r="R237" s="114" t="str">
        <f>IF(H236="",I236,H236)</f>
        <v>21:12,21:18</v>
      </c>
      <c r="S237" s="114"/>
      <c r="T237" s="116"/>
      <c r="U237" s="116"/>
    </row>
    <row r="238" spans="1:21" ht="12.75" x14ac:dyDescent="0.2">
      <c r="A238" s="102">
        <f>P238</f>
        <v>0</v>
      </c>
      <c r="B238" s="2" t="str">
        <f>IF(N238="","",N238)</f>
        <v/>
      </c>
      <c r="D238" s="2" t="str">
        <f>IF(N239="","",N239)</f>
        <v>B4431</v>
      </c>
      <c r="F238" s="2" t="str">
        <f>IF(A238=0,IF(AND(LEN(B238)&gt;0,LEN(D238)=0),VLOOKUP(B238,[1]zawodnicy!$A$1:$E$65536,1,FALSE),IF(AND(LEN(D238)&gt;0,LEN(B238)=0),VLOOKUP(D238,[1]zawodnicy!$A$1:$E$65536,1,FALSE),"")),IF((VLOOKUP(A238,'[1]plan gier'!$X$1:$AF$65536,7,FALSE))="","",VLOOKUP(VLOOKUP(A238,'[1]plan gier'!$X$1:$AF$65536,7,FALSE),[1]zawodnicy!$A$1:$E$65536,1,FALSE)))</f>
        <v>B4431</v>
      </c>
      <c r="H238" s="2" t="str">
        <f>IF(A238=0,"",IF((VLOOKUP(A238,'[1]plan gier'!$X$1:$AF$65536,7,FALSE))="","",VLOOKUP(A238,'[1]plan gier'!$X$1:$AF$65536,9,FALSE)))</f>
        <v/>
      </c>
      <c r="I238" s="2" t="str">
        <f>IF(A238=0,"",IF(VLOOKUP(A238,'[1]plan gier'!A$1:S$65536,19,FALSE)="","",VLOOKUP(A238,'[1]plan gier'!A$1:S$65536,19,FALSE)))</f>
        <v/>
      </c>
      <c r="J238" s="2" t="str">
        <f>L143</f>
        <v>pojedyncza chłopców M</v>
      </c>
      <c r="K238" s="95" t="str">
        <f>IF(L142&gt;60,47,"")</f>
        <v/>
      </c>
      <c r="L238" s="104"/>
      <c r="M238" s="193" t="str">
        <f>IF(K238="","",MAX(M144:M237)+1)</f>
        <v/>
      </c>
      <c r="N238" s="198" t="str">
        <f>UPPER(IF(M238="","",IF(ISTEXT(L238),L238,IF(AND(L141&gt;0,M238&gt;0),VLOOKUP(L141&amp;M238&amp;J238,'[1]grup-puch'!I$1:J$65536,2,FALSE),""))))</f>
        <v/>
      </c>
      <c r="O238" s="199" t="str">
        <f>IF(N238&lt;&gt;"",CONCATENATE(VLOOKUP(N238,[1]zawodnicy!$A$1:$E$65536,2,FALSE)," ",VLOOKUP(N238,[1]zawodnicy!$A$1:$E$65536,3,FALSE)," - ",VLOOKUP(N238,[1]zawodnicy!$A$1:$E$65536,4,FALSE)),"")</f>
        <v/>
      </c>
      <c r="P238" s="108"/>
      <c r="Q238" s="205" t="str">
        <f>IF(F238="","",VLOOKUP(F238,[1]zawodnicy!$A$1:$D$65536,3,FALSE))</f>
        <v>BIENIA</v>
      </c>
      <c r="R238" s="114"/>
      <c r="S238" s="114"/>
      <c r="T238" s="208"/>
      <c r="U238" s="116"/>
    </row>
    <row r="239" spans="1:21" ht="12.75" x14ac:dyDescent="0.2">
      <c r="K239" s="95">
        <f>IF(L142&gt;32,48,"")</f>
        <v>48</v>
      </c>
      <c r="L239" s="104" t="s">
        <v>221</v>
      </c>
      <c r="M239" s="193">
        <f>IF(K239="","",MAX(M144:M238)+1)</f>
        <v>39</v>
      </c>
      <c r="N239" s="198" t="str">
        <f>UPPER(IF(M239="","",IF(ISTEXT(L239),L239,IF(AND(L141&gt;0,M239&gt;0),VLOOKUP(L141&amp;M239&amp;J238,'[1]grup-puch'!I$1:J$65536,2,FALSE),""))))</f>
        <v>B4431</v>
      </c>
      <c r="O239" s="199" t="str">
        <f>IF(N239&lt;&gt;"",CONCATENATE(VLOOKUP(N239,[1]zawodnicy!$A$1:$E$65536,2,FALSE)," ",VLOOKUP(N239,[1]zawodnicy!$A$1:$E$65536,3,FALSE)," - ",VLOOKUP(N239,[1]zawodnicy!$A$1:$E$65536,4,FALSE)),"")</f>
        <v>Michał BIENIA - UKS Aktywna Piątka Przemyśl</v>
      </c>
      <c r="P239" s="202"/>
      <c r="Q239" s="114" t="str">
        <f>IF(H238="",I238,H238)</f>
        <v/>
      </c>
      <c r="R239" s="114"/>
      <c r="S239" s="114"/>
      <c r="T239" s="116"/>
      <c r="U239" s="116"/>
    </row>
    <row r="240" spans="1:21" ht="12.75" x14ac:dyDescent="0.2">
      <c r="A240" s="196">
        <f>T240</f>
        <v>446</v>
      </c>
      <c r="B240" s="2" t="str">
        <f>F224</f>
        <v>S4287</v>
      </c>
      <c r="D240" s="2" t="str">
        <f>F256</f>
        <v>C3670</v>
      </c>
      <c r="F240" s="2" t="str">
        <f>IF(A240=0,IF(AND(LEN(B240)&gt;0,LEN(D240)=0),B240,IF(AND(LEN(D240)&gt;0,LEN(B240)=0),D240,"")),IF((VLOOKUP(A240,'[1]plan gier'!$X$1:$AF$65536,7,FALSE))="","",VLOOKUP(VLOOKUP(A240,'[1]plan gier'!$X$1:$AF$65536,7,FALSE),[1]zawodnicy!$A$1:$E$65536,1,FALSE)))</f>
        <v>C3670</v>
      </c>
      <c r="H240" s="2" t="str">
        <f>IF(A240=0,"",IF((VLOOKUP(A240,'[1]plan gier'!$X$1:$AF$65536,7,FALSE))="","",VLOOKUP(A240,'[1]plan gier'!$X$1:$AF$65536,9,FALSE)))</f>
        <v>21:13,21:10</v>
      </c>
      <c r="I240" s="2" t="str">
        <f>IF(A240=0,"",IF(VLOOKUP(A240,'[1]plan gier'!A$1:S$65536,19,FALSE)="","",VLOOKUP(A240,'[1]plan gier'!A$1:S$65536,19,FALSE)))</f>
        <v>nie 12:00</v>
      </c>
      <c r="J240" s="2" t="str">
        <f>L143</f>
        <v>pojedyncza chłopców M</v>
      </c>
      <c r="N240" s="9"/>
      <c r="O240" s="9"/>
      <c r="P240" s="113"/>
      <c r="Q240" s="114"/>
      <c r="R240" s="114"/>
      <c r="T240" s="115">
        <v>446</v>
      </c>
      <c r="U240" s="205" t="str">
        <f>IF(F240="","",VLOOKUP(F240,[1]zawodnicy!$A$1:$D$65536,3,FALSE))</f>
        <v>CYBULSKI</v>
      </c>
    </row>
    <row r="241" spans="1:21" ht="12.75" x14ac:dyDescent="0.2">
      <c r="N241" s="9"/>
      <c r="O241" s="9"/>
      <c r="P241" s="113"/>
      <c r="Q241" s="114"/>
      <c r="R241" s="114"/>
      <c r="T241" s="116"/>
      <c r="U241" s="170" t="str">
        <f>IF(H240="",I240,H240)</f>
        <v>21:13,21:10</v>
      </c>
    </row>
    <row r="242" spans="1:21" ht="12.75" x14ac:dyDescent="0.2">
      <c r="A242" s="102">
        <f>P242</f>
        <v>43</v>
      </c>
      <c r="B242" s="2" t="str">
        <f>IF(N242="","",N242)</f>
        <v>B5525</v>
      </c>
      <c r="D242" s="2" t="str">
        <f>IF(N243="","",N243)</f>
        <v>M4588</v>
      </c>
      <c r="F242" s="2" t="str">
        <f>IF(A242=0,IF(AND(LEN(B242)&gt;0,LEN(D242)=0),VLOOKUP(B242,[1]zawodnicy!$A$1:$E$65536,1,FALSE),IF(AND(LEN(D242)&gt;0,LEN(B242)=0),VLOOKUP(D242,[1]zawodnicy!$A$1:$E$65536,1,FALSE),"")),IF((VLOOKUP(A242,'[1]plan gier'!$X$1:$AF$65536,7,FALSE))="","",VLOOKUP(VLOOKUP(A242,'[1]plan gier'!$X$1:$AF$65536,7,FALSE),[1]zawodnicy!$A$1:$E$65536,1,FALSE)))</f>
        <v>M4588</v>
      </c>
      <c r="H242" s="2" t="str">
        <f>IF(A242=0,"",IF((VLOOKUP(A242,'[1]plan gier'!$X$1:$AF$65536,7,FALSE))="","",VLOOKUP(A242,'[1]plan gier'!$X$1:$AF$65536,9,FALSE)))</f>
        <v>21:6,21:19</v>
      </c>
      <c r="I242" s="2" t="str">
        <f>IF(A242=0,"",IF(VLOOKUP(A242,'[1]plan gier'!A$1:S$65536,19,FALSE)="","",VLOOKUP(A242,'[1]plan gier'!A$1:S$65536,19,FALSE)))</f>
        <v>pt 11:10</v>
      </c>
      <c r="J242" s="2" t="str">
        <f>L143</f>
        <v>pojedyncza chłopców M</v>
      </c>
      <c r="K242" s="95">
        <f>IF(L142&gt;34,49,"")</f>
        <v>49</v>
      </c>
      <c r="L242" s="104" t="s">
        <v>265</v>
      </c>
      <c r="M242" s="193">
        <f>IF(K242="","",MAX(M144:M241)+1)</f>
        <v>40</v>
      </c>
      <c r="N242" s="198" t="str">
        <f>UPPER(IF(M242="","",IF(ISTEXT(L242),L242,IF(AND(L141&gt;0,M242&gt;0),VLOOKUP(L141&amp;M242&amp;J242,'[1]grup-puch'!I$1:J$65536,2,FALSE),""))))</f>
        <v>B5525</v>
      </c>
      <c r="O242" s="199" t="str">
        <f>IF(N242&lt;&gt;"",CONCATENATE(VLOOKUP(N242,[1]zawodnicy!$A$1:$E$65536,2,FALSE)," ",VLOOKUP(N242,[1]zawodnicy!$A$1:$E$65536,3,FALSE)," - ",VLOOKUP(N242,[1]zawodnicy!$A$1:$E$65536,4,FALSE)),"")</f>
        <v>Michał BARAŃSKI - SKB Suwałki</v>
      </c>
      <c r="P242" s="108">
        <v>43</v>
      </c>
      <c r="Q242" s="200" t="str">
        <f>IF(F242="","",VLOOKUP(F242,[1]zawodnicy!$A$1:$D$65536,3,FALSE))</f>
        <v>MINARTOWICZ</v>
      </c>
      <c r="R242" s="114"/>
      <c r="S242" s="114"/>
      <c r="T242" s="116"/>
      <c r="U242" s="101"/>
    </row>
    <row r="243" spans="1:21" ht="12.75" x14ac:dyDescent="0.2">
      <c r="K243" s="95">
        <f>IF(L142&gt;32,50,"")</f>
        <v>50</v>
      </c>
      <c r="L243" s="104" t="s">
        <v>216</v>
      </c>
      <c r="M243" s="193">
        <f>IF(K243="","",MAX(M144:M242)+1)</f>
        <v>41</v>
      </c>
      <c r="N243" s="198" t="str">
        <f>UPPER(IF(M243="","",IF(ISTEXT(L243),L243,IF(AND(L141&gt;0,M243&gt;0),VLOOKUP(L141&amp;M243&amp;J242,'[1]grup-puch'!I$1:J$65536,2,FALSE),""))))</f>
        <v>M4588</v>
      </c>
      <c r="O243" s="199" t="str">
        <f>IF(N243&lt;&gt;"",CONCATENATE(VLOOKUP(N243,[1]zawodnicy!$A$1:$E$65536,2,FALSE)," ",VLOOKUP(N243,[1]zawodnicy!$A$1:$E$65536,3,FALSE)," - ",VLOOKUP(N243,[1]zawodnicy!$A$1:$E$65536,4,FALSE)),"")</f>
        <v>Jakub MINARTOWICZ - LKS Technik Głubczyce</v>
      </c>
      <c r="P243" s="202"/>
      <c r="Q243" s="203" t="str">
        <f>IF(H242="",I242,H242)</f>
        <v>21:6,21:19</v>
      </c>
      <c r="R243" s="114"/>
      <c r="S243" s="114"/>
      <c r="T243" s="116"/>
      <c r="U243" s="101"/>
    </row>
    <row r="244" spans="1:21" ht="12.75" x14ac:dyDescent="0.2">
      <c r="A244" s="111">
        <f>Q244</f>
        <v>345</v>
      </c>
      <c r="B244" s="2" t="str">
        <f>F242</f>
        <v>M4588</v>
      </c>
      <c r="D244" s="2" t="str">
        <f>F246</f>
        <v>K4613</v>
      </c>
      <c r="F244" s="2" t="str">
        <f>IF(A244=0,IF(AND(LEN(B244)&gt;0,LEN(D244)=0),B244,IF(AND(LEN(D244)&gt;0,LEN(B244)=0),D244,"")),IF((VLOOKUP(A244,'[1]plan gier'!$X$1:$AF$65536,7,FALSE))="","",VLOOKUP(VLOOKUP(A244,'[1]plan gier'!$X$1:$AF$65536,7,FALSE),[1]zawodnicy!$A$1:$E$65536,1,FALSE)))</f>
        <v>K4613</v>
      </c>
      <c r="H244" s="2" t="str">
        <f>IF(A244=0,"",IF((VLOOKUP(A244,'[1]plan gier'!$X$1:$AF$65536,7,FALSE))="","",VLOOKUP(A244,'[1]plan gier'!$X$1:$AF$65536,9,FALSE)))</f>
        <v>21:11,21:18</v>
      </c>
      <c r="I244" s="2" t="str">
        <f>IF(A244=0,"",IF(VLOOKUP(A244,'[1]plan gier'!A$1:S$65536,19,FALSE)="","",VLOOKUP(A244,'[1]plan gier'!A$1:S$65536,19,FALSE)))</f>
        <v>sob 16:30</v>
      </c>
      <c r="J244" s="2" t="str">
        <f>L143</f>
        <v>pojedyncza chłopców M</v>
      </c>
      <c r="N244" s="9"/>
      <c r="O244" s="9"/>
      <c r="P244" s="113"/>
      <c r="Q244" s="115">
        <v>345</v>
      </c>
      <c r="R244" s="200" t="str">
        <f>IF(F244="","",VLOOKUP(F244,[1]zawodnicy!$A$1:$D$65536,3,FALSE))</f>
        <v>KUFEL</v>
      </c>
      <c r="S244" s="114"/>
      <c r="T244" s="116"/>
      <c r="U244" s="101"/>
    </row>
    <row r="245" spans="1:21" ht="12.75" x14ac:dyDescent="0.2">
      <c r="N245" s="9"/>
      <c r="O245" s="9"/>
      <c r="P245" s="113"/>
      <c r="Q245" s="116"/>
      <c r="R245" s="203" t="str">
        <f>IF(H244="",I244,H244)</f>
        <v>21:11,21:18</v>
      </c>
      <c r="S245" s="114"/>
      <c r="T245" s="116"/>
      <c r="U245" s="101"/>
    </row>
    <row r="246" spans="1:21" ht="12.75" x14ac:dyDescent="0.2">
      <c r="A246" s="102">
        <f>P246</f>
        <v>44</v>
      </c>
      <c r="B246" s="2" t="str">
        <f>IF(N246="","",N246)</f>
        <v>K4613</v>
      </c>
      <c r="D246" s="2" t="str">
        <f>IF(N247="","",N247)</f>
        <v>T3692</v>
      </c>
      <c r="F246" s="2" t="str">
        <f>IF(A246=0,IF(AND(LEN(B246)&gt;0,LEN(D246)=0),VLOOKUP(B246,[1]zawodnicy!$A$1:$E$65536,1,FALSE),IF(AND(LEN(D246)&gt;0,LEN(B246)=0),VLOOKUP(D246,[1]zawodnicy!$A$1:$E$65536,1,FALSE),"")),IF((VLOOKUP(A246,'[1]plan gier'!$X$1:$AF$65536,7,FALSE))="","",VLOOKUP(VLOOKUP(A246,'[1]plan gier'!$X$1:$AF$65536,7,FALSE),[1]zawodnicy!$A$1:$E$65536,1,FALSE)))</f>
        <v>K4613</v>
      </c>
      <c r="H246" s="2" t="str">
        <f>IF(A246=0,"",IF((VLOOKUP(A246,'[1]plan gier'!$X$1:$AF$65536,7,FALSE))="","",VLOOKUP(A246,'[1]plan gier'!$X$1:$AF$65536,9,FALSE)))</f>
        <v>21:14,21:7</v>
      </c>
      <c r="I246" s="2" t="str">
        <f>IF(A246=0,"",IF(VLOOKUP(A246,'[1]plan gier'!A$1:S$65536,19,FALSE)="","",VLOOKUP(A246,'[1]plan gier'!A$1:S$65536,19,FALSE)))</f>
        <v>pt 11:10</v>
      </c>
      <c r="J246" s="2" t="str">
        <f>L143</f>
        <v>pojedyncza chłopców M</v>
      </c>
      <c r="K246" s="95">
        <f>IF(L142&gt;42,51,"")</f>
        <v>51</v>
      </c>
      <c r="L246" s="104" t="s">
        <v>219</v>
      </c>
      <c r="M246" s="193">
        <f>IF(K246="","",MAX(M144:M245)+1)</f>
        <v>42</v>
      </c>
      <c r="N246" s="198" t="str">
        <f>UPPER(IF(M246="","",IF(ISTEXT(L246),L246,IF(AND(L141&gt;0,M246&gt;0),VLOOKUP(L141&amp;M246&amp;J246,'[1]grup-puch'!I$1:J$65536,2,FALSE),""))))</f>
        <v>K4613</v>
      </c>
      <c r="O246" s="199" t="str">
        <f>IF(N246&lt;&gt;"",CONCATENATE(VLOOKUP(N246,[1]zawodnicy!$A$1:$E$65536,2,FALSE)," ",VLOOKUP(N246,[1]zawodnicy!$A$1:$E$65536,3,FALSE)," - ",VLOOKUP(N246,[1]zawodnicy!$A$1:$E$65536,4,FALSE)),"")</f>
        <v>Jakub KUFEL - UKS Orbitek Straszęcin</v>
      </c>
      <c r="P246" s="108">
        <v>44</v>
      </c>
      <c r="Q246" s="205" t="str">
        <f>IF(F246="","",VLOOKUP(F246,[1]zawodnicy!$A$1:$D$65536,3,FALSE))</f>
        <v>KUFEL</v>
      </c>
      <c r="R246" s="116"/>
      <c r="S246" s="114"/>
      <c r="T246" s="116"/>
      <c r="U246" s="101"/>
    </row>
    <row r="247" spans="1:21" ht="12.75" x14ac:dyDescent="0.2">
      <c r="K247" s="95">
        <f>IF(L142&gt;32,52,"")</f>
        <v>52</v>
      </c>
      <c r="L247" s="104" t="s">
        <v>260</v>
      </c>
      <c r="M247" s="193">
        <f>IF(K247="","",MAX(M144:M246)+1)</f>
        <v>43</v>
      </c>
      <c r="N247" s="198" t="str">
        <f>UPPER(IF(M247="","",IF(ISTEXT(L247),L247,IF(AND(L141&gt;0,M247&gt;0),VLOOKUP(L141&amp;M247&amp;J246,'[1]grup-puch'!I$1:J$65536,2,FALSE),""))))</f>
        <v>T3692</v>
      </c>
      <c r="O247" s="199" t="str">
        <f>IF(N247&lt;&gt;"",CONCATENATE(VLOOKUP(N247,[1]zawodnicy!$A$1:$E$65536,2,FALSE)," ",VLOOKUP(N247,[1]zawodnicy!$A$1:$E$65536,3,FALSE)," - ",VLOOKUP(N247,[1]zawodnicy!$A$1:$E$65536,4,FALSE)),"")</f>
        <v>Kacper TROCHIM - UKS Hubal Białystok</v>
      </c>
      <c r="P247" s="202"/>
      <c r="Q247" s="114" t="str">
        <f>IF(H246="",I246,H246)</f>
        <v>21:14,21:7</v>
      </c>
      <c r="R247" s="116"/>
      <c r="S247" s="114"/>
      <c r="T247" s="116"/>
      <c r="U247" s="101"/>
    </row>
    <row r="248" spans="1:21" ht="12.75" x14ac:dyDescent="0.2">
      <c r="A248" s="118">
        <f>R248</f>
        <v>383</v>
      </c>
      <c r="B248" s="2" t="str">
        <f>F244</f>
        <v>K4613</v>
      </c>
      <c r="D248" s="2" t="str">
        <f>F252</f>
        <v>P4121</v>
      </c>
      <c r="F248" s="2" t="str">
        <f>IF(A248=0,IF(AND(LEN(B248)&gt;0,LEN(D248)=0),B248,IF(AND(LEN(D248)&gt;0,LEN(B248)=0),D248,"")),IF((VLOOKUP(A248,'[1]plan gier'!$X$1:$AF$65536,7,FALSE))="","",VLOOKUP(VLOOKUP(A248,'[1]plan gier'!$X$1:$AF$65536,7,FALSE),[1]zawodnicy!$A$1:$E$65536,1,FALSE)))</f>
        <v>P4121</v>
      </c>
      <c r="H248" s="2" t="str">
        <f>IF(A248=0,"",IF((VLOOKUP(A248,'[1]plan gier'!$X$1:$AF$65536,7,FALSE))="","",VLOOKUP(A248,'[1]plan gier'!$X$1:$AF$65536,9,FALSE)))</f>
        <v>21:14,21:18</v>
      </c>
      <c r="I248" s="2" t="str">
        <f>IF(A248=0,"",IF(VLOOKUP(A248,'[1]plan gier'!A$1:S$65536,19,FALSE)="","",VLOOKUP(A248,'[1]plan gier'!A$1:S$65536,19,FALSE)))</f>
        <v>sob 18:30</v>
      </c>
      <c r="J248" s="2" t="str">
        <f>L143</f>
        <v>pojedyncza chłopców M</v>
      </c>
      <c r="N248" s="9"/>
      <c r="O248" s="9"/>
      <c r="P248" s="113"/>
      <c r="Q248" s="114"/>
      <c r="R248" s="206">
        <v>383</v>
      </c>
      <c r="S248" s="200" t="str">
        <f>IF(F248="","",VLOOKUP(F248,[1]zawodnicy!$A$1:$D$65536,3,FALSE))</f>
        <v>PŁOCH</v>
      </c>
      <c r="T248" s="116"/>
      <c r="U248" s="101"/>
    </row>
    <row r="249" spans="1:21" ht="12.75" x14ac:dyDescent="0.2">
      <c r="N249" s="9"/>
      <c r="O249" s="9"/>
      <c r="P249" s="113"/>
      <c r="Q249" s="114"/>
      <c r="R249" s="116"/>
      <c r="S249" s="203" t="str">
        <f>IF(H248="",I248,H248)</f>
        <v>21:14,21:18</v>
      </c>
      <c r="T249" s="116"/>
      <c r="U249" s="101"/>
    </row>
    <row r="250" spans="1:21" ht="12.75" x14ac:dyDescent="0.2">
      <c r="A250" s="102">
        <f>P250</f>
        <v>45</v>
      </c>
      <c r="B250" s="2" t="str">
        <f>IF(N250="","",N250)</f>
        <v>K4432</v>
      </c>
      <c r="D250" s="2" t="str">
        <f>IF(N251="","",N251)</f>
        <v>M3747</v>
      </c>
      <c r="F250" s="2" t="str">
        <f>IF(A250=0,IF(AND(LEN(B250)&gt;0,LEN(D250)=0),VLOOKUP(B250,[1]zawodnicy!$A$1:$E$65536,1,FALSE),IF(AND(LEN(D250)&gt;0,LEN(B250)=0),VLOOKUP(D250,[1]zawodnicy!$A$1:$E$65536,1,FALSE),"")),IF((VLOOKUP(A250,'[1]plan gier'!$X$1:$AF$65536,7,FALSE))="","",VLOOKUP(VLOOKUP(A250,'[1]plan gier'!$X$1:$AF$65536,7,FALSE),[1]zawodnicy!$A$1:$E$65536,1,FALSE)))</f>
        <v>M3747</v>
      </c>
      <c r="H250" s="2" t="str">
        <f>IF(A250=0,"",IF((VLOOKUP(A250,'[1]plan gier'!$X$1:$AF$65536,7,FALSE))="","",VLOOKUP(A250,'[1]plan gier'!$X$1:$AF$65536,9,FALSE)))</f>
        <v>16:21,21:18,21:16</v>
      </c>
      <c r="I250" s="2" t="str">
        <f>IF(A250=0,"",IF(VLOOKUP(A250,'[1]plan gier'!A$1:S$65536,19,FALSE)="","",VLOOKUP(A250,'[1]plan gier'!A$1:S$65536,19,FALSE)))</f>
        <v>pt 11:10</v>
      </c>
      <c r="J250" s="2" t="str">
        <f>L143</f>
        <v>pojedyncza chłopców M</v>
      </c>
      <c r="K250" s="95">
        <f>IF(L142&gt;50,53,"")</f>
        <v>53</v>
      </c>
      <c r="L250" s="104" t="s">
        <v>222</v>
      </c>
      <c r="M250" s="193">
        <f>IF(K250="","",MAX(M144:M249)+1)</f>
        <v>44</v>
      </c>
      <c r="N250" s="198" t="str">
        <f>UPPER(IF(M250="","",IF(ISTEXT(L250),L250,IF(AND(L141&gt;0,M250&gt;0),VLOOKUP(L141&amp;M250&amp;J250,'[1]grup-puch'!I$1:J$65536,2,FALSE),""))))</f>
        <v>K4432</v>
      </c>
      <c r="O250" s="199" t="str">
        <f>IF(N250&lt;&gt;"",CONCATENATE(VLOOKUP(N250,[1]zawodnicy!$A$1:$E$65536,2,FALSE)," ",VLOOKUP(N250,[1]zawodnicy!$A$1:$E$65536,3,FALSE)," - ",VLOOKUP(N250,[1]zawodnicy!$A$1:$E$65536,4,FALSE)),"")</f>
        <v>Daniel KNAP - UKS Aktywna Piątka Przemyśl</v>
      </c>
      <c r="P250" s="108">
        <v>45</v>
      </c>
      <c r="Q250" s="200" t="str">
        <f>IF(F250="","",VLOOKUP(F250,[1]zawodnicy!$A$1:$D$65536,3,FALSE))</f>
        <v>MATYSIAK</v>
      </c>
      <c r="R250" s="116"/>
      <c r="S250" s="116"/>
      <c r="T250" s="116"/>
      <c r="U250" s="101"/>
    </row>
    <row r="251" spans="1:21" ht="12.75" x14ac:dyDescent="0.2">
      <c r="K251" s="95">
        <f>IF(L142&gt;32,54,"")</f>
        <v>54</v>
      </c>
      <c r="L251" s="104" t="s">
        <v>236</v>
      </c>
      <c r="M251" s="193">
        <f>IF(K251="","",MAX(M144:M250)+1)</f>
        <v>45</v>
      </c>
      <c r="N251" s="198" t="str">
        <f>UPPER(IF(M251="","",IF(ISTEXT(L251),L251,IF(AND(L141&gt;0,M251&gt;0),VLOOKUP(L141&amp;M251&amp;J250,'[1]grup-puch'!I$1:J$65536,2,FALSE),""))))</f>
        <v>M3747</v>
      </c>
      <c r="O251" s="199" t="str">
        <f>IF(N251&lt;&gt;"",CONCATENATE(VLOOKUP(N251,[1]zawodnicy!$A$1:$E$65536,2,FALSE)," ",VLOOKUP(N251,[1]zawodnicy!$A$1:$E$65536,3,FALSE)," - ",VLOOKUP(N251,[1]zawodnicy!$A$1:$E$65536,4,FALSE)),"")</f>
        <v>Michał MATYSIAK - KS Hubertus Zalesie Górne</v>
      </c>
      <c r="P251" s="202"/>
      <c r="Q251" s="203" t="str">
        <f>IF(H250="",I250,H250)</f>
        <v>16:21,21:18,21:16</v>
      </c>
      <c r="R251" s="116"/>
      <c r="S251" s="116"/>
      <c r="T251" s="116"/>
      <c r="U251" s="101"/>
    </row>
    <row r="252" spans="1:21" ht="12.75" x14ac:dyDescent="0.2">
      <c r="A252" s="111">
        <f>Q252</f>
        <v>346</v>
      </c>
      <c r="B252" s="2" t="str">
        <f>F250</f>
        <v>M3747</v>
      </c>
      <c r="D252" s="2" t="str">
        <f>F254</f>
        <v>P4121</v>
      </c>
      <c r="F252" s="2" t="str">
        <f>IF(A252=0,IF(AND(LEN(B252)&gt;0,LEN(D252)=0),B252,IF(AND(LEN(D252)&gt;0,LEN(B252)=0),D252,"")),IF((VLOOKUP(A252,'[1]plan gier'!$X$1:$AF$65536,7,FALSE))="","",VLOOKUP(VLOOKUP(A252,'[1]plan gier'!$X$1:$AF$65536,7,FALSE),[1]zawodnicy!$A$1:$E$65536,1,FALSE)))</f>
        <v>P4121</v>
      </c>
      <c r="H252" s="2" t="str">
        <f>IF(A252=0,"",IF((VLOOKUP(A252,'[1]plan gier'!$X$1:$AF$65536,7,FALSE))="","",VLOOKUP(A252,'[1]plan gier'!$X$1:$AF$65536,9,FALSE)))</f>
        <v>21:9,19:21,21:17</v>
      </c>
      <c r="I252" s="2" t="str">
        <f>IF(A252=0,"",IF(VLOOKUP(A252,'[1]plan gier'!A$1:S$65536,19,FALSE)="","",VLOOKUP(A252,'[1]plan gier'!A$1:S$65536,19,FALSE)))</f>
        <v>sob 16:30</v>
      </c>
      <c r="J252" s="2" t="str">
        <f>L143</f>
        <v>pojedyncza chłopców M</v>
      </c>
      <c r="N252" s="9"/>
      <c r="O252" s="9"/>
      <c r="P252" s="113"/>
      <c r="Q252" s="115">
        <v>346</v>
      </c>
      <c r="R252" s="205" t="str">
        <f>IF(F252="","",VLOOKUP(F252,[1]zawodnicy!$A$1:$D$65536,3,FALSE))</f>
        <v>PŁOCH</v>
      </c>
      <c r="S252" s="116"/>
      <c r="T252" s="116"/>
      <c r="U252" s="101"/>
    </row>
    <row r="253" spans="1:21" ht="12.75" x14ac:dyDescent="0.2">
      <c r="N253" s="9"/>
      <c r="O253" s="9"/>
      <c r="P253" s="113"/>
      <c r="Q253" s="116"/>
      <c r="R253" s="114" t="str">
        <f>IF(H252="",I252,H252)</f>
        <v>21:9,19:21,21:17</v>
      </c>
      <c r="S253" s="116"/>
      <c r="T253" s="116"/>
      <c r="U253" s="101"/>
    </row>
    <row r="254" spans="1:21" ht="12.75" x14ac:dyDescent="0.2">
      <c r="A254" s="102">
        <f>P254</f>
        <v>0</v>
      </c>
      <c r="B254" s="2" t="str">
        <f>IF(N254="","",N254)</f>
        <v/>
      </c>
      <c r="D254" s="2" t="str">
        <f>IF(N255="","",N255)</f>
        <v>P4121</v>
      </c>
      <c r="F254" s="2" t="str">
        <f>IF(A254=0,IF(AND(LEN(B254)&gt;0,LEN(D254)=0),VLOOKUP(B254,[1]zawodnicy!$A$1:$E$65536,1,FALSE),IF(AND(LEN(D254)&gt;0,LEN(B254)=0),VLOOKUP(D254,[1]zawodnicy!$A$1:$E$65536,1,FALSE),"")),IF((VLOOKUP(A254,'[1]plan gier'!$X$1:$AF$65536,7,FALSE))="","",VLOOKUP(VLOOKUP(A254,'[1]plan gier'!$X$1:$AF$65536,7,FALSE),[1]zawodnicy!$A$1:$E$65536,1,FALSE)))</f>
        <v>P4121</v>
      </c>
      <c r="H254" s="2" t="str">
        <f>IF(A254=0,"",IF((VLOOKUP(A254,'[1]plan gier'!$X$1:$AF$65536,7,FALSE))="","",VLOOKUP(A254,'[1]plan gier'!$X$1:$AF$65536,9,FALSE)))</f>
        <v/>
      </c>
      <c r="I254" s="2" t="str">
        <f>IF(A254=0,"",IF(VLOOKUP(A254,'[1]plan gier'!A$1:S$65536,19,FALSE)="","",VLOOKUP(A254,'[1]plan gier'!A$1:S$65536,19,FALSE)))</f>
        <v/>
      </c>
      <c r="J254" s="2" t="str">
        <f>L143</f>
        <v>pojedyncza chłopców M</v>
      </c>
      <c r="K254" s="95" t="str">
        <f>IF(L142&gt;58,55,"")</f>
        <v/>
      </c>
      <c r="L254" s="104"/>
      <c r="M254" s="193" t="str">
        <f>IF(K254="","",MAX(M144:M253)+1)</f>
        <v/>
      </c>
      <c r="N254" s="198" t="str">
        <f>UPPER(IF(M254="","",IF(ISTEXT(L254),L254,IF(AND(L141&gt;0,M254&gt;0),VLOOKUP(L141&amp;M254&amp;J254,'[1]grup-puch'!I$1:J$65536,2,FALSE),""))))</f>
        <v/>
      </c>
      <c r="O254" s="199" t="str">
        <f>IF(N254&lt;&gt;"",CONCATENATE(VLOOKUP(N254,[1]zawodnicy!$A$1:$E$65536,2,FALSE)," ",VLOOKUP(N254,[1]zawodnicy!$A$1:$E$65536,3,FALSE)," - ",VLOOKUP(N254,[1]zawodnicy!$A$1:$E$65536,4,FALSE)),"")</f>
        <v/>
      </c>
      <c r="P254" s="108"/>
      <c r="Q254" s="205" t="str">
        <f>IF(F254="","",VLOOKUP(F254,[1]zawodnicy!$A$1:$D$65536,3,FALSE))</f>
        <v>PŁOCH</v>
      </c>
      <c r="R254" s="114"/>
      <c r="S254" s="116"/>
      <c r="T254" s="116"/>
      <c r="U254" s="101"/>
    </row>
    <row r="255" spans="1:21" ht="12.75" x14ac:dyDescent="0.2">
      <c r="K255" s="95">
        <f>IF(L142&gt;32,56,"")</f>
        <v>56</v>
      </c>
      <c r="L255" s="104" t="s">
        <v>227</v>
      </c>
      <c r="M255" s="193">
        <f>IF(K255="","",MAX(M144:M254)+1)</f>
        <v>46</v>
      </c>
      <c r="N255" s="198" t="str">
        <f>UPPER(IF(M255="","",IF(ISTEXT(L255),L255,IF(AND(L141&gt;0,M255&gt;0),VLOOKUP(L141&amp;M255&amp;J254,'[1]grup-puch'!I$1:J$65536,2,FALSE),""))))</f>
        <v>P4121</v>
      </c>
      <c r="O255" s="199" t="str">
        <f>IF(N255&lt;&gt;"",CONCATENATE(VLOOKUP(N255,[1]zawodnicy!$A$1:$E$65536,2,FALSE)," ",VLOOKUP(N255,[1]zawodnicy!$A$1:$E$65536,3,FALSE)," - ",VLOOKUP(N255,[1]zawodnicy!$A$1:$E$65536,4,FALSE)),"")</f>
        <v>Konrad PŁOCH - UKS Start Widełka</v>
      </c>
      <c r="P255" s="202"/>
      <c r="Q255" s="114" t="str">
        <f>IF(H254="",I254,H254)</f>
        <v/>
      </c>
      <c r="R255" s="114"/>
      <c r="S255" s="116"/>
      <c r="T255" s="116"/>
      <c r="U255" s="101"/>
    </row>
    <row r="256" spans="1:21" ht="12.75" x14ac:dyDescent="0.2">
      <c r="A256" s="172">
        <f>S256</f>
        <v>436</v>
      </c>
      <c r="B256" s="2" t="str">
        <f>F248</f>
        <v>P4121</v>
      </c>
      <c r="D256" s="2" t="str">
        <f>F264</f>
        <v>C3670</v>
      </c>
      <c r="F256" s="2" t="str">
        <f>IF(A256=0,IF(AND(LEN(B256)&gt;0,LEN(D256)=0),B256,IF(AND(LEN(D256)&gt;0,LEN(B256)=0),D256,"")),IF((VLOOKUP(A256,'[1]plan gier'!$X$1:$AF$65536,7,FALSE))="","",VLOOKUP(VLOOKUP(A256,'[1]plan gier'!$X$1:$AF$65536,7,FALSE),[1]zawodnicy!$A$1:$E$65536,1,FALSE)))</f>
        <v>C3670</v>
      </c>
      <c r="H256" s="2" t="str">
        <f>IF(A256=0,"",IF((VLOOKUP(A256,'[1]plan gier'!$X$1:$AF$65536,7,FALSE))="","",VLOOKUP(A256,'[1]plan gier'!$X$1:$AF$65536,9,FALSE)))</f>
        <v>21:14,19:21,21:16</v>
      </c>
      <c r="I256" s="2" t="str">
        <f>IF(A256=0,"",IF(VLOOKUP(A256,'[1]plan gier'!A$1:S$65536,19,FALSE)="","",VLOOKUP(A256,'[1]plan gier'!A$1:S$65536,19,FALSE)))</f>
        <v>nie 11:00</v>
      </c>
      <c r="J256" s="2" t="str">
        <f>L143</f>
        <v>pojedyncza chłopców M</v>
      </c>
      <c r="N256" s="9"/>
      <c r="O256" s="9"/>
      <c r="P256" s="113"/>
      <c r="Q256" s="114"/>
      <c r="R256" s="114"/>
      <c r="S256" s="115">
        <v>436</v>
      </c>
      <c r="T256" s="205" t="str">
        <f>IF(F256="","",VLOOKUP(F256,[1]zawodnicy!$A$1:$D$65536,3,FALSE))</f>
        <v>CYBULSKI</v>
      </c>
      <c r="U256" s="101"/>
    </row>
    <row r="257" spans="1:21" ht="12.75" x14ac:dyDescent="0.2">
      <c r="N257" s="9"/>
      <c r="O257" s="9"/>
      <c r="P257" s="113"/>
      <c r="Q257" s="114"/>
      <c r="R257" s="114"/>
      <c r="S257" s="116"/>
      <c r="T257" s="114" t="str">
        <f>IF(H256="",I256,H256)</f>
        <v>21:14,19:21,21:16</v>
      </c>
      <c r="U257" s="101"/>
    </row>
    <row r="258" spans="1:21" ht="12.75" x14ac:dyDescent="0.2">
      <c r="A258" s="102">
        <f>P258</f>
        <v>46</v>
      </c>
      <c r="B258" s="2" t="str">
        <f>IF(N258="","",N258)</f>
        <v>S5036</v>
      </c>
      <c r="D258" s="2" t="str">
        <f>IF(N259="","",N259)</f>
        <v>G4559</v>
      </c>
      <c r="F258" s="2" t="str">
        <f>IF(A258=0,IF(AND(LEN(B258)&gt;0,LEN(D258)=0),VLOOKUP(B258,[1]zawodnicy!$A$1:$E$65536,1,FALSE),IF(AND(LEN(D258)&gt;0,LEN(B258)=0),VLOOKUP(D258,[1]zawodnicy!$A$1:$E$65536,1,FALSE),"")),IF((VLOOKUP(A258,'[1]plan gier'!$X$1:$AF$65536,7,FALSE))="","",VLOOKUP(VLOOKUP(A258,'[1]plan gier'!$X$1:$AF$65536,7,FALSE),[1]zawodnicy!$A$1:$E$65536,1,FALSE)))</f>
        <v>G4559</v>
      </c>
      <c r="H258" s="2" t="str">
        <f>IF(A258=0,"",IF((VLOOKUP(A258,'[1]plan gier'!$X$1:$AF$65536,7,FALSE))="","",VLOOKUP(A258,'[1]plan gier'!$X$1:$AF$65536,9,FALSE)))</f>
        <v>21:19,21:15</v>
      </c>
      <c r="I258" s="2" t="str">
        <f>IF(A258=0,"",IF(VLOOKUP(A258,'[1]plan gier'!A$1:S$65536,19,FALSE)="","",VLOOKUP(A258,'[1]plan gier'!A$1:S$65536,19,FALSE)))</f>
        <v>pt 11:10</v>
      </c>
      <c r="J258" s="2" t="str">
        <f>L143</f>
        <v>pojedyncza chłopców M</v>
      </c>
      <c r="K258" s="95">
        <f>IF(L142&gt;38,57,"")</f>
        <v>57</v>
      </c>
      <c r="L258" s="104" t="s">
        <v>269</v>
      </c>
      <c r="M258" s="193">
        <f>IF(K258="","",MAX(M144:M257)+1)</f>
        <v>47</v>
      </c>
      <c r="N258" s="198" t="str">
        <f>UPPER(IF(M258="","",IF(ISTEXT(L258),L258,IF(AND(L141&gt;0,M258&gt;0),VLOOKUP(L141&amp;M258&amp;J258,'[1]grup-puch'!I$1:J$65536,2,FALSE),""))))</f>
        <v>S5036</v>
      </c>
      <c r="O258" s="199" t="str">
        <f>IF(N258&lt;&gt;"",CONCATENATE(VLOOKUP(N258,[1]zawodnicy!$A$1:$E$65536,2,FALSE)," ",VLOOKUP(N258,[1]zawodnicy!$A$1:$E$65536,3,FALSE)," - ",VLOOKUP(N258,[1]zawodnicy!$A$1:$E$65536,4,FALSE)),"")</f>
        <v>Wojciech SAJDOK - UKS Unia Bieruń</v>
      </c>
      <c r="P258" s="108">
        <v>46</v>
      </c>
      <c r="Q258" s="200" t="str">
        <f>IF(F258="","",VLOOKUP(F258,[1]zawodnicy!$A$1:$D$65536,3,FALSE))</f>
        <v>GOMOŁA</v>
      </c>
      <c r="R258" s="114"/>
      <c r="S258" s="116"/>
      <c r="T258" s="114"/>
      <c r="U258" s="101"/>
    </row>
    <row r="259" spans="1:21" ht="12.75" x14ac:dyDescent="0.2">
      <c r="K259" s="95">
        <f>IF(L142&gt;32,58,"")</f>
        <v>58</v>
      </c>
      <c r="L259" s="104" t="s">
        <v>257</v>
      </c>
      <c r="M259" s="193">
        <f>IF(K259="","",MAX(M144:M258)+1)</f>
        <v>48</v>
      </c>
      <c r="N259" s="198" t="str">
        <f>UPPER(IF(M259="","",IF(ISTEXT(L259),L259,IF(AND(L141&gt;0,M259&gt;0),VLOOKUP(L141&amp;M259&amp;J258,'[1]grup-puch'!I$1:J$65536,2,FALSE),""))))</f>
        <v>G4559</v>
      </c>
      <c r="O259" s="199" t="str">
        <f>IF(N259&lt;&gt;"",CONCATENATE(VLOOKUP(N259,[1]zawodnicy!$A$1:$E$65536,2,FALSE)," ",VLOOKUP(N259,[1]zawodnicy!$A$1:$E$65536,3,FALSE)," - ",VLOOKUP(N259,[1]zawodnicy!$A$1:$E$65536,4,FALSE)),"")</f>
        <v>Maciej GOMOŁA - KS Masovia Płock</v>
      </c>
      <c r="P259" s="202"/>
      <c r="Q259" s="203" t="str">
        <f>IF(H258="",I258,H258)</f>
        <v>21:19,21:15</v>
      </c>
      <c r="R259" s="114"/>
      <c r="S259" s="116"/>
      <c r="T259" s="114"/>
      <c r="U259" s="101"/>
    </row>
    <row r="260" spans="1:21" ht="12.75" x14ac:dyDescent="0.2">
      <c r="A260" s="111">
        <f>Q260</f>
        <v>347</v>
      </c>
      <c r="B260" s="2" t="str">
        <f>F258</f>
        <v>G4559</v>
      </c>
      <c r="D260" s="2" t="str">
        <f>F262</f>
        <v>X23</v>
      </c>
      <c r="F260" s="2" t="str">
        <f>IF(A260=0,IF(AND(LEN(B260)&gt;0,LEN(D260)=0),B260,IF(AND(LEN(D260)&gt;0,LEN(B260)=0),D260,"")),IF((VLOOKUP(A260,'[1]plan gier'!$X$1:$AF$65536,7,FALSE))="","",VLOOKUP(VLOOKUP(A260,'[1]plan gier'!$X$1:$AF$65536,7,FALSE),[1]zawodnicy!$A$1:$E$65536,1,FALSE)))</f>
        <v>G4559</v>
      </c>
      <c r="H260" s="2" t="str">
        <f>IF(A260=0,"",IF((VLOOKUP(A260,'[1]plan gier'!$X$1:$AF$65536,7,FALSE))="","",VLOOKUP(A260,'[1]plan gier'!$X$1:$AF$65536,9,FALSE)))</f>
        <v>21:10,21:18</v>
      </c>
      <c r="I260" s="2" t="str">
        <f>IF(A260=0,"",IF(VLOOKUP(A260,'[1]plan gier'!A$1:S$65536,19,FALSE)="","",VLOOKUP(A260,'[1]plan gier'!A$1:S$65536,19,FALSE)))</f>
        <v>sob 16:30</v>
      </c>
      <c r="J260" s="2" t="str">
        <f>L143</f>
        <v>pojedyncza chłopców M</v>
      </c>
      <c r="N260" s="9"/>
      <c r="O260" s="9"/>
      <c r="P260" s="113"/>
      <c r="Q260" s="115">
        <v>347</v>
      </c>
      <c r="R260" s="200" t="str">
        <f>IF(F260="","",VLOOKUP(F260,[1]zawodnicy!$A$1:$D$65536,3,FALSE))</f>
        <v>GOMOŁA</v>
      </c>
      <c r="S260" s="116"/>
      <c r="T260" s="114"/>
      <c r="U260" s="101"/>
    </row>
    <row r="261" spans="1:21" ht="12.75" x14ac:dyDescent="0.2">
      <c r="N261" s="9"/>
      <c r="O261" s="9"/>
      <c r="P261" s="113"/>
      <c r="Q261" s="116"/>
      <c r="R261" s="203" t="str">
        <f>IF(H260="",I260,H260)</f>
        <v>21:10,21:18</v>
      </c>
      <c r="S261" s="116"/>
      <c r="T261" s="114"/>
      <c r="U261" s="101"/>
    </row>
    <row r="262" spans="1:21" ht="12.75" x14ac:dyDescent="0.2">
      <c r="A262" s="102">
        <f>P262</f>
        <v>47</v>
      </c>
      <c r="B262" s="2" t="str">
        <f>IF(N262="","",N262)</f>
        <v>X23</v>
      </c>
      <c r="D262" s="2" t="str">
        <f>IF(N263="","",N263)</f>
        <v>K4676</v>
      </c>
      <c r="F262" s="2" t="str">
        <f>IF(A262=0,IF(AND(LEN(B262)&gt;0,LEN(D262)=0),VLOOKUP(B262,[1]zawodnicy!$A$1:$E$65536,1,FALSE),IF(AND(LEN(D262)&gt;0,LEN(B262)=0),VLOOKUP(D262,[1]zawodnicy!$A$1:$E$65536,1,FALSE),"")),IF((VLOOKUP(A262,'[1]plan gier'!$X$1:$AF$65536,7,FALSE))="","",VLOOKUP(VLOOKUP(A262,'[1]plan gier'!$X$1:$AF$65536,7,FALSE),[1]zawodnicy!$A$1:$E$65536,1,FALSE)))</f>
        <v>X23</v>
      </c>
      <c r="H262" s="2" t="str">
        <f>IF(A262=0,"",IF((VLOOKUP(A262,'[1]plan gier'!$X$1:$AF$65536,7,FALSE))="","",VLOOKUP(A262,'[1]plan gier'!$X$1:$AF$65536,9,FALSE)))</f>
        <v>21:16,19:21,22:20</v>
      </c>
      <c r="I262" s="2" t="str">
        <f>IF(A262=0,"",IF(VLOOKUP(A262,'[1]plan gier'!A$1:S$65536,19,FALSE)="","",VLOOKUP(A262,'[1]plan gier'!A$1:S$65536,19,FALSE)))</f>
        <v>pt 11:10</v>
      </c>
      <c r="J262" s="2" t="str">
        <f>L143</f>
        <v>pojedyncza chłopców M</v>
      </c>
      <c r="K262" s="95">
        <f>IF(L142&gt;46,59,"")</f>
        <v>59</v>
      </c>
      <c r="L262" s="104" t="s">
        <v>243</v>
      </c>
      <c r="M262" s="193">
        <f>IF(K262="","",MAX(M144:M261)+1)</f>
        <v>49</v>
      </c>
      <c r="N262" s="198" t="str">
        <f>UPPER(IF(M262="","",IF(ISTEXT(L262),L262,IF(AND(L141&gt;0,M262&gt;0),VLOOKUP(L141&amp;M262&amp;J262,'[1]grup-puch'!I$1:J$65536,2,FALSE),""))))</f>
        <v>X23</v>
      </c>
      <c r="O262" s="199" t="str">
        <f>IF(N262&lt;&gt;"",CONCATENATE(VLOOKUP(N262,[1]zawodnicy!$A$1:$E$65536,2,FALSE)," ",VLOOKUP(N262,[1]zawodnicy!$A$1:$E$65536,3,FALSE)," - ",VLOOKUP(N262,[1]zawodnicy!$A$1:$E$65536,4,FALSE)),"")</f>
        <v>Bogdan BRYCHUK - Vinnica Ukraina</v>
      </c>
      <c r="P262" s="108">
        <v>47</v>
      </c>
      <c r="Q262" s="205" t="str">
        <f>IF(F262="","",VLOOKUP(F262,[1]zawodnicy!$A$1:$D$65536,3,FALSE))</f>
        <v>BRYCHUK</v>
      </c>
      <c r="R262" s="116"/>
      <c r="S262" s="116"/>
      <c r="T262" s="114"/>
      <c r="U262" s="101"/>
    </row>
    <row r="263" spans="1:21" ht="12.75" x14ac:dyDescent="0.2">
      <c r="K263" s="95">
        <f>IF(L142&gt;32,60,"")</f>
        <v>60</v>
      </c>
      <c r="L263" s="104" t="s">
        <v>250</v>
      </c>
      <c r="M263" s="193">
        <f>IF(K263="","",MAX(M144:M262)+1)</f>
        <v>50</v>
      </c>
      <c r="N263" s="198" t="str">
        <f>UPPER(IF(M263="","",IF(ISTEXT(L263),L263,IF(AND(L141&gt;0,M263&gt;0),VLOOKUP(L141&amp;M263&amp;J262,'[1]grup-puch'!I$1:J$65536,2,FALSE),""))))</f>
        <v>K4676</v>
      </c>
      <c r="O263" s="199" t="str">
        <f>IF(N263&lt;&gt;"",CONCATENATE(VLOOKUP(N263,[1]zawodnicy!$A$1:$E$65536,2,FALSE)," ",VLOOKUP(N263,[1]zawodnicy!$A$1:$E$65536,3,FALSE)," - ",VLOOKUP(N263,[1]zawodnicy!$A$1:$E$65536,4,FALSE)),"")</f>
        <v>Damian KASPERSKI - UKS Kiko Zamość</v>
      </c>
      <c r="P263" s="202"/>
      <c r="Q263" s="114" t="str">
        <f>IF(H262="",I262,H262)</f>
        <v>21:16,19:21,22:20</v>
      </c>
      <c r="R263" s="116"/>
      <c r="S263" s="116"/>
      <c r="T263" s="114"/>
      <c r="U263" s="101"/>
    </row>
    <row r="264" spans="1:21" ht="12.75" x14ac:dyDescent="0.2">
      <c r="A264" s="118">
        <f>R264</f>
        <v>384</v>
      </c>
      <c r="B264" s="2" t="str">
        <f>F260</f>
        <v>G4559</v>
      </c>
      <c r="D264" s="2" t="str">
        <f>F268</f>
        <v>C3670</v>
      </c>
      <c r="F264" s="2" t="str">
        <f>IF(A264=0,IF(AND(LEN(B264)&gt;0,LEN(D264)=0),B264,IF(AND(LEN(D264)&gt;0,LEN(B264)=0),D264,"")),IF((VLOOKUP(A264,'[1]plan gier'!$X$1:$AF$65536,7,FALSE))="","",VLOOKUP(VLOOKUP(A264,'[1]plan gier'!$X$1:$AF$65536,7,FALSE),[1]zawodnicy!$A$1:$E$65536,1,FALSE)))</f>
        <v>C3670</v>
      </c>
      <c r="H264" s="2" t="str">
        <f>IF(A264=0,"",IF((VLOOKUP(A264,'[1]plan gier'!$X$1:$AF$65536,7,FALSE))="","",VLOOKUP(A264,'[1]plan gier'!$X$1:$AF$65536,9,FALSE)))</f>
        <v>21:16,21:15</v>
      </c>
      <c r="I264" s="2" t="str">
        <f>IF(A264=0,"",IF(VLOOKUP(A264,'[1]plan gier'!A$1:S$65536,19,FALSE)="","",VLOOKUP(A264,'[1]plan gier'!A$1:S$65536,19,FALSE)))</f>
        <v>sob 18:30</v>
      </c>
      <c r="J264" s="2" t="str">
        <f>L143</f>
        <v>pojedyncza chłopców M</v>
      </c>
      <c r="N264" s="9"/>
      <c r="O264" s="9"/>
      <c r="P264" s="113"/>
      <c r="Q264" s="114"/>
      <c r="R264" s="206">
        <v>384</v>
      </c>
      <c r="S264" s="205" t="str">
        <f>IF(F264="","",VLOOKUP(F264,[1]zawodnicy!$A$1:$D$65536,3,FALSE))</f>
        <v>CYBULSKI</v>
      </c>
      <c r="T264" s="114"/>
      <c r="U264" s="101"/>
    </row>
    <row r="265" spans="1:21" ht="12.75" x14ac:dyDescent="0.2">
      <c r="N265" s="9"/>
      <c r="O265" s="9"/>
      <c r="P265" s="113"/>
      <c r="Q265" s="114"/>
      <c r="R265" s="116"/>
      <c r="S265" s="114" t="str">
        <f>IF(H264="",I264,H264)</f>
        <v>21:16,21:15</v>
      </c>
      <c r="T265" s="114"/>
      <c r="U265" s="101"/>
    </row>
    <row r="266" spans="1:21" ht="12.75" x14ac:dyDescent="0.2">
      <c r="A266" s="102">
        <f>P266</f>
        <v>0</v>
      </c>
      <c r="B266" s="2" t="str">
        <f>IF(N266="","",N266)</f>
        <v/>
      </c>
      <c r="D266" s="2" t="str">
        <f>IF(N267="","",N267)</f>
        <v>R4718</v>
      </c>
      <c r="F266" s="2" t="str">
        <f>IF(A266=0,IF(AND(LEN(B266)&gt;0,LEN(D266)=0),VLOOKUP(B266,[1]zawodnicy!$A$1:$E$65536,1,FALSE),IF(AND(LEN(D266)&gt;0,LEN(B266)=0),VLOOKUP(D266,[1]zawodnicy!$A$1:$E$65536,1,FALSE),"")),IF((VLOOKUP(A266,'[1]plan gier'!$X$1:$AF$65536,7,FALSE))="","",VLOOKUP(VLOOKUP(A266,'[1]plan gier'!$X$1:$AF$65536,7,FALSE),[1]zawodnicy!$A$1:$E$65536,1,FALSE)))</f>
        <v>R4718</v>
      </c>
      <c r="H266" s="2" t="str">
        <f>IF(A266=0,"",IF((VLOOKUP(A266,'[1]plan gier'!$X$1:$AF$65536,7,FALSE))="","",VLOOKUP(A266,'[1]plan gier'!$X$1:$AF$65536,9,FALSE)))</f>
        <v/>
      </c>
      <c r="I266" s="2" t="str">
        <f>IF(A266=0,"",IF(VLOOKUP(A266,'[1]plan gier'!A$1:S$65536,19,FALSE)="","",VLOOKUP(A266,'[1]plan gier'!A$1:S$65536,19,FALSE)))</f>
        <v/>
      </c>
      <c r="J266" s="2" t="str">
        <f>L143</f>
        <v>pojedyncza chłopców M</v>
      </c>
      <c r="K266" s="95" t="str">
        <f>IF(L142&gt;54,61,"")</f>
        <v/>
      </c>
      <c r="L266" s="104"/>
      <c r="M266" s="193" t="str">
        <f>IF(K266="","",MAX(M144:M265)+1)</f>
        <v/>
      </c>
      <c r="N266" s="198" t="str">
        <f>UPPER(IF(M266="","",IF(ISTEXT(L266),L266,IF(AND(L141&gt;0,M266&gt;0),VLOOKUP(L141&amp;M266&amp;J266,'[1]grup-puch'!I$1:J$65536,2,FALSE),""))))</f>
        <v/>
      </c>
      <c r="O266" s="199" t="str">
        <f>IF(N266&lt;&gt;"",CONCATENATE(VLOOKUP(N266,[1]zawodnicy!$A$1:$E$65536,2,FALSE)," ",VLOOKUP(N266,[1]zawodnicy!$A$1:$E$65536,3,FALSE)," - ",VLOOKUP(N266,[1]zawodnicy!$A$1:$E$65536,4,FALSE)),"")</f>
        <v/>
      </c>
      <c r="P266" s="108"/>
      <c r="Q266" s="200" t="str">
        <f>IF(F266="","",VLOOKUP(F266,[1]zawodnicy!$A$1:$D$65536,3,FALSE))</f>
        <v>RÓG</v>
      </c>
      <c r="R266" s="116"/>
      <c r="S266" s="114"/>
      <c r="T266" s="114"/>
      <c r="U266" s="101"/>
    </row>
    <row r="267" spans="1:21" ht="12.75" x14ac:dyDescent="0.2">
      <c r="A267" s="211"/>
      <c r="K267" s="95">
        <f>IF(L142&gt;32,62,"")</f>
        <v>62</v>
      </c>
      <c r="L267" s="104" t="s">
        <v>238</v>
      </c>
      <c r="M267" s="193">
        <f>IF(K267="","",MAX(M144:M266)+1)</f>
        <v>51</v>
      </c>
      <c r="N267" s="198" t="str">
        <f>UPPER(IF(M267="","",IF(ISTEXT(L267),L267,IF(AND(L141&gt;0,M267&gt;0),VLOOKUP(L141&amp;M267&amp;J266,'[1]grup-puch'!I$1:J$65536,2,FALSE),""))))</f>
        <v>R4718</v>
      </c>
      <c r="O267" s="199" t="str">
        <f>IF(N267&lt;&gt;"",CONCATENATE(VLOOKUP(N267,[1]zawodnicy!$A$1:$E$65536,2,FALSE)," ",VLOOKUP(N267,[1]zawodnicy!$A$1:$E$65536,3,FALSE)," - ",VLOOKUP(N267,[1]zawodnicy!$A$1:$E$65536,4,FALSE)),"")</f>
        <v>Patryk RÓG - MKS Stal Nowa Dęba</v>
      </c>
      <c r="P267" s="202"/>
      <c r="Q267" s="203" t="str">
        <f>IF(H266="",I266,H266)</f>
        <v/>
      </c>
      <c r="R267" s="116"/>
      <c r="S267" s="114"/>
      <c r="T267" s="114"/>
      <c r="U267" s="101"/>
    </row>
    <row r="268" spans="1:21" ht="12.75" x14ac:dyDescent="0.2">
      <c r="A268" s="111">
        <f>Q268</f>
        <v>348</v>
      </c>
      <c r="B268" s="2" t="str">
        <f>F266</f>
        <v>R4718</v>
      </c>
      <c r="D268" s="2" t="str">
        <f>F270</f>
        <v>C3670</v>
      </c>
      <c r="F268" s="2" t="str">
        <f>IF(A268=0,IF(AND(LEN(B268)&gt;0,LEN(D268)=0),B268,IF(AND(LEN(D268)&gt;0,LEN(B268)=0),D268,"")),IF((VLOOKUP(A268,'[1]plan gier'!$X$1:$AF$65536,7,FALSE))="","",VLOOKUP(VLOOKUP(A268,'[1]plan gier'!$X$1:$AF$65536,7,FALSE),[1]zawodnicy!$A$1:$E$65536,1,FALSE)))</f>
        <v>C3670</v>
      </c>
      <c r="H268" s="2" t="str">
        <f>IF(A268=0,"",IF((VLOOKUP(A268,'[1]plan gier'!$X$1:$AF$65536,7,FALSE))="","",VLOOKUP(A268,'[1]plan gier'!$X$1:$AF$65536,9,FALSE)))</f>
        <v>21:5,21:11</v>
      </c>
      <c r="I268" s="2" t="str">
        <f>IF(A268=0,"",IF(VLOOKUP(A268,'[1]plan gier'!A$1:S$65536,19,FALSE)="","",VLOOKUP(A268,'[1]plan gier'!A$1:S$65536,19,FALSE)))</f>
        <v>sob 16:30</v>
      </c>
      <c r="J268" s="2" t="str">
        <f>L143</f>
        <v>pojedyncza chłopców M</v>
      </c>
      <c r="N268" s="9"/>
      <c r="O268" s="9"/>
      <c r="P268" s="113"/>
      <c r="Q268" s="115">
        <v>348</v>
      </c>
      <c r="R268" s="205" t="str">
        <f>IF(F268="","",VLOOKUP(F268,[1]zawodnicy!$A$1:$D$65536,3,FALSE))</f>
        <v>CYBULSKI</v>
      </c>
      <c r="S268" s="2"/>
      <c r="T268" s="2"/>
      <c r="U268" s="101"/>
    </row>
    <row r="269" spans="1:21" ht="12.75" x14ac:dyDescent="0.2">
      <c r="N269" s="9"/>
      <c r="O269" s="9"/>
      <c r="P269" s="113"/>
      <c r="Q269" s="116"/>
      <c r="R269" s="114" t="str">
        <f>IF(H268="",I268,H268)</f>
        <v>21:5,21:11</v>
      </c>
      <c r="S269" s="114"/>
      <c r="T269" s="114"/>
      <c r="U269" s="101"/>
    </row>
    <row r="270" spans="1:21" ht="12.75" x14ac:dyDescent="0.2">
      <c r="A270" s="102">
        <f>P270</f>
        <v>0</v>
      </c>
      <c r="B270" s="2" t="str">
        <f>IF(N270="","",N270)</f>
        <v/>
      </c>
      <c r="D270" s="2" t="str">
        <f>IF(N271="","",N271)</f>
        <v>C3670</v>
      </c>
      <c r="F270" s="2" t="str">
        <f>IF(A270=0,IF(AND(LEN(B270)&gt;0,LEN(D270)=0),VLOOKUP(B270,[1]zawodnicy!$A$1:$E$65536,1,FALSE),IF(AND(LEN(D270)&gt;0,LEN(B270)=0),VLOOKUP(D270,[1]zawodnicy!$A$1:$E$65536,1,FALSE),"")),IF((VLOOKUP(A270,'[1]plan gier'!$X$1:$AF$65536,7,FALSE))="","",VLOOKUP(VLOOKUP(A270,'[1]plan gier'!$X$1:$AF$65536,7,FALSE),[1]zawodnicy!$A$1:$E$65536,1,FALSE)))</f>
        <v>C3670</v>
      </c>
      <c r="H270" s="2" t="str">
        <f>IF(A270=0,"",IF((VLOOKUP(A270,'[1]plan gier'!$X$1:$AF$65536,7,FALSE))="","",VLOOKUP(A270,'[1]plan gier'!$X$1:$AF$65536,9,FALSE)))</f>
        <v/>
      </c>
      <c r="I270" s="2" t="str">
        <f>IF(A270=0,"",IF(VLOOKUP(A270,'[1]plan gier'!A$1:S$65536,19,FALSE)="","",VLOOKUP(A270,'[1]plan gier'!A$1:S$65536,19,FALSE)))</f>
        <v/>
      </c>
      <c r="J270" s="2" t="str">
        <f>L143</f>
        <v>pojedyncza chłopców M</v>
      </c>
      <c r="K270" s="95" t="str">
        <f>IF(L142&gt;62,63,"")</f>
        <v/>
      </c>
      <c r="L270" s="104"/>
      <c r="M270" s="193" t="str">
        <f>IF(K270="","",MAX(M144:M269)+1)</f>
        <v/>
      </c>
      <c r="N270" s="198" t="str">
        <f>UPPER(IF(M270="","",IF(ISTEXT(L270),L270,IF(AND(L141&gt;0,M270&gt;0),VLOOKUP(L141&amp;M270&amp;J270,'[1]grup-puch'!I$1:J$65536,2,FALSE),""))))</f>
        <v/>
      </c>
      <c r="O270" s="199" t="str">
        <f>IF(N270&lt;&gt;"",CONCATENATE(VLOOKUP(N270,[1]zawodnicy!$A$1:$E$65536,2,FALSE)," ",VLOOKUP(N270,[1]zawodnicy!$A$1:$E$65536,3,FALSE)," - ",VLOOKUP(N270,[1]zawodnicy!$A$1:$E$65536,4,FALSE)),"")</f>
        <v/>
      </c>
      <c r="P270" s="108"/>
      <c r="Q270" s="205" t="str">
        <f>IF(F270="","",VLOOKUP(F270,[1]zawodnicy!$A$1:$D$65536,3,FALSE))</f>
        <v>CYBULSKI</v>
      </c>
      <c r="R270" s="170"/>
      <c r="S270" s="229" t="s">
        <v>411</v>
      </c>
      <c r="T270" s="229"/>
      <c r="U270" s="101"/>
    </row>
    <row r="271" spans="1:21" ht="12.75" x14ac:dyDescent="0.2">
      <c r="K271" s="95">
        <f>IF(L142&gt;32,64,"")</f>
        <v>64</v>
      </c>
      <c r="L271" s="104" t="s">
        <v>245</v>
      </c>
      <c r="M271" s="193">
        <f>IF(K271="","",MAX(M144:M270)+1)</f>
        <v>52</v>
      </c>
      <c r="N271" s="198" t="str">
        <f>UPPER(IF(M271="","",IF(ISTEXT(L271),L271,IF(AND(L141&gt;0,M271&gt;0),VLOOKUP(L141&amp;M271&amp;J270,'[1]grup-puch'!I$1:J$65536,2,FALSE),""))))</f>
        <v>C3670</v>
      </c>
      <c r="O271" s="199" t="str">
        <f>IF(N271&lt;&gt;"",CONCATENATE(VLOOKUP(N271,[1]zawodnicy!$A$1:$E$65536,2,FALSE)," ",VLOOKUP(N271,[1]zawodnicy!$A$1:$E$65536,3,FALSE)," - ",VLOOKUP(N271,[1]zawodnicy!$A$1:$E$65536,4,FALSE)),"")</f>
        <v>Robert CYBULSKI - MKB Lednik Miastko</v>
      </c>
      <c r="P271" s="202"/>
      <c r="Q271" s="114" t="str">
        <f>IF(H270="",I270,H270)</f>
        <v/>
      </c>
      <c r="R271" s="214"/>
      <c r="S271" s="229" t="str">
        <f>IF(ISBLANK([1]dane!$D$4),"",[1]dane!$D$4)</f>
        <v>Leszek Jagodziński</v>
      </c>
      <c r="T271" s="229"/>
      <c r="U271" s="101"/>
    </row>
    <row r="273" spans="1:21" ht="11.45" customHeight="1" x14ac:dyDescent="0.2">
      <c r="L273" s="195" t="s">
        <v>416</v>
      </c>
      <c r="N273" s="277" t="str">
        <f>"Gra "&amp;L273</f>
        <v>Gra pojedyncza chłopców MM</v>
      </c>
      <c r="O273" s="277"/>
      <c r="P273" s="277"/>
      <c r="Q273" s="277"/>
      <c r="R273" s="277"/>
      <c r="S273" s="277"/>
      <c r="T273" s="277"/>
      <c r="U273" s="277"/>
    </row>
    <row r="275" spans="1:21" ht="12.75" x14ac:dyDescent="0.2">
      <c r="A275" s="196" t="s">
        <v>407</v>
      </c>
      <c r="L275" s="125"/>
      <c r="M275" s="228" t="s">
        <v>408</v>
      </c>
      <c r="N275" s="229"/>
      <c r="O275" s="229"/>
      <c r="P275" s="229"/>
      <c r="Q275" s="229"/>
      <c r="R275" s="229"/>
      <c r="S275" s="229"/>
      <c r="T275" s="229"/>
      <c r="U275" s="229"/>
    </row>
    <row r="276" spans="1:21" ht="12.75" x14ac:dyDescent="0.2">
      <c r="L276" s="197">
        <v>49</v>
      </c>
      <c r="O276" s="101"/>
      <c r="P276" s="100"/>
      <c r="Q276" s="101"/>
      <c r="R276" s="101"/>
      <c r="S276" s="101"/>
      <c r="T276" s="101"/>
      <c r="U276" s="101"/>
    </row>
    <row r="277" spans="1:21" ht="12.75" x14ac:dyDescent="0.2">
      <c r="L277" s="99" t="s">
        <v>416</v>
      </c>
      <c r="M277" s="11"/>
      <c r="P277" s="100"/>
      <c r="Q277" s="101"/>
      <c r="R277" s="101"/>
      <c r="S277" s="101"/>
      <c r="T277" s="101"/>
      <c r="U277" s="101"/>
    </row>
    <row r="278" spans="1:21" ht="12.75" x14ac:dyDescent="0.2">
      <c r="A278" s="102">
        <f>P278</f>
        <v>0</v>
      </c>
      <c r="B278" s="2" t="str">
        <f>IF(N278="","",N278)</f>
        <v>M4565</v>
      </c>
      <c r="D278" s="2" t="str">
        <f>IF(N279="","",N279)</f>
        <v/>
      </c>
      <c r="F278" s="2" t="str">
        <f>IF(A278=0,IF(AND(LEN(B278)&gt;0,LEN(D278)=0),VLOOKUP(B278,[1]zawodnicy!$A$1:$E$65536,1,FALSE),IF(AND(LEN(D278)&gt;0,LEN(B278)=0),VLOOKUP(D278,[1]zawodnicy!$A$1:$E$65536,1,FALSE),"")),IF((VLOOKUP(A278,'[1]plan gier'!$X$1:$AF$65536,7,FALSE))="","",VLOOKUP(VLOOKUP(A278,'[1]plan gier'!$X$1:$AF$65536,7,FALSE),[1]zawodnicy!$A$1:$E$65536,1,FALSE)))</f>
        <v>M4565</v>
      </c>
      <c r="H278" s="2" t="str">
        <f>IF(A278=0,"",IF((VLOOKUP(A278,'[1]plan gier'!$X$1:$AF$65536,7,FALSE))="","",VLOOKUP(A278,'[1]plan gier'!$X$1:$AF$65536,9,FALSE)))</f>
        <v/>
      </c>
      <c r="I278" s="2" t="str">
        <f>IF(A278=0,"",IF(VLOOKUP(A278,'[1]plan gier'!A$1:S$65536,19,FALSE)="","",VLOOKUP(A278,'[1]plan gier'!A$1:S$65536,19,FALSE)))</f>
        <v/>
      </c>
      <c r="J278" s="2" t="str">
        <f>L277</f>
        <v>pojedyncza chłopców MM</v>
      </c>
      <c r="K278" s="95">
        <f>IF(L276&gt;32,1,"")</f>
        <v>1</v>
      </c>
      <c r="L278" s="189" t="s">
        <v>351</v>
      </c>
      <c r="M278" s="193">
        <f>IF(K278="","",1)</f>
        <v>1</v>
      </c>
      <c r="N278" s="198" t="str">
        <f>UPPER(IF(M278="","",IF(ISTEXT(L278),L278,IF(AND(L275&gt;0,M278&gt;0),VLOOKUP(L275&amp;M278&amp;J278,'[1]grup-puch'!I$1:J$65536,2,FALSE),""))))</f>
        <v>M4565</v>
      </c>
      <c r="O278" s="199" t="str">
        <f>IF(N278&lt;&gt;"",CONCATENATE(VLOOKUP(N278,[1]zawodnicy!$A$1:$E$65536,2,FALSE)," ",VLOOKUP(N278,[1]zawodnicy!$A$1:$E$65536,3,FALSE)," - ",VLOOKUP(N278,[1]zawodnicy!$A$1:$E$65536,4,FALSE)),"")</f>
        <v>Maciej MATUSZ - LKS Technik Głubczyce</v>
      </c>
      <c r="P278" s="108"/>
      <c r="Q278" s="200" t="str">
        <f>IF(F278="","",VLOOKUP(F278,[1]zawodnicy!$A$1:$D$65536,3,FALSE))</f>
        <v>MATUSZ</v>
      </c>
      <c r="R278" s="114"/>
      <c r="S278" s="114"/>
      <c r="T278" s="114"/>
      <c r="U278" s="101"/>
    </row>
    <row r="279" spans="1:21" ht="12.75" x14ac:dyDescent="0.2">
      <c r="K279" s="95" t="str">
        <f>IF(L276&gt;63,2,"")</f>
        <v/>
      </c>
      <c r="L279" s="198" t="str">
        <f>UPPER(IF(K279="","",IF(ISTEXT(J279),J279,IF(AND(J275&gt;0,K279&gt;0),VLOOKUP(J275&amp;K279&amp;H278,'[4]grup-puch'!G$1:H$65536,2,FALSE),""))))</f>
        <v/>
      </c>
      <c r="M279" s="193" t="str">
        <f>IF(K279="","",2)</f>
        <v/>
      </c>
      <c r="N279" s="198" t="str">
        <f>UPPER(IF(M279="","",IF(ISTEXT(L279),L279,IF(AND(L275&gt;0,M279&gt;0),VLOOKUP(L275&amp;M279&amp;J278,'[1]grup-puch'!I$1:J$65536,2,FALSE),""))))</f>
        <v/>
      </c>
      <c r="O279" s="199" t="str">
        <f>IF(N279&lt;&gt;"",CONCATENATE(VLOOKUP(N279,[1]zawodnicy!$A$1:$E$65536,2,FALSE)," ",VLOOKUP(N279,[1]zawodnicy!$A$1:$E$65536,3,FALSE)," - ",VLOOKUP(N279,[1]zawodnicy!$A$1:$E$65536,4,FALSE)),"")</f>
        <v/>
      </c>
      <c r="P279" s="202"/>
      <c r="Q279" s="203" t="str">
        <f>IF(H278="",I278,H278)</f>
        <v/>
      </c>
      <c r="R279" s="114"/>
      <c r="S279" s="114"/>
      <c r="T279" s="114"/>
      <c r="U279" s="101"/>
    </row>
    <row r="280" spans="1:21" ht="12.75" x14ac:dyDescent="0.2">
      <c r="A280" s="111">
        <f>Q280</f>
        <v>233</v>
      </c>
      <c r="B280" s="2" t="str">
        <f>F278</f>
        <v>M4565</v>
      </c>
      <c r="D280" s="2" t="str">
        <f>F282</f>
        <v>K4670</v>
      </c>
      <c r="F280" s="2" t="str">
        <f>IF(A280=0,IF(AND(LEN(B280)&gt;0,LEN(D280)=0),B280,IF(AND(LEN(D280)&gt;0,LEN(B280)=0),D280,"")),IF((VLOOKUP(A280,'[1]plan gier'!$X$1:$AF$65536,7,FALSE))="","",VLOOKUP(VLOOKUP(A280,'[1]plan gier'!$X$1:$AF$65536,7,FALSE),[1]zawodnicy!$A$1:$E$65536,1,FALSE)))</f>
        <v>M4565</v>
      </c>
      <c r="H280" s="2" t="str">
        <f>IF(A280=0,"",IF((VLOOKUP(A280,'[1]plan gier'!$X$1:$AF$65536,7,FALSE))="","",VLOOKUP(A280,'[1]plan gier'!$X$1:$AF$65536,9,FALSE)))</f>
        <v>21:7,21:14</v>
      </c>
      <c r="I280" s="2" t="str">
        <f>IF(A280=0,"",IF(VLOOKUP(A280,'[1]plan gier'!A$1:S$65536,19,FALSE)="","",VLOOKUP(A280,'[1]plan gier'!A$1:S$65536,19,FALSE)))</f>
        <v>sob 9:40</v>
      </c>
      <c r="J280" s="2" t="str">
        <f>L277</f>
        <v>pojedyncza chłopców MM</v>
      </c>
      <c r="L280" s="9"/>
      <c r="N280" s="9"/>
      <c r="O280" s="9"/>
      <c r="P280" s="113"/>
      <c r="Q280" s="115">
        <v>233</v>
      </c>
      <c r="R280" s="200" t="str">
        <f>IF(F280="","",VLOOKUP(F280,[1]zawodnicy!$A$1:$D$65536,3,FALSE))</f>
        <v>MATUSZ</v>
      </c>
      <c r="S280" s="114"/>
      <c r="T280" s="114"/>
      <c r="U280" s="101"/>
    </row>
    <row r="281" spans="1:21" ht="12.75" x14ac:dyDescent="0.2">
      <c r="L281" s="9"/>
      <c r="N281" s="9"/>
      <c r="O281" s="9"/>
      <c r="P281" s="113"/>
      <c r="Q281" s="116"/>
      <c r="R281" s="203" t="str">
        <f>IF(H280="",I280,H280)</f>
        <v>21:7,21:14</v>
      </c>
      <c r="S281" s="114"/>
      <c r="T281" s="114"/>
      <c r="U281" s="101"/>
    </row>
    <row r="282" spans="1:21" ht="12.75" x14ac:dyDescent="0.2">
      <c r="A282" s="102">
        <f>P282</f>
        <v>0</v>
      </c>
      <c r="B282" s="2" t="str">
        <f>IF(N282="","",N282)</f>
        <v>K4670</v>
      </c>
      <c r="D282" s="2" t="str">
        <f>IF(N283="","",N283)</f>
        <v/>
      </c>
      <c r="F282" s="2" t="str">
        <f>IF(A282=0,IF(AND(LEN(B282)&gt;0,LEN(D282)=0),VLOOKUP(B282,[1]zawodnicy!$A$1:$E$65536,1,FALSE),IF(AND(LEN(D282)&gt;0,LEN(B282)=0),VLOOKUP(D282,[1]zawodnicy!$A$1:$E$65536,1,FALSE),"")),IF((VLOOKUP(A282,'[1]plan gier'!$X$1:$AF$65536,7,FALSE))="","",VLOOKUP(VLOOKUP(A282,'[1]plan gier'!$X$1:$AF$65536,7,FALSE),[1]zawodnicy!$A$1:$E$65536,1,FALSE)))</f>
        <v>K4670</v>
      </c>
      <c r="H282" s="2" t="str">
        <f>IF(A282=0,"",IF((VLOOKUP(A282,'[1]plan gier'!$X$1:$AF$65536,7,FALSE))="","",VLOOKUP(A282,'[1]plan gier'!$X$1:$AF$65536,9,FALSE)))</f>
        <v/>
      </c>
      <c r="I282" s="2" t="str">
        <f>IF(A282=0,"",IF(VLOOKUP(A282,'[1]plan gier'!A$1:S$65536,19,FALSE)="","",VLOOKUP(A282,'[1]plan gier'!A$1:S$65536,19,FALSE)))</f>
        <v/>
      </c>
      <c r="J282" s="2" t="str">
        <f>L277</f>
        <v>pojedyncza chłopców MM</v>
      </c>
      <c r="K282" s="95">
        <f>IF(L276&gt;32,3,"")</f>
        <v>3</v>
      </c>
      <c r="L282" s="218" t="s">
        <v>354</v>
      </c>
      <c r="M282" s="193">
        <f>IF(K282="","",MAX(M278:M281)+1)</f>
        <v>2</v>
      </c>
      <c r="N282" s="198" t="str">
        <f>UPPER(IF(M282="","",IF(ISTEXT(L282),L282,IF(AND(L275&gt;0,M282&gt;0),VLOOKUP(L275&amp;M282&amp;J282,'[1]grup-puch'!I$1:J$65536,2,FALSE),""))))</f>
        <v>K4670</v>
      </c>
      <c r="O282" s="199" t="str">
        <f>IF(N282&lt;&gt;"",CONCATENATE(VLOOKUP(N282,[1]zawodnicy!$A$1:$E$65536,2,FALSE)," ",VLOOKUP(N282,[1]zawodnicy!$A$1:$E$65536,3,FALSE)," - ",VLOOKUP(N282,[1]zawodnicy!$A$1:$E$65536,4,FALSE)),"")</f>
        <v>Kamil KOZERA - UKSMTB Smecz Konin</v>
      </c>
      <c r="P282" s="108"/>
      <c r="Q282" s="205" t="str">
        <f>IF(F282="","",VLOOKUP(F282,[1]zawodnicy!$A$1:$D$65536,3,FALSE))</f>
        <v>KOZERA</v>
      </c>
      <c r="R282" s="116"/>
      <c r="S282" s="114"/>
      <c r="T282" s="114"/>
      <c r="U282" s="101"/>
    </row>
    <row r="283" spans="1:21" ht="12.75" x14ac:dyDescent="0.2">
      <c r="K283" s="95" t="str">
        <f>IF(L276&gt;55,4,"")</f>
        <v/>
      </c>
      <c r="L283" s="198" t="str">
        <f>UPPER(IF(K283="","",IF(ISTEXT(J283),J283,IF(AND(J275&gt;0,K283&gt;0),VLOOKUP(J275&amp;K283&amp;H282,'[4]grup-puch'!G$1:H$65536,2,FALSE),""))))</f>
        <v/>
      </c>
      <c r="M283" s="193" t="str">
        <f>IF(K283="","",MAX(M278:M282)+1)</f>
        <v/>
      </c>
      <c r="N283" s="198" t="str">
        <f>UPPER(IF(M283="","",IF(ISTEXT(L283),L283,IF(AND(L275&gt;0,M283&gt;0),VLOOKUP(L275&amp;M283&amp;J282,'[1]grup-puch'!I$1:J$65536,2,FALSE),""))))</f>
        <v/>
      </c>
      <c r="O283" s="199" t="str">
        <f>IF(N283&lt;&gt;"",CONCATENATE(VLOOKUP(N283,[1]zawodnicy!$A$1:$E$65536,2,FALSE)," ",VLOOKUP(N283,[1]zawodnicy!$A$1:$E$65536,3,FALSE)," - ",VLOOKUP(N283,[1]zawodnicy!$A$1:$E$65536,4,FALSE)),"")</f>
        <v/>
      </c>
      <c r="P283" s="202"/>
      <c r="Q283" s="114" t="str">
        <f>IF(H282="",I282,H282)</f>
        <v/>
      </c>
      <c r="R283" s="116"/>
      <c r="S283" s="114"/>
      <c r="T283" s="114"/>
      <c r="U283" s="101"/>
    </row>
    <row r="284" spans="1:21" ht="12.75" x14ac:dyDescent="0.2">
      <c r="A284" s="118">
        <f>R284</f>
        <v>309</v>
      </c>
      <c r="B284" s="2" t="str">
        <f>F280</f>
        <v>M4565</v>
      </c>
      <c r="D284" s="2" t="str">
        <f>F288</f>
        <v>G5058</v>
      </c>
      <c r="F284" s="2" t="str">
        <f>IF(A284=0,IF(AND(LEN(B284)&gt;0,LEN(D284)=0),B284,IF(AND(LEN(D284)&gt;0,LEN(B284)=0),D284,"")),IF((VLOOKUP(A284,'[1]plan gier'!$X$1:$AF$65536,7,FALSE))="","",VLOOKUP(VLOOKUP(A284,'[1]plan gier'!$X$1:$AF$65536,7,FALSE),[1]zawodnicy!$A$1:$E$65536,1,FALSE)))</f>
        <v>M4565</v>
      </c>
      <c r="H284" s="2" t="str">
        <f>IF(A284=0,"",IF((VLOOKUP(A284,'[1]plan gier'!$X$1:$AF$65536,7,FALSE))="","",VLOOKUP(A284,'[1]plan gier'!$X$1:$AF$65536,9,FALSE)))</f>
        <v>21:5,21:6</v>
      </c>
      <c r="I284" s="2" t="str">
        <f>IF(A284=0,"",IF(VLOOKUP(A284,'[1]plan gier'!A$1:S$65536,19,FALSE)="","",VLOOKUP(A284,'[1]plan gier'!A$1:S$65536,19,FALSE)))</f>
        <v>sob 14:20</v>
      </c>
      <c r="J284" s="2" t="str">
        <f>L277</f>
        <v>pojedyncza chłopców MM</v>
      </c>
      <c r="L284" s="9"/>
      <c r="N284" s="9"/>
      <c r="O284" s="9"/>
      <c r="P284" s="113"/>
      <c r="Q284" s="114"/>
      <c r="R284" s="206">
        <v>309</v>
      </c>
      <c r="S284" s="200" t="str">
        <f>IF(F284="","",VLOOKUP(F284,[1]zawodnicy!$A$1:$D$65536,3,FALSE))</f>
        <v>MATUSZ</v>
      </c>
      <c r="T284" s="114"/>
      <c r="U284" s="101"/>
    </row>
    <row r="285" spans="1:21" ht="12.75" x14ac:dyDescent="0.2">
      <c r="L285" s="9"/>
      <c r="N285" s="9"/>
      <c r="O285" s="9"/>
      <c r="P285" s="113"/>
      <c r="Q285" s="114"/>
      <c r="R285" s="116"/>
      <c r="S285" s="203" t="str">
        <f>IF(H284="",I284,H284)</f>
        <v>21:5,21:6</v>
      </c>
      <c r="T285" s="114"/>
      <c r="U285" s="101"/>
    </row>
    <row r="286" spans="1:21" ht="12.75" x14ac:dyDescent="0.2">
      <c r="A286" s="102">
        <f>P286</f>
        <v>180</v>
      </c>
      <c r="B286" s="2" t="str">
        <f>IF(N286="","",N286)</f>
        <v>X47</v>
      </c>
      <c r="D286" s="2" t="str">
        <f>IF(N287="","",N287)</f>
        <v>M4933</v>
      </c>
      <c r="F286" s="2" t="str">
        <f>IF(A286=0,IF(AND(LEN(B286)&gt;0,LEN(D286)=0),VLOOKUP(B286,[1]zawodnicy!$A$1:$E$65536,1,FALSE),IF(AND(LEN(D286)&gt;0,LEN(B286)=0),VLOOKUP(D286,[1]zawodnicy!$A$1:$E$65536,1,FALSE),"")),IF((VLOOKUP(A286,'[1]plan gier'!$X$1:$AF$65536,7,FALSE))="","",VLOOKUP(VLOOKUP(A286,'[1]plan gier'!$X$1:$AF$65536,7,FALSE),[1]zawodnicy!$A$1:$E$65536,1,FALSE)))</f>
        <v>M4933</v>
      </c>
      <c r="H286" s="2" t="str">
        <f>IF(A286=0,"",IF((VLOOKUP(A286,'[1]plan gier'!$X$1:$AF$65536,7,FALSE))="","",VLOOKUP(A286,'[1]plan gier'!$X$1:$AF$65536,9,FALSE)))</f>
        <v>21:0,21:0</v>
      </c>
      <c r="I286" s="2" t="str">
        <f>IF(A286=0,"",IF(VLOOKUP(A286,'[1]plan gier'!A$1:S$65536,19,FALSE)="","",VLOOKUP(A286,'[1]plan gier'!A$1:S$65536,19,FALSE)))</f>
        <v>pt 20:20</v>
      </c>
      <c r="J286" s="2" t="str">
        <f>L277</f>
        <v>pojedyncza chłopców MM</v>
      </c>
      <c r="K286" s="95">
        <f>IF(L276&gt;32,5,"")</f>
        <v>5</v>
      </c>
      <c r="L286" s="188" t="s">
        <v>342</v>
      </c>
      <c r="M286" s="193">
        <f>IF(K286="","",MAX(M278:M285)+1)</f>
        <v>3</v>
      </c>
      <c r="N286" s="198" t="str">
        <f>UPPER(IF(M286="","",IF(ISTEXT(L286),L286,IF(AND(L275&gt;0,M286&gt;0),VLOOKUP(L275&amp;M286&amp;J286,'[1]grup-puch'!I$1:J$65536,2,FALSE),""))))</f>
        <v>X47</v>
      </c>
      <c r="O286" s="199" t="str">
        <f>IF(N286&lt;&gt;"",CONCATENATE(VLOOKUP(N286,[1]zawodnicy!$A$1:$E$65536,2,FALSE)," ",VLOOKUP(N286,[1]zawodnicy!$A$1:$E$65536,3,FALSE)," - ",VLOOKUP(N286,[1]zawodnicy!$A$1:$E$65536,4,FALSE)),"")</f>
        <v>Jan Hrabiec - Slavoj Cesky Tesin</v>
      </c>
      <c r="P286" s="108">
        <v>180</v>
      </c>
      <c r="Q286" s="200" t="str">
        <f>IF(F286="","",VLOOKUP(F286,[1]zawodnicy!$A$1:$D$65536,3,FALSE))</f>
        <v>MAKAREWICZ</v>
      </c>
      <c r="R286" s="116"/>
      <c r="S286" s="116"/>
      <c r="T286" s="114"/>
      <c r="U286" s="101"/>
    </row>
    <row r="287" spans="1:21" ht="12.75" x14ac:dyDescent="0.2">
      <c r="K287" s="95">
        <f>IF(L276&gt;47,6,"")</f>
        <v>6</v>
      </c>
      <c r="L287" s="187" t="s">
        <v>364</v>
      </c>
      <c r="M287" s="193">
        <f>IF(K287="","",MAX(M278:M286)+1)</f>
        <v>4</v>
      </c>
      <c r="N287" s="198" t="str">
        <f>UPPER(IF(M287="","",IF(ISTEXT(L287),L287,IF(AND(L275&gt;0,M287&gt;0),VLOOKUP(L275&amp;M287&amp;J286,'[1]grup-puch'!I$1:J$65536,2,FALSE),""))))</f>
        <v>M4933</v>
      </c>
      <c r="O287" s="199" t="str">
        <f>IF(N287&lt;&gt;"",CONCATENATE(VLOOKUP(N287,[1]zawodnicy!$A$1:$E$65536,2,FALSE)," ",VLOOKUP(N287,[1]zawodnicy!$A$1:$E$65536,3,FALSE)," - ",VLOOKUP(N287,[1]zawodnicy!$A$1:$E$65536,4,FALSE)),"")</f>
        <v>Kacper MAKAREWICZ - UKS Hubal Białystok</v>
      </c>
      <c r="P287" s="202"/>
      <c r="Q287" s="203" t="str">
        <f>IF(H286="",I286,H286)</f>
        <v>21:0,21:0</v>
      </c>
      <c r="R287" s="116"/>
      <c r="S287" s="116"/>
      <c r="T287" s="114"/>
      <c r="U287" s="101"/>
    </row>
    <row r="288" spans="1:21" ht="12.75" x14ac:dyDescent="0.2">
      <c r="A288" s="111">
        <f>Q288</f>
        <v>234</v>
      </c>
      <c r="B288" s="2" t="str">
        <f>F286</f>
        <v>M4933</v>
      </c>
      <c r="D288" s="2" t="str">
        <f>F290</f>
        <v>G5058</v>
      </c>
      <c r="F288" s="2" t="str">
        <f>IF(A288=0,IF(AND(LEN(B288)&gt;0,LEN(D288)=0),B288,IF(AND(LEN(D288)&gt;0,LEN(B288)=0),D288,"")),IF((VLOOKUP(A288,'[1]plan gier'!$X$1:$AF$65536,7,FALSE))="","",VLOOKUP(VLOOKUP(A288,'[1]plan gier'!$X$1:$AF$65536,7,FALSE),[1]zawodnicy!$A$1:$E$65536,1,FALSE)))</f>
        <v>G5058</v>
      </c>
      <c r="H288" s="2" t="str">
        <f>IF(A288=0,"",IF((VLOOKUP(A288,'[1]plan gier'!$X$1:$AF$65536,7,FALSE))="","",VLOOKUP(A288,'[1]plan gier'!$X$1:$AF$65536,9,FALSE)))</f>
        <v>21:16,21:4</v>
      </c>
      <c r="I288" s="2" t="str">
        <f>IF(A288=0,"",IF(VLOOKUP(A288,'[1]plan gier'!A$1:S$65536,19,FALSE)="","",VLOOKUP(A288,'[1]plan gier'!A$1:S$65536,19,FALSE)))</f>
        <v>sob 9:40</v>
      </c>
      <c r="J288" s="2" t="str">
        <f>L277</f>
        <v>pojedyncza chłopców MM</v>
      </c>
      <c r="L288" s="9"/>
      <c r="M288" s="193" t="str">
        <f>IF(K288="","",MAX(M278:M287)+1)</f>
        <v/>
      </c>
      <c r="N288" s="9"/>
      <c r="O288" s="9"/>
      <c r="P288" s="113"/>
      <c r="Q288" s="115">
        <v>234</v>
      </c>
      <c r="R288" s="205" t="str">
        <f>IF(F288="","",VLOOKUP(F288,[1]zawodnicy!$A$1:$D$65536,3,FALSE))</f>
        <v>GRZYB</v>
      </c>
      <c r="S288" s="116"/>
      <c r="T288" s="114"/>
      <c r="U288" s="101"/>
    </row>
    <row r="289" spans="1:21" ht="12.75" x14ac:dyDescent="0.2">
      <c r="L289" s="9"/>
      <c r="M289" s="193" t="str">
        <f>IF(K289="","",MAX(M278:M288)+1)</f>
        <v/>
      </c>
      <c r="N289" s="9"/>
      <c r="O289" s="9"/>
      <c r="P289" s="113"/>
      <c r="Q289" s="116"/>
      <c r="R289" s="114" t="str">
        <f>IF(H288="",I288,H288)</f>
        <v>21:16,21:4</v>
      </c>
      <c r="S289" s="116"/>
      <c r="T289" s="114"/>
      <c r="U289" s="101"/>
    </row>
    <row r="290" spans="1:21" ht="12.75" x14ac:dyDescent="0.2">
      <c r="A290" s="102">
        <f>P290</f>
        <v>181</v>
      </c>
      <c r="B290" s="2" t="str">
        <f>IF(N290="","",N290)</f>
        <v>P5351</v>
      </c>
      <c r="D290" s="2" t="str">
        <f>IF(N291="","",N291)</f>
        <v>G5058</v>
      </c>
      <c r="F290" s="2" t="str">
        <f>IF(A290=0,IF(AND(LEN(B290)&gt;0,LEN(D290)=0),VLOOKUP(B290,[1]zawodnicy!$A$1:$E$65536,1,FALSE),IF(AND(LEN(D290)&gt;0,LEN(B290)=0),VLOOKUP(D290,[1]zawodnicy!$A$1:$E$65536,1,FALSE),"")),IF((VLOOKUP(A290,'[1]plan gier'!$X$1:$AF$65536,7,FALSE))="","",VLOOKUP(VLOOKUP(A290,'[1]plan gier'!$X$1:$AF$65536,7,FALSE),[1]zawodnicy!$A$1:$E$65536,1,FALSE)))</f>
        <v>G5058</v>
      </c>
      <c r="H290" s="2" t="str">
        <f>IF(A290=0,"",IF((VLOOKUP(A290,'[1]plan gier'!$X$1:$AF$65536,7,FALSE))="","",VLOOKUP(A290,'[1]plan gier'!$X$1:$AF$65536,9,FALSE)))</f>
        <v>18:21,21:14,21:16</v>
      </c>
      <c r="I290" s="2" t="str">
        <f>IF(A290=0,"",IF(VLOOKUP(A290,'[1]plan gier'!A$1:S$65536,19,FALSE)="","",VLOOKUP(A290,'[1]plan gier'!A$1:S$65536,19,FALSE)))</f>
        <v>pt 20:20</v>
      </c>
      <c r="J290" s="2" t="str">
        <f>L277</f>
        <v>pojedyncza chłopców MM</v>
      </c>
      <c r="K290" s="95">
        <f>IF(L276&gt;32,7,"")</f>
        <v>7</v>
      </c>
      <c r="L290" s="189" t="s">
        <v>347</v>
      </c>
      <c r="M290" s="193">
        <f>IF(K290="","",MAX(M278:M289)+1)</f>
        <v>5</v>
      </c>
      <c r="N290" s="198" t="str">
        <f>UPPER(IF(M290="","",IF(ISTEXT(L290),L290,IF(AND(L275&gt;0,M290&gt;0),VLOOKUP(L275&amp;M290&amp;J290,'[1]grup-puch'!I$1:J$65536,2,FALSE),""))))</f>
        <v>P5351</v>
      </c>
      <c r="O290" s="199" t="str">
        <f>IF(N290&lt;&gt;"",CONCATENATE(VLOOKUP(N290,[1]zawodnicy!$A$1:$E$65536,2,FALSE)," ",VLOOKUP(N290,[1]zawodnicy!$A$1:$E$65536,3,FALSE)," - ",VLOOKUP(N290,[1]zawodnicy!$A$1:$E$65536,4,FALSE)),"")</f>
        <v>Norbert POŹDZIK - UKS Kiko Zamość</v>
      </c>
      <c r="P290" s="108">
        <v>181</v>
      </c>
      <c r="Q290" s="205" t="str">
        <f>IF(F290="","",VLOOKUP(F290,[1]zawodnicy!$A$1:$D$65536,3,FALSE))</f>
        <v>GRZYB</v>
      </c>
      <c r="R290" s="114"/>
      <c r="S290" s="116"/>
      <c r="T290" s="114"/>
      <c r="U290" s="101"/>
    </row>
    <row r="291" spans="1:21" ht="12.75" x14ac:dyDescent="0.2">
      <c r="K291" s="95">
        <f>IF(L276&gt;39,8,"")</f>
        <v>8</v>
      </c>
      <c r="L291" s="187" t="s">
        <v>356</v>
      </c>
      <c r="M291" s="193">
        <f>IF(K291="","",MAX(M278:M290)+1)</f>
        <v>6</v>
      </c>
      <c r="N291" s="198" t="str">
        <f>UPPER(IF(M291="","",IF(ISTEXT(L291),L291,IF(AND(L275&gt;0,M291&gt;0),VLOOKUP(L275&amp;M291&amp;J290,'[1]grup-puch'!I$1:J$65536,2,FALSE),""))))</f>
        <v>G5058</v>
      </c>
      <c r="O291" s="199" t="str">
        <f>IF(N291&lt;&gt;"",CONCATENATE(VLOOKUP(N291,[1]zawodnicy!$A$1:$E$65536,2,FALSE)," ",VLOOKUP(N291,[1]zawodnicy!$A$1:$E$65536,3,FALSE)," - ",VLOOKUP(N291,[1]zawodnicy!$A$1:$E$65536,4,FALSE)),"")</f>
        <v>Wiktor GRZYB - UKS Orbitek Straszęcin</v>
      </c>
      <c r="P291" s="202"/>
      <c r="Q291" s="114" t="str">
        <f>IF(H290="",I290,H290)</f>
        <v>18:21,21:14,21:16</v>
      </c>
      <c r="R291" s="114"/>
      <c r="S291" s="116"/>
      <c r="T291" s="114"/>
      <c r="U291" s="101"/>
    </row>
    <row r="292" spans="1:21" ht="12.75" x14ac:dyDescent="0.2">
      <c r="A292" s="172">
        <f>S292</f>
        <v>365</v>
      </c>
      <c r="B292" s="2" t="str">
        <f>F284</f>
        <v>M4565</v>
      </c>
      <c r="D292" s="2" t="str">
        <f>F300</f>
        <v>C4406</v>
      </c>
      <c r="F292" s="2" t="str">
        <f>IF(A292=0,IF(AND(LEN(B292)&gt;0,LEN(D292)=0),B292,IF(AND(LEN(D292)&gt;0,LEN(B292)=0),D292,"")),IF((VLOOKUP(A292,'[1]plan gier'!$X$1:$AF$65536,7,FALSE))="","",VLOOKUP(VLOOKUP(A292,'[1]plan gier'!$X$1:$AF$65536,7,FALSE),[1]zawodnicy!$A$1:$E$65536,1,FALSE)))</f>
        <v>M4565</v>
      </c>
      <c r="H292" s="2" t="str">
        <f>IF(A292=0,"",IF((VLOOKUP(A292,'[1]plan gier'!$X$1:$AF$65536,7,FALSE))="","",VLOOKUP(A292,'[1]plan gier'!$X$1:$AF$65536,9,FALSE)))</f>
        <v>21:12,21:5</v>
      </c>
      <c r="I292" s="2" t="str">
        <f>IF(A292=0,"",IF(VLOOKUP(A292,'[1]plan gier'!A$1:S$65536,19,FALSE)="","",VLOOKUP(A292,'[1]plan gier'!A$1:S$65536,19,FALSE)))</f>
        <v>sob 17:30</v>
      </c>
      <c r="J292" s="2" t="str">
        <f>L277</f>
        <v>pojedyncza chłopców MM</v>
      </c>
      <c r="L292" s="9"/>
      <c r="M292" s="193" t="str">
        <f>IF(K292="","",MAX(M278:M291)+1)</f>
        <v/>
      </c>
      <c r="N292" s="9"/>
      <c r="O292" s="9"/>
      <c r="P292" s="113"/>
      <c r="Q292" s="114"/>
      <c r="R292" s="114"/>
      <c r="S292" s="115">
        <v>365</v>
      </c>
      <c r="T292" s="200" t="str">
        <f>IF(F292="","",VLOOKUP(F292,[1]zawodnicy!$A$1:$D$65536,3,FALSE))</f>
        <v>MATUSZ</v>
      </c>
      <c r="U292" s="101"/>
    </row>
    <row r="293" spans="1:21" ht="12.75" x14ac:dyDescent="0.2">
      <c r="L293" s="9"/>
      <c r="M293" s="193" t="str">
        <f>IF(K293="","",MAX(M278:M292)+1)</f>
        <v/>
      </c>
      <c r="N293" s="9"/>
      <c r="O293" s="9"/>
      <c r="P293" s="113"/>
      <c r="Q293" s="114"/>
      <c r="R293" s="114"/>
      <c r="S293" s="116"/>
      <c r="T293" s="203" t="str">
        <f>IF(H292="",I292,H292)</f>
        <v>21:12,21:5</v>
      </c>
      <c r="U293" s="101"/>
    </row>
    <row r="294" spans="1:21" ht="12.75" x14ac:dyDescent="0.2">
      <c r="A294" s="102">
        <f>P294</f>
        <v>0</v>
      </c>
      <c r="B294" s="2" t="str">
        <f>IF(N294="","",N294)</f>
        <v>C4406</v>
      </c>
      <c r="D294" s="2" t="str">
        <f>IF(N295="","",N295)</f>
        <v/>
      </c>
      <c r="F294" s="2" t="str">
        <f>IF(A294=0,IF(AND(LEN(B294)&gt;0,LEN(D294)=0),VLOOKUP(B294,[1]zawodnicy!$A$1:$E$65536,1,FALSE),IF(AND(LEN(D294)&gt;0,LEN(B294)=0),VLOOKUP(D294,[1]zawodnicy!$A$1:$E$65536,1,FALSE),"")),IF((VLOOKUP(A294,'[1]plan gier'!$X$1:$AF$65536,7,FALSE))="","",VLOOKUP(VLOOKUP(A294,'[1]plan gier'!$X$1:$AF$65536,7,FALSE),[1]zawodnicy!$A$1:$E$65536,1,FALSE)))</f>
        <v>C4406</v>
      </c>
      <c r="H294" s="2" t="str">
        <f>IF(A294=0,"",IF((VLOOKUP(A294,'[1]plan gier'!$X$1:$AF$65536,7,FALSE))="","",VLOOKUP(A294,'[1]plan gier'!$X$1:$AF$65536,9,FALSE)))</f>
        <v/>
      </c>
      <c r="I294" s="2" t="str">
        <f>IF(A294=0,"",IF(VLOOKUP(A294,'[1]plan gier'!A$1:S$65536,19,FALSE)="","",VLOOKUP(A294,'[1]plan gier'!A$1:S$65536,19,FALSE)))</f>
        <v/>
      </c>
      <c r="J294" s="2" t="str">
        <f>L277</f>
        <v>pojedyncza chłopców MM</v>
      </c>
      <c r="K294" s="95">
        <f>IF(L276&gt;32,9,"")</f>
        <v>9</v>
      </c>
      <c r="L294" s="188" t="s">
        <v>330</v>
      </c>
      <c r="M294" s="193">
        <f>IF(K294="","",MAX(M278:M293)+1)</f>
        <v>7</v>
      </c>
      <c r="N294" s="198" t="str">
        <f>UPPER(IF(M294="","",IF(ISTEXT(L294),L294,IF(AND(L275&gt;0,M294&gt;0),VLOOKUP(L275&amp;M294&amp;J294,'[1]grup-puch'!I$1:J$65536,2,FALSE),""))))</f>
        <v>C4406</v>
      </c>
      <c r="O294" s="199" t="str">
        <f>IF(N294&lt;&gt;"",CONCATENATE(VLOOKUP(N294,[1]zawodnicy!$A$1:$E$65536,2,FALSE)," ",VLOOKUP(N294,[1]zawodnicy!$A$1:$E$65536,3,FALSE)," - ",VLOOKUP(N294,[1]zawodnicy!$A$1:$E$65536,4,FALSE)),"")</f>
        <v>Łukasz CIMOSZ - KS Chojnik Jelenia Góra</v>
      </c>
      <c r="P294" s="108"/>
      <c r="Q294" s="200" t="str">
        <f>IF(F294="","",VLOOKUP(F294,[1]zawodnicy!$A$1:$D$65536,3,FALSE))</f>
        <v>CIMOSZ</v>
      </c>
      <c r="R294" s="114"/>
      <c r="S294" s="116"/>
      <c r="T294" s="116"/>
      <c r="U294" s="101"/>
    </row>
    <row r="295" spans="1:21" ht="12.75" x14ac:dyDescent="0.2">
      <c r="K295" s="95" t="str">
        <f>IF(L276&gt;59,10,"")</f>
        <v/>
      </c>
      <c r="L295" s="198" t="str">
        <f>UPPER(IF(K295="","",IF(ISTEXT(J295),J295,IF(AND(J275&gt;0,K295&gt;0),VLOOKUP(J275&amp;K295&amp;H294,'[4]grup-puch'!G$1:H$65536,2,FALSE),""))))</f>
        <v/>
      </c>
      <c r="M295" s="193" t="str">
        <f>IF(K295="","",MAX(M278:M294)+1)</f>
        <v/>
      </c>
      <c r="N295" s="198" t="str">
        <f>UPPER(IF(M295="","",IF(ISTEXT(L295),L295,IF(AND(L275&gt;0,M295&gt;0),VLOOKUP(L275&amp;M295&amp;J294,'[1]grup-puch'!I$1:J$65536,2,FALSE),""))))</f>
        <v/>
      </c>
      <c r="O295" s="199" t="str">
        <f>IF(N295&lt;&gt;"",CONCATENATE(VLOOKUP(N295,[1]zawodnicy!$A$1:$E$65536,2,FALSE)," ",VLOOKUP(N295,[1]zawodnicy!$A$1:$E$65536,3,FALSE)," - ",VLOOKUP(N295,[1]zawodnicy!$A$1:$E$65536,4,FALSE)),"")</f>
        <v/>
      </c>
      <c r="P295" s="202"/>
      <c r="Q295" s="203" t="str">
        <f>IF(H294="",I294,H294)</f>
        <v/>
      </c>
      <c r="R295" s="114"/>
      <c r="S295" s="116"/>
      <c r="T295" s="116"/>
      <c r="U295" s="101"/>
    </row>
    <row r="296" spans="1:21" ht="12.75" x14ac:dyDescent="0.2">
      <c r="A296" s="111">
        <f>Q296</f>
        <v>235</v>
      </c>
      <c r="B296" s="2" t="str">
        <f>F294</f>
        <v>C4406</v>
      </c>
      <c r="D296" s="2" t="str">
        <f>F298</f>
        <v>Z5817</v>
      </c>
      <c r="F296" s="2" t="str">
        <f>IF(A296=0,IF(AND(LEN(B296)&gt;0,LEN(D296)=0),B296,IF(AND(LEN(D296)&gt;0,LEN(B296)=0),D296,"")),IF((VLOOKUP(A296,'[1]plan gier'!$X$1:$AF$65536,7,FALSE))="","",VLOOKUP(VLOOKUP(A296,'[1]plan gier'!$X$1:$AF$65536,7,FALSE),[1]zawodnicy!$A$1:$E$65536,1,FALSE)))</f>
        <v>C4406</v>
      </c>
      <c r="H296" s="2" t="str">
        <f>IF(A296=0,"",IF((VLOOKUP(A296,'[1]plan gier'!$X$1:$AF$65536,7,FALSE))="","",VLOOKUP(A296,'[1]plan gier'!$X$1:$AF$65536,9,FALSE)))</f>
        <v>21:0,21:0</v>
      </c>
      <c r="I296" s="2" t="str">
        <f>IF(A296=0,"",IF(VLOOKUP(A296,'[1]plan gier'!A$1:S$65536,19,FALSE)="","",VLOOKUP(A296,'[1]plan gier'!A$1:S$65536,19,FALSE)))</f>
        <v>sob 9:40</v>
      </c>
      <c r="J296" s="2" t="str">
        <f>L277</f>
        <v>pojedyncza chłopców MM</v>
      </c>
      <c r="L296" s="9"/>
      <c r="M296" s="193" t="str">
        <f>IF(K296="","",MAX(M278:M295)+1)</f>
        <v/>
      </c>
      <c r="N296" s="9"/>
      <c r="O296" s="9"/>
      <c r="P296" s="113"/>
      <c r="Q296" s="115">
        <v>235</v>
      </c>
      <c r="R296" s="200" t="str">
        <f>IF(F296="","",VLOOKUP(F296,[1]zawodnicy!$A$1:$D$65536,3,FALSE))</f>
        <v>CIMOSZ</v>
      </c>
      <c r="S296" s="116"/>
      <c r="T296" s="116"/>
      <c r="U296" s="101"/>
    </row>
    <row r="297" spans="1:21" ht="12.75" x14ac:dyDescent="0.2">
      <c r="L297" s="9"/>
      <c r="M297" s="193" t="str">
        <f>IF(K297="","",MAX(M278:M296)+1)</f>
        <v/>
      </c>
      <c r="N297" s="9"/>
      <c r="O297" s="9"/>
      <c r="P297" s="113"/>
      <c r="Q297" s="116"/>
      <c r="R297" s="203" t="str">
        <f>IF(H296="",I296,H296)</f>
        <v>21:0,21:0</v>
      </c>
      <c r="S297" s="116"/>
      <c r="T297" s="116"/>
      <c r="U297" s="101"/>
    </row>
    <row r="298" spans="1:21" ht="12.75" x14ac:dyDescent="0.2">
      <c r="A298" s="102">
        <f>P298</f>
        <v>0</v>
      </c>
      <c r="B298" s="2" t="str">
        <f>IF(N298="","",N298)</f>
        <v>Z5817</v>
      </c>
      <c r="D298" s="2" t="str">
        <f>IF(N299="","",N299)</f>
        <v/>
      </c>
      <c r="F298" s="2" t="str">
        <f>IF(A298=0,IF(AND(LEN(B298)&gt;0,LEN(D298)=0),VLOOKUP(B298,[1]zawodnicy!$A$1:$E$65536,1,FALSE),IF(AND(LEN(D298)&gt;0,LEN(B298)=0),VLOOKUP(D298,[1]zawodnicy!$A$1:$E$65536,1,FALSE),"")),IF((VLOOKUP(A298,'[1]plan gier'!$X$1:$AF$65536,7,FALSE))="","",VLOOKUP(VLOOKUP(A298,'[1]plan gier'!$X$1:$AF$65536,7,FALSE),[1]zawodnicy!$A$1:$E$65536,1,FALSE)))</f>
        <v>Z5817</v>
      </c>
      <c r="H298" s="2" t="str">
        <f>IF(A298=0,"",IF((VLOOKUP(A298,'[1]plan gier'!$X$1:$AF$65536,7,FALSE))="","",VLOOKUP(A298,'[1]plan gier'!$X$1:$AF$65536,9,FALSE)))</f>
        <v/>
      </c>
      <c r="I298" s="2" t="str">
        <f>IF(A298=0,"",IF(VLOOKUP(A298,'[1]plan gier'!A$1:S$65536,19,FALSE)="","",VLOOKUP(A298,'[1]plan gier'!A$1:S$65536,19,FALSE)))</f>
        <v/>
      </c>
      <c r="J298" s="2" t="str">
        <f>L277</f>
        <v>pojedyncza chłopców MM</v>
      </c>
      <c r="K298" s="95">
        <f>IF(L276&gt;32,11,"")</f>
        <v>11</v>
      </c>
      <c r="L298" s="187" t="s">
        <v>417</v>
      </c>
      <c r="M298" s="193">
        <f>IF(K298="","",MAX(M278:M297)+1)</f>
        <v>8</v>
      </c>
      <c r="N298" s="198" t="str">
        <f>UPPER(IF(M298="","",IF(ISTEXT(L298),L298,IF(AND(L275&gt;0,M298&gt;0),VLOOKUP(L275&amp;M298&amp;J298,'[1]grup-puch'!I$1:J$65536,2,FALSE),""))))</f>
        <v>Z5817</v>
      </c>
      <c r="O298" s="199" t="str">
        <f>IF(N298&lt;&gt;"",CONCATENATE(VLOOKUP(N298,[1]zawodnicy!$A$1:$E$65536,2,FALSE)," ",VLOOKUP(N298,[1]zawodnicy!$A$1:$E$65536,3,FALSE)," - ",VLOOKUP(N298,[1]zawodnicy!$A$1:$E$65536,4,FALSE)),"")</f>
        <v>Hubert ZANIEWSKI - UKSB Milenium Warszawa</v>
      </c>
      <c r="P298" s="108"/>
      <c r="Q298" s="205" t="str">
        <f>IF(F298="","",VLOOKUP(F298,[1]zawodnicy!$A$1:$D$65536,3,FALSE))</f>
        <v>ZANIEWSKI</v>
      </c>
      <c r="R298" s="116"/>
      <c r="S298" s="116"/>
      <c r="T298" s="116"/>
      <c r="U298" s="101"/>
    </row>
    <row r="299" spans="1:21" ht="12.75" x14ac:dyDescent="0.2">
      <c r="K299" s="95" t="str">
        <f>IF(L276&gt;51,12,"")</f>
        <v/>
      </c>
      <c r="L299" s="198" t="str">
        <f>UPPER(IF(K299="","",IF(ISTEXT(J299),J299,IF(AND(J275&gt;0,K299&gt;0),VLOOKUP(J275&amp;K299&amp;H298,'[4]grup-puch'!G$1:H$65536,2,FALSE),""))))</f>
        <v/>
      </c>
      <c r="M299" s="193" t="str">
        <f>IF(K299="","",MAX(M278:M298)+1)</f>
        <v/>
      </c>
      <c r="N299" s="198" t="str">
        <f>UPPER(IF(M299="","",IF(ISTEXT(L299),L299,IF(AND(L275&gt;0,M299&gt;0),VLOOKUP(L275&amp;M299&amp;J298,'[1]grup-puch'!I$1:J$65536,2,FALSE),""))))</f>
        <v/>
      </c>
      <c r="O299" s="199" t="str">
        <f>IF(N299&lt;&gt;"",CONCATENATE(VLOOKUP(N299,[1]zawodnicy!$A$1:$E$65536,2,FALSE)," ",VLOOKUP(N299,[1]zawodnicy!$A$1:$E$65536,3,FALSE)," - ",VLOOKUP(N299,[1]zawodnicy!$A$1:$E$65536,4,FALSE)),"")</f>
        <v/>
      </c>
      <c r="P299" s="202"/>
      <c r="Q299" s="114" t="str">
        <f>IF(H298="",I298,H298)</f>
        <v/>
      </c>
      <c r="R299" s="116"/>
      <c r="S299" s="116"/>
      <c r="T299" s="116"/>
      <c r="U299" s="101"/>
    </row>
    <row r="300" spans="1:21" ht="12.75" x14ac:dyDescent="0.2">
      <c r="A300" s="118">
        <f>R300</f>
        <v>310</v>
      </c>
      <c r="B300" s="2" t="str">
        <f>F296</f>
        <v>C4406</v>
      </c>
      <c r="D300" s="2" t="str">
        <f>F304</f>
        <v>R4145</v>
      </c>
      <c r="F300" s="2" t="str">
        <f>IF(A300=0,IF(AND(LEN(B300)&gt;0,LEN(D300)=0),B300,IF(AND(LEN(D300)&gt;0,LEN(B300)=0),D300,"")),IF((VLOOKUP(A300,'[1]plan gier'!$X$1:$AF$65536,7,FALSE))="","",VLOOKUP(VLOOKUP(A300,'[1]plan gier'!$X$1:$AF$65536,7,FALSE),[1]zawodnicy!$A$1:$E$65536,1,FALSE)))</f>
        <v>C4406</v>
      </c>
      <c r="H300" s="2" t="str">
        <f>IF(A300=0,"",IF((VLOOKUP(A300,'[1]plan gier'!$X$1:$AF$65536,7,FALSE))="","",VLOOKUP(A300,'[1]plan gier'!$X$1:$AF$65536,9,FALSE)))</f>
        <v>21:9,21:14</v>
      </c>
      <c r="I300" s="2" t="str">
        <f>IF(A300=0,"",IF(VLOOKUP(A300,'[1]plan gier'!A$1:S$65536,19,FALSE)="","",VLOOKUP(A300,'[1]plan gier'!A$1:S$65536,19,FALSE)))</f>
        <v>sob 14:20</v>
      </c>
      <c r="J300" s="2" t="str">
        <f>L277</f>
        <v>pojedyncza chłopców MM</v>
      </c>
      <c r="L300" s="9"/>
      <c r="M300" s="193" t="str">
        <f>IF(K300="","",MAX(M278:M299)+1)</f>
        <v/>
      </c>
      <c r="N300" s="9"/>
      <c r="O300" s="9"/>
      <c r="P300" s="113"/>
      <c r="Q300" s="114"/>
      <c r="R300" s="206">
        <v>310</v>
      </c>
      <c r="S300" s="205" t="str">
        <f>IF(F300="","",VLOOKUP(F300,[1]zawodnicy!$A$1:$D$65536,3,FALSE))</f>
        <v>CIMOSZ</v>
      </c>
      <c r="T300" s="116"/>
      <c r="U300" s="101"/>
    </row>
    <row r="301" spans="1:21" ht="12.75" x14ac:dyDescent="0.2">
      <c r="L301" s="9"/>
      <c r="M301" s="193" t="str">
        <f>IF(K301="","",MAX(M278:M300)+1)</f>
        <v/>
      </c>
      <c r="N301" s="9"/>
      <c r="O301" s="9"/>
      <c r="P301" s="113"/>
      <c r="Q301" s="114"/>
      <c r="R301" s="116"/>
      <c r="S301" s="114" t="str">
        <f>IF(H300="",I300,H300)</f>
        <v>21:9,21:14</v>
      </c>
      <c r="T301" s="116"/>
      <c r="U301" s="101"/>
    </row>
    <row r="302" spans="1:21" ht="12.75" x14ac:dyDescent="0.2">
      <c r="A302" s="102">
        <f>P302</f>
        <v>182</v>
      </c>
      <c r="B302" s="2" t="str">
        <f>IF(N302="","",N302)</f>
        <v>L4492</v>
      </c>
      <c r="D302" s="2" t="str">
        <f>IF(N303="","",N303)</f>
        <v>X26</v>
      </c>
      <c r="F302" s="2" t="str">
        <f>IF(A302=0,IF(AND(LEN(B302)&gt;0,LEN(D302)=0),VLOOKUP(B302,[1]zawodnicy!$A$1:$E$65536,1,FALSE),IF(AND(LEN(D302)&gt;0,LEN(B302)=0),VLOOKUP(D302,[1]zawodnicy!$A$1:$E$65536,1,FALSE),"")),IF((VLOOKUP(A302,'[1]plan gier'!$X$1:$AF$65536,7,FALSE))="","",VLOOKUP(VLOOKUP(A302,'[1]plan gier'!$X$1:$AF$65536,7,FALSE),[1]zawodnicy!$A$1:$E$65536,1,FALSE)))</f>
        <v>X26</v>
      </c>
      <c r="H302" s="2" t="str">
        <f>IF(A302=0,"",IF((VLOOKUP(A302,'[1]plan gier'!$X$1:$AF$65536,7,FALSE))="","",VLOOKUP(A302,'[1]plan gier'!$X$1:$AF$65536,9,FALSE)))</f>
        <v>15:21,21:17,21:18</v>
      </c>
      <c r="I302" s="2" t="str">
        <f>IF(A302=0,"",IF(VLOOKUP(A302,'[1]plan gier'!A$1:S$65536,19,FALSE)="","",VLOOKUP(A302,'[1]plan gier'!A$1:S$65536,19,FALSE)))</f>
        <v>pt 20:20</v>
      </c>
      <c r="J302" s="2" t="str">
        <f>L277</f>
        <v>pojedyncza chłopców MM</v>
      </c>
      <c r="K302" s="95">
        <f>IF(L276&gt;32,13,"")</f>
        <v>13</v>
      </c>
      <c r="L302" s="187" t="s">
        <v>363</v>
      </c>
      <c r="M302" s="193">
        <f>IF(K302="","",MAX(M278:M301)+1)</f>
        <v>9</v>
      </c>
      <c r="N302" s="198" t="str">
        <f>UPPER(IF(M302="","",IF(ISTEXT(L302),L302,IF(AND(L275&gt;0,M302&gt;0),VLOOKUP(L275&amp;M302&amp;J302,'[1]grup-puch'!I$1:J$65536,2,FALSE),""))))</f>
        <v>L4492</v>
      </c>
      <c r="O302" s="199" t="str">
        <f>IF(N302&lt;&gt;"",CONCATENATE(VLOOKUP(N302,[1]zawodnicy!$A$1:$E$65536,2,FALSE)," ",VLOOKUP(N302,[1]zawodnicy!$A$1:$E$65536,3,FALSE)," - ",VLOOKUP(N302,[1]zawodnicy!$A$1:$E$65536,4,FALSE)),"")</f>
        <v>Kacper LINKE - UTS Akro-Bad Warszawa</v>
      </c>
      <c r="P302" s="108">
        <v>182</v>
      </c>
      <c r="Q302" s="200" t="str">
        <f>IF(F302="","",VLOOKUP(F302,[1]zawodnicy!$A$1:$D$65536,3,FALSE))</f>
        <v>SENICHKYN</v>
      </c>
      <c r="R302" s="116"/>
      <c r="S302" s="114"/>
      <c r="T302" s="116"/>
      <c r="U302" s="101"/>
    </row>
    <row r="303" spans="1:21" ht="12.75" x14ac:dyDescent="0.2">
      <c r="K303" s="95">
        <f>IF(L276&gt;43,14,"")</f>
        <v>14</v>
      </c>
      <c r="L303" s="218" t="s">
        <v>340</v>
      </c>
      <c r="M303" s="193">
        <f>IF(K303="","",MAX(M278:M302)+1)</f>
        <v>10</v>
      </c>
      <c r="N303" s="198" t="str">
        <f>UPPER(IF(M303="","",IF(ISTEXT(L303),L303,IF(AND(L275&gt;0,M303&gt;0),VLOOKUP(L275&amp;M303&amp;J302,'[1]grup-puch'!I$1:J$65536,2,FALSE),""))))</f>
        <v>X26</v>
      </c>
      <c r="O303" s="199" t="str">
        <f>IF(N303&lt;&gt;"",CONCATENATE(VLOOKUP(N303,[1]zawodnicy!$A$1:$E$65536,2,FALSE)," ",VLOOKUP(N303,[1]zawodnicy!$A$1:$E$65536,3,FALSE)," - ",VLOOKUP(N303,[1]zawodnicy!$A$1:$E$65536,4,FALSE)),"")</f>
        <v>Igor SENICHKYN - Vinnica Ukraina</v>
      </c>
      <c r="P303" s="202"/>
      <c r="Q303" s="203" t="str">
        <f>IF(H302="",I302,H302)</f>
        <v>15:21,21:17,21:18</v>
      </c>
      <c r="R303" s="116"/>
      <c r="S303" s="114"/>
      <c r="T303" s="116"/>
      <c r="U303" s="101"/>
    </row>
    <row r="304" spans="1:21" ht="12.75" x14ac:dyDescent="0.2">
      <c r="A304" s="111">
        <f>Q304</f>
        <v>236</v>
      </c>
      <c r="B304" s="2" t="str">
        <f>F302</f>
        <v>X26</v>
      </c>
      <c r="D304" s="2" t="str">
        <f>F306</f>
        <v>R4145</v>
      </c>
      <c r="F304" s="2" t="str">
        <f>IF(A304=0,IF(AND(LEN(B304)&gt;0,LEN(D304)=0),B304,IF(AND(LEN(D304)&gt;0,LEN(B304)=0),D304,"")),IF((VLOOKUP(A304,'[1]plan gier'!$X$1:$AF$65536,7,FALSE))="","",VLOOKUP(VLOOKUP(A304,'[1]plan gier'!$X$1:$AF$65536,7,FALSE),[1]zawodnicy!$A$1:$E$65536,1,FALSE)))</f>
        <v>R4145</v>
      </c>
      <c r="H304" s="2" t="str">
        <f>IF(A304=0,"",IF((VLOOKUP(A304,'[1]plan gier'!$X$1:$AF$65536,7,FALSE))="","",VLOOKUP(A304,'[1]plan gier'!$X$1:$AF$65536,9,FALSE)))</f>
        <v>14:21,21:19,21:18</v>
      </c>
      <c r="I304" s="2" t="str">
        <f>IF(A304=0,"",IF(VLOOKUP(A304,'[1]plan gier'!A$1:S$65536,19,FALSE)="","",VLOOKUP(A304,'[1]plan gier'!A$1:S$65536,19,FALSE)))</f>
        <v>sob 9:40</v>
      </c>
      <c r="J304" s="2" t="str">
        <f>L277</f>
        <v>pojedyncza chłopców MM</v>
      </c>
      <c r="L304" s="9"/>
      <c r="M304" s="193" t="str">
        <f>IF(K304="","",MAX(M278:M303)+1)</f>
        <v/>
      </c>
      <c r="N304" s="9"/>
      <c r="O304" s="9"/>
      <c r="P304" s="113"/>
      <c r="Q304" s="115">
        <v>236</v>
      </c>
      <c r="R304" s="205" t="str">
        <f>IF(F304="","",VLOOKUP(F304,[1]zawodnicy!$A$1:$D$65536,3,FALSE))</f>
        <v>RECKI</v>
      </c>
      <c r="S304" s="114"/>
      <c r="T304" s="116"/>
      <c r="U304" s="101"/>
    </row>
    <row r="305" spans="1:21" ht="12.75" x14ac:dyDescent="0.2">
      <c r="L305" s="9"/>
      <c r="M305" s="193" t="str">
        <f>IF(K305="","",MAX(M278:M304)+1)</f>
        <v/>
      </c>
      <c r="N305" s="9"/>
      <c r="O305" s="9"/>
      <c r="P305" s="113"/>
      <c r="Q305" s="116"/>
      <c r="R305" s="114" t="str">
        <f>IF(H304="",I304,H304)</f>
        <v>14:21,21:19,21:18</v>
      </c>
      <c r="S305" s="114"/>
      <c r="T305" s="116"/>
      <c r="U305" s="101"/>
    </row>
    <row r="306" spans="1:21" ht="12.75" x14ac:dyDescent="0.2">
      <c r="A306" s="102">
        <f>P306</f>
        <v>183</v>
      </c>
      <c r="B306" s="2" t="str">
        <f>IF(N306="","",N306)</f>
        <v>R4145</v>
      </c>
      <c r="D306" s="2" t="str">
        <f>IF(N307="","",N307)</f>
        <v>N5737</v>
      </c>
      <c r="F306" s="2" t="str">
        <f>IF(A306=0,IF(AND(LEN(B306)&gt;0,LEN(D306)=0),VLOOKUP(B306,[1]zawodnicy!$A$1:$E$65536,1,FALSE),IF(AND(LEN(D306)&gt;0,LEN(B306)=0),VLOOKUP(D306,[1]zawodnicy!$A$1:$E$65536,1,FALSE),"")),IF((VLOOKUP(A306,'[1]plan gier'!$X$1:$AF$65536,7,FALSE))="","",VLOOKUP(VLOOKUP(A306,'[1]plan gier'!$X$1:$AF$65536,7,FALSE),[1]zawodnicy!$A$1:$E$65536,1,FALSE)))</f>
        <v>R4145</v>
      </c>
      <c r="H306" s="2" t="str">
        <f>IF(A306=0,"",IF((VLOOKUP(A306,'[1]plan gier'!$X$1:$AF$65536,7,FALSE))="","",VLOOKUP(A306,'[1]plan gier'!$X$1:$AF$65536,9,FALSE)))</f>
        <v>21:15,21:11</v>
      </c>
      <c r="I306" s="2" t="str">
        <f>IF(A306=0,"",IF(VLOOKUP(A306,'[1]plan gier'!A$1:S$65536,19,FALSE)="","",VLOOKUP(A306,'[1]plan gier'!A$1:S$65536,19,FALSE)))</f>
        <v>pt 20:20</v>
      </c>
      <c r="J306" s="2" t="str">
        <f>L277</f>
        <v>pojedyncza chłopców MM</v>
      </c>
      <c r="K306" s="95">
        <f>IF(L276&gt;32,15,"")</f>
        <v>15</v>
      </c>
      <c r="L306" s="218" t="s">
        <v>377</v>
      </c>
      <c r="M306" s="193">
        <f>IF(K306="","",MAX(M278:M305)+1)</f>
        <v>11</v>
      </c>
      <c r="N306" s="198" t="str">
        <f>UPPER(IF(M306="","",IF(ISTEXT(L306),L306,IF(AND(L275&gt;0,M306&gt;0),VLOOKUP(L275&amp;M306&amp;J306,'[1]grup-puch'!I$1:J$65536,2,FALSE),""))))</f>
        <v>R4145</v>
      </c>
      <c r="O306" s="199" t="str">
        <f>IF(N306&lt;&gt;"",CONCATENATE(VLOOKUP(N306,[1]zawodnicy!$A$1:$E$65536,2,FALSE)," ",VLOOKUP(N306,[1]zawodnicy!$A$1:$E$65536,3,FALSE)," - ",VLOOKUP(N306,[1]zawodnicy!$A$1:$E$65536,4,FALSE)),"")</f>
        <v>Michał RECKI - UKS Lotka Lubiewo</v>
      </c>
      <c r="P306" s="108">
        <v>183</v>
      </c>
      <c r="Q306" s="205" t="str">
        <f>IF(F306="","",VLOOKUP(F306,[1]zawodnicy!$A$1:$D$65536,3,FALSE))</f>
        <v>RECKI</v>
      </c>
      <c r="R306" s="114"/>
      <c r="S306" s="114"/>
      <c r="T306" s="208"/>
      <c r="U306" s="101"/>
    </row>
    <row r="307" spans="1:21" ht="12.75" x14ac:dyDescent="0.2">
      <c r="K307" s="95">
        <f>IF(L276&gt;35,16,"")</f>
        <v>16</v>
      </c>
      <c r="L307" s="188" t="s">
        <v>418</v>
      </c>
      <c r="M307" s="193">
        <f>IF(K307="","",MAX(M278:M306)+1)</f>
        <v>12</v>
      </c>
      <c r="N307" s="198" t="str">
        <f>UPPER(IF(M307="","",IF(ISTEXT(L307),L307,IF(AND(L275&gt;0,M307&gt;0),VLOOKUP(L275&amp;M307&amp;J306,'[1]grup-puch'!I$1:J$65536,2,FALSE),""))))</f>
        <v>N5737</v>
      </c>
      <c r="O307" s="199" t="str">
        <f>IF(N307&lt;&gt;"",CONCATENATE(VLOOKUP(N307,[1]zawodnicy!$A$1:$E$65536,2,FALSE)," ",VLOOKUP(N307,[1]zawodnicy!$A$1:$E$65536,3,FALSE)," - ",VLOOKUP(N307,[1]zawodnicy!$A$1:$E$65536,4,FALSE)),"")</f>
        <v>Jakub NAWROCKI - MKS Spartakus Niepołomice</v>
      </c>
      <c r="P307" s="202"/>
      <c r="Q307" s="114" t="str">
        <f>IF(H306="",I306,H306)</f>
        <v>21:15,21:11</v>
      </c>
      <c r="R307" s="114"/>
      <c r="S307" s="114"/>
      <c r="T307" s="116"/>
      <c r="U307" s="101"/>
    </row>
    <row r="308" spans="1:21" ht="12.75" x14ac:dyDescent="0.2">
      <c r="A308" s="196">
        <f>T308</f>
        <v>408</v>
      </c>
      <c r="B308" s="2" t="str">
        <f>F292</f>
        <v>M4565</v>
      </c>
      <c r="D308" s="2" t="str">
        <f>F324</f>
        <v>P5025</v>
      </c>
      <c r="F308" s="2" t="str">
        <f>IF(A308=0,IF(AND(LEN(B308)&gt;0,LEN(D308)=0),B308,IF(AND(LEN(D308)&gt;0,LEN(B308)=0),D308,"")),IF((VLOOKUP(A308,'[1]plan gier'!$X$1:$AF$65536,7,FALSE))="","",VLOOKUP(VLOOKUP(A308,'[1]plan gier'!$X$1:$AF$65536,7,FALSE),[1]zawodnicy!$A$1:$E$65536,1,FALSE)))</f>
        <v>M4565</v>
      </c>
      <c r="H308" s="2" t="str">
        <f>IF(A308=0,"",IF((VLOOKUP(A308,'[1]plan gier'!$X$1:$AF$65536,7,FALSE))="","",VLOOKUP(A308,'[1]plan gier'!$X$1:$AF$65536,9,FALSE)))</f>
        <v>10:21,21:14,21:10</v>
      </c>
      <c r="I308" s="2" t="str">
        <f>IF(A308=0,"",IF(VLOOKUP(A308,'[1]plan gier'!A$1:S$65536,19,FALSE)="","",VLOOKUP(A308,'[1]plan gier'!A$1:S$65536,19,FALSE)))</f>
        <v>sob 20:15</v>
      </c>
      <c r="J308" s="2" t="str">
        <f>L277</f>
        <v>pojedyncza chłopców MM</v>
      </c>
      <c r="L308" s="9"/>
      <c r="M308" s="193" t="str">
        <f>IF(K308="","",MAX(M278:M307)+1)</f>
        <v/>
      </c>
      <c r="N308" s="9"/>
      <c r="O308" s="9"/>
      <c r="P308" s="113"/>
      <c r="Q308" s="114"/>
      <c r="R308" s="114"/>
      <c r="T308" s="115">
        <v>408</v>
      </c>
      <c r="U308" s="200" t="str">
        <f>IF(F308="","",VLOOKUP(F308,[1]zawodnicy!$A$1:$D$65536,3,FALSE))</f>
        <v>MATUSZ</v>
      </c>
    </row>
    <row r="309" spans="1:21" ht="12.75" x14ac:dyDescent="0.2">
      <c r="L309" s="9"/>
      <c r="M309" s="193" t="str">
        <f>IF(K309="","",MAX(M278:M308)+1)</f>
        <v/>
      </c>
      <c r="N309" s="9"/>
      <c r="O309" s="9"/>
      <c r="P309" s="113"/>
      <c r="Q309" s="114"/>
      <c r="R309" s="114"/>
      <c r="T309" s="116"/>
      <c r="U309" s="203" t="str">
        <f>IF(H308="",I308,H308)</f>
        <v>10:21,21:14,21:10</v>
      </c>
    </row>
    <row r="310" spans="1:21" ht="12.75" x14ac:dyDescent="0.2">
      <c r="A310" s="102">
        <f>P310</f>
        <v>0</v>
      </c>
      <c r="B310" s="2" t="str">
        <f>IF(N310="","",N310)</f>
        <v>P5025</v>
      </c>
      <c r="D310" s="2" t="str">
        <f>IF(N311="","",N311)</f>
        <v/>
      </c>
      <c r="F310" s="2" t="str">
        <f>IF(A310=0,IF(AND(LEN(B310)&gt;0,LEN(D310)=0),VLOOKUP(B310,[1]zawodnicy!$A$1:$E$65536,1,FALSE),IF(AND(LEN(D310)&gt;0,LEN(B310)=0),VLOOKUP(D310,[1]zawodnicy!$A$1:$E$65536,1,FALSE),"")),IF((VLOOKUP(A310,'[1]plan gier'!$X$1:$AF$65536,7,FALSE))="","",VLOOKUP(VLOOKUP(A310,'[1]plan gier'!$X$1:$AF$65536,7,FALSE),[1]zawodnicy!$A$1:$E$65536,1,FALSE)))</f>
        <v>P5025</v>
      </c>
      <c r="H310" s="2" t="str">
        <f>IF(A310=0,"",IF((VLOOKUP(A310,'[1]plan gier'!$X$1:$AF$65536,7,FALSE))="","",VLOOKUP(A310,'[1]plan gier'!$X$1:$AF$65536,9,FALSE)))</f>
        <v/>
      </c>
      <c r="I310" s="2" t="str">
        <f>IF(A310=0,"",IF(VLOOKUP(A310,'[1]plan gier'!A$1:S$65536,19,FALSE)="","",VLOOKUP(A310,'[1]plan gier'!A$1:S$65536,19,FALSE)))</f>
        <v/>
      </c>
      <c r="J310" s="2" t="str">
        <f>L277</f>
        <v>pojedyncza chłopców MM</v>
      </c>
      <c r="K310" s="95">
        <f>IF(L276&gt;32,17,"")</f>
        <v>17</v>
      </c>
      <c r="L310" s="189" t="s">
        <v>367</v>
      </c>
      <c r="M310" s="193">
        <f>IF(K310="","",MAX(M278:M309)+1)</f>
        <v>13</v>
      </c>
      <c r="N310" s="198" t="str">
        <f>UPPER(IF(M310="","",IF(ISTEXT(L310),L310,IF(AND(L275&gt;0,M310&gt;0),VLOOKUP(L275&amp;M310&amp;J310,'[1]grup-puch'!I$1:J$65536,2,FALSE),""))))</f>
        <v>P5025</v>
      </c>
      <c r="O310" s="199" t="str">
        <f>IF(N310&lt;&gt;"",CONCATENATE(VLOOKUP(N310,[1]zawodnicy!$A$1:$E$65536,2,FALSE)," ",VLOOKUP(N310,[1]zawodnicy!$A$1:$E$65536,3,FALSE)," - ",VLOOKUP(N310,[1]zawodnicy!$A$1:$E$65536,4,FALSE)),"")</f>
        <v>Jakub PLASZCZYK - MKS Strzelce Opolskie</v>
      </c>
      <c r="P310" s="108"/>
      <c r="Q310" s="200" t="str">
        <f>IF(F310="","",VLOOKUP(F310,[1]zawodnicy!$A$1:$D$65536,3,FALSE))</f>
        <v>PLASZCZYK</v>
      </c>
      <c r="R310" s="114"/>
      <c r="S310" s="114"/>
      <c r="T310" s="116"/>
      <c r="U310" s="116"/>
    </row>
    <row r="311" spans="1:21" ht="12.75" x14ac:dyDescent="0.2">
      <c r="K311" s="95" t="str">
        <f>IF(L276&gt;61,18,"")</f>
        <v/>
      </c>
      <c r="L311" s="198" t="str">
        <f>UPPER(IF(K311="","",IF(ISTEXT(J311),J311,IF(AND(J275&gt;0,K311&gt;0),VLOOKUP(J275&amp;K311&amp;H310,'[4]grup-puch'!G$1:H$65536,2,FALSE),""))))</f>
        <v/>
      </c>
      <c r="M311" s="193" t="str">
        <f>IF(K311="","",MAX(M278:M310)+1)</f>
        <v/>
      </c>
      <c r="N311" s="198" t="str">
        <f>UPPER(IF(M311="","",IF(ISTEXT(L311),L311,IF(AND(L275&gt;0,M311&gt;0),VLOOKUP(L275&amp;M311&amp;J310,'[1]grup-puch'!I$1:J$65536,2,FALSE),""))))</f>
        <v/>
      </c>
      <c r="O311" s="199" t="str">
        <f>IF(N311&lt;&gt;"",CONCATENATE(VLOOKUP(N311,[1]zawodnicy!$A$1:$E$65536,2,FALSE)," ",VLOOKUP(N311,[1]zawodnicy!$A$1:$E$65536,3,FALSE)," - ",VLOOKUP(N311,[1]zawodnicy!$A$1:$E$65536,4,FALSE)),"")</f>
        <v/>
      </c>
      <c r="P311" s="202"/>
      <c r="Q311" s="203" t="str">
        <f>IF(H310="",I310,H310)</f>
        <v/>
      </c>
      <c r="R311" s="114"/>
      <c r="S311" s="114"/>
      <c r="T311" s="116"/>
      <c r="U311" s="116"/>
    </row>
    <row r="312" spans="1:21" ht="12.75" x14ac:dyDescent="0.2">
      <c r="A312" s="111">
        <f>Q312</f>
        <v>237</v>
      </c>
      <c r="B312" s="2" t="str">
        <f>F310</f>
        <v>P5025</v>
      </c>
      <c r="D312" s="2" t="str">
        <f>F314</f>
        <v>K4981</v>
      </c>
      <c r="F312" s="2" t="str">
        <f>IF(A312=0,IF(AND(LEN(B312)&gt;0,LEN(D312)=0),B312,IF(AND(LEN(D312)&gt;0,LEN(B312)=0),D312,"")),IF((VLOOKUP(A312,'[1]plan gier'!$X$1:$AF$65536,7,FALSE))="","",VLOOKUP(VLOOKUP(A312,'[1]plan gier'!$X$1:$AF$65536,7,FALSE),[1]zawodnicy!$A$1:$E$65536,1,FALSE)))</f>
        <v>P5025</v>
      </c>
      <c r="H312" s="2" t="str">
        <f>IF(A312=0,"",IF((VLOOKUP(A312,'[1]plan gier'!$X$1:$AF$65536,7,FALSE))="","",VLOOKUP(A312,'[1]plan gier'!$X$1:$AF$65536,9,FALSE)))</f>
        <v>21:14,21:14</v>
      </c>
      <c r="I312" s="2" t="str">
        <f>IF(A312=0,"",IF(VLOOKUP(A312,'[1]plan gier'!A$1:S$65536,19,FALSE)="","",VLOOKUP(A312,'[1]plan gier'!A$1:S$65536,19,FALSE)))</f>
        <v>sob 10:00</v>
      </c>
      <c r="J312" s="2" t="str">
        <f>L277</f>
        <v>pojedyncza chłopców MM</v>
      </c>
      <c r="L312" s="9"/>
      <c r="M312" s="193" t="str">
        <f>IF(K312="","",MAX(M278:M311)+1)</f>
        <v/>
      </c>
      <c r="N312" s="9"/>
      <c r="O312" s="9"/>
      <c r="P312" s="113"/>
      <c r="Q312" s="115">
        <v>237</v>
      </c>
      <c r="R312" s="200" t="str">
        <f>IF(F312="","",VLOOKUP(F312,[1]zawodnicy!$A$1:$D$65536,3,FALSE))</f>
        <v>PLASZCZYK</v>
      </c>
      <c r="S312" s="114"/>
      <c r="T312" s="116"/>
      <c r="U312" s="116"/>
    </row>
    <row r="313" spans="1:21" ht="12.75" x14ac:dyDescent="0.2">
      <c r="L313" s="9"/>
      <c r="M313" s="193" t="str">
        <f>IF(K313="","",MAX(M278:M312)+1)</f>
        <v/>
      </c>
      <c r="N313" s="9"/>
      <c r="O313" s="9"/>
      <c r="P313" s="113"/>
      <c r="Q313" s="116"/>
      <c r="R313" s="203" t="str">
        <f>IF(H312="",I312,H312)</f>
        <v>21:14,21:14</v>
      </c>
      <c r="S313" s="114"/>
      <c r="T313" s="116"/>
      <c r="U313" s="116"/>
    </row>
    <row r="314" spans="1:21" ht="12.75" x14ac:dyDescent="0.2">
      <c r="A314" s="102">
        <f>P314</f>
        <v>0</v>
      </c>
      <c r="B314" s="2" t="str">
        <f>IF(N314="","",N314)</f>
        <v>K4981</v>
      </c>
      <c r="D314" s="2" t="str">
        <f>IF(N315="","",N315)</f>
        <v/>
      </c>
      <c r="F314" s="2" t="str">
        <f>IF(A314=0,IF(AND(LEN(B314)&gt;0,LEN(D314)=0),VLOOKUP(B314,[1]zawodnicy!$A$1:$E$65536,1,FALSE),IF(AND(LEN(D314)&gt;0,LEN(B314)=0),VLOOKUP(D314,[1]zawodnicy!$A$1:$E$65536,1,FALSE),"")),IF((VLOOKUP(A314,'[1]plan gier'!$X$1:$AF$65536,7,FALSE))="","",VLOOKUP(VLOOKUP(A314,'[1]plan gier'!$X$1:$AF$65536,7,FALSE),[1]zawodnicy!$A$1:$E$65536,1,FALSE)))</f>
        <v>K4981</v>
      </c>
      <c r="H314" s="2" t="str">
        <f>IF(A314=0,"",IF((VLOOKUP(A314,'[1]plan gier'!$X$1:$AF$65536,7,FALSE))="","",VLOOKUP(A314,'[1]plan gier'!$X$1:$AF$65536,9,FALSE)))</f>
        <v/>
      </c>
      <c r="I314" s="2" t="str">
        <f>IF(A314=0,"",IF(VLOOKUP(A314,'[1]plan gier'!A$1:S$65536,19,FALSE)="","",VLOOKUP(A314,'[1]plan gier'!A$1:S$65536,19,FALSE)))</f>
        <v/>
      </c>
      <c r="J314" s="2" t="str">
        <f>L277</f>
        <v>pojedyncza chłopców MM</v>
      </c>
      <c r="K314" s="95">
        <f>IF(L276&gt;32,19,"")</f>
        <v>19</v>
      </c>
      <c r="L314" s="187" t="s">
        <v>357</v>
      </c>
      <c r="M314" s="193">
        <f>IF(K314="","",MAX(M278:M313)+1)</f>
        <v>14</v>
      </c>
      <c r="N314" s="198" t="str">
        <f>UPPER(IF(M314="","",IF(ISTEXT(L314),L314,IF(AND(L275&gt;0,M314&gt;0),VLOOKUP(L275&amp;M314&amp;J314,'[1]grup-puch'!I$1:J$65536,2,FALSE),""))))</f>
        <v>K4981</v>
      </c>
      <c r="O314" s="199" t="str">
        <f>IF(N314&lt;&gt;"",CONCATENATE(VLOOKUP(N314,[1]zawodnicy!$A$1:$E$65536,2,FALSE)," ",VLOOKUP(N314,[1]zawodnicy!$A$1:$E$65536,3,FALSE)," - ",VLOOKUP(N314,[1]zawodnicy!$A$1:$E$65536,4,FALSE)),"")</f>
        <v>Michał KOSZTYŁO - UKS Orbitek Straszęcin</v>
      </c>
      <c r="P314" s="108"/>
      <c r="Q314" s="205" t="str">
        <f>IF(F314="","",VLOOKUP(F314,[1]zawodnicy!$A$1:$D$65536,3,FALSE))</f>
        <v>KOSZTYŁO</v>
      </c>
      <c r="R314" s="116"/>
      <c r="S314" s="114"/>
      <c r="T314" s="116"/>
      <c r="U314" s="116"/>
    </row>
    <row r="315" spans="1:21" ht="12.75" x14ac:dyDescent="0.2">
      <c r="K315" s="95" t="str">
        <f>IF(L276&gt;53,20,"")</f>
        <v/>
      </c>
      <c r="L315" s="198" t="str">
        <f>UPPER(IF(K315="","",IF(ISTEXT(J315),J315,IF(AND(J275&gt;0,K315&gt;0),VLOOKUP(J275&amp;K315&amp;H314,'[4]grup-puch'!G$1:H$65536,2,FALSE),""))))</f>
        <v/>
      </c>
      <c r="M315" s="193" t="str">
        <f>IF(K315="","",MAX(M278:M314)+1)</f>
        <v/>
      </c>
      <c r="N315" s="198" t="str">
        <f>UPPER(IF(M315="","",IF(ISTEXT(L315),L315,IF(AND(L275&gt;0,M315&gt;0),VLOOKUP(L275&amp;M315&amp;J314,'[1]grup-puch'!I$1:J$65536,2,FALSE),""))))</f>
        <v/>
      </c>
      <c r="O315" s="199" t="str">
        <f>IF(N315&lt;&gt;"",CONCATENATE(VLOOKUP(N315,[1]zawodnicy!$A$1:$E$65536,2,FALSE)," ",VLOOKUP(N315,[1]zawodnicy!$A$1:$E$65536,3,FALSE)," - ",VLOOKUP(N315,[1]zawodnicy!$A$1:$E$65536,4,FALSE)),"")</f>
        <v/>
      </c>
      <c r="P315" s="202"/>
      <c r="Q315" s="114" t="str">
        <f>IF(H314="",I314,H314)</f>
        <v/>
      </c>
      <c r="R315" s="116"/>
      <c r="S315" s="114"/>
      <c r="T315" s="116"/>
      <c r="U315" s="116"/>
    </row>
    <row r="316" spans="1:21" ht="12.75" x14ac:dyDescent="0.2">
      <c r="A316" s="118">
        <f>R316</f>
        <v>311</v>
      </c>
      <c r="B316" s="2" t="str">
        <f>F312</f>
        <v>P5025</v>
      </c>
      <c r="D316" s="2" t="str">
        <f>F320</f>
        <v>B5059</v>
      </c>
      <c r="F316" s="2" t="str">
        <f>IF(A316=0,IF(AND(LEN(B316)&gt;0,LEN(D316)=0),B316,IF(AND(LEN(D316)&gt;0,LEN(B316)=0),D316,"")),IF((VLOOKUP(A316,'[1]plan gier'!$X$1:$AF$65536,7,FALSE))="","",VLOOKUP(VLOOKUP(A316,'[1]plan gier'!$X$1:$AF$65536,7,FALSE),[1]zawodnicy!$A$1:$E$65536,1,FALSE)))</f>
        <v>P5025</v>
      </c>
      <c r="H316" s="2" t="str">
        <f>IF(A316=0,"",IF((VLOOKUP(A316,'[1]plan gier'!$X$1:$AF$65536,7,FALSE))="","",VLOOKUP(A316,'[1]plan gier'!$X$1:$AF$65536,9,FALSE)))</f>
        <v>21:8,21:17</v>
      </c>
      <c r="I316" s="2" t="str">
        <f>IF(A316=0,"",IF(VLOOKUP(A316,'[1]plan gier'!A$1:S$65536,19,FALSE)="","",VLOOKUP(A316,'[1]plan gier'!A$1:S$65536,19,FALSE)))</f>
        <v>sob 14:20</v>
      </c>
      <c r="J316" s="2" t="str">
        <f>L277</f>
        <v>pojedyncza chłopców MM</v>
      </c>
      <c r="L316" s="9"/>
      <c r="M316" s="193" t="str">
        <f>IF(K316="","",MAX(M278:M315)+1)</f>
        <v/>
      </c>
      <c r="N316" s="9"/>
      <c r="O316" s="9"/>
      <c r="P316" s="113"/>
      <c r="Q316" s="114"/>
      <c r="R316" s="206">
        <v>311</v>
      </c>
      <c r="S316" s="200" t="str">
        <f>IF(F316="","",VLOOKUP(F316,[1]zawodnicy!$A$1:$D$65536,3,FALSE))</f>
        <v>PLASZCZYK</v>
      </c>
      <c r="T316" s="116"/>
      <c r="U316" s="116"/>
    </row>
    <row r="317" spans="1:21" ht="12.75" x14ac:dyDescent="0.2">
      <c r="L317" s="9"/>
      <c r="M317" s="193" t="str">
        <f>IF(K317="","",MAX(M278:M316)+1)</f>
        <v/>
      </c>
      <c r="N317" s="9"/>
      <c r="O317" s="9"/>
      <c r="P317" s="113"/>
      <c r="Q317" s="114"/>
      <c r="R317" s="116"/>
      <c r="S317" s="203" t="str">
        <f>IF(H316="",I316,H316)</f>
        <v>21:8,21:17</v>
      </c>
      <c r="T317" s="116"/>
      <c r="U317" s="116"/>
    </row>
    <row r="318" spans="1:21" ht="12.75" x14ac:dyDescent="0.2">
      <c r="A318" s="102">
        <f>P318</f>
        <v>184</v>
      </c>
      <c r="B318" s="2" t="str">
        <f>IF(N318="","",N318)</f>
        <v>K4239</v>
      </c>
      <c r="D318" s="2" t="str">
        <f>IF(N319="","",N319)</f>
        <v>B5059</v>
      </c>
      <c r="F318" s="2" t="str">
        <f>IF(A318=0,IF(AND(LEN(B318)&gt;0,LEN(D318)=0),VLOOKUP(B318,[1]zawodnicy!$A$1:$E$65536,1,FALSE),IF(AND(LEN(D318)&gt;0,LEN(B318)=0),VLOOKUP(D318,[1]zawodnicy!$A$1:$E$65536,1,FALSE),"")),IF((VLOOKUP(A318,'[1]plan gier'!$X$1:$AF$65536,7,FALSE))="","",VLOOKUP(VLOOKUP(A318,'[1]plan gier'!$X$1:$AF$65536,7,FALSE),[1]zawodnicy!$A$1:$E$65536,1,FALSE)))</f>
        <v>B5059</v>
      </c>
      <c r="H318" s="2" t="str">
        <f>IF(A318=0,"",IF((VLOOKUP(A318,'[1]plan gier'!$X$1:$AF$65536,7,FALSE))="","",VLOOKUP(A318,'[1]plan gier'!$X$1:$AF$65536,9,FALSE)))</f>
        <v>21:12,21:9</v>
      </c>
      <c r="I318" s="2" t="str">
        <f>IF(A318=0,"",IF(VLOOKUP(A318,'[1]plan gier'!A$1:S$65536,19,FALSE)="","",VLOOKUP(A318,'[1]plan gier'!A$1:S$65536,19,FALSE)))</f>
        <v>pt 20:20</v>
      </c>
      <c r="J318" s="2" t="str">
        <f>L277</f>
        <v>pojedyncza chłopców MM</v>
      </c>
      <c r="K318" s="95">
        <f>IF(L276&gt;32,21,"")</f>
        <v>21</v>
      </c>
      <c r="L318" s="190" t="s">
        <v>344</v>
      </c>
      <c r="M318" s="193">
        <f>IF(K318="","",MAX(M278:M317)+1)</f>
        <v>15</v>
      </c>
      <c r="N318" s="198" t="str">
        <f>UPPER(IF(M318="","",IF(ISTEXT(L318),L318,IF(AND(L275&gt;0,M318&gt;0),VLOOKUP(L275&amp;M318&amp;J318,'[1]grup-puch'!I$1:J$65536,2,FALSE),""))))</f>
        <v>K4239</v>
      </c>
      <c r="O318" s="199" t="str">
        <f>IF(N318&lt;&gt;"",CONCATENATE(VLOOKUP(N318,[1]zawodnicy!$A$1:$E$65536,2,FALSE)," ",VLOOKUP(N318,[1]zawodnicy!$A$1:$E$65536,3,FALSE)," - ",VLOOKUP(N318,[1]zawodnicy!$A$1:$E$65536,4,FALSE)),"")</f>
        <v>Paweł KAŹMIERCZYK - UKSB Milenium Warszawa</v>
      </c>
      <c r="P318" s="108">
        <v>184</v>
      </c>
      <c r="Q318" s="200" t="str">
        <f>IF(F318="","",VLOOKUP(F318,[1]zawodnicy!$A$1:$D$65536,3,FALSE))</f>
        <v>BIBIK</v>
      </c>
      <c r="R318" s="116"/>
      <c r="S318" s="116"/>
      <c r="T318" s="116"/>
      <c r="U318" s="116"/>
    </row>
    <row r="319" spans="1:21" ht="12.75" x14ac:dyDescent="0.2">
      <c r="K319" s="95">
        <f>IF(L276&gt;45,22,"")</f>
        <v>22</v>
      </c>
      <c r="L319" s="188" t="s">
        <v>372</v>
      </c>
      <c r="M319" s="193">
        <f>IF(K319="","",MAX(M278:M318)+1)</f>
        <v>16</v>
      </c>
      <c r="N319" s="198" t="str">
        <f>UPPER(IF(M319="","",IF(ISTEXT(L319),L319,IF(AND(L275&gt;0,M319&gt;0),VLOOKUP(L275&amp;M319&amp;J318,'[1]grup-puch'!I$1:J$65536,2,FALSE),""))))</f>
        <v>B5059</v>
      </c>
      <c r="O319" s="199" t="str">
        <f>IF(N319&lt;&gt;"",CONCATENATE(VLOOKUP(N319,[1]zawodnicy!$A$1:$E$65536,2,FALSE)," ",VLOOKUP(N319,[1]zawodnicy!$A$1:$E$65536,3,FALSE)," - ",VLOOKUP(N319,[1]zawodnicy!$A$1:$E$65536,4,FALSE)),"")</f>
        <v>Adam BIBIK - KSR Wolant Łódź</v>
      </c>
      <c r="P319" s="202"/>
      <c r="Q319" s="203" t="str">
        <f>IF(H318="",I318,H318)</f>
        <v>21:12,21:9</v>
      </c>
      <c r="R319" s="116"/>
      <c r="S319" s="116"/>
      <c r="T319" s="116"/>
      <c r="U319" s="116"/>
    </row>
    <row r="320" spans="1:21" ht="12.75" x14ac:dyDescent="0.2">
      <c r="A320" s="111">
        <f>Q320</f>
        <v>238</v>
      </c>
      <c r="B320" s="2" t="str">
        <f>F318</f>
        <v>B5059</v>
      </c>
      <c r="D320" s="2" t="str">
        <f>F322</f>
        <v>M5584</v>
      </c>
      <c r="F320" s="2" t="str">
        <f>IF(A320=0,IF(AND(LEN(B320)&gt;0,LEN(D320)=0),B320,IF(AND(LEN(D320)&gt;0,LEN(B320)=0),D320,"")),IF((VLOOKUP(A320,'[1]plan gier'!$X$1:$AF$65536,7,FALSE))="","",VLOOKUP(VLOOKUP(A320,'[1]plan gier'!$X$1:$AF$65536,7,FALSE),[1]zawodnicy!$A$1:$E$65536,1,FALSE)))</f>
        <v>B5059</v>
      </c>
      <c r="H320" s="2" t="str">
        <f>IF(A320=0,"",IF((VLOOKUP(A320,'[1]plan gier'!$X$1:$AF$65536,7,FALSE))="","",VLOOKUP(A320,'[1]plan gier'!$X$1:$AF$65536,9,FALSE)))</f>
        <v>21:12,21:11</v>
      </c>
      <c r="I320" s="2" t="str">
        <f>IF(A320=0,"",IF(VLOOKUP(A320,'[1]plan gier'!A$1:S$65536,19,FALSE)="","",VLOOKUP(A320,'[1]plan gier'!A$1:S$65536,19,FALSE)))</f>
        <v>sob 10:00</v>
      </c>
      <c r="J320" s="2" t="str">
        <f>L277</f>
        <v>pojedyncza chłopców MM</v>
      </c>
      <c r="L320" s="9"/>
      <c r="M320" s="193" t="str">
        <f>IF(K320="","",MAX(M278:M319)+1)</f>
        <v/>
      </c>
      <c r="N320" s="9"/>
      <c r="O320" s="9"/>
      <c r="P320" s="113"/>
      <c r="Q320" s="115">
        <v>238</v>
      </c>
      <c r="R320" s="205" t="str">
        <f>IF(F320="","",VLOOKUP(F320,[1]zawodnicy!$A$1:$D$65536,3,FALSE))</f>
        <v>BIBIK</v>
      </c>
      <c r="S320" s="116"/>
      <c r="T320" s="116"/>
      <c r="U320" s="116"/>
    </row>
    <row r="321" spans="1:21" ht="12.75" x14ac:dyDescent="0.2">
      <c r="L321" s="9"/>
      <c r="M321" s="193" t="str">
        <f>IF(K321="","",MAX(M278:M320)+1)</f>
        <v/>
      </c>
      <c r="N321" s="9"/>
      <c r="O321" s="9"/>
      <c r="P321" s="113"/>
      <c r="Q321" s="116"/>
      <c r="R321" s="114" t="str">
        <f>IF(H320="",I320,H320)</f>
        <v>21:12,21:11</v>
      </c>
      <c r="S321" s="116"/>
      <c r="T321" s="116"/>
      <c r="U321" s="116"/>
    </row>
    <row r="322" spans="1:21" ht="12.75" x14ac:dyDescent="0.2">
      <c r="A322" s="102">
        <f>P322</f>
        <v>185</v>
      </c>
      <c r="B322" s="2" t="str">
        <f>IF(N322="","",N322)</f>
        <v>M5584</v>
      </c>
      <c r="D322" s="2" t="str">
        <f>IF(N323="","",N323)</f>
        <v>M4698</v>
      </c>
      <c r="F322" s="2" t="str">
        <f>IF(A322=0,IF(AND(LEN(B322)&gt;0,LEN(D322)=0),VLOOKUP(B322,[1]zawodnicy!$A$1:$E$65536,1,FALSE),IF(AND(LEN(D322)&gt;0,LEN(B322)=0),VLOOKUP(D322,[1]zawodnicy!$A$1:$E$65536,1,FALSE),"")),IF((VLOOKUP(A322,'[1]plan gier'!$X$1:$AF$65536,7,FALSE))="","",VLOOKUP(VLOOKUP(A322,'[1]plan gier'!$X$1:$AF$65536,7,FALSE),[1]zawodnicy!$A$1:$E$65536,1,FALSE)))</f>
        <v>M5584</v>
      </c>
      <c r="H322" s="2" t="str">
        <f>IF(A322=0,"",IF((VLOOKUP(A322,'[1]plan gier'!$X$1:$AF$65536,7,FALSE))="","",VLOOKUP(A322,'[1]plan gier'!$X$1:$AF$65536,9,FALSE)))</f>
        <v>21:6,19:21,21:17</v>
      </c>
      <c r="I322" s="2" t="str">
        <f>IF(A322=0,"",IF(VLOOKUP(A322,'[1]plan gier'!A$1:S$65536,19,FALSE)="","",VLOOKUP(A322,'[1]plan gier'!A$1:S$65536,19,FALSE)))</f>
        <v>pt 20:20</v>
      </c>
      <c r="J322" s="2" t="str">
        <f>L277</f>
        <v>pojedyncza chłopców MM</v>
      </c>
      <c r="K322" s="95">
        <f>IF(L276&gt;32,23,"")</f>
        <v>23</v>
      </c>
      <c r="L322" s="189" t="s">
        <v>338</v>
      </c>
      <c r="M322" s="193">
        <f>IF(K322="","",MAX(M278:M321)+1)</f>
        <v>17</v>
      </c>
      <c r="N322" s="198" t="str">
        <f>UPPER(IF(M322="","",IF(ISTEXT(L322),L322,IF(AND(L275&gt;0,M322&gt;0),VLOOKUP(L275&amp;M322&amp;J322,'[1]grup-puch'!I$1:J$65536,2,FALSE),""))))</f>
        <v>M5584</v>
      </c>
      <c r="O322" s="199" t="str">
        <f>IF(N322&lt;&gt;"",CONCATENATE(VLOOKUP(N322,[1]zawodnicy!$A$1:$E$65536,2,FALSE)," ",VLOOKUP(N322,[1]zawodnicy!$A$1:$E$65536,3,FALSE)," - ",VLOOKUP(N322,[1]zawodnicy!$A$1:$E$65536,4,FALSE)),"")</f>
        <v>Jakub MAZUR - LKS Technik Głubczyce</v>
      </c>
      <c r="P322" s="108">
        <v>185</v>
      </c>
      <c r="Q322" s="205" t="str">
        <f>IF(F322="","",VLOOKUP(F322,[1]zawodnicy!$A$1:$D$65536,3,FALSE))</f>
        <v>MAZUR</v>
      </c>
      <c r="R322" s="114"/>
      <c r="S322" s="116"/>
      <c r="T322" s="116"/>
      <c r="U322" s="116"/>
    </row>
    <row r="323" spans="1:21" ht="12.75" x14ac:dyDescent="0.2">
      <c r="K323" s="95">
        <f>IF(L276&gt;37,24,"")</f>
        <v>24</v>
      </c>
      <c r="L323" s="218" t="s">
        <v>345</v>
      </c>
      <c r="M323" s="193">
        <f>IF(K323="","",MAX(M278:M322)+1)</f>
        <v>18</v>
      </c>
      <c r="N323" s="198" t="str">
        <f>UPPER(IF(M323="","",IF(ISTEXT(L323),L323,IF(AND(L275&gt;0,M323&gt;0),VLOOKUP(L275&amp;M323&amp;J322,'[1]grup-puch'!I$1:J$65536,2,FALSE),""))))</f>
        <v>M4698</v>
      </c>
      <c r="O323" s="199" t="str">
        <f>IF(N323&lt;&gt;"",CONCATENATE(VLOOKUP(N323,[1]zawodnicy!$A$1:$E$65536,2,FALSE)," ",VLOOKUP(N323,[1]zawodnicy!$A$1:$E$65536,3,FALSE)," - ",VLOOKUP(N323,[1]zawodnicy!$A$1:$E$65536,4,FALSE)),"")</f>
        <v>Norbert MARKOWSKI - UKS Kometa Sianów</v>
      </c>
      <c r="P323" s="202"/>
      <c r="Q323" s="114" t="str">
        <f>IF(H322="",I322,H322)</f>
        <v>21:6,19:21,21:17</v>
      </c>
      <c r="R323" s="114"/>
      <c r="S323" s="116"/>
      <c r="T323" s="116"/>
      <c r="U323" s="116"/>
    </row>
    <row r="324" spans="1:21" ht="12.75" x14ac:dyDescent="0.2">
      <c r="A324" s="172">
        <f>S324</f>
        <v>366</v>
      </c>
      <c r="B324" s="2" t="str">
        <f>F316</f>
        <v>P5025</v>
      </c>
      <c r="D324" s="2" t="str">
        <f>F332</f>
        <v>Ż4858</v>
      </c>
      <c r="F324" s="2" t="str">
        <f>IF(A324=0,IF(AND(LEN(B324)&gt;0,LEN(D324)=0),B324,IF(AND(LEN(D324)&gt;0,LEN(B324)=0),D324,"")),IF((VLOOKUP(A324,'[1]plan gier'!$X$1:$AF$65536,7,FALSE))="","",VLOOKUP(VLOOKUP(A324,'[1]plan gier'!$X$1:$AF$65536,7,FALSE),[1]zawodnicy!$A$1:$E$65536,1,FALSE)))</f>
        <v>P5025</v>
      </c>
      <c r="H324" s="2" t="str">
        <f>IF(A324=0,"",IF((VLOOKUP(A324,'[1]plan gier'!$X$1:$AF$65536,7,FALSE))="","",VLOOKUP(A324,'[1]plan gier'!$X$1:$AF$65536,9,FALSE)))</f>
        <v>21:6,21:4</v>
      </c>
      <c r="I324" s="2" t="str">
        <f>IF(A324=0,"",IF(VLOOKUP(A324,'[1]plan gier'!A$1:S$65536,19,FALSE)="","",VLOOKUP(A324,'[1]plan gier'!A$1:S$65536,19,FALSE)))</f>
        <v>sob 17:30</v>
      </c>
      <c r="J324" s="2" t="str">
        <f>L277</f>
        <v>pojedyncza chłopców MM</v>
      </c>
      <c r="L324" s="9"/>
      <c r="M324" s="193" t="str">
        <f>IF(K324="","",MAX(M278:M323)+1)</f>
        <v/>
      </c>
      <c r="N324" s="9"/>
      <c r="O324" s="9"/>
      <c r="P324" s="113"/>
      <c r="Q324" s="114"/>
      <c r="R324" s="114"/>
      <c r="S324" s="115">
        <v>366</v>
      </c>
      <c r="T324" s="205" t="str">
        <f>IF(F324="","",VLOOKUP(F324,[1]zawodnicy!$A$1:$D$65536,3,FALSE))</f>
        <v>PLASZCZYK</v>
      </c>
      <c r="U324" s="116"/>
    </row>
    <row r="325" spans="1:21" ht="12.75" x14ac:dyDescent="0.2">
      <c r="L325" s="9"/>
      <c r="M325" s="193" t="str">
        <f>IF(K325="","",MAX(M278:M324)+1)</f>
        <v/>
      </c>
      <c r="N325" s="9"/>
      <c r="O325" s="9"/>
      <c r="P325" s="113"/>
      <c r="Q325" s="114"/>
      <c r="R325" s="114"/>
      <c r="S325" s="116"/>
      <c r="T325" s="114" t="str">
        <f>IF(H324="",I324,H324)</f>
        <v>21:6,21:4</v>
      </c>
      <c r="U325" s="116"/>
    </row>
    <row r="326" spans="1:21" ht="12.75" x14ac:dyDescent="0.2">
      <c r="A326" s="102">
        <f>P326</f>
        <v>0</v>
      </c>
      <c r="B326" s="2" t="str">
        <f>IF(N326="","",N326)</f>
        <v>Ż4858</v>
      </c>
      <c r="D326" s="2" t="str">
        <f>IF(N327="","",N327)</f>
        <v/>
      </c>
      <c r="F326" s="2" t="str">
        <f>IF(A326=0,IF(AND(LEN(B326)&gt;0,LEN(D326)=0),VLOOKUP(B326,[1]zawodnicy!$A$1:$E$65536,1,FALSE),IF(AND(LEN(D326)&gt;0,LEN(B326)=0),VLOOKUP(D326,[1]zawodnicy!$A$1:$E$65536,1,FALSE),"")),IF((VLOOKUP(A326,'[1]plan gier'!$X$1:$AF$65536,7,FALSE))="","",VLOOKUP(VLOOKUP(A326,'[1]plan gier'!$X$1:$AF$65536,7,FALSE),[1]zawodnicy!$A$1:$E$65536,1,FALSE)))</f>
        <v>Ż4858</v>
      </c>
      <c r="H326" s="2" t="str">
        <f>IF(A326=0,"",IF((VLOOKUP(A326,'[1]plan gier'!$X$1:$AF$65536,7,FALSE))="","",VLOOKUP(A326,'[1]plan gier'!$X$1:$AF$65536,9,FALSE)))</f>
        <v/>
      </c>
      <c r="I326" s="2" t="str">
        <f>IF(A326=0,"",IF(VLOOKUP(A326,'[1]plan gier'!A$1:S$65536,19,FALSE)="","",VLOOKUP(A326,'[1]plan gier'!A$1:S$65536,19,FALSE)))</f>
        <v/>
      </c>
      <c r="J326" s="2" t="str">
        <f>L277</f>
        <v>pojedyncza chłopców MM</v>
      </c>
      <c r="K326" s="95">
        <f>IF(L276&gt;32,25,"")</f>
        <v>25</v>
      </c>
      <c r="L326" s="187" t="s">
        <v>374</v>
      </c>
      <c r="M326" s="193">
        <f>IF(K326="","",MAX(M278:M325)+1)</f>
        <v>19</v>
      </c>
      <c r="N326" s="198" t="str">
        <f>UPPER(IF(M326="","",IF(ISTEXT(L326),L326,IF(AND(L275&gt;0,M326&gt;0),VLOOKUP(L275&amp;M326&amp;J326,'[1]grup-puch'!I$1:J$65536,2,FALSE),""))))</f>
        <v>Ż4858</v>
      </c>
      <c r="O326" s="199" t="str">
        <f>IF(N326&lt;&gt;"",CONCATENATE(VLOOKUP(N326,[1]zawodnicy!$A$1:$E$65536,2,FALSE)," ",VLOOKUP(N326,[1]zawodnicy!$A$1:$E$65536,3,FALSE)," - ",VLOOKUP(N326,[1]zawodnicy!$A$1:$E$65536,4,FALSE)),"")</f>
        <v>Dawid ŻMÓJDZIN - UKS Hubal Białystok</v>
      </c>
      <c r="P326" s="108"/>
      <c r="Q326" s="200" t="str">
        <f>IF(F326="","",VLOOKUP(F326,[1]zawodnicy!$A$1:$D$65536,3,FALSE))</f>
        <v>ŻMÓJDZIN</v>
      </c>
      <c r="R326" s="114"/>
      <c r="S326" s="116"/>
      <c r="T326" s="114"/>
      <c r="U326" s="116"/>
    </row>
    <row r="327" spans="1:21" ht="12.75" x14ac:dyDescent="0.2">
      <c r="K327" s="95" t="str">
        <f>IF(L276&gt;57,26,"")</f>
        <v/>
      </c>
      <c r="L327" s="198" t="str">
        <f>UPPER(IF(K327="","",IF(ISTEXT(J327),J327,IF(AND(J275&gt;0,K327&gt;0),VLOOKUP(J275&amp;K327&amp;H326,'[4]grup-puch'!G$1:H$65536,2,FALSE),""))))</f>
        <v/>
      </c>
      <c r="M327" s="193" t="str">
        <f>IF(K327="","",MAX(M278:M326)+1)</f>
        <v/>
      </c>
      <c r="N327" s="198" t="str">
        <f>UPPER(IF(M327="","",IF(ISTEXT(L327),L327,IF(AND(L275&gt;0,M327&gt;0),VLOOKUP(L275&amp;M327&amp;J326,'[1]grup-puch'!I$1:J$65536,2,FALSE),""))))</f>
        <v/>
      </c>
      <c r="O327" s="199" t="str">
        <f>IF(N327&lt;&gt;"",CONCATENATE(VLOOKUP(N327,[1]zawodnicy!$A$1:$E$65536,2,FALSE)," ",VLOOKUP(N327,[1]zawodnicy!$A$1:$E$65536,3,FALSE)," - ",VLOOKUP(N327,[1]zawodnicy!$A$1:$E$65536,4,FALSE)),"")</f>
        <v/>
      </c>
      <c r="P327" s="202"/>
      <c r="Q327" s="203" t="str">
        <f>IF(H326="",I326,H326)</f>
        <v/>
      </c>
      <c r="R327" s="114"/>
      <c r="S327" s="116"/>
      <c r="T327" s="114"/>
      <c r="U327" s="116"/>
    </row>
    <row r="328" spans="1:21" ht="12.75" x14ac:dyDescent="0.2">
      <c r="A328" s="111">
        <f>Q328</f>
        <v>239</v>
      </c>
      <c r="B328" s="2" t="str">
        <f>F326</f>
        <v>Ż4858</v>
      </c>
      <c r="D328" s="2" t="str">
        <f>F330</f>
        <v>H5344</v>
      </c>
      <c r="F328" s="2" t="str">
        <f>IF(A328=0,IF(AND(LEN(B328)&gt;0,LEN(D328)=0),B328,IF(AND(LEN(D328)&gt;0,LEN(B328)=0),D328,"")),IF((VLOOKUP(A328,'[1]plan gier'!$X$1:$AF$65536,7,FALSE))="","",VLOOKUP(VLOOKUP(A328,'[1]plan gier'!$X$1:$AF$65536,7,FALSE),[1]zawodnicy!$A$1:$E$65536,1,FALSE)))</f>
        <v>Ż4858</v>
      </c>
      <c r="H328" s="2" t="str">
        <f>IF(A328=0,"",IF((VLOOKUP(A328,'[1]plan gier'!$X$1:$AF$65536,7,FALSE))="","",VLOOKUP(A328,'[1]plan gier'!$X$1:$AF$65536,9,FALSE)))</f>
        <v>21:19,21:18</v>
      </c>
      <c r="I328" s="2" t="str">
        <f>IF(A328=0,"",IF(VLOOKUP(A328,'[1]plan gier'!A$1:S$65536,19,FALSE)="","",VLOOKUP(A328,'[1]plan gier'!A$1:S$65536,19,FALSE)))</f>
        <v>sob 10:00</v>
      </c>
      <c r="J328" s="2" t="str">
        <f>L277</f>
        <v>pojedyncza chłopców MM</v>
      </c>
      <c r="L328" s="9"/>
      <c r="M328" s="193" t="str">
        <f>IF(K328="","",MAX(M278:M327)+1)</f>
        <v/>
      </c>
      <c r="N328" s="9"/>
      <c r="O328" s="9"/>
      <c r="P328" s="113"/>
      <c r="Q328" s="115">
        <v>239</v>
      </c>
      <c r="R328" s="200" t="str">
        <f>IF(F328="","",VLOOKUP(F328,[1]zawodnicy!$A$1:$D$65536,3,FALSE))</f>
        <v>ŻMÓJDZIN</v>
      </c>
      <c r="S328" s="116"/>
      <c r="T328" s="114"/>
      <c r="U328" s="116"/>
    </row>
    <row r="329" spans="1:21" ht="12.75" x14ac:dyDescent="0.2">
      <c r="L329" s="9"/>
      <c r="M329" s="193" t="str">
        <f>IF(K329="","",MAX(M278:M328)+1)</f>
        <v/>
      </c>
      <c r="N329" s="9"/>
      <c r="O329" s="9"/>
      <c r="P329" s="113"/>
      <c r="Q329" s="116"/>
      <c r="R329" s="203" t="str">
        <f>IF(H328="",I328,H328)</f>
        <v>21:19,21:18</v>
      </c>
      <c r="S329" s="116"/>
      <c r="T329" s="114"/>
      <c r="U329" s="116"/>
    </row>
    <row r="330" spans="1:21" ht="12.75" x14ac:dyDescent="0.2">
      <c r="A330" s="102">
        <f>P330</f>
        <v>0</v>
      </c>
      <c r="B330" s="2" t="str">
        <f>IF(N330="","",N330)</f>
        <v>H5344</v>
      </c>
      <c r="D330" s="2" t="str">
        <f>IF(N331="","",N331)</f>
        <v/>
      </c>
      <c r="F330" s="2" t="str">
        <f>IF(A330=0,IF(AND(LEN(B330)&gt;0,LEN(D330)=0),VLOOKUP(B330,[1]zawodnicy!$A$1:$E$65536,1,FALSE),IF(AND(LEN(D330)&gt;0,LEN(B330)=0),VLOOKUP(D330,[1]zawodnicy!$A$1:$E$65536,1,FALSE),"")),IF((VLOOKUP(A330,'[1]plan gier'!$X$1:$AF$65536,7,FALSE))="","",VLOOKUP(VLOOKUP(A330,'[1]plan gier'!$X$1:$AF$65536,7,FALSE),[1]zawodnicy!$A$1:$E$65536,1,FALSE)))</f>
        <v>H5344</v>
      </c>
      <c r="H330" s="2" t="str">
        <f>IF(A330=0,"",IF((VLOOKUP(A330,'[1]plan gier'!$X$1:$AF$65536,7,FALSE))="","",VLOOKUP(A330,'[1]plan gier'!$X$1:$AF$65536,9,FALSE)))</f>
        <v/>
      </c>
      <c r="I330" s="2" t="str">
        <f>IF(A330=0,"",IF(VLOOKUP(A330,'[1]plan gier'!A$1:S$65536,19,FALSE)="","",VLOOKUP(A330,'[1]plan gier'!A$1:S$65536,19,FALSE)))</f>
        <v/>
      </c>
      <c r="J330" s="2" t="str">
        <f>L277</f>
        <v>pojedyncza chłopców MM</v>
      </c>
      <c r="K330" s="95">
        <f>IF(L276&gt;32,27,"")</f>
        <v>27</v>
      </c>
      <c r="L330" s="189" t="s">
        <v>346</v>
      </c>
      <c r="M330" s="193">
        <f>IF(K330="","",MAX(M278:M329)+1)</f>
        <v>20</v>
      </c>
      <c r="N330" s="198" t="str">
        <f>UPPER(IF(M330="","",IF(ISTEXT(L330),L330,IF(AND(L275&gt;0,M330&gt;0),VLOOKUP(L275&amp;M330&amp;J330,'[1]grup-puch'!I$1:J$65536,2,FALSE),""))))</f>
        <v>H5344</v>
      </c>
      <c r="O330" s="199" t="str">
        <f>IF(N330&lt;&gt;"",CONCATENATE(VLOOKUP(N330,[1]zawodnicy!$A$1:$E$65536,2,FALSE)," ",VLOOKUP(N330,[1]zawodnicy!$A$1:$E$65536,3,FALSE)," - ",VLOOKUP(N330,[1]zawodnicy!$A$1:$E$65536,4,FALSE)),"")</f>
        <v>Mateusz HAŁASA - UKS Kiko Zamość</v>
      </c>
      <c r="P330" s="108"/>
      <c r="Q330" s="205" t="str">
        <f>IF(F330="","",VLOOKUP(F330,[1]zawodnicy!$A$1:$D$65536,3,FALSE))</f>
        <v>HAŁASA</v>
      </c>
      <c r="R330" s="116"/>
      <c r="S330" s="116"/>
      <c r="T330" s="114"/>
      <c r="U330" s="116"/>
    </row>
    <row r="331" spans="1:21" ht="12.75" x14ac:dyDescent="0.2">
      <c r="K331" s="95" t="str">
        <f>IF(L276&gt;49,28,"")</f>
        <v/>
      </c>
      <c r="L331" s="198" t="str">
        <f>UPPER(IF(K331="","",IF(ISTEXT(J331),J331,IF(AND(J275&gt;0,K331&gt;0),VLOOKUP(J275&amp;K331&amp;H330,'[4]grup-puch'!G$1:H$65536,2,FALSE),""))))</f>
        <v/>
      </c>
      <c r="M331" s="193" t="str">
        <f>IF(K331="","",MAX(M278:M330)+1)</f>
        <v/>
      </c>
      <c r="N331" s="198" t="str">
        <f>UPPER(IF(M331="","",IF(ISTEXT(L331),L331,IF(AND(L275&gt;0,M331&gt;0),VLOOKUP(L275&amp;M331&amp;J330,'[1]grup-puch'!I$1:J$65536,2,FALSE),""))))</f>
        <v/>
      </c>
      <c r="O331" s="199" t="str">
        <f>IF(N331&lt;&gt;"",CONCATENATE(VLOOKUP(N331,[1]zawodnicy!$A$1:$E$65536,2,FALSE)," ",VLOOKUP(N331,[1]zawodnicy!$A$1:$E$65536,3,FALSE)," - ",VLOOKUP(N331,[1]zawodnicy!$A$1:$E$65536,4,FALSE)),"")</f>
        <v/>
      </c>
      <c r="P331" s="202"/>
      <c r="Q331" s="114" t="str">
        <f>IF(H330="",I330,H330)</f>
        <v/>
      </c>
      <c r="R331" s="116"/>
      <c r="S331" s="116"/>
      <c r="T331" s="114"/>
      <c r="U331" s="116"/>
    </row>
    <row r="332" spans="1:21" ht="12.75" x14ac:dyDescent="0.2">
      <c r="A332" s="118">
        <f>R332</f>
        <v>312</v>
      </c>
      <c r="B332" s="2" t="str">
        <f>F328</f>
        <v>Ż4858</v>
      </c>
      <c r="D332" s="2" t="str">
        <f>F336</f>
        <v>H5129</v>
      </c>
      <c r="F332" s="2" t="str">
        <f>IF(A332=0,IF(AND(LEN(B332)&gt;0,LEN(D332)=0),B332,IF(AND(LEN(D332)&gt;0,LEN(B332)=0),D332,"")),IF((VLOOKUP(A332,'[1]plan gier'!$X$1:$AF$65536,7,FALSE))="","",VLOOKUP(VLOOKUP(A332,'[1]plan gier'!$X$1:$AF$65536,7,FALSE),[1]zawodnicy!$A$1:$E$65536,1,FALSE)))</f>
        <v>Ż4858</v>
      </c>
      <c r="H332" s="2" t="str">
        <f>IF(A332=0,"",IF((VLOOKUP(A332,'[1]plan gier'!$X$1:$AF$65536,7,FALSE))="","",VLOOKUP(A332,'[1]plan gier'!$X$1:$AF$65536,9,FALSE)))</f>
        <v>21:13,21:16</v>
      </c>
      <c r="I332" s="2" t="str">
        <f>IF(A332=0,"",IF(VLOOKUP(A332,'[1]plan gier'!A$1:S$65536,19,FALSE)="","",VLOOKUP(A332,'[1]plan gier'!A$1:S$65536,19,FALSE)))</f>
        <v>sob 14:40</v>
      </c>
      <c r="J332" s="2" t="str">
        <f>L277</f>
        <v>pojedyncza chłopców MM</v>
      </c>
      <c r="L332" s="9"/>
      <c r="M332" s="193" t="str">
        <f>IF(K332="","",MAX(M278:M331)+1)</f>
        <v/>
      </c>
      <c r="N332" s="9"/>
      <c r="O332" s="9"/>
      <c r="P332" s="113"/>
      <c r="Q332" s="114"/>
      <c r="R332" s="206">
        <v>312</v>
      </c>
      <c r="S332" s="205" t="str">
        <f>IF(F332="","",VLOOKUP(F332,[1]zawodnicy!$A$1:$D$65536,3,FALSE))</f>
        <v>ŻMÓJDZIN</v>
      </c>
      <c r="T332" s="114"/>
      <c r="U332" s="116"/>
    </row>
    <row r="333" spans="1:21" ht="12.75" x14ac:dyDescent="0.2">
      <c r="L333" s="9"/>
      <c r="M333" s="193" t="str">
        <f>IF(K333="","",MAX(M278:M332)+1)</f>
        <v/>
      </c>
      <c r="N333" s="9"/>
      <c r="O333" s="9"/>
      <c r="P333" s="113"/>
      <c r="Q333" s="114"/>
      <c r="R333" s="116"/>
      <c r="S333" s="114" t="str">
        <f>IF(H332="",I332,H332)</f>
        <v>21:13,21:16</v>
      </c>
      <c r="T333" s="114"/>
      <c r="U333" s="116"/>
    </row>
    <row r="334" spans="1:21" ht="12.75" x14ac:dyDescent="0.2">
      <c r="A334" s="102">
        <f>P334</f>
        <v>186</v>
      </c>
      <c r="B334" s="2" t="str">
        <f>IF(N334="","",N334)</f>
        <v>L5819</v>
      </c>
      <c r="D334" s="2" t="str">
        <f>IF(N335="","",N335)</f>
        <v>H5129</v>
      </c>
      <c r="F334" s="2" t="str">
        <f>IF(A334=0,IF(AND(LEN(B334)&gt;0,LEN(D334)=0),VLOOKUP(B334,[1]zawodnicy!$A$1:$E$65536,1,FALSE),IF(AND(LEN(D334)&gt;0,LEN(B334)=0),VLOOKUP(D334,[1]zawodnicy!$A$1:$E$65536,1,FALSE),"")),IF((VLOOKUP(A334,'[1]plan gier'!$X$1:$AF$65536,7,FALSE))="","",VLOOKUP(VLOOKUP(A334,'[1]plan gier'!$X$1:$AF$65536,7,FALSE),[1]zawodnicy!$A$1:$E$65536,1,FALSE)))</f>
        <v>H5129</v>
      </c>
      <c r="H334" s="2" t="str">
        <f>IF(A334=0,"",IF((VLOOKUP(A334,'[1]plan gier'!$X$1:$AF$65536,7,FALSE))="","",VLOOKUP(A334,'[1]plan gier'!$X$1:$AF$65536,9,FALSE)))</f>
        <v>21:0,21:0</v>
      </c>
      <c r="I334" s="2" t="str">
        <f>IF(A334=0,"",IF(VLOOKUP(A334,'[1]plan gier'!A$1:S$65536,19,FALSE)="","",VLOOKUP(A334,'[1]plan gier'!A$1:S$65536,19,FALSE)))</f>
        <v>pt 20:20</v>
      </c>
      <c r="J334" s="2" t="str">
        <f>L277</f>
        <v>pojedyncza chłopców MM</v>
      </c>
      <c r="K334" s="95">
        <f>IF(L276&gt;32,29,"")</f>
        <v>29</v>
      </c>
      <c r="L334" s="187" t="s">
        <v>419</v>
      </c>
      <c r="M334" s="193">
        <f>IF(K334="","",MAX(M278:M333)+1)</f>
        <v>21</v>
      </c>
      <c r="N334" s="198" t="str">
        <f>UPPER(IF(M334="","",IF(ISTEXT(L334),L334,IF(AND(L275&gt;0,M334&gt;0),VLOOKUP(L275&amp;M334&amp;J334,'[1]grup-puch'!I$1:J$65536,2,FALSE),""))))</f>
        <v>L5819</v>
      </c>
      <c r="O334" s="199" t="str">
        <f>IF(N334&lt;&gt;"",CONCATENATE(VLOOKUP(N334,[1]zawodnicy!$A$1:$E$65536,2,FALSE)," ",VLOOKUP(N334,[1]zawodnicy!$A$1:$E$65536,3,FALSE)," - ",VLOOKUP(N334,[1]zawodnicy!$A$1:$E$65536,4,FALSE)),"")</f>
        <v>Maciej LITEWSKI - UKSB Milenium Warszawa</v>
      </c>
      <c r="P334" s="108">
        <v>186</v>
      </c>
      <c r="Q334" s="200" t="str">
        <f>IF(F334="","",VLOOKUP(F334,[1]zawodnicy!$A$1:$D$65536,3,FALSE))</f>
        <v>HEMER</v>
      </c>
      <c r="R334" s="116"/>
      <c r="S334" s="114"/>
      <c r="T334" s="114"/>
      <c r="U334" s="116"/>
    </row>
    <row r="335" spans="1:21" ht="12.75" x14ac:dyDescent="0.2">
      <c r="A335" s="211">
        <f>T335</f>
        <v>416</v>
      </c>
      <c r="B335" s="2" t="str">
        <f>F308</f>
        <v>M4565</v>
      </c>
      <c r="D335" s="2" t="str">
        <f>F374</f>
        <v>G4725</v>
      </c>
      <c r="F335" s="2" t="str">
        <f>IF(A335=0,IF(AND(LEN(B335)&gt;0,LEN(D335)=0),B335,IF(AND(LEN(D335)&gt;0,LEN(B335)=0),D335,"")),IF((VLOOKUP(A335,'[1]plan gier'!$X$1:$AF$65536,7,FALSE))="","",VLOOKUP(VLOOKUP(A335,'[1]plan gier'!$X$1:$AF$65536,7,FALSE),[1]zawodnicy!$A$1:$E$65536,1,FALSE)))</f>
        <v>M4565</v>
      </c>
      <c r="H335" s="2" t="str">
        <f>IF(A335=0,"",IF((VLOOKUP(A335,'[1]plan gier'!$X$1:$AF$65536,7,FALSE))="","",VLOOKUP(A335,'[1]plan gier'!$X$1:$AF$65536,9,FALSE)))</f>
        <v>10:21,21:14,21:10</v>
      </c>
      <c r="I335" s="2" t="str">
        <f>IF(A335=0,"",IF(VLOOKUP(A335,'[1]plan gier'!A$1:S$65536,19,FALSE)="","",VLOOKUP(A335,'[1]plan gier'!A$1:S$65536,19,FALSE)))</f>
        <v>sob 21:00</v>
      </c>
      <c r="J335" s="2" t="str">
        <f>L277</f>
        <v>pojedyncza chłopców MM</v>
      </c>
      <c r="K335" s="95">
        <f>IF(L276&gt;41,30,"")</f>
        <v>30</v>
      </c>
      <c r="L335" s="219" t="s">
        <v>337</v>
      </c>
      <c r="M335" s="193">
        <f>IF(K335="","",MAX(M278:M334)+1)</f>
        <v>22</v>
      </c>
      <c r="N335" s="198" t="str">
        <f>UPPER(IF(M335="","",IF(ISTEXT(L335),L335,IF(AND(L275&gt;0,M335&gt;0),VLOOKUP(L275&amp;M335&amp;J334,'[1]grup-puch'!I$1:J$65536,2,FALSE),""))))</f>
        <v>H5129</v>
      </c>
      <c r="O335" s="199" t="str">
        <f>IF(N335&lt;&gt;"",CONCATENATE(VLOOKUP(N335,[1]zawodnicy!$A$1:$E$65536,2,FALSE)," ",VLOOKUP(N335,[1]zawodnicy!$A$1:$E$65536,3,FALSE)," - ",VLOOKUP(N335,[1]zawodnicy!$A$1:$E$65536,4,FALSE)),"")</f>
        <v>Natan HEMER - UKS Korona Pabianice</v>
      </c>
      <c r="P335" s="202"/>
      <c r="Q335" s="203" t="str">
        <f>IF(H334="",I334,H334)</f>
        <v>21:0,21:0</v>
      </c>
      <c r="R335" s="116"/>
      <c r="S335" s="114"/>
      <c r="T335" s="137">
        <v>416</v>
      </c>
      <c r="U335" s="220" t="str">
        <f>IF(F335="","",VLOOKUP(F335,[1]zawodnicy!$A$1:$D$65536,3,FALSE))</f>
        <v>MATUSZ</v>
      </c>
    </row>
    <row r="336" spans="1:21" ht="12.75" x14ac:dyDescent="0.2">
      <c r="A336" s="111">
        <f>Q336</f>
        <v>240</v>
      </c>
      <c r="B336" s="2" t="str">
        <f>F334</f>
        <v>H5129</v>
      </c>
      <c r="D336" s="2" t="str">
        <f>F338</f>
        <v>G5536</v>
      </c>
      <c r="F336" s="2" t="str">
        <f>IF(A336=0,IF(AND(LEN(B336)&gt;0,LEN(D336)=0),B336,IF(AND(LEN(D336)&gt;0,LEN(B336)=0),D336,"")),IF((VLOOKUP(A336,'[1]plan gier'!$X$1:$AF$65536,7,FALSE))="","",VLOOKUP(VLOOKUP(A336,'[1]plan gier'!$X$1:$AF$65536,7,FALSE),[1]zawodnicy!$A$1:$E$65536,1,FALSE)))</f>
        <v>H5129</v>
      </c>
      <c r="H336" s="2" t="str">
        <f>IF(A336=0,"",IF((VLOOKUP(A336,'[1]plan gier'!$X$1:$AF$65536,7,FALSE))="","",VLOOKUP(A336,'[1]plan gier'!$X$1:$AF$65536,9,FALSE)))</f>
        <v>21:12,21:11</v>
      </c>
      <c r="I336" s="2" t="str">
        <f>IF(A336=0,"",IF(VLOOKUP(A336,'[1]plan gier'!A$1:S$65536,19,FALSE)="","",VLOOKUP(A336,'[1]plan gier'!A$1:S$65536,19,FALSE)))</f>
        <v>sob 10:00</v>
      </c>
      <c r="J336" s="2" t="str">
        <f>L277</f>
        <v>pojedyncza chłopców MM</v>
      </c>
      <c r="L336" s="9"/>
      <c r="M336" s="193" t="str">
        <f>IF(K336="","",MAX(M278:M335)+1)</f>
        <v/>
      </c>
      <c r="N336" s="9"/>
      <c r="O336" s="9"/>
      <c r="P336" s="113"/>
      <c r="Q336" s="115">
        <v>240</v>
      </c>
      <c r="R336" s="205" t="str">
        <f>IF(F336="","",VLOOKUP(F336,[1]zawodnicy!$A$1:$D$65536,3,FALSE))</f>
        <v>HEMER</v>
      </c>
      <c r="S336" s="2"/>
      <c r="T336" s="2"/>
      <c r="U336" s="213" t="str">
        <f>IF(H335="",I335,H335)</f>
        <v>10:21,21:14,21:10</v>
      </c>
    </row>
    <row r="337" spans="1:21" ht="12.75" x14ac:dyDescent="0.2">
      <c r="L337" s="9"/>
      <c r="M337" s="193" t="str">
        <f>IF(K337="","",MAX(M278:M336)+1)</f>
        <v/>
      </c>
      <c r="N337" s="9"/>
      <c r="O337" s="9"/>
      <c r="P337" s="113"/>
      <c r="Q337" s="116"/>
      <c r="R337" s="114" t="str">
        <f>IF(H336="",I336,H336)</f>
        <v>21:12,21:11</v>
      </c>
      <c r="S337" s="114"/>
      <c r="T337" s="114"/>
      <c r="U337" s="116"/>
    </row>
    <row r="338" spans="1:21" ht="12.75" x14ac:dyDescent="0.2">
      <c r="A338" s="102">
        <f>P338</f>
        <v>187</v>
      </c>
      <c r="B338" s="2" t="str">
        <f>IF(N338="","",N338)</f>
        <v>X49</v>
      </c>
      <c r="D338" s="2" t="str">
        <f>IF(N339="","",N339)</f>
        <v>G5536</v>
      </c>
      <c r="F338" s="2" t="str">
        <f>IF(A338=0,IF(AND(LEN(B338)&gt;0,LEN(D338)=0),VLOOKUP(B338,[1]zawodnicy!$A$1:$E$65536,1,FALSE),IF(AND(LEN(D338)&gt;0,LEN(B338)=0),VLOOKUP(D338,[1]zawodnicy!$A$1:$E$65536,1,FALSE),"")),IF((VLOOKUP(A338,'[1]plan gier'!$X$1:$AF$65536,7,FALSE))="","",VLOOKUP(VLOOKUP(A338,'[1]plan gier'!$X$1:$AF$65536,7,FALSE),[1]zawodnicy!$A$1:$E$65536,1,FALSE)))</f>
        <v>G5536</v>
      </c>
      <c r="H338" s="2" t="str">
        <f>IF(A338=0,"",IF((VLOOKUP(A338,'[1]plan gier'!$X$1:$AF$65536,7,FALSE))="","",VLOOKUP(A338,'[1]plan gier'!$X$1:$AF$65536,9,FALSE)))</f>
        <v>21:0,21:0</v>
      </c>
      <c r="I338" s="2" t="str">
        <f>IF(A338=0,"",IF(VLOOKUP(A338,'[1]plan gier'!A$1:S$65536,19,FALSE)="","",VLOOKUP(A338,'[1]plan gier'!A$1:S$65536,19,FALSE)))</f>
        <v>pt 20:20</v>
      </c>
      <c r="J338" s="2" t="str">
        <f>L277</f>
        <v>pojedyncza chłopców MM</v>
      </c>
      <c r="K338" s="95">
        <f>IF(L276&gt;32,31,"")</f>
        <v>31</v>
      </c>
      <c r="L338" s="188" t="s">
        <v>375</v>
      </c>
      <c r="M338" s="193">
        <f>IF(K338="","",MAX(M278:M337)+1)</f>
        <v>23</v>
      </c>
      <c r="N338" s="198" t="str">
        <f>UPPER(IF(M338="","",IF(ISTEXT(L338),L338,IF(AND(L275&gt;0,M338&gt;0),VLOOKUP(L275&amp;M338&amp;J338,'[1]grup-puch'!I$1:J$65536,2,FALSE),""))))</f>
        <v>X49</v>
      </c>
      <c r="O338" s="199" t="str">
        <f>IF(N338&lt;&gt;"",CONCATENATE(VLOOKUP(N338,[1]zawodnicy!$A$1:$E$65536,2,FALSE)," ",VLOOKUP(N338,[1]zawodnicy!$A$1:$E$65536,3,FALSE)," - ",VLOOKUP(N338,[1]zawodnicy!$A$1:$E$65536,4,FALSE)),"")</f>
        <v>Tomas Miksa  - Slavoj Cesky Tesin</v>
      </c>
      <c r="P338" s="108">
        <v>187</v>
      </c>
      <c r="Q338" s="205" t="str">
        <f>IF(F338="","",VLOOKUP(F338,[1]zawodnicy!$A$1:$D$65536,3,FALSE))</f>
        <v>GRABOWSKI</v>
      </c>
      <c r="R338" s="114"/>
      <c r="S338" s="229" t="s">
        <v>411</v>
      </c>
      <c r="T338" s="229"/>
      <c r="U338" s="116"/>
    </row>
    <row r="339" spans="1:21" ht="12.75" x14ac:dyDescent="0.2">
      <c r="K339" s="95">
        <f>IF(L276&gt;33,32,"")</f>
        <v>32</v>
      </c>
      <c r="L339" s="189" t="s">
        <v>335</v>
      </c>
      <c r="M339" s="193">
        <f>IF(K339="","",MAX(M278:M338)+1)</f>
        <v>24</v>
      </c>
      <c r="N339" s="198" t="str">
        <f>UPPER(IF(M339="","",IF(ISTEXT(L339),L339,IF(AND(L275&gt;0,M339&gt;0),VLOOKUP(L275&amp;M339&amp;J338,'[1]grup-puch'!I$1:J$65536,2,FALSE),""))))</f>
        <v>G5536</v>
      </c>
      <c r="O339" s="199" t="str">
        <f>IF(N339&lt;&gt;"",CONCATENATE(VLOOKUP(N339,[1]zawodnicy!$A$1:$E$65536,2,FALSE)," ",VLOOKUP(N339,[1]zawodnicy!$A$1:$E$65536,3,FALSE)," - ",VLOOKUP(N339,[1]zawodnicy!$A$1:$E$65536,4,FALSE)),"")</f>
        <v>Filip GRABOWSKI - SKB Suwałki</v>
      </c>
      <c r="P339" s="202"/>
      <c r="Q339" s="114" t="str">
        <f>IF(H338="",I338,H338)</f>
        <v>21:0,21:0</v>
      </c>
      <c r="R339" s="214"/>
      <c r="S339" s="229" t="str">
        <f>IF(ISBLANK([1]dane!$D$4),"",[1]dane!$D$4)</f>
        <v>Leszek Jagodziński</v>
      </c>
      <c r="T339" s="229"/>
      <c r="U339" s="116"/>
    </row>
    <row r="340" spans="1:21" ht="12.75" x14ac:dyDescent="0.2">
      <c r="N340" s="229" t="str">
        <f>"Gra"&amp;" "&amp;L277</f>
        <v>Gra pojedyncza chłopców MM</v>
      </c>
      <c r="O340" s="229"/>
      <c r="P340" s="229"/>
      <c r="Q340" s="229"/>
      <c r="R340" s="229"/>
      <c r="S340" s="229"/>
      <c r="T340" s="229"/>
      <c r="U340" s="230"/>
    </row>
    <row r="341" spans="1:21" ht="12.75" x14ac:dyDescent="0.2">
      <c r="M341" s="229" t="s">
        <v>412</v>
      </c>
      <c r="N341" s="229"/>
      <c r="O341" s="229"/>
      <c r="P341" s="229"/>
      <c r="Q341" s="229"/>
      <c r="R341" s="229"/>
      <c r="S341" s="229"/>
      <c r="T341" s="229"/>
      <c r="U341" s="229"/>
    </row>
    <row r="342" spans="1:21" ht="12.75" x14ac:dyDescent="0.2">
      <c r="O342" s="101"/>
      <c r="P342" s="100"/>
      <c r="Q342" s="101"/>
      <c r="R342" s="101"/>
      <c r="S342" s="101"/>
      <c r="T342" s="101"/>
      <c r="U342" s="116"/>
    </row>
    <row r="343" spans="1:21" ht="12.75" x14ac:dyDescent="0.2">
      <c r="P343" s="100"/>
      <c r="Q343" s="101"/>
      <c r="R343" s="101"/>
      <c r="S343" s="101"/>
      <c r="T343" s="101"/>
      <c r="U343" s="116"/>
    </row>
    <row r="344" spans="1:21" ht="12.75" x14ac:dyDescent="0.2">
      <c r="A344" s="102">
        <f>P344</f>
        <v>188</v>
      </c>
      <c r="B344" s="2" t="str">
        <f>IF(N344="","",N344)</f>
        <v>T5801</v>
      </c>
      <c r="D344" s="2" t="str">
        <f>IF(N345="","",N345)</f>
        <v>R4700</v>
      </c>
      <c r="F344" s="2" t="str">
        <f>IF(A344=0,IF(AND(LEN(B344)&gt;0,LEN(D344)=0),VLOOKUP(B344,[1]zawodnicy!$A$1:$E$65536,1,FALSE),IF(AND(LEN(D344)&gt;0,LEN(B344)=0),VLOOKUP(D344,[1]zawodnicy!$A$1:$E$65536,1,FALSE),"")),IF((VLOOKUP(A344,'[1]plan gier'!$X$1:$AF$65536,7,FALSE))="","",VLOOKUP(VLOOKUP(A344,'[1]plan gier'!$X$1:$AF$65536,7,FALSE),[1]zawodnicy!$A$1:$E$65536,1,FALSE)))</f>
        <v>T5801</v>
      </c>
      <c r="H344" s="2" t="str">
        <f>IF(A344=0,"",IF((VLOOKUP(A344,'[1]plan gier'!$X$1:$AF$65536,7,FALSE))="","",VLOOKUP(A344,'[1]plan gier'!$X$1:$AF$65536,9,FALSE)))</f>
        <v>21:12,21:16</v>
      </c>
      <c r="I344" s="2" t="str">
        <f>IF(A344=0,"",IF(VLOOKUP(A344,'[1]plan gier'!A$1:S$65536,19,FALSE)="","",VLOOKUP(A344,'[1]plan gier'!A$1:S$65536,19,FALSE)))</f>
        <v>pt 20:50</v>
      </c>
      <c r="J344" s="2" t="str">
        <f>L277</f>
        <v>pojedyncza chłopców MM</v>
      </c>
      <c r="K344" s="95">
        <f>IF(L276&gt;32,33,"")</f>
        <v>33</v>
      </c>
      <c r="L344" s="221" t="s">
        <v>376</v>
      </c>
      <c r="M344" s="193">
        <f>IF(K344="","",MAX(M278:M343)+1)</f>
        <v>25</v>
      </c>
      <c r="N344" s="198" t="str">
        <f>UPPER(IF(M344="","",IF(ISTEXT(L344),L344,IF(AND(L275&gt;0,M344&gt;0),VLOOKUP(L275&amp;M344&amp;J344,'[1]grup-puch'!I$1:J$65536,2,FALSE),""))))</f>
        <v>T5801</v>
      </c>
      <c r="O344" s="199" t="str">
        <f>IF(N344&lt;&gt;"",CONCATENATE(VLOOKUP(N344,[1]zawodnicy!$A$1:$E$65536,2,FALSE)," ",VLOOKUP(N344,[1]zawodnicy!$A$1:$E$65536,3,FALSE)," - ",VLOOKUP(N344,[1]zawodnicy!$A$1:$E$65536,4,FALSE)),"")</f>
        <v>Wiktor TRECKI - UKS Unia Bieruń</v>
      </c>
      <c r="P344" s="108">
        <v>188</v>
      </c>
      <c r="Q344" s="200" t="str">
        <f>IF(F344="","",VLOOKUP(F344,[1]zawodnicy!$A$1:$D$65536,3,FALSE))</f>
        <v>TRECKI</v>
      </c>
      <c r="R344" s="114"/>
      <c r="S344" s="114"/>
      <c r="T344" s="114"/>
      <c r="U344" s="116"/>
    </row>
    <row r="345" spans="1:21" ht="12.75" x14ac:dyDescent="0.2">
      <c r="K345" s="95">
        <f>IF(L276&gt;32,34,"")</f>
        <v>34</v>
      </c>
      <c r="L345" s="190" t="s">
        <v>365</v>
      </c>
      <c r="M345" s="193">
        <f>IF(K345="","",MAX(M278:M344)+1)</f>
        <v>26</v>
      </c>
      <c r="N345" s="198" t="str">
        <f>UPPER(IF(M345="","",IF(ISTEXT(L345),L345,IF(AND(L275&gt;0,M345&gt;0),VLOOKUP(L275&amp;M345&amp;J344,'[1]grup-puch'!I$1:J$65536,2,FALSE),""))))</f>
        <v>R4700</v>
      </c>
      <c r="O345" s="199" t="str">
        <f>IF(N345&lt;&gt;"",CONCATENATE(VLOOKUP(N345,[1]zawodnicy!$A$1:$E$65536,2,FALSE)," ",VLOOKUP(N345,[1]zawodnicy!$A$1:$E$65536,3,FALSE)," - ",VLOOKUP(N345,[1]zawodnicy!$A$1:$E$65536,4,FALSE)),"")</f>
        <v>Paweł RADZIWON - UKS Hubal Białystok</v>
      </c>
      <c r="P345" s="202"/>
      <c r="Q345" s="203" t="str">
        <f>IF(H344="",I344,H344)</f>
        <v>21:12,21:16</v>
      </c>
      <c r="R345" s="114"/>
      <c r="S345" s="114"/>
      <c r="T345" s="114"/>
      <c r="U345" s="116"/>
    </row>
    <row r="346" spans="1:21" ht="12.75" x14ac:dyDescent="0.2">
      <c r="A346" s="111">
        <f>Q346</f>
        <v>241</v>
      </c>
      <c r="B346" s="2" t="str">
        <f>F344</f>
        <v>T5801</v>
      </c>
      <c r="D346" s="2" t="str">
        <f>F348</f>
        <v>G4725</v>
      </c>
      <c r="F346" s="2" t="str">
        <f>IF(A346=0,IF(AND(LEN(B346)&gt;0,LEN(D346)=0),B346,IF(AND(LEN(D346)&gt;0,LEN(B346)=0),D346,"")),IF((VLOOKUP(A346,'[1]plan gier'!$X$1:$AF$65536,7,FALSE))="","",VLOOKUP(VLOOKUP(A346,'[1]plan gier'!$X$1:$AF$65536,7,FALSE),[1]zawodnicy!$A$1:$E$65536,1,FALSE)))</f>
        <v>G4725</v>
      </c>
      <c r="H346" s="2" t="str">
        <f>IF(A346=0,"",IF((VLOOKUP(A346,'[1]plan gier'!$X$1:$AF$65536,7,FALSE))="","",VLOOKUP(A346,'[1]plan gier'!$X$1:$AF$65536,9,FALSE)))</f>
        <v>21:8,21:10</v>
      </c>
      <c r="I346" s="2" t="str">
        <f>IF(A346=0,"",IF(VLOOKUP(A346,'[1]plan gier'!A$1:S$65536,19,FALSE)="","",VLOOKUP(A346,'[1]plan gier'!A$1:S$65536,19,FALSE)))</f>
        <v>sob 10:00</v>
      </c>
      <c r="J346" s="2" t="str">
        <f>L277</f>
        <v>pojedyncza chłopców MM</v>
      </c>
      <c r="L346" s="9"/>
      <c r="N346" s="9"/>
      <c r="O346" s="9"/>
      <c r="P346" s="113"/>
      <c r="Q346" s="115">
        <v>241</v>
      </c>
      <c r="R346" s="200" t="str">
        <f>IF(F346="","",VLOOKUP(F346,[1]zawodnicy!$A$1:$D$65536,3,FALSE))</f>
        <v>GAŁĄZKA</v>
      </c>
      <c r="S346" s="114"/>
      <c r="T346" s="114"/>
      <c r="U346" s="116"/>
    </row>
    <row r="347" spans="1:21" ht="12.75" x14ac:dyDescent="0.2">
      <c r="L347" s="9"/>
      <c r="N347" s="9"/>
      <c r="O347" s="9"/>
      <c r="P347" s="113"/>
      <c r="Q347" s="116"/>
      <c r="R347" s="203" t="str">
        <f>IF(H346="",I346,H346)</f>
        <v>21:8,21:10</v>
      </c>
      <c r="S347" s="114"/>
      <c r="T347" s="114"/>
      <c r="U347" s="116"/>
    </row>
    <row r="348" spans="1:21" ht="12.75" x14ac:dyDescent="0.2">
      <c r="A348" s="102">
        <f>P348</f>
        <v>189</v>
      </c>
      <c r="B348" s="2" t="str">
        <f>IF(N348="","",N348)</f>
        <v>G4725</v>
      </c>
      <c r="D348" s="2" t="str">
        <f>IF(N349="","",N349)</f>
        <v>U5145</v>
      </c>
      <c r="F348" s="2" t="str">
        <f>IF(A348=0,IF(AND(LEN(B348)&gt;0,LEN(D348)=0),VLOOKUP(B348,[1]zawodnicy!$A$1:$E$65536,1,FALSE),IF(AND(LEN(D348)&gt;0,LEN(B348)=0),VLOOKUP(D348,[1]zawodnicy!$A$1:$E$65536,1,FALSE),"")),IF((VLOOKUP(A348,'[1]plan gier'!$X$1:$AF$65536,7,FALSE))="","",VLOOKUP(VLOOKUP(A348,'[1]plan gier'!$X$1:$AF$65536,7,FALSE),[1]zawodnicy!$A$1:$E$65536,1,FALSE)))</f>
        <v>G4725</v>
      </c>
      <c r="H348" s="2" t="str">
        <f>IF(A348=0,"",IF((VLOOKUP(A348,'[1]plan gier'!$X$1:$AF$65536,7,FALSE))="","",VLOOKUP(A348,'[1]plan gier'!$X$1:$AF$65536,9,FALSE)))</f>
        <v>21:8,21:9</v>
      </c>
      <c r="I348" s="2" t="str">
        <f>IF(A348=0,"",IF(VLOOKUP(A348,'[1]plan gier'!A$1:S$65536,19,FALSE)="","",VLOOKUP(A348,'[1]plan gier'!A$1:S$65536,19,FALSE)))</f>
        <v>pt 20:50</v>
      </c>
      <c r="J348" s="2" t="str">
        <f>L277</f>
        <v>pojedyncza chłopców MM</v>
      </c>
      <c r="K348" s="95">
        <f>IF(L276&gt;40,35,"")</f>
        <v>35</v>
      </c>
      <c r="L348" s="189" t="s">
        <v>350</v>
      </c>
      <c r="M348" s="193">
        <f>IF(K348="","",MAX(M278:M347)+1)</f>
        <v>27</v>
      </c>
      <c r="N348" s="198" t="str">
        <f>UPPER(IF(M348="","",IF(ISTEXT(L348),L348,IF(AND(L275&gt;0,M348&gt;0),VLOOKUP(L275&amp;M348&amp;J348,'[1]grup-puch'!I$1:J$65536,2,FALSE),""))))</f>
        <v>G4725</v>
      </c>
      <c r="O348" s="199" t="str">
        <f>IF(N348&lt;&gt;"",CONCATENATE(VLOOKUP(N348,[1]zawodnicy!$A$1:$E$65536,2,FALSE)," ",VLOOKUP(N348,[1]zawodnicy!$A$1:$E$65536,3,FALSE)," - ",VLOOKUP(N348,[1]zawodnicy!$A$1:$E$65536,4,FALSE)),"")</f>
        <v>Bartosz GAŁĄZKA - LKS Technik Głubczyce</v>
      </c>
      <c r="P348" s="108">
        <v>189</v>
      </c>
      <c r="Q348" s="205" t="str">
        <f>IF(F348="","",VLOOKUP(F348,[1]zawodnicy!$A$1:$D$65536,3,FALSE))</f>
        <v>GAŁĄZKA</v>
      </c>
      <c r="R348" s="116"/>
      <c r="S348" s="114"/>
      <c r="T348" s="114"/>
      <c r="U348" s="116"/>
    </row>
    <row r="349" spans="1:21" ht="12.75" x14ac:dyDescent="0.2">
      <c r="K349" s="95">
        <f>IF(L276&gt;32,36,"")</f>
        <v>36</v>
      </c>
      <c r="L349" s="222" t="s">
        <v>355</v>
      </c>
      <c r="M349" s="193">
        <f>IF(K349="","",MAX(M278:M348)+1)</f>
        <v>28</v>
      </c>
      <c r="N349" s="198" t="str">
        <f>UPPER(IF(M349="","",IF(ISTEXT(L349),L349,IF(AND(L275&gt;0,M349&gt;0),VLOOKUP(L275&amp;M349&amp;J348,'[1]grup-puch'!I$1:J$65536,2,FALSE),""))))</f>
        <v>U5145</v>
      </c>
      <c r="O349" s="199" t="str">
        <f>IF(N349&lt;&gt;"",CONCATENATE(VLOOKUP(N349,[1]zawodnicy!$A$1:$E$65536,2,FALSE)," ",VLOOKUP(N349,[1]zawodnicy!$A$1:$E$65536,3,FALSE)," - ",VLOOKUP(N349,[1]zawodnicy!$A$1:$E$65536,4,FALSE)),"")</f>
        <v>Maciej URBANIAK - UKS Kopernik Słupca</v>
      </c>
      <c r="P349" s="202"/>
      <c r="Q349" s="114" t="str">
        <f>IF(H348="",I348,H348)</f>
        <v>21:8,21:9</v>
      </c>
      <c r="R349" s="116"/>
      <c r="S349" s="114"/>
      <c r="T349" s="114"/>
      <c r="U349" s="116"/>
    </row>
    <row r="350" spans="1:21" ht="12.75" x14ac:dyDescent="0.2">
      <c r="A350" s="118">
        <f>R350</f>
        <v>313</v>
      </c>
      <c r="B350" s="2" t="str">
        <f>F346</f>
        <v>G4725</v>
      </c>
      <c r="D350" s="2" t="str">
        <f>F354</f>
        <v>X08</v>
      </c>
      <c r="F350" s="2" t="str">
        <f>IF(A350=0,IF(AND(LEN(B350)&gt;0,LEN(D350)=0),B350,IF(AND(LEN(D350)&gt;0,LEN(B350)=0),D350,"")),IF((VLOOKUP(A350,'[1]plan gier'!$X$1:$AF$65536,7,FALSE))="","",VLOOKUP(VLOOKUP(A350,'[1]plan gier'!$X$1:$AF$65536,7,FALSE),[1]zawodnicy!$A$1:$E$65536,1,FALSE)))</f>
        <v>G4725</v>
      </c>
      <c r="H350" s="2" t="str">
        <f>IF(A350=0,"",IF((VLOOKUP(A350,'[1]plan gier'!$X$1:$AF$65536,7,FALSE))="","",VLOOKUP(A350,'[1]plan gier'!$X$1:$AF$65536,9,FALSE)))</f>
        <v>21:11,21:7</v>
      </c>
      <c r="I350" s="2" t="str">
        <f>IF(A350=0,"",IF(VLOOKUP(A350,'[1]plan gier'!A$1:S$65536,19,FALSE)="","",VLOOKUP(A350,'[1]plan gier'!A$1:S$65536,19,FALSE)))</f>
        <v>sob 14:40</v>
      </c>
      <c r="J350" s="2" t="str">
        <f>L277</f>
        <v>pojedyncza chłopców MM</v>
      </c>
      <c r="L350" s="9"/>
      <c r="N350" s="9"/>
      <c r="O350" s="9"/>
      <c r="P350" s="113"/>
      <c r="Q350" s="114"/>
      <c r="R350" s="206">
        <v>313</v>
      </c>
      <c r="S350" s="200" t="str">
        <f>IF(F350="","",VLOOKUP(F350,[1]zawodnicy!$A$1:$D$65536,3,FALSE))</f>
        <v>GAŁĄZKA</v>
      </c>
      <c r="T350" s="114"/>
      <c r="U350" s="116"/>
    </row>
    <row r="351" spans="1:21" ht="12.75" x14ac:dyDescent="0.2">
      <c r="L351" s="9"/>
      <c r="N351" s="9"/>
      <c r="O351" s="9"/>
      <c r="P351" s="113"/>
      <c r="Q351" s="114"/>
      <c r="R351" s="116"/>
      <c r="S351" s="203" t="str">
        <f>IF(H350="",I350,H350)</f>
        <v>21:11,21:7</v>
      </c>
      <c r="T351" s="114"/>
      <c r="U351" s="116"/>
    </row>
    <row r="352" spans="1:21" ht="12.75" x14ac:dyDescent="0.2">
      <c r="A352" s="102">
        <f>P352</f>
        <v>190</v>
      </c>
      <c r="B352" s="2" t="str">
        <f>IF(N352="","",N352)</f>
        <v>X08</v>
      </c>
      <c r="D352" s="2" t="str">
        <f>IF(N353="","",N353)</f>
        <v>S5068</v>
      </c>
      <c r="F352" s="2" t="str">
        <f>IF(A352=0,IF(AND(LEN(B352)&gt;0,LEN(D352)=0),VLOOKUP(B352,[1]zawodnicy!$A$1:$E$65536,1,FALSE),IF(AND(LEN(D352)&gt;0,LEN(B352)=0),VLOOKUP(D352,[1]zawodnicy!$A$1:$E$65536,1,FALSE),"")),IF((VLOOKUP(A352,'[1]plan gier'!$X$1:$AF$65536,7,FALSE))="","",VLOOKUP(VLOOKUP(A352,'[1]plan gier'!$X$1:$AF$65536,7,FALSE),[1]zawodnicy!$A$1:$E$65536,1,FALSE)))</f>
        <v>X08</v>
      </c>
      <c r="H352" s="2" t="str">
        <f>IF(A352=0,"",IF((VLOOKUP(A352,'[1]plan gier'!$X$1:$AF$65536,7,FALSE))="","",VLOOKUP(A352,'[1]plan gier'!$X$1:$AF$65536,9,FALSE)))</f>
        <v>21:4,21:9</v>
      </c>
      <c r="I352" s="2" t="str">
        <f>IF(A352=0,"",IF(VLOOKUP(A352,'[1]plan gier'!A$1:S$65536,19,FALSE)="","",VLOOKUP(A352,'[1]plan gier'!A$1:S$65536,19,FALSE)))</f>
        <v>pt 20:50</v>
      </c>
      <c r="J352" s="2" t="str">
        <f>L277</f>
        <v>pojedyncza chłopców MM</v>
      </c>
      <c r="K352" s="95">
        <f>IF(L276&gt;48,37,"")</f>
        <v>37</v>
      </c>
      <c r="L352" s="218" t="s">
        <v>270</v>
      </c>
      <c r="M352" s="193">
        <f>IF(K352="","",MAX(M278:M351)+1)</f>
        <v>29</v>
      </c>
      <c r="N352" s="198" t="str">
        <f>UPPER(IF(M352="","",IF(ISTEXT(L352),L352,IF(AND(L275&gt;0,M352&gt;0),VLOOKUP(L275&amp;M352&amp;J352,'[1]grup-puch'!I$1:J$65536,2,FALSE),""))))</f>
        <v>X08</v>
      </c>
      <c r="O352" s="199" t="str">
        <f>IF(N352&lt;&gt;"",CONCATENATE(VLOOKUP(N352,[1]zawodnicy!$A$1:$E$65536,2,FALSE)," ",VLOOKUP(N352,[1]zawodnicy!$A$1:$E$65536,3,FALSE)," - ",VLOOKUP(N352,[1]zawodnicy!$A$1:$E$65536,4,FALSE)),"")</f>
        <v>Ilia LARUSIN - Brześć Białoruś</v>
      </c>
      <c r="P352" s="108">
        <v>190</v>
      </c>
      <c r="Q352" s="200" t="str">
        <f>IF(F352="","",VLOOKUP(F352,[1]zawodnicy!$A$1:$D$65536,3,FALSE))</f>
        <v>LARUSIN</v>
      </c>
      <c r="R352" s="116"/>
      <c r="S352" s="116"/>
      <c r="T352" s="114"/>
      <c r="U352" s="116"/>
    </row>
    <row r="353" spans="1:21" ht="12.75" x14ac:dyDescent="0.2">
      <c r="K353" s="95">
        <f>IF(L276&gt;32,38,"")</f>
        <v>38</v>
      </c>
      <c r="L353" s="218" t="s">
        <v>341</v>
      </c>
      <c r="M353" s="193">
        <f>IF(K353="","",MAX(M278:M352)+1)</f>
        <v>30</v>
      </c>
      <c r="N353" s="198" t="str">
        <f>UPPER(IF(M353="","",IF(ISTEXT(L353),L353,IF(AND(L275&gt;0,M353&gt;0),VLOOKUP(L275&amp;M353&amp;J352,'[1]grup-puch'!I$1:J$65536,2,FALSE),""))))</f>
        <v>S5068</v>
      </c>
      <c r="O353" s="199" t="str">
        <f>IF(N353&lt;&gt;"",CONCATENATE(VLOOKUP(N353,[1]zawodnicy!$A$1:$E$65536,2,FALSE)," ",VLOOKUP(N353,[1]zawodnicy!$A$1:$E$65536,3,FALSE)," - ",VLOOKUP(N353,[1]zawodnicy!$A$1:$E$65536,4,FALSE)),"")</f>
        <v>Stanisław SIERZPUTOWSKI - AZSUW Warszawa</v>
      </c>
      <c r="P353" s="202"/>
      <c r="Q353" s="203" t="str">
        <f>IF(H352="",I352,H352)</f>
        <v>21:4,21:9</v>
      </c>
      <c r="R353" s="116"/>
      <c r="S353" s="116"/>
      <c r="T353" s="114"/>
      <c r="U353" s="116"/>
    </row>
    <row r="354" spans="1:21" ht="12.75" x14ac:dyDescent="0.2">
      <c r="A354" s="111">
        <f>Q354</f>
        <v>242</v>
      </c>
      <c r="B354" s="2" t="str">
        <f>F352</f>
        <v>X08</v>
      </c>
      <c r="D354" s="2" t="str">
        <f>F356</f>
        <v>C4264</v>
      </c>
      <c r="F354" s="2" t="str">
        <f>IF(A354=0,IF(AND(LEN(B354)&gt;0,LEN(D354)=0),B354,IF(AND(LEN(D354)&gt;0,LEN(B354)=0),D354,"")),IF((VLOOKUP(A354,'[1]plan gier'!$X$1:$AF$65536,7,FALSE))="","",VLOOKUP(VLOOKUP(A354,'[1]plan gier'!$X$1:$AF$65536,7,FALSE),[1]zawodnicy!$A$1:$E$65536,1,FALSE)))</f>
        <v>X08</v>
      </c>
      <c r="H354" s="2" t="str">
        <f>IF(A354=0,"",IF((VLOOKUP(A354,'[1]plan gier'!$X$1:$AF$65536,7,FALSE))="","",VLOOKUP(A354,'[1]plan gier'!$X$1:$AF$65536,9,FALSE)))</f>
        <v>12:21,21:16,22:20</v>
      </c>
      <c r="I354" s="2" t="str">
        <f>IF(A354=0,"",IF(VLOOKUP(A354,'[1]plan gier'!A$1:S$65536,19,FALSE)="","",VLOOKUP(A354,'[1]plan gier'!A$1:S$65536,19,FALSE)))</f>
        <v>sob 10:00</v>
      </c>
      <c r="J354" s="2" t="str">
        <f>L277</f>
        <v>pojedyncza chłopców MM</v>
      </c>
      <c r="L354" s="9"/>
      <c r="N354" s="9"/>
      <c r="O354" s="9"/>
      <c r="P354" s="113"/>
      <c r="Q354" s="115">
        <v>242</v>
      </c>
      <c r="R354" s="205" t="str">
        <f>IF(F354="","",VLOOKUP(F354,[1]zawodnicy!$A$1:$D$65536,3,FALSE))</f>
        <v>LARUSIN</v>
      </c>
      <c r="S354" s="116"/>
      <c r="T354" s="114"/>
      <c r="U354" s="116"/>
    </row>
    <row r="355" spans="1:21" ht="12.75" x14ac:dyDescent="0.2">
      <c r="L355" s="9"/>
      <c r="N355" s="9"/>
      <c r="O355" s="9"/>
      <c r="P355" s="113"/>
      <c r="Q355" s="116"/>
      <c r="R355" s="114" t="str">
        <f>IF(H354="",I354,H354)</f>
        <v>12:21,21:16,22:20</v>
      </c>
      <c r="S355" s="116"/>
      <c r="T355" s="114"/>
      <c r="U355" s="116"/>
    </row>
    <row r="356" spans="1:21" ht="12.75" x14ac:dyDescent="0.2">
      <c r="A356" s="102">
        <f>P356</f>
        <v>0</v>
      </c>
      <c r="B356" s="2" t="str">
        <f>IF(N356="","",N356)</f>
        <v/>
      </c>
      <c r="D356" s="2" t="str">
        <f>IF(N357="","",N357)</f>
        <v>C4264</v>
      </c>
      <c r="F356" s="2" t="str">
        <f>IF(A356=0,IF(AND(LEN(B356)&gt;0,LEN(D356)=0),VLOOKUP(B356,[1]zawodnicy!$A$1:$E$65536,1,FALSE),IF(AND(LEN(D356)&gt;0,LEN(B356)=0),VLOOKUP(D356,[1]zawodnicy!$A$1:$E$65536,1,FALSE),"")),IF((VLOOKUP(A356,'[1]plan gier'!$X$1:$AF$65536,7,FALSE))="","",VLOOKUP(VLOOKUP(A356,'[1]plan gier'!$X$1:$AF$65536,7,FALSE),[1]zawodnicy!$A$1:$E$65536,1,FALSE)))</f>
        <v>C4264</v>
      </c>
      <c r="H356" s="2" t="str">
        <f>IF(A356=0,"",IF((VLOOKUP(A356,'[1]plan gier'!$X$1:$AF$65536,7,FALSE))="","",VLOOKUP(A356,'[1]plan gier'!$X$1:$AF$65536,9,FALSE)))</f>
        <v/>
      </c>
      <c r="I356" s="2" t="str">
        <f>IF(A356=0,"",IF(VLOOKUP(A356,'[1]plan gier'!A$1:S$65536,19,FALSE)="","",VLOOKUP(A356,'[1]plan gier'!A$1:S$65536,19,FALSE)))</f>
        <v/>
      </c>
      <c r="J356" s="2" t="str">
        <f>L277</f>
        <v>pojedyncza chłopców MM</v>
      </c>
      <c r="K356" s="95" t="str">
        <f>IF(L276&gt;56,39,"")</f>
        <v/>
      </c>
      <c r="L356" s="198" t="str">
        <f>UPPER(IF(K356="","",IF(ISTEXT(J356),J356,IF(AND(J275&gt;0,K356&gt;0),VLOOKUP(J275&amp;K356&amp;H356,'[4]grup-puch'!G$1:H$65536,2,FALSE),""))))</f>
        <v/>
      </c>
      <c r="M356" s="193" t="str">
        <f>IF(K356="","",MAX(M278:M355)+1)</f>
        <v/>
      </c>
      <c r="N356" s="198" t="str">
        <f>UPPER(IF(M356="","",IF(ISTEXT(L356),L356,IF(AND(L275&gt;0,M356&gt;0),VLOOKUP(L275&amp;M356&amp;J356,'[1]grup-puch'!I$1:J$65536,2,FALSE),""))))</f>
        <v/>
      </c>
      <c r="O356" s="199" t="str">
        <f>IF(N356&lt;&gt;"",CONCATENATE(VLOOKUP(N356,[1]zawodnicy!$A$1:$E$65536,2,FALSE)," ",VLOOKUP(N356,[1]zawodnicy!$A$1:$E$65536,3,FALSE)," - ",VLOOKUP(N356,[1]zawodnicy!$A$1:$E$65536,4,FALSE)),"")</f>
        <v/>
      </c>
      <c r="P356" s="108"/>
      <c r="Q356" s="205" t="str">
        <f>IF(F356="","",VLOOKUP(F356,[1]zawodnicy!$A$1:$D$65536,3,FALSE))</f>
        <v>CYBULSKI</v>
      </c>
      <c r="R356" s="114"/>
      <c r="S356" s="116"/>
      <c r="T356" s="114"/>
      <c r="U356" s="116"/>
    </row>
    <row r="357" spans="1:21" ht="12.75" x14ac:dyDescent="0.2">
      <c r="K357" s="95">
        <f>IF(L276&gt;32,40,"")</f>
        <v>40</v>
      </c>
      <c r="L357" s="188" t="s">
        <v>331</v>
      </c>
      <c r="M357" s="193">
        <f>IF(K357="","",MAX(M278:M356)+1)</f>
        <v>31</v>
      </c>
      <c r="N357" s="198" t="str">
        <f>UPPER(IF(M357="","",IF(ISTEXT(L357),L357,IF(AND(L275&gt;0,M357&gt;0),VLOOKUP(L275&amp;M357&amp;J356,'[1]grup-puch'!I$1:J$65536,2,FALSE),""))))</f>
        <v>C4264</v>
      </c>
      <c r="O357" s="199" t="str">
        <f>IF(N357&lt;&gt;"",CONCATENATE(VLOOKUP(N357,[1]zawodnicy!$A$1:$E$65536,2,FALSE)," ",VLOOKUP(N357,[1]zawodnicy!$A$1:$E$65536,3,FALSE)," - ",VLOOKUP(N357,[1]zawodnicy!$A$1:$E$65536,4,FALSE)),"")</f>
        <v>Szymon CYBULSKI - MKB Lednik Miastko</v>
      </c>
      <c r="P357" s="202"/>
      <c r="Q357" s="114" t="str">
        <f>IF(H356="",I356,H356)</f>
        <v/>
      </c>
      <c r="R357" s="114"/>
      <c r="S357" s="116"/>
      <c r="T357" s="114"/>
      <c r="U357" s="116"/>
    </row>
    <row r="358" spans="1:21" ht="12.75" x14ac:dyDescent="0.2">
      <c r="A358" s="172">
        <f>S358</f>
        <v>367</v>
      </c>
      <c r="B358" s="2" t="str">
        <f>F350</f>
        <v>G4725</v>
      </c>
      <c r="D358" s="2" t="str">
        <f>F366</f>
        <v>Z4312</v>
      </c>
      <c r="F358" s="2" t="str">
        <f>IF(A358=0,IF(AND(LEN(B358)&gt;0,LEN(D358)=0),B358,IF(AND(LEN(D358)&gt;0,LEN(B358)=0),D358,"")),IF((VLOOKUP(A358,'[1]plan gier'!$X$1:$AF$65536,7,FALSE))="","",VLOOKUP(VLOOKUP(A358,'[1]plan gier'!$X$1:$AF$65536,7,FALSE),[1]zawodnicy!$A$1:$E$65536,1,FALSE)))</f>
        <v>G4725</v>
      </c>
      <c r="H358" s="2" t="str">
        <f>IF(A358=0,"",IF((VLOOKUP(A358,'[1]plan gier'!$X$1:$AF$65536,7,FALSE))="","",VLOOKUP(A358,'[1]plan gier'!$X$1:$AF$65536,9,FALSE)))</f>
        <v>21:9,21:9</v>
      </c>
      <c r="I358" s="2" t="str">
        <f>IF(A358=0,"",IF(VLOOKUP(A358,'[1]plan gier'!A$1:S$65536,19,FALSE)="","",VLOOKUP(A358,'[1]plan gier'!A$1:S$65536,19,FALSE)))</f>
        <v>sob 17:30</v>
      </c>
      <c r="J358" s="2" t="str">
        <f>L277</f>
        <v>pojedyncza chłopców MM</v>
      </c>
      <c r="L358" s="9"/>
      <c r="N358" s="9"/>
      <c r="O358" s="9"/>
      <c r="P358" s="113"/>
      <c r="Q358" s="114"/>
      <c r="R358" s="114"/>
      <c r="S358" s="115">
        <v>367</v>
      </c>
      <c r="T358" s="200" t="str">
        <f>IF(F358="","",VLOOKUP(F358,[1]zawodnicy!$A$1:$D$65536,3,FALSE))</f>
        <v>GAŁĄZKA</v>
      </c>
      <c r="U358" s="116"/>
    </row>
    <row r="359" spans="1:21" ht="12.75" x14ac:dyDescent="0.2">
      <c r="L359" s="9"/>
      <c r="N359" s="9"/>
      <c r="O359" s="9"/>
      <c r="P359" s="113"/>
      <c r="Q359" s="114"/>
      <c r="R359" s="114"/>
      <c r="S359" s="116"/>
      <c r="T359" s="203" t="str">
        <f>IF(H358="",I358,H358)</f>
        <v>21:9,21:9</v>
      </c>
      <c r="U359" s="116"/>
    </row>
    <row r="360" spans="1:21" ht="12.75" x14ac:dyDescent="0.2">
      <c r="A360" s="102">
        <f>P360</f>
        <v>191</v>
      </c>
      <c r="B360" s="2" t="str">
        <f>IF(N360="","",N360)</f>
        <v>G5128</v>
      </c>
      <c r="D360" s="2" t="str">
        <f>IF(N361="","",N361)</f>
        <v>P5350</v>
      </c>
      <c r="F360" s="2" t="str">
        <f>IF(A360=0,IF(AND(LEN(B360)&gt;0,LEN(D360)=0),VLOOKUP(B360,[1]zawodnicy!$A$1:$E$65536,1,FALSE),IF(AND(LEN(D360)&gt;0,LEN(B360)=0),VLOOKUP(D360,[1]zawodnicy!$A$1:$E$65536,1,FALSE),"")),IF((VLOOKUP(A360,'[1]plan gier'!$X$1:$AF$65536,7,FALSE))="","",VLOOKUP(VLOOKUP(A360,'[1]plan gier'!$X$1:$AF$65536,7,FALSE),[1]zawodnicy!$A$1:$E$65536,1,FALSE)))</f>
        <v>P5350</v>
      </c>
      <c r="H360" s="2" t="str">
        <f>IF(A360=0,"",IF((VLOOKUP(A360,'[1]plan gier'!$X$1:$AF$65536,7,FALSE))="","",VLOOKUP(A360,'[1]plan gier'!$X$1:$AF$65536,9,FALSE)))</f>
        <v>21:18,14:21,21:18</v>
      </c>
      <c r="I360" s="2" t="str">
        <f>IF(A360=0,"",IF(VLOOKUP(A360,'[1]plan gier'!A$1:S$65536,19,FALSE)="","",VLOOKUP(A360,'[1]plan gier'!A$1:S$65536,19,FALSE)))</f>
        <v>pt 20:50</v>
      </c>
      <c r="J360" s="2" t="str">
        <f>L277</f>
        <v>pojedyncza chłopców MM</v>
      </c>
      <c r="K360" s="95">
        <f>IF(L276&gt;36,41,"")</f>
        <v>41</v>
      </c>
      <c r="L360" s="219" t="s">
        <v>336</v>
      </c>
      <c r="M360" s="193">
        <f>IF(K360="","",MAX(M278:M359)+1)</f>
        <v>32</v>
      </c>
      <c r="N360" s="198" t="str">
        <f>UPPER(IF(M360="","",IF(ISTEXT(L360),L360,IF(AND(L275&gt;0,M360&gt;0),VLOOKUP(L275&amp;M360&amp;J360,'[1]grup-puch'!I$1:J$65536,2,FALSE),""))))</f>
        <v>G5128</v>
      </c>
      <c r="O360" s="199" t="str">
        <f>IF(N360&lt;&gt;"",CONCATENATE(VLOOKUP(N360,[1]zawodnicy!$A$1:$E$65536,2,FALSE)," ",VLOOKUP(N360,[1]zawodnicy!$A$1:$E$65536,3,FALSE)," - ",VLOOKUP(N360,[1]zawodnicy!$A$1:$E$65536,4,FALSE)),"")</f>
        <v>Artur GWIAZDOWSKI - UKS Korona Pabianice</v>
      </c>
      <c r="P360" s="108">
        <v>191</v>
      </c>
      <c r="Q360" s="200" t="str">
        <f>IF(F360="","",VLOOKUP(F360,[1]zawodnicy!$A$1:$D$65536,3,FALSE))</f>
        <v>PIOTROWSKI</v>
      </c>
      <c r="R360" s="114"/>
      <c r="S360" s="116"/>
      <c r="T360" s="116"/>
      <c r="U360" s="116"/>
    </row>
    <row r="361" spans="1:21" ht="12.75" x14ac:dyDescent="0.2">
      <c r="K361" s="95">
        <f>IF(L276&gt;32,42,"")</f>
        <v>42</v>
      </c>
      <c r="L361" s="189" t="s">
        <v>352</v>
      </c>
      <c r="M361" s="193">
        <f>IF(K361="","",MAX(M278:M360)+1)</f>
        <v>33</v>
      </c>
      <c r="N361" s="198" t="str">
        <f>UPPER(IF(M361="","",IF(ISTEXT(L361),L361,IF(AND(L275&gt;0,M361&gt;0),VLOOKUP(L275&amp;M361&amp;J360,'[1]grup-puch'!I$1:J$65536,2,FALSE),""))))</f>
        <v>P5350</v>
      </c>
      <c r="O361" s="199" t="str">
        <f>IF(N361&lt;&gt;"",CONCATENATE(VLOOKUP(N361,[1]zawodnicy!$A$1:$E$65536,2,FALSE)," ",VLOOKUP(N361,[1]zawodnicy!$A$1:$E$65536,3,FALSE)," - ",VLOOKUP(N361,[1]zawodnicy!$A$1:$E$65536,4,FALSE)),"")</f>
        <v>Miłosz PIOTROWSKI - UKS Kiko Zamość</v>
      </c>
      <c r="P361" s="202"/>
      <c r="Q361" s="203" t="str">
        <f>IF(H360="",I360,H360)</f>
        <v>21:18,14:21,21:18</v>
      </c>
      <c r="R361" s="114"/>
      <c r="S361" s="116"/>
      <c r="T361" s="116"/>
      <c r="U361" s="116"/>
    </row>
    <row r="362" spans="1:21" ht="12.75" x14ac:dyDescent="0.2">
      <c r="A362" s="111">
        <f>Q362</f>
        <v>243</v>
      </c>
      <c r="B362" s="2" t="str">
        <f>F360</f>
        <v>P5350</v>
      </c>
      <c r="D362" s="2" t="str">
        <f>F364</f>
        <v>K4702</v>
      </c>
      <c r="F362" s="2" t="str">
        <f>IF(A362=0,IF(AND(LEN(B362)&gt;0,LEN(D362)=0),B362,IF(AND(LEN(D362)&gt;0,LEN(B362)=0),D362,"")),IF((VLOOKUP(A362,'[1]plan gier'!$X$1:$AF$65536,7,FALSE))="","",VLOOKUP(VLOOKUP(A362,'[1]plan gier'!$X$1:$AF$65536,7,FALSE),[1]zawodnicy!$A$1:$E$65536,1,FALSE)))</f>
        <v>P5350</v>
      </c>
      <c r="H362" s="2" t="str">
        <f>IF(A362=0,"",IF((VLOOKUP(A362,'[1]plan gier'!$X$1:$AF$65536,7,FALSE))="","",VLOOKUP(A362,'[1]plan gier'!$X$1:$AF$65536,9,FALSE)))</f>
        <v>21:15,21:15</v>
      </c>
      <c r="I362" s="2" t="str">
        <f>IF(A362=0,"",IF(VLOOKUP(A362,'[1]plan gier'!A$1:S$65536,19,FALSE)="","",VLOOKUP(A362,'[1]plan gier'!A$1:S$65536,19,FALSE)))</f>
        <v>sob 10:20</v>
      </c>
      <c r="J362" s="2" t="str">
        <f>L277</f>
        <v>pojedyncza chłopców MM</v>
      </c>
      <c r="L362" s="9"/>
      <c r="N362" s="9"/>
      <c r="O362" s="9"/>
      <c r="P362" s="113"/>
      <c r="Q362" s="115">
        <v>243</v>
      </c>
      <c r="R362" s="200" t="str">
        <f>IF(F362="","",VLOOKUP(F362,[1]zawodnicy!$A$1:$D$65536,3,FALSE))</f>
        <v>PIOTROWSKI</v>
      </c>
      <c r="S362" s="116"/>
      <c r="T362" s="116"/>
      <c r="U362" s="116"/>
    </row>
    <row r="363" spans="1:21" ht="12.75" x14ac:dyDescent="0.2">
      <c r="L363" s="9"/>
      <c r="N363" s="9"/>
      <c r="O363" s="9"/>
      <c r="P363" s="113"/>
      <c r="Q363" s="116"/>
      <c r="R363" s="203" t="str">
        <f>IF(H362="",I362,H362)</f>
        <v>21:15,21:15</v>
      </c>
      <c r="S363" s="116"/>
      <c r="T363" s="116"/>
      <c r="U363" s="116"/>
    </row>
    <row r="364" spans="1:21" ht="12.75" x14ac:dyDescent="0.2">
      <c r="A364" s="102">
        <f>P364</f>
        <v>192</v>
      </c>
      <c r="B364" s="2" t="str">
        <f>IF(N364="","",N364)</f>
        <v>K4702</v>
      </c>
      <c r="D364" s="2" t="str">
        <f>IF(N365="","",N365)</f>
        <v>G5026</v>
      </c>
      <c r="F364" s="2" t="str">
        <f>IF(A364=0,IF(AND(LEN(B364)&gt;0,LEN(D364)=0),VLOOKUP(B364,[1]zawodnicy!$A$1:$E$65536,1,FALSE),IF(AND(LEN(D364)&gt;0,LEN(B364)=0),VLOOKUP(D364,[1]zawodnicy!$A$1:$E$65536,1,FALSE),"")),IF((VLOOKUP(A364,'[1]plan gier'!$X$1:$AF$65536,7,FALSE))="","",VLOOKUP(VLOOKUP(A364,'[1]plan gier'!$X$1:$AF$65536,7,FALSE),[1]zawodnicy!$A$1:$E$65536,1,FALSE)))</f>
        <v>K4702</v>
      </c>
      <c r="H364" s="2" t="str">
        <f>IF(A364=0,"",IF((VLOOKUP(A364,'[1]plan gier'!$X$1:$AF$65536,7,FALSE))="","",VLOOKUP(A364,'[1]plan gier'!$X$1:$AF$65536,9,FALSE)))</f>
        <v>21:16,21:18</v>
      </c>
      <c r="I364" s="2" t="str">
        <f>IF(A364=0,"",IF(VLOOKUP(A364,'[1]plan gier'!A$1:S$65536,19,FALSE)="","",VLOOKUP(A364,'[1]plan gier'!A$1:S$65536,19,FALSE)))</f>
        <v>pt 20:50</v>
      </c>
      <c r="J364" s="2" t="str">
        <f>L277</f>
        <v>pojedyncza chłopców MM</v>
      </c>
      <c r="K364" s="95">
        <f>IF(L276&gt;44,43,"")</f>
        <v>43</v>
      </c>
      <c r="L364" s="187" t="s">
        <v>362</v>
      </c>
      <c r="M364" s="193">
        <f>IF(K364="","",MAX(M278:M363)+1)</f>
        <v>34</v>
      </c>
      <c r="N364" s="198" t="str">
        <f>UPPER(IF(M364="","",IF(ISTEXT(L364),L364,IF(AND(L275&gt;0,M364&gt;0),VLOOKUP(L275&amp;M364&amp;J364,'[1]grup-puch'!I$1:J$65536,2,FALSE),""))))</f>
        <v>K4702</v>
      </c>
      <c r="O364" s="199" t="str">
        <f>IF(N364&lt;&gt;"",CONCATENATE(VLOOKUP(N364,[1]zawodnicy!$A$1:$E$65536,2,FALSE)," ",VLOOKUP(N364,[1]zawodnicy!$A$1:$E$65536,3,FALSE)," - ",VLOOKUP(N364,[1]zawodnicy!$A$1:$E$65536,4,FALSE)),"")</f>
        <v>Kacper KOPACZ - UTS Akro-Bad Warszawa</v>
      </c>
      <c r="P364" s="108">
        <v>192</v>
      </c>
      <c r="Q364" s="205" t="str">
        <f>IF(F364="","",VLOOKUP(F364,[1]zawodnicy!$A$1:$D$65536,3,FALSE))</f>
        <v>KOPACZ</v>
      </c>
      <c r="R364" s="116"/>
      <c r="S364" s="116"/>
      <c r="T364" s="116"/>
      <c r="U364" s="116"/>
    </row>
    <row r="365" spans="1:21" ht="12.75" x14ac:dyDescent="0.2">
      <c r="K365" s="95">
        <f>IF(L276&gt;32,44,"")</f>
        <v>44</v>
      </c>
      <c r="L365" s="189" t="s">
        <v>366</v>
      </c>
      <c r="M365" s="193">
        <f>IF(K365="","",MAX(M278:M364)+1)</f>
        <v>35</v>
      </c>
      <c r="N365" s="198" t="str">
        <f>UPPER(IF(M365="","",IF(ISTEXT(L365),L365,IF(AND(L275&gt;0,M365&gt;0),VLOOKUP(L275&amp;M365&amp;J364,'[1]grup-puch'!I$1:J$65536,2,FALSE),""))))</f>
        <v>G5026</v>
      </c>
      <c r="O365" s="199" t="str">
        <f>IF(N365&lt;&gt;"",CONCATENATE(VLOOKUP(N365,[1]zawodnicy!$A$1:$E$65536,2,FALSE)," ",VLOOKUP(N365,[1]zawodnicy!$A$1:$E$65536,3,FALSE)," - ",VLOOKUP(N365,[1]zawodnicy!$A$1:$E$65536,4,FALSE)),"")</f>
        <v>Maciej GAJEWSKI - MKS Strzelce Opolskie</v>
      </c>
      <c r="P365" s="202"/>
      <c r="Q365" s="114" t="str">
        <f>IF(H364="",I364,H364)</f>
        <v>21:16,21:18</v>
      </c>
      <c r="R365" s="116"/>
      <c r="S365" s="116"/>
      <c r="T365" s="116"/>
      <c r="U365" s="116"/>
    </row>
    <row r="366" spans="1:21" ht="12.75" x14ac:dyDescent="0.2">
      <c r="A366" s="118">
        <f>R366</f>
        <v>314</v>
      </c>
      <c r="B366" s="2" t="str">
        <f>F362</f>
        <v>P5350</v>
      </c>
      <c r="D366" s="2" t="str">
        <f>F370</f>
        <v>Z4312</v>
      </c>
      <c r="F366" s="2" t="str">
        <f>IF(A366=0,IF(AND(LEN(B366)&gt;0,LEN(D366)=0),B366,IF(AND(LEN(D366)&gt;0,LEN(B366)=0),D366,"")),IF((VLOOKUP(A366,'[1]plan gier'!$X$1:$AF$65536,7,FALSE))="","",VLOOKUP(VLOOKUP(A366,'[1]plan gier'!$X$1:$AF$65536,7,FALSE),[1]zawodnicy!$A$1:$E$65536,1,FALSE)))</f>
        <v>Z4312</v>
      </c>
      <c r="H366" s="2" t="str">
        <f>IF(A366=0,"",IF((VLOOKUP(A366,'[1]plan gier'!$X$1:$AF$65536,7,FALSE))="","",VLOOKUP(A366,'[1]plan gier'!$X$1:$AF$65536,9,FALSE)))</f>
        <v>21:17,21:15</v>
      </c>
      <c r="I366" s="2" t="str">
        <f>IF(A366=0,"",IF(VLOOKUP(A366,'[1]plan gier'!A$1:S$65536,19,FALSE)="","",VLOOKUP(A366,'[1]plan gier'!A$1:S$65536,19,FALSE)))</f>
        <v>sob 14:40</v>
      </c>
      <c r="J366" s="2" t="str">
        <f>L277</f>
        <v>pojedyncza chłopców MM</v>
      </c>
      <c r="L366" s="9"/>
      <c r="N366" s="9"/>
      <c r="O366" s="9"/>
      <c r="P366" s="113"/>
      <c r="Q366" s="114"/>
      <c r="R366" s="206">
        <v>314</v>
      </c>
      <c r="S366" s="205" t="str">
        <f>IF(F366="","",VLOOKUP(F366,[1]zawodnicy!$A$1:$D$65536,3,FALSE))</f>
        <v>ZWIERZCHOWSKI</v>
      </c>
      <c r="T366" s="116"/>
      <c r="U366" s="116"/>
    </row>
    <row r="367" spans="1:21" ht="12.75" x14ac:dyDescent="0.2">
      <c r="L367" s="9"/>
      <c r="N367" s="9"/>
      <c r="O367" s="9"/>
      <c r="P367" s="113"/>
      <c r="Q367" s="114"/>
      <c r="R367" s="116"/>
      <c r="S367" s="114" t="str">
        <f>IF(H366="",I366,H366)</f>
        <v>21:17,21:15</v>
      </c>
      <c r="T367" s="116"/>
      <c r="U367" s="116"/>
    </row>
    <row r="368" spans="1:21" ht="12.75" x14ac:dyDescent="0.2">
      <c r="A368" s="102">
        <f>P368</f>
        <v>0</v>
      </c>
      <c r="B368" s="2" t="str">
        <f>IF(N368="","",N368)</f>
        <v/>
      </c>
      <c r="D368" s="2" t="str">
        <f>IF(N369="","",N369)</f>
        <v>Z4312</v>
      </c>
      <c r="F368" s="2" t="str">
        <f>IF(A368=0,IF(AND(LEN(B368)&gt;0,LEN(D368)=0),VLOOKUP(B368,[1]zawodnicy!$A$1:$E$65536,1,FALSE),IF(AND(LEN(D368)&gt;0,LEN(B368)=0),VLOOKUP(D368,[1]zawodnicy!$A$1:$E$65536,1,FALSE),"")),IF((VLOOKUP(A368,'[1]plan gier'!$X$1:$AF$65536,7,FALSE))="","",VLOOKUP(VLOOKUP(A368,'[1]plan gier'!$X$1:$AF$65536,7,FALSE),[1]zawodnicy!$A$1:$E$65536,1,FALSE)))</f>
        <v>Z4312</v>
      </c>
      <c r="H368" s="2" t="str">
        <f>IF(A368=0,"",IF((VLOOKUP(A368,'[1]plan gier'!$X$1:$AF$65536,7,FALSE))="","",VLOOKUP(A368,'[1]plan gier'!$X$1:$AF$65536,9,FALSE)))</f>
        <v/>
      </c>
      <c r="I368" s="2" t="str">
        <f>IF(A368=0,"",IF(VLOOKUP(A368,'[1]plan gier'!A$1:S$65536,19,FALSE)="","",VLOOKUP(A368,'[1]plan gier'!A$1:S$65536,19,FALSE)))</f>
        <v/>
      </c>
      <c r="J368" s="2" t="str">
        <f>L277</f>
        <v>pojedyncza chłopców MM</v>
      </c>
      <c r="K368" s="95" t="str">
        <f>IF(L276&gt;52,45,"")</f>
        <v/>
      </c>
      <c r="L368" s="198" t="str">
        <f>UPPER(IF(K368="","",IF(ISTEXT(J368),J368,IF(AND(J275&gt;0,K368&gt;0),VLOOKUP(J275&amp;K368&amp;H368,'[4]grup-puch'!G$1:H$65536,2,FALSE),""))))</f>
        <v/>
      </c>
      <c r="M368" s="193" t="str">
        <f>IF(K368="","",MAX(M278:M367)+1)</f>
        <v/>
      </c>
      <c r="N368" s="198" t="str">
        <f>UPPER(IF(M368="","",IF(ISTEXT(L368),L368,IF(AND(L275&gt;0,M368&gt;0),VLOOKUP(L275&amp;M368&amp;J368,'[1]grup-puch'!I$1:J$65536,2,FALSE),""))))</f>
        <v/>
      </c>
      <c r="O368" s="199" t="str">
        <f>IF(N368&lt;&gt;"",CONCATENATE(VLOOKUP(N368,[1]zawodnicy!$A$1:$E$65536,2,FALSE)," ",VLOOKUP(N368,[1]zawodnicy!$A$1:$E$65536,3,FALSE)," - ",VLOOKUP(N368,[1]zawodnicy!$A$1:$E$65536,4,FALSE)),"")</f>
        <v/>
      </c>
      <c r="P368" s="108"/>
      <c r="Q368" s="200" t="str">
        <f>IF(F368="","",VLOOKUP(F368,[1]zawodnicy!$A$1:$D$65536,3,FALSE))</f>
        <v>ZWIERZCHOWSKI</v>
      </c>
      <c r="R368" s="116"/>
      <c r="S368" s="114"/>
      <c r="T368" s="116"/>
      <c r="U368" s="116"/>
    </row>
    <row r="369" spans="1:21" ht="12.75" x14ac:dyDescent="0.2">
      <c r="K369" s="95">
        <f>IF(L276&gt;32,46,"")</f>
        <v>46</v>
      </c>
      <c r="L369" s="187" t="s">
        <v>349</v>
      </c>
      <c r="M369" s="193">
        <f>IF(K369="","",MAX(M278:M368)+1)</f>
        <v>36</v>
      </c>
      <c r="N369" s="198" t="str">
        <f>UPPER(IF(M369="","",IF(ISTEXT(L369),L369,IF(AND(L275&gt;0,M369&gt;0),VLOOKUP(L275&amp;M369&amp;J368,'[1]grup-puch'!I$1:J$65536,2,FALSE),""))))</f>
        <v>Z4312</v>
      </c>
      <c r="O369" s="199" t="str">
        <f>IF(N369&lt;&gt;"",CONCATENATE(VLOOKUP(N369,[1]zawodnicy!$A$1:$E$65536,2,FALSE)," ",VLOOKUP(N369,[1]zawodnicy!$A$1:$E$65536,3,FALSE)," - ",VLOOKUP(N369,[1]zawodnicy!$A$1:$E$65536,4,FALSE)),"")</f>
        <v>Łukasz ZWIERZCHOWSKI - UKSB Milenium Warszawa</v>
      </c>
      <c r="P369" s="202"/>
      <c r="Q369" s="203" t="str">
        <f>IF(H368="",I368,H368)</f>
        <v/>
      </c>
      <c r="R369" s="116"/>
      <c r="S369" s="114"/>
      <c r="T369" s="116"/>
      <c r="U369" s="116"/>
    </row>
    <row r="370" spans="1:21" ht="12.75" x14ac:dyDescent="0.2">
      <c r="A370" s="111">
        <f>Q370</f>
        <v>244</v>
      </c>
      <c r="B370" s="2" t="str">
        <f>F368</f>
        <v>Z4312</v>
      </c>
      <c r="D370" s="2" t="str">
        <f>F372</f>
        <v>K5180</v>
      </c>
      <c r="F370" s="2" t="str">
        <f>IF(A370=0,IF(AND(LEN(B370)&gt;0,LEN(D370)=0),B370,IF(AND(LEN(D370)&gt;0,LEN(B370)=0),D370,"")),IF((VLOOKUP(A370,'[1]plan gier'!$X$1:$AF$65536,7,FALSE))="","",VLOOKUP(VLOOKUP(A370,'[1]plan gier'!$X$1:$AF$65536,7,FALSE),[1]zawodnicy!$A$1:$E$65536,1,FALSE)))</f>
        <v>Z4312</v>
      </c>
      <c r="H370" s="2" t="str">
        <f>IF(A370=0,"",IF((VLOOKUP(A370,'[1]plan gier'!$X$1:$AF$65536,7,FALSE))="","",VLOOKUP(A370,'[1]plan gier'!$X$1:$AF$65536,9,FALSE)))</f>
        <v>19:21,21:17,25:23</v>
      </c>
      <c r="I370" s="2" t="str">
        <f>IF(A370=0,"",IF(VLOOKUP(A370,'[1]plan gier'!A$1:S$65536,19,FALSE)="","",VLOOKUP(A370,'[1]plan gier'!A$1:S$65536,19,FALSE)))</f>
        <v>sob 10:20</v>
      </c>
      <c r="J370" s="2" t="str">
        <f>L277</f>
        <v>pojedyncza chłopców MM</v>
      </c>
      <c r="L370" s="9"/>
      <c r="N370" s="9"/>
      <c r="O370" s="9"/>
      <c r="P370" s="113"/>
      <c r="Q370" s="115">
        <v>244</v>
      </c>
      <c r="R370" s="205" t="str">
        <f>IF(F370="","",VLOOKUP(F370,[1]zawodnicy!$A$1:$D$65536,3,FALSE))</f>
        <v>ZWIERZCHOWSKI</v>
      </c>
      <c r="S370" s="114"/>
      <c r="T370" s="116"/>
      <c r="U370" s="116"/>
    </row>
    <row r="371" spans="1:21" ht="12.75" x14ac:dyDescent="0.2">
      <c r="L371" s="9"/>
      <c r="N371" s="9"/>
      <c r="O371" s="9"/>
      <c r="P371" s="113"/>
      <c r="Q371" s="116"/>
      <c r="R371" s="114" t="str">
        <f>IF(H370="",I370,H370)</f>
        <v>19:21,21:17,25:23</v>
      </c>
      <c r="S371" s="114"/>
      <c r="T371" s="116"/>
      <c r="U371" s="116"/>
    </row>
    <row r="372" spans="1:21" ht="12.75" x14ac:dyDescent="0.2">
      <c r="A372" s="102">
        <f>P372</f>
        <v>0</v>
      </c>
      <c r="B372" s="2" t="str">
        <f>IF(N372="","",N372)</f>
        <v/>
      </c>
      <c r="D372" s="2" t="str">
        <f>IF(N373="","",N373)</f>
        <v>K5180</v>
      </c>
      <c r="F372" s="2" t="str">
        <f>IF(A372=0,IF(AND(LEN(B372)&gt;0,LEN(D372)=0),VLOOKUP(B372,[1]zawodnicy!$A$1:$E$65536,1,FALSE),IF(AND(LEN(D372)&gt;0,LEN(B372)=0),VLOOKUP(D372,[1]zawodnicy!$A$1:$E$65536,1,FALSE),"")),IF((VLOOKUP(A372,'[1]plan gier'!$X$1:$AF$65536,7,FALSE))="","",VLOOKUP(VLOOKUP(A372,'[1]plan gier'!$X$1:$AF$65536,7,FALSE),[1]zawodnicy!$A$1:$E$65536,1,FALSE)))</f>
        <v>K5180</v>
      </c>
      <c r="H372" s="2" t="str">
        <f>IF(A372=0,"",IF((VLOOKUP(A372,'[1]plan gier'!$X$1:$AF$65536,7,FALSE))="","",VLOOKUP(A372,'[1]plan gier'!$X$1:$AF$65536,9,FALSE)))</f>
        <v/>
      </c>
      <c r="I372" s="2" t="str">
        <f>IF(A372=0,"",IF(VLOOKUP(A372,'[1]plan gier'!A$1:S$65536,19,FALSE)="","",VLOOKUP(A372,'[1]plan gier'!A$1:S$65536,19,FALSE)))</f>
        <v/>
      </c>
      <c r="J372" s="2" t="str">
        <f>L277</f>
        <v>pojedyncza chłopców MM</v>
      </c>
      <c r="K372" s="95" t="str">
        <f>IF(L276&gt;60,47,"")</f>
        <v/>
      </c>
      <c r="L372" s="198" t="str">
        <f>UPPER(IF(K372="","",IF(ISTEXT(J372),J372,IF(AND(J275&gt;0,K372&gt;0),VLOOKUP(J275&amp;K372&amp;H372,'[4]grup-puch'!G$1:H$65536,2,FALSE),""))))</f>
        <v/>
      </c>
      <c r="M372" s="193" t="str">
        <f>IF(K372="","",MAX(M278:M371)+1)</f>
        <v/>
      </c>
      <c r="N372" s="198" t="str">
        <f>UPPER(IF(M372="","",IF(ISTEXT(L372),L372,IF(AND(L275&gt;0,M372&gt;0),VLOOKUP(L275&amp;M372&amp;J372,'[1]grup-puch'!I$1:J$65536,2,FALSE),""))))</f>
        <v/>
      </c>
      <c r="O372" s="199" t="str">
        <f>IF(N372&lt;&gt;"",CONCATENATE(VLOOKUP(N372,[1]zawodnicy!$A$1:$E$65536,2,FALSE)," ",VLOOKUP(N372,[1]zawodnicy!$A$1:$E$65536,3,FALSE)," - ",VLOOKUP(N372,[1]zawodnicy!$A$1:$E$65536,4,FALSE)),"")</f>
        <v/>
      </c>
      <c r="P372" s="108"/>
      <c r="Q372" s="205" t="str">
        <f>IF(F372="","",VLOOKUP(F372,[1]zawodnicy!$A$1:$D$65536,3,FALSE))</f>
        <v>KORDEK</v>
      </c>
      <c r="R372" s="114"/>
      <c r="S372" s="114"/>
      <c r="T372" s="208"/>
      <c r="U372" s="116"/>
    </row>
    <row r="373" spans="1:21" ht="12.75" x14ac:dyDescent="0.2">
      <c r="K373" s="95">
        <f>IF(L276&gt;32,48,"")</f>
        <v>48</v>
      </c>
      <c r="L373" s="188" t="s">
        <v>368</v>
      </c>
      <c r="M373" s="193">
        <f>IF(K373="","",MAX(M278:M372)+1)</f>
        <v>37</v>
      </c>
      <c r="N373" s="198" t="str">
        <f>UPPER(IF(M373="","",IF(ISTEXT(L373),L373,IF(AND(L275&gt;0,M373&gt;0),VLOOKUP(L275&amp;M373&amp;J372,'[1]grup-puch'!I$1:J$65536,2,FALSE),""))))</f>
        <v>K5180</v>
      </c>
      <c r="O373" s="199" t="str">
        <f>IF(N373&lt;&gt;"",CONCATENATE(VLOOKUP(N373,[1]zawodnicy!$A$1:$E$65536,2,FALSE)," ",VLOOKUP(N373,[1]zawodnicy!$A$1:$E$65536,3,FALSE)," - ",VLOOKUP(N373,[1]zawodnicy!$A$1:$E$65536,4,FALSE)),"")</f>
        <v>Patryk KORDEK - UKS Aktywna Piątka Przemyśl</v>
      </c>
      <c r="P373" s="202"/>
      <c r="Q373" s="114" t="str">
        <f>IF(H372="",I372,H372)</f>
        <v/>
      </c>
      <c r="R373" s="114"/>
      <c r="S373" s="114"/>
      <c r="T373" s="116"/>
      <c r="U373" s="116"/>
    </row>
    <row r="374" spans="1:21" ht="12.75" x14ac:dyDescent="0.2">
      <c r="A374" s="196">
        <f>T374</f>
        <v>409</v>
      </c>
      <c r="B374" s="2" t="str">
        <f>F358</f>
        <v>G4725</v>
      </c>
      <c r="D374" s="2" t="str">
        <f>F390</f>
        <v>M4612</v>
      </c>
      <c r="F374" s="2" t="str">
        <f>IF(A374=0,IF(AND(LEN(B374)&gt;0,LEN(D374)=0),B374,IF(AND(LEN(D374)&gt;0,LEN(B374)=0),D374,"")),IF((VLOOKUP(A374,'[1]plan gier'!$X$1:$AF$65536,7,FALSE))="","",VLOOKUP(VLOOKUP(A374,'[1]plan gier'!$X$1:$AF$65536,7,FALSE),[1]zawodnicy!$A$1:$E$65536,1,FALSE)))</f>
        <v>G4725</v>
      </c>
      <c r="H374" s="2" t="str">
        <f>IF(A374=0,"",IF((VLOOKUP(A374,'[1]plan gier'!$X$1:$AF$65536,7,FALSE))="","",VLOOKUP(A374,'[1]plan gier'!$X$1:$AF$65536,9,FALSE)))</f>
        <v>19:21,21:10,21:15</v>
      </c>
      <c r="I374" s="2" t="str">
        <f>IF(A374=0,"",IF(VLOOKUP(A374,'[1]plan gier'!A$1:S$65536,19,FALSE)="","",VLOOKUP(A374,'[1]plan gier'!A$1:S$65536,19,FALSE)))</f>
        <v>sob 20:15</v>
      </c>
      <c r="J374" s="2" t="str">
        <f>L277</f>
        <v>pojedyncza chłopców MM</v>
      </c>
      <c r="L374" s="9"/>
      <c r="N374" s="9"/>
      <c r="O374" s="9"/>
      <c r="P374" s="113"/>
      <c r="Q374" s="114"/>
      <c r="R374" s="114"/>
      <c r="T374" s="115">
        <v>409</v>
      </c>
      <c r="U374" s="205" t="str">
        <f>IF(F374="","",VLOOKUP(F374,[1]zawodnicy!$A$1:$D$65536,3,FALSE))</f>
        <v>GAŁĄZKA</v>
      </c>
    </row>
    <row r="375" spans="1:21" ht="12.75" x14ac:dyDescent="0.2">
      <c r="L375" s="9"/>
      <c r="N375" s="9"/>
      <c r="O375" s="9"/>
      <c r="P375" s="113"/>
      <c r="Q375" s="114"/>
      <c r="R375" s="114"/>
      <c r="T375" s="116"/>
      <c r="U375" s="170" t="str">
        <f>IF(H374="",I374,H374)</f>
        <v>19:21,21:10,21:15</v>
      </c>
    </row>
    <row r="376" spans="1:21" ht="12.75" x14ac:dyDescent="0.2">
      <c r="A376" s="102">
        <f>P376</f>
        <v>193</v>
      </c>
      <c r="B376" s="2" t="str">
        <f>IF(N376="","",N376)</f>
        <v>S5627</v>
      </c>
      <c r="D376" s="2" t="str">
        <f>IF(N377="","",N377)</f>
        <v>P5601</v>
      </c>
      <c r="F376" s="2" t="str">
        <f>IF(A376=0,IF(AND(LEN(B376)&gt;0,LEN(D376)=0),VLOOKUP(B376,[1]zawodnicy!$A$1:$E$65536,1,FALSE),IF(AND(LEN(D376)&gt;0,LEN(B376)=0),VLOOKUP(D376,[1]zawodnicy!$A$1:$E$65536,1,FALSE),"")),IF((VLOOKUP(A376,'[1]plan gier'!$X$1:$AF$65536,7,FALSE))="","",VLOOKUP(VLOOKUP(A376,'[1]plan gier'!$X$1:$AF$65536,7,FALSE),[1]zawodnicy!$A$1:$E$65536,1,FALSE)))</f>
        <v>P5601</v>
      </c>
      <c r="H376" s="2" t="str">
        <f>IF(A376=0,"",IF((VLOOKUP(A376,'[1]plan gier'!$X$1:$AF$65536,7,FALSE))="","",VLOOKUP(A376,'[1]plan gier'!$X$1:$AF$65536,9,FALSE)))</f>
        <v>21:0,21:0</v>
      </c>
      <c r="I376" s="2" t="str">
        <f>IF(A376=0,"",IF(VLOOKUP(A376,'[1]plan gier'!A$1:S$65536,19,FALSE)="","",VLOOKUP(A376,'[1]plan gier'!A$1:S$65536,19,FALSE)))</f>
        <v>pt 20:50</v>
      </c>
      <c r="J376" s="2" t="str">
        <f>L277</f>
        <v>pojedyncza chłopców MM</v>
      </c>
      <c r="K376" s="95">
        <f>IF(L276&gt;34,49,"")</f>
        <v>49</v>
      </c>
      <c r="L376" s="218" t="s">
        <v>373</v>
      </c>
      <c r="M376" s="193">
        <f>IF(K376="","",MAX(M278:M375)+1)</f>
        <v>38</v>
      </c>
      <c r="N376" s="198" t="str">
        <f>UPPER(IF(M376="","",IF(ISTEXT(L376),L376,IF(AND(L275&gt;0,M376&gt;0),VLOOKUP(L275&amp;M376&amp;J376,'[1]grup-puch'!I$1:J$65536,2,FALSE),""))))</f>
        <v>S5627</v>
      </c>
      <c r="O376" s="199" t="str">
        <f>IF(N376&lt;&gt;"",CONCATENATE(VLOOKUP(N376,[1]zawodnicy!$A$1:$E$65536,2,FALSE)," ",VLOOKUP(N376,[1]zawodnicy!$A$1:$E$65536,3,FALSE)," - ",VLOOKUP(N376,[1]zawodnicy!$A$1:$E$65536,4,FALSE)),"")</f>
        <v>Piotr SIERZPUTOWSKI - ULKS U-2 Lotka Bytów</v>
      </c>
      <c r="P376" s="108">
        <v>193</v>
      </c>
      <c r="Q376" s="200" t="str">
        <f>IF(F376="","",VLOOKUP(F376,[1]zawodnicy!$A$1:$D$65536,3,FALSE))</f>
        <v>PUCIŁOWSKI</v>
      </c>
      <c r="R376" s="114"/>
      <c r="S376" s="114"/>
      <c r="T376" s="116"/>
      <c r="U376" s="101"/>
    </row>
    <row r="377" spans="1:21" ht="12.75" x14ac:dyDescent="0.2">
      <c r="K377" s="95">
        <f>IF(L276&gt;32,50,"")</f>
        <v>50</v>
      </c>
      <c r="L377" s="187" t="s">
        <v>333</v>
      </c>
      <c r="M377" s="193">
        <f>IF(K377="","",MAX(M278:M376)+1)</f>
        <v>39</v>
      </c>
      <c r="N377" s="198" t="str">
        <f>UPPER(IF(M377="","",IF(ISTEXT(L377),L377,IF(AND(L275&gt;0,M377&gt;0),VLOOKUP(L275&amp;M377&amp;J376,'[1]grup-puch'!I$1:J$65536,2,FALSE),""))))</f>
        <v>P5601</v>
      </c>
      <c r="O377" s="199" t="str">
        <f>IF(N377&lt;&gt;"",CONCATENATE(VLOOKUP(N377,[1]zawodnicy!$A$1:$E$65536,2,FALSE)," ",VLOOKUP(N377,[1]zawodnicy!$A$1:$E$65536,3,FALSE)," - ",VLOOKUP(N377,[1]zawodnicy!$A$1:$E$65536,4,FALSE)),"")</f>
        <v>Hubert PUCIŁOWSKI - UKS Hubal Białystok</v>
      </c>
      <c r="P377" s="202"/>
      <c r="Q377" s="203" t="str">
        <f>IF(H376="",I376,H376)</f>
        <v>21:0,21:0</v>
      </c>
      <c r="R377" s="114"/>
      <c r="S377" s="114"/>
      <c r="T377" s="116"/>
      <c r="U377" s="101"/>
    </row>
    <row r="378" spans="1:21" ht="12.75" x14ac:dyDescent="0.2">
      <c r="A378" s="111">
        <f>Q378</f>
        <v>245</v>
      </c>
      <c r="B378" s="2" t="str">
        <f>F376</f>
        <v>P5601</v>
      </c>
      <c r="D378" s="2" t="str">
        <f>F380</f>
        <v>M5475</v>
      </c>
      <c r="F378" s="2" t="str">
        <f>IF(A378=0,IF(AND(LEN(B378)&gt;0,LEN(D378)=0),B378,IF(AND(LEN(D378)&gt;0,LEN(B378)=0),D378,"")),IF((VLOOKUP(A378,'[1]plan gier'!$X$1:$AF$65536,7,FALSE))="","",VLOOKUP(VLOOKUP(A378,'[1]plan gier'!$X$1:$AF$65536,7,FALSE),[1]zawodnicy!$A$1:$E$65536,1,FALSE)))</f>
        <v>P5601</v>
      </c>
      <c r="H378" s="2" t="str">
        <f>IF(A378=0,"",IF((VLOOKUP(A378,'[1]plan gier'!$X$1:$AF$65536,7,FALSE))="","",VLOOKUP(A378,'[1]plan gier'!$X$1:$AF$65536,9,FALSE)))</f>
        <v>21:6,21:14</v>
      </c>
      <c r="I378" s="2" t="str">
        <f>IF(A378=0,"",IF(VLOOKUP(A378,'[1]plan gier'!A$1:S$65536,19,FALSE)="","",VLOOKUP(A378,'[1]plan gier'!A$1:S$65536,19,FALSE)))</f>
        <v>sob 10:20</v>
      </c>
      <c r="J378" s="2" t="str">
        <f>L277</f>
        <v>pojedyncza chłopców MM</v>
      </c>
      <c r="L378" s="9"/>
      <c r="N378" s="9"/>
      <c r="O378" s="9"/>
      <c r="P378" s="113"/>
      <c r="Q378" s="115">
        <v>245</v>
      </c>
      <c r="R378" s="200" t="str">
        <f>IF(F378="","",VLOOKUP(F378,[1]zawodnicy!$A$1:$D$65536,3,FALSE))</f>
        <v>PUCIŁOWSKI</v>
      </c>
      <c r="S378" s="114"/>
      <c r="T378" s="116"/>
      <c r="U378" s="101"/>
    </row>
    <row r="379" spans="1:21" ht="12.75" x14ac:dyDescent="0.2">
      <c r="L379" s="9"/>
      <c r="N379" s="9"/>
      <c r="O379" s="9"/>
      <c r="P379" s="113"/>
      <c r="Q379" s="116"/>
      <c r="R379" s="203" t="str">
        <f>IF(H378="",I378,H378)</f>
        <v>21:6,21:14</v>
      </c>
      <c r="S379" s="114"/>
      <c r="T379" s="116"/>
      <c r="U379" s="101"/>
    </row>
    <row r="380" spans="1:21" ht="12.75" x14ac:dyDescent="0.2">
      <c r="A380" s="102">
        <f>P380</f>
        <v>194</v>
      </c>
      <c r="B380" s="2" t="str">
        <f>IF(N380="","",N380)</f>
        <v>M5475</v>
      </c>
      <c r="D380" s="2" t="str">
        <f>IF(N381="","",N381)</f>
        <v>J5015</v>
      </c>
      <c r="F380" s="2" t="str">
        <f>IF(A380=0,IF(AND(LEN(B380)&gt;0,LEN(D380)=0),VLOOKUP(B380,[1]zawodnicy!$A$1:$E$65536,1,FALSE),IF(AND(LEN(D380)&gt;0,LEN(B380)=0),VLOOKUP(D380,[1]zawodnicy!$A$1:$E$65536,1,FALSE),"")),IF((VLOOKUP(A380,'[1]plan gier'!$X$1:$AF$65536,7,FALSE))="","",VLOOKUP(VLOOKUP(A380,'[1]plan gier'!$X$1:$AF$65536,7,FALSE),[1]zawodnicy!$A$1:$E$65536,1,FALSE)))</f>
        <v>M5475</v>
      </c>
      <c r="H380" s="2" t="str">
        <f>IF(A380=0,"",IF((VLOOKUP(A380,'[1]plan gier'!$X$1:$AF$65536,7,FALSE))="","",VLOOKUP(A380,'[1]plan gier'!$X$1:$AF$65536,9,FALSE)))</f>
        <v>21:5,21:17</v>
      </c>
      <c r="I380" s="2" t="str">
        <f>IF(A380=0,"",IF(VLOOKUP(A380,'[1]plan gier'!A$1:S$65536,19,FALSE)="","",VLOOKUP(A380,'[1]plan gier'!A$1:S$65536,19,FALSE)))</f>
        <v>pt 20:50</v>
      </c>
      <c r="J380" s="2" t="str">
        <f>L277</f>
        <v>pojedyncza chłopców MM</v>
      </c>
      <c r="K380" s="95">
        <f>IF(L276&gt;42,51,"")</f>
        <v>51</v>
      </c>
      <c r="L380" s="223" t="s">
        <v>361</v>
      </c>
      <c r="M380" s="193">
        <f>IF(K380="","",MAX(M278:M379)+1)</f>
        <v>40</v>
      </c>
      <c r="N380" s="198" t="str">
        <f>UPPER(IF(M380="","",IF(ISTEXT(L380),L380,IF(AND(L275&gt;0,M380&gt;0),VLOOKUP(L275&amp;M380&amp;J380,'[1]grup-puch'!I$1:J$65536,2,FALSE),""))))</f>
        <v>M5475</v>
      </c>
      <c r="O380" s="199" t="str">
        <f>IF(N380&lt;&gt;"",CONCATENATE(VLOOKUP(N380,[1]zawodnicy!$A$1:$E$65536,2,FALSE)," ",VLOOKUP(N380,[1]zawodnicy!$A$1:$E$65536,3,FALSE)," - ",VLOOKUP(N380,[1]zawodnicy!$A$1:$E$65536,4,FALSE)),"")</f>
        <v>Jakub MYSŁOWSKI - UKS Iskra Sarbice</v>
      </c>
      <c r="P380" s="108">
        <v>194</v>
      </c>
      <c r="Q380" s="205" t="str">
        <f>IF(F380="","",VLOOKUP(F380,[1]zawodnicy!$A$1:$D$65536,3,FALSE))</f>
        <v>MYSŁOWSKI</v>
      </c>
      <c r="R380" s="116"/>
      <c r="S380" s="114"/>
      <c r="T380" s="116"/>
      <c r="U380" s="101"/>
    </row>
    <row r="381" spans="1:21" ht="12.75" x14ac:dyDescent="0.2">
      <c r="K381" s="95">
        <f>IF(L276&gt;32,52,"")</f>
        <v>52</v>
      </c>
      <c r="L381" s="187" t="s">
        <v>358</v>
      </c>
      <c r="M381" s="193">
        <f>IF(K381="","",MAX(M278:M380)+1)</f>
        <v>41</v>
      </c>
      <c r="N381" s="198" t="str">
        <f>UPPER(IF(M381="","",IF(ISTEXT(L381),L381,IF(AND(L275&gt;0,M381&gt;0),VLOOKUP(L275&amp;M381&amp;J380,'[1]grup-puch'!I$1:J$65536,2,FALSE),""))))</f>
        <v>J5015</v>
      </c>
      <c r="O381" s="199" t="str">
        <f>IF(N381&lt;&gt;"",CONCATENATE(VLOOKUP(N381,[1]zawodnicy!$A$1:$E$65536,2,FALSE)," ",VLOOKUP(N381,[1]zawodnicy!$A$1:$E$65536,3,FALSE)," - ",VLOOKUP(N381,[1]zawodnicy!$A$1:$E$65536,4,FALSE)),"")</f>
        <v>Jakub JAGODZIŃSKI - UKSB Milenium Warszawa</v>
      </c>
      <c r="P381" s="202"/>
      <c r="Q381" s="114" t="str">
        <f>IF(H380="",I380,H380)</f>
        <v>21:5,21:17</v>
      </c>
      <c r="R381" s="116"/>
      <c r="S381" s="114"/>
      <c r="T381" s="116"/>
      <c r="U381" s="101"/>
    </row>
    <row r="382" spans="1:21" ht="12.75" x14ac:dyDescent="0.2">
      <c r="A382" s="118">
        <f>R382</f>
        <v>315</v>
      </c>
      <c r="B382" s="2" t="str">
        <f>F378</f>
        <v>P5601</v>
      </c>
      <c r="D382" s="2" t="str">
        <f>F386</f>
        <v>Ś5585</v>
      </c>
      <c r="F382" s="2" t="str">
        <f>IF(A382=0,IF(AND(LEN(B382)&gt;0,LEN(D382)=0),B382,IF(AND(LEN(D382)&gt;0,LEN(B382)=0),D382,"")),IF((VLOOKUP(A382,'[1]plan gier'!$X$1:$AF$65536,7,FALSE))="","",VLOOKUP(VLOOKUP(A382,'[1]plan gier'!$X$1:$AF$65536,7,FALSE),[1]zawodnicy!$A$1:$E$65536,1,FALSE)))</f>
        <v>Ś5585</v>
      </c>
      <c r="H382" s="2" t="str">
        <f>IF(A382=0,"",IF((VLOOKUP(A382,'[1]plan gier'!$X$1:$AF$65536,7,FALSE))="","",VLOOKUP(A382,'[1]plan gier'!$X$1:$AF$65536,9,FALSE)))</f>
        <v>21:9,21:8</v>
      </c>
      <c r="I382" s="2" t="str">
        <f>IF(A382=0,"",IF(VLOOKUP(A382,'[1]plan gier'!A$1:S$65536,19,FALSE)="","",VLOOKUP(A382,'[1]plan gier'!A$1:S$65536,19,FALSE)))</f>
        <v>sob 14:40</v>
      </c>
      <c r="J382" s="2" t="str">
        <f>L277</f>
        <v>pojedyncza chłopców MM</v>
      </c>
      <c r="L382" s="9"/>
      <c r="N382" s="9"/>
      <c r="O382" s="9"/>
      <c r="P382" s="113"/>
      <c r="Q382" s="114"/>
      <c r="R382" s="206">
        <v>315</v>
      </c>
      <c r="S382" s="200" t="str">
        <f>IF(F382="","",VLOOKUP(F382,[1]zawodnicy!$A$1:$D$65536,3,FALSE))</f>
        <v>ŚLEPECKI</v>
      </c>
      <c r="T382" s="116"/>
      <c r="U382" s="101"/>
    </row>
    <row r="383" spans="1:21" ht="12.75" x14ac:dyDescent="0.2">
      <c r="L383" s="9"/>
      <c r="N383" s="9"/>
      <c r="O383" s="9"/>
      <c r="P383" s="113"/>
      <c r="Q383" s="114"/>
      <c r="R383" s="116"/>
      <c r="S383" s="203" t="str">
        <f>IF(H382="",I382,H382)</f>
        <v>21:9,21:8</v>
      </c>
      <c r="T383" s="116"/>
      <c r="U383" s="101"/>
    </row>
    <row r="384" spans="1:21" ht="12.75" x14ac:dyDescent="0.2">
      <c r="A384" s="102">
        <f>P384</f>
        <v>0</v>
      </c>
      <c r="B384" s="2" t="str">
        <f>IF(N384="","",N384)</f>
        <v/>
      </c>
      <c r="D384" s="2" t="str">
        <f>IF(N385="","",N385)</f>
        <v>Ś5585</v>
      </c>
      <c r="F384" s="2" t="str">
        <f>IF(A384=0,IF(AND(LEN(B384)&gt;0,LEN(D384)=0),VLOOKUP(B384,[1]zawodnicy!$A$1:$E$65536,1,FALSE),IF(AND(LEN(D384)&gt;0,LEN(B384)=0),VLOOKUP(D384,[1]zawodnicy!$A$1:$E$65536,1,FALSE),"")),IF((VLOOKUP(A384,'[1]plan gier'!$X$1:$AF$65536,7,FALSE))="","",VLOOKUP(VLOOKUP(A384,'[1]plan gier'!$X$1:$AF$65536,7,FALSE),[1]zawodnicy!$A$1:$E$65536,1,FALSE)))</f>
        <v>Ś5585</v>
      </c>
      <c r="H384" s="2" t="str">
        <f>IF(A384=0,"",IF((VLOOKUP(A384,'[1]plan gier'!$X$1:$AF$65536,7,FALSE))="","",VLOOKUP(A384,'[1]plan gier'!$X$1:$AF$65536,9,FALSE)))</f>
        <v/>
      </c>
      <c r="I384" s="2" t="str">
        <f>IF(A384=0,"",IF(VLOOKUP(A384,'[1]plan gier'!A$1:S$65536,19,FALSE)="","",VLOOKUP(A384,'[1]plan gier'!A$1:S$65536,19,FALSE)))</f>
        <v/>
      </c>
      <c r="J384" s="2" t="str">
        <f>L277</f>
        <v>pojedyncza chłopców MM</v>
      </c>
      <c r="K384" s="95" t="str">
        <f>IF(L276&gt;50,53,"")</f>
        <v/>
      </c>
      <c r="L384" s="198" t="str">
        <f>UPPER(IF(K384="","",IF(ISTEXT(J384),J384,IF(AND(J275&gt;0,K384&gt;0),VLOOKUP(J275&amp;K384&amp;H384,'[4]grup-puch'!G$1:H$65536,2,FALSE),""))))</f>
        <v/>
      </c>
      <c r="M384" s="193" t="str">
        <f>IF(K384="","",MAX(M278:M383)+1)</f>
        <v/>
      </c>
      <c r="N384" s="198" t="str">
        <f>UPPER(IF(M384="","",IF(ISTEXT(L384),L384,IF(AND(L275&gt;0,M384&gt;0),VLOOKUP(L275&amp;M384&amp;J384,'[1]grup-puch'!I$1:J$65536,2,FALSE),""))))</f>
        <v/>
      </c>
      <c r="O384" s="199" t="str">
        <f>IF(N384&lt;&gt;"",CONCATENATE(VLOOKUP(N384,[1]zawodnicy!$A$1:$E$65536,2,FALSE)," ",VLOOKUP(N384,[1]zawodnicy!$A$1:$E$65536,3,FALSE)," - ",VLOOKUP(N384,[1]zawodnicy!$A$1:$E$65536,4,FALSE)),"")</f>
        <v/>
      </c>
      <c r="P384" s="108"/>
      <c r="Q384" s="200" t="str">
        <f>IF(F384="","",VLOOKUP(F384,[1]zawodnicy!$A$1:$D$65536,3,FALSE))</f>
        <v>ŚLEPECKI</v>
      </c>
      <c r="R384" s="116"/>
      <c r="S384" s="116"/>
      <c r="T384" s="116"/>
      <c r="U384" s="101"/>
    </row>
    <row r="385" spans="1:21" ht="12.75" x14ac:dyDescent="0.2">
      <c r="K385" s="95">
        <f>IF(L276&gt;32,54,"")</f>
        <v>54</v>
      </c>
      <c r="L385" s="189" t="s">
        <v>339</v>
      </c>
      <c r="M385" s="193">
        <f>IF(K385="","",MAX(M278:M384)+1)</f>
        <v>42</v>
      </c>
      <c r="N385" s="198" t="str">
        <f>UPPER(IF(M385="","",IF(ISTEXT(L385),L385,IF(AND(L275&gt;0,M385&gt;0),VLOOKUP(L275&amp;M385&amp;J384,'[1]grup-puch'!I$1:J$65536,2,FALSE),""))))</f>
        <v>Ś5585</v>
      </c>
      <c r="O385" s="199" t="str">
        <f>IF(N385&lt;&gt;"",CONCATENATE(VLOOKUP(N385,[1]zawodnicy!$A$1:$E$65536,2,FALSE)," ",VLOOKUP(N385,[1]zawodnicy!$A$1:$E$65536,3,FALSE)," - ",VLOOKUP(N385,[1]zawodnicy!$A$1:$E$65536,4,FALSE)),"")</f>
        <v>Szymon ŚLEPECKI - LKS Technik Głubczyce</v>
      </c>
      <c r="P385" s="202"/>
      <c r="Q385" s="203" t="str">
        <f>IF(H384="",I384,H384)</f>
        <v/>
      </c>
      <c r="R385" s="116"/>
      <c r="S385" s="116"/>
      <c r="T385" s="116"/>
      <c r="U385" s="101"/>
    </row>
    <row r="386" spans="1:21" ht="12.75" x14ac:dyDescent="0.2">
      <c r="A386" s="111">
        <f>Q386</f>
        <v>246</v>
      </c>
      <c r="B386" s="2" t="str">
        <f>F384</f>
        <v>Ś5585</v>
      </c>
      <c r="D386" s="2" t="str">
        <f>F388</f>
        <v>Ś5353</v>
      </c>
      <c r="F386" s="2" t="str">
        <f>IF(A386=0,IF(AND(LEN(B386)&gt;0,LEN(D386)=0),B386,IF(AND(LEN(D386)&gt;0,LEN(B386)=0),D386,"")),IF((VLOOKUP(A386,'[1]plan gier'!$X$1:$AF$65536,7,FALSE))="","",VLOOKUP(VLOOKUP(A386,'[1]plan gier'!$X$1:$AF$65536,7,FALSE),[1]zawodnicy!$A$1:$E$65536,1,FALSE)))</f>
        <v>Ś5585</v>
      </c>
      <c r="H386" s="2" t="str">
        <f>IF(A386=0,"",IF((VLOOKUP(A386,'[1]plan gier'!$X$1:$AF$65536,7,FALSE))="","",VLOOKUP(A386,'[1]plan gier'!$X$1:$AF$65536,9,FALSE)))</f>
        <v>21:14,21:8</v>
      </c>
      <c r="I386" s="2" t="str">
        <f>IF(A386=0,"",IF(VLOOKUP(A386,'[1]plan gier'!A$1:S$65536,19,FALSE)="","",VLOOKUP(A386,'[1]plan gier'!A$1:S$65536,19,FALSE)))</f>
        <v>sob 10:20</v>
      </c>
      <c r="J386" s="2" t="str">
        <f>L277</f>
        <v>pojedyncza chłopców MM</v>
      </c>
      <c r="L386" s="9"/>
      <c r="N386" s="9"/>
      <c r="O386" s="9"/>
      <c r="P386" s="113"/>
      <c r="Q386" s="115">
        <v>246</v>
      </c>
      <c r="R386" s="205" t="str">
        <f>IF(F386="","",VLOOKUP(F386,[1]zawodnicy!$A$1:$D$65536,3,FALSE))</f>
        <v>ŚLEPECKI</v>
      </c>
      <c r="S386" s="116"/>
      <c r="T386" s="116"/>
      <c r="U386" s="101"/>
    </row>
    <row r="387" spans="1:21" ht="12.75" x14ac:dyDescent="0.2">
      <c r="L387" s="9"/>
      <c r="N387" s="9"/>
      <c r="O387" s="9"/>
      <c r="P387" s="113"/>
      <c r="Q387" s="116"/>
      <c r="R387" s="114" t="str">
        <f>IF(H386="",I386,H386)</f>
        <v>21:14,21:8</v>
      </c>
      <c r="S387" s="116"/>
      <c r="T387" s="116"/>
      <c r="U387" s="101"/>
    </row>
    <row r="388" spans="1:21" ht="12.75" x14ac:dyDescent="0.2">
      <c r="A388" s="102">
        <f>P388</f>
        <v>0</v>
      </c>
      <c r="B388" s="2" t="str">
        <f>IF(N388="","",N388)</f>
        <v/>
      </c>
      <c r="D388" s="2" t="str">
        <f>IF(N389="","",N389)</f>
        <v>Ś5353</v>
      </c>
      <c r="F388" s="2" t="str">
        <f>IF(A388=0,IF(AND(LEN(B388)&gt;0,LEN(D388)=0),VLOOKUP(B388,[1]zawodnicy!$A$1:$E$65536,1,FALSE),IF(AND(LEN(D388)&gt;0,LEN(B388)=0),VLOOKUP(D388,[1]zawodnicy!$A$1:$E$65536,1,FALSE),"")),IF((VLOOKUP(A388,'[1]plan gier'!$X$1:$AF$65536,7,FALSE))="","",VLOOKUP(VLOOKUP(A388,'[1]plan gier'!$X$1:$AF$65536,7,FALSE),[1]zawodnicy!$A$1:$E$65536,1,FALSE)))</f>
        <v>Ś5353</v>
      </c>
      <c r="H388" s="2" t="str">
        <f>IF(A388=0,"",IF((VLOOKUP(A388,'[1]plan gier'!$X$1:$AF$65536,7,FALSE))="","",VLOOKUP(A388,'[1]plan gier'!$X$1:$AF$65536,9,FALSE)))</f>
        <v/>
      </c>
      <c r="I388" s="2" t="str">
        <f>IF(A388=0,"",IF(VLOOKUP(A388,'[1]plan gier'!A$1:S$65536,19,FALSE)="","",VLOOKUP(A388,'[1]plan gier'!A$1:S$65536,19,FALSE)))</f>
        <v/>
      </c>
      <c r="J388" s="2" t="str">
        <f>L277</f>
        <v>pojedyncza chłopców MM</v>
      </c>
      <c r="K388" s="95" t="str">
        <f>IF(L276&gt;58,55,"")</f>
        <v/>
      </c>
      <c r="L388" s="198" t="str">
        <f>UPPER(IF(K388="","",IF(ISTEXT(J388),J388,IF(AND(J275&gt;0,K388&gt;0),VLOOKUP(J275&amp;K388&amp;H388,'[4]grup-puch'!G$1:H$65536,2,FALSE),""))))</f>
        <v/>
      </c>
      <c r="M388" s="193" t="str">
        <f>IF(K388="","",MAX(M278:M387)+1)</f>
        <v/>
      </c>
      <c r="N388" s="198" t="str">
        <f>UPPER(IF(M388="","",IF(ISTEXT(L388),L388,IF(AND(L275&gt;0,M388&gt;0),VLOOKUP(L275&amp;M388&amp;J388,'[1]grup-puch'!I$1:J$65536,2,FALSE),""))))</f>
        <v/>
      </c>
      <c r="O388" s="199" t="str">
        <f>IF(N388&lt;&gt;"",CONCATENATE(VLOOKUP(N388,[1]zawodnicy!$A$1:$E$65536,2,FALSE)," ",VLOOKUP(N388,[1]zawodnicy!$A$1:$E$65536,3,FALSE)," - ",VLOOKUP(N388,[1]zawodnicy!$A$1:$E$65536,4,FALSE)),"")</f>
        <v/>
      </c>
      <c r="P388" s="108"/>
      <c r="Q388" s="205" t="str">
        <f>IF(F388="","",VLOOKUP(F388,[1]zawodnicy!$A$1:$D$65536,3,FALSE))</f>
        <v>ŚWISZCZ</v>
      </c>
      <c r="R388" s="114"/>
      <c r="S388" s="116"/>
      <c r="T388" s="116"/>
      <c r="U388" s="101"/>
    </row>
    <row r="389" spans="1:21" ht="12.75" x14ac:dyDescent="0.2">
      <c r="K389" s="95">
        <f>IF(L276&gt;32,56,"")</f>
        <v>56</v>
      </c>
      <c r="L389" s="189" t="s">
        <v>353</v>
      </c>
      <c r="M389" s="193">
        <f>IF(K389="","",MAX(M278:M388)+1)</f>
        <v>43</v>
      </c>
      <c r="N389" s="198" t="str">
        <f>UPPER(IF(M389="","",IF(ISTEXT(L389),L389,IF(AND(L275&gt;0,M389&gt;0),VLOOKUP(L275&amp;M389&amp;J388,'[1]grup-puch'!I$1:J$65536,2,FALSE),""))))</f>
        <v>Ś5353</v>
      </c>
      <c r="O389" s="199" t="str">
        <f>IF(N389&lt;&gt;"",CONCATENATE(VLOOKUP(N389,[1]zawodnicy!$A$1:$E$65536,2,FALSE)," ",VLOOKUP(N389,[1]zawodnicy!$A$1:$E$65536,3,FALSE)," - ",VLOOKUP(N389,[1]zawodnicy!$A$1:$E$65536,4,FALSE)),"")</f>
        <v>Maciej ŚWISZCZ - UKS Kiko Zamość</v>
      </c>
      <c r="P389" s="202"/>
      <c r="Q389" s="114" t="str">
        <f>IF(H388="",I388,H388)</f>
        <v/>
      </c>
      <c r="R389" s="114"/>
      <c r="S389" s="116"/>
      <c r="T389" s="116"/>
      <c r="U389" s="101"/>
    </row>
    <row r="390" spans="1:21" ht="12.75" x14ac:dyDescent="0.2">
      <c r="A390" s="172">
        <f>S390</f>
        <v>368</v>
      </c>
      <c r="B390" s="2" t="str">
        <f>F382</f>
        <v>Ś5585</v>
      </c>
      <c r="D390" s="2" t="str">
        <f>F398</f>
        <v>M4612</v>
      </c>
      <c r="F390" s="2" t="str">
        <f>IF(A390=0,IF(AND(LEN(B390)&gt;0,LEN(D390)=0),B390,IF(AND(LEN(D390)&gt;0,LEN(B390)=0),D390,"")),IF((VLOOKUP(A390,'[1]plan gier'!$X$1:$AF$65536,7,FALSE))="","",VLOOKUP(VLOOKUP(A390,'[1]plan gier'!$X$1:$AF$65536,7,FALSE),[1]zawodnicy!$A$1:$E$65536,1,FALSE)))</f>
        <v>M4612</v>
      </c>
      <c r="H390" s="2" t="str">
        <f>IF(A390=0,"",IF((VLOOKUP(A390,'[1]plan gier'!$X$1:$AF$65536,7,FALSE))="","",VLOOKUP(A390,'[1]plan gier'!$X$1:$AF$65536,9,FALSE)))</f>
        <v>15:21,21:15,21:19</v>
      </c>
      <c r="I390" s="2" t="str">
        <f>IF(A390=0,"",IF(VLOOKUP(A390,'[1]plan gier'!A$1:S$65536,19,FALSE)="","",VLOOKUP(A390,'[1]plan gier'!A$1:S$65536,19,FALSE)))</f>
        <v>sob 17:30</v>
      </c>
      <c r="J390" s="2" t="str">
        <f>L277</f>
        <v>pojedyncza chłopców MM</v>
      </c>
      <c r="L390" s="9"/>
      <c r="N390" s="9"/>
      <c r="O390" s="9"/>
      <c r="P390" s="113"/>
      <c r="Q390" s="114"/>
      <c r="R390" s="114"/>
      <c r="S390" s="115">
        <v>368</v>
      </c>
      <c r="T390" s="205" t="str">
        <f>IF(F390="","",VLOOKUP(F390,[1]zawodnicy!$A$1:$D$65536,3,FALSE))</f>
        <v>MICHAŁEK</v>
      </c>
      <c r="U390" s="101"/>
    </row>
    <row r="391" spans="1:21" ht="12.75" x14ac:dyDescent="0.2">
      <c r="L391" s="9"/>
      <c r="N391" s="9"/>
      <c r="O391" s="9"/>
      <c r="P391" s="113"/>
      <c r="Q391" s="114"/>
      <c r="R391" s="114"/>
      <c r="S391" s="116"/>
      <c r="T391" s="114" t="str">
        <f>IF(H390="",I390,H390)</f>
        <v>15:21,21:15,21:19</v>
      </c>
      <c r="U391" s="101"/>
    </row>
    <row r="392" spans="1:21" ht="12.75" x14ac:dyDescent="0.2">
      <c r="A392" s="102">
        <f>P392</f>
        <v>195</v>
      </c>
      <c r="B392" s="2" t="str">
        <f>IF(N392="","",N392)</f>
        <v>F4888</v>
      </c>
      <c r="D392" s="2" t="str">
        <f>IF(N393="","",N393)</f>
        <v>X48</v>
      </c>
      <c r="F392" s="2" t="str">
        <f>IF(A392=0,IF(AND(LEN(B392)&gt;0,LEN(D392)=0),VLOOKUP(B392,[1]zawodnicy!$A$1:$E$65536,1,FALSE),IF(AND(LEN(D392)&gt;0,LEN(B392)=0),VLOOKUP(D392,[1]zawodnicy!$A$1:$E$65536,1,FALSE),"")),IF((VLOOKUP(A392,'[1]plan gier'!$X$1:$AF$65536,7,FALSE))="","",VLOOKUP(VLOOKUP(A392,'[1]plan gier'!$X$1:$AF$65536,7,FALSE),[1]zawodnicy!$A$1:$E$65536,1,FALSE)))</f>
        <v>F4888</v>
      </c>
      <c r="H392" s="2" t="str">
        <f>IF(A392=0,"",IF((VLOOKUP(A392,'[1]plan gier'!$X$1:$AF$65536,7,FALSE))="","",VLOOKUP(A392,'[1]plan gier'!$X$1:$AF$65536,9,FALSE)))</f>
        <v>21:0,21:0</v>
      </c>
      <c r="I392" s="2" t="str">
        <f>IF(A392=0,"",IF(VLOOKUP(A392,'[1]plan gier'!A$1:S$65536,19,FALSE)="","",VLOOKUP(A392,'[1]plan gier'!A$1:S$65536,19,FALSE)))</f>
        <v>pt 20:50</v>
      </c>
      <c r="J392" s="2" t="str">
        <f>L277</f>
        <v>pojedyncza chłopców MM</v>
      </c>
      <c r="K392" s="95">
        <f>IF(L276&gt;38,57,"")</f>
        <v>57</v>
      </c>
      <c r="L392" s="210" t="s">
        <v>348</v>
      </c>
      <c r="M392" s="193">
        <f>IF(K392="","",MAX(M278:M391)+1)</f>
        <v>44</v>
      </c>
      <c r="N392" s="198" t="str">
        <f>UPPER(IF(M392="","",IF(ISTEXT(L392),L392,IF(AND(L275&gt;0,M392&gt;0),VLOOKUP(L275&amp;M392&amp;J392,'[1]grup-puch'!I$1:J$65536,2,FALSE),""))))</f>
        <v>F4888</v>
      </c>
      <c r="O392" s="199" t="str">
        <f>IF(N392&lt;&gt;"",CONCATENATE(VLOOKUP(N392,[1]zawodnicy!$A$1:$E$65536,2,FALSE)," ",VLOOKUP(N392,[1]zawodnicy!$A$1:$E$65536,3,FALSE)," - ",VLOOKUP(N392,[1]zawodnicy!$A$1:$E$65536,4,FALSE)),"")</f>
        <v>Jarosław FIJAŁKOWSKI - UKSB Milenium Warszawa</v>
      </c>
      <c r="P392" s="108">
        <v>195</v>
      </c>
      <c r="Q392" s="200" t="str">
        <f>IF(F392="","",VLOOKUP(F392,[1]zawodnicy!$A$1:$D$65536,3,FALSE))</f>
        <v>FIJAŁKOWSKI</v>
      </c>
      <c r="R392" s="114"/>
      <c r="S392" s="116"/>
      <c r="T392" s="114"/>
      <c r="U392" s="101"/>
    </row>
    <row r="393" spans="1:21" ht="12.75" x14ac:dyDescent="0.2">
      <c r="K393" s="95">
        <f>IF(L276&gt;32,58,"")</f>
        <v>58</v>
      </c>
      <c r="L393" s="188" t="s">
        <v>343</v>
      </c>
      <c r="M393" s="193">
        <f>IF(K393="","",MAX(M278:M392)+1)</f>
        <v>45</v>
      </c>
      <c r="N393" s="198" t="str">
        <f>UPPER(IF(M393="","",IF(ISTEXT(L393),L393,IF(AND(L275&gt;0,M393&gt;0),VLOOKUP(L275&amp;M393&amp;J392,'[1]grup-puch'!I$1:J$65536,2,FALSE),""))))</f>
        <v>X48</v>
      </c>
      <c r="O393" s="199" t="str">
        <f>IF(N393&lt;&gt;"",CONCATENATE(VLOOKUP(N393,[1]zawodnicy!$A$1:$E$65536,2,FALSE)," ",VLOOKUP(N393,[1]zawodnicy!$A$1:$E$65536,3,FALSE)," - ",VLOOKUP(N393,[1]zawodnicy!$A$1:$E$65536,4,FALSE)),"")</f>
        <v>Tom Kůr  - Slavoj Cesky Tesin</v>
      </c>
      <c r="P393" s="202"/>
      <c r="Q393" s="203" t="str">
        <f>IF(H392="",I392,H392)</f>
        <v>21:0,21:0</v>
      </c>
      <c r="R393" s="114"/>
      <c r="S393" s="116"/>
      <c r="T393" s="114"/>
      <c r="U393" s="101"/>
    </row>
    <row r="394" spans="1:21" ht="12.75" x14ac:dyDescent="0.2">
      <c r="A394" s="111">
        <f>Q394</f>
        <v>247</v>
      </c>
      <c r="B394" s="2" t="str">
        <f>F392</f>
        <v>F4888</v>
      </c>
      <c r="D394" s="2" t="str">
        <f>F396</f>
        <v>B4655</v>
      </c>
      <c r="F394" s="2" t="str">
        <f>IF(A394=0,IF(AND(LEN(B394)&gt;0,LEN(D394)=0),B394,IF(AND(LEN(D394)&gt;0,LEN(B394)=0),D394,"")),IF((VLOOKUP(A394,'[1]plan gier'!$X$1:$AF$65536,7,FALSE))="","",VLOOKUP(VLOOKUP(A394,'[1]plan gier'!$X$1:$AF$65536,7,FALSE),[1]zawodnicy!$A$1:$E$65536,1,FALSE)))</f>
        <v>F4888</v>
      </c>
      <c r="H394" s="2" t="str">
        <f>IF(A394=0,"",IF((VLOOKUP(A394,'[1]plan gier'!$X$1:$AF$65536,7,FALSE))="","",VLOOKUP(A394,'[1]plan gier'!$X$1:$AF$65536,9,FALSE)))</f>
        <v>22:20,21:17</v>
      </c>
      <c r="I394" s="2" t="str">
        <f>IF(A394=0,"",IF(VLOOKUP(A394,'[1]plan gier'!A$1:S$65536,19,FALSE)="","",VLOOKUP(A394,'[1]plan gier'!A$1:S$65536,19,FALSE)))</f>
        <v>sob 10:40</v>
      </c>
      <c r="J394" s="2" t="str">
        <f>L277</f>
        <v>pojedyncza chłopców MM</v>
      </c>
      <c r="L394" s="9"/>
      <c r="N394" s="9"/>
      <c r="O394" s="9"/>
      <c r="P394" s="113"/>
      <c r="Q394" s="115">
        <v>247</v>
      </c>
      <c r="R394" s="200" t="str">
        <f>IF(F394="","",VLOOKUP(F394,[1]zawodnicy!$A$1:$D$65536,3,FALSE))</f>
        <v>FIJAŁKOWSKI</v>
      </c>
      <c r="S394" s="116"/>
      <c r="T394" s="114"/>
      <c r="U394" s="101"/>
    </row>
    <row r="395" spans="1:21" ht="12.75" x14ac:dyDescent="0.2">
      <c r="L395" s="9"/>
      <c r="N395" s="9"/>
      <c r="O395" s="9"/>
      <c r="P395" s="113"/>
      <c r="Q395" s="116"/>
      <c r="R395" s="203" t="str">
        <f>IF(H394="",I394,H394)</f>
        <v>22:20,21:17</v>
      </c>
      <c r="S395" s="116"/>
      <c r="T395" s="114"/>
      <c r="U395" s="101"/>
    </row>
    <row r="396" spans="1:21" ht="12.75" x14ac:dyDescent="0.2">
      <c r="A396" s="102">
        <f>P396</f>
        <v>196</v>
      </c>
      <c r="B396" s="2" t="str">
        <f>IF(N396="","",N396)</f>
        <v>B4655</v>
      </c>
      <c r="D396" s="2" t="str">
        <f>IF(N397="","",N397)</f>
        <v>P5629</v>
      </c>
      <c r="F396" s="2" t="str">
        <f>IF(A396=0,IF(AND(LEN(B396)&gt;0,LEN(D396)=0),VLOOKUP(B396,[1]zawodnicy!$A$1:$E$65536,1,FALSE),IF(AND(LEN(D396)&gt;0,LEN(B396)=0),VLOOKUP(D396,[1]zawodnicy!$A$1:$E$65536,1,FALSE),"")),IF((VLOOKUP(A396,'[1]plan gier'!$X$1:$AF$65536,7,FALSE))="","",VLOOKUP(VLOOKUP(A396,'[1]plan gier'!$X$1:$AF$65536,7,FALSE),[1]zawodnicy!$A$1:$E$65536,1,FALSE)))</f>
        <v>B4655</v>
      </c>
      <c r="H396" s="2" t="str">
        <f>IF(A396=0,"",IF((VLOOKUP(A396,'[1]plan gier'!$X$1:$AF$65536,7,FALSE))="","",VLOOKUP(A396,'[1]plan gier'!$X$1:$AF$65536,9,FALSE)))</f>
        <v>21:15,21:6</v>
      </c>
      <c r="I396" s="2" t="str">
        <f>IF(A396=0,"",IF(VLOOKUP(A396,'[1]plan gier'!A$1:S$65536,19,FALSE)="","",VLOOKUP(A396,'[1]plan gier'!A$1:S$65536,19,FALSE)))</f>
        <v>pt 20:50</v>
      </c>
      <c r="J396" s="2" t="str">
        <f>L277</f>
        <v>pojedyncza chłopców MM</v>
      </c>
      <c r="K396" s="95">
        <f>IF(L276&gt;46,59,"")</f>
        <v>59</v>
      </c>
      <c r="L396" s="189" t="s">
        <v>334</v>
      </c>
      <c r="M396" s="193">
        <f>IF(K396="","",MAX(M278:M395)+1)</f>
        <v>46</v>
      </c>
      <c r="N396" s="198" t="str">
        <f>UPPER(IF(M396="","",IF(ISTEXT(L396),L396,IF(AND(L275&gt;0,M396&gt;0),VLOOKUP(L275&amp;M396&amp;J396,'[1]grup-puch'!I$1:J$65536,2,FALSE),""))))</f>
        <v>B4655</v>
      </c>
      <c r="O396" s="199" t="str">
        <f>IF(N396&lt;&gt;"",CONCATENATE(VLOOKUP(N396,[1]zawodnicy!$A$1:$E$65536,2,FALSE)," ",VLOOKUP(N396,[1]zawodnicy!$A$1:$E$65536,3,FALSE)," - ",VLOOKUP(N396,[1]zawodnicy!$A$1:$E$65536,4,FALSE)),"")</f>
        <v>Sebastian BILBIN - SKB Suwałki</v>
      </c>
      <c r="P396" s="108">
        <v>196</v>
      </c>
      <c r="Q396" s="205" t="str">
        <f>IF(F396="","",VLOOKUP(F396,[1]zawodnicy!$A$1:$D$65536,3,FALSE))</f>
        <v>BILBIN</v>
      </c>
      <c r="R396" s="116"/>
      <c r="S396" s="116"/>
      <c r="T396" s="114"/>
      <c r="U396" s="101"/>
    </row>
    <row r="397" spans="1:21" ht="12.75" x14ac:dyDescent="0.2">
      <c r="K397" s="95">
        <f>IF(L276&gt;32,60,"")</f>
        <v>60</v>
      </c>
      <c r="L397" s="187" t="s">
        <v>332</v>
      </c>
      <c r="M397" s="193">
        <f>IF(K397="","",MAX(M278:M396)+1)</f>
        <v>47</v>
      </c>
      <c r="N397" s="198" t="str">
        <f>UPPER(IF(M397="","",IF(ISTEXT(L397),L397,IF(AND(L275&gt;0,M397&gt;0),VLOOKUP(L275&amp;M397&amp;J396,'[1]grup-puch'!I$1:J$65536,2,FALSE),""))))</f>
        <v>P5629</v>
      </c>
      <c r="O397" s="199" t="str">
        <f>IF(N397&lt;&gt;"",CONCATENATE(VLOOKUP(N397,[1]zawodnicy!$A$1:$E$65536,2,FALSE)," ",VLOOKUP(N397,[1]zawodnicy!$A$1:$E$65536,3,FALSE)," - ",VLOOKUP(N397,[1]zawodnicy!$A$1:$E$65536,4,FALSE)),"")</f>
        <v>Konrad PIECH - UKS Hubal Białystok</v>
      </c>
      <c r="P397" s="202"/>
      <c r="Q397" s="114" t="str">
        <f>IF(H396="",I396,H396)</f>
        <v>21:15,21:6</v>
      </c>
      <c r="R397" s="116"/>
      <c r="S397" s="116"/>
      <c r="T397" s="114"/>
      <c r="U397" s="101"/>
    </row>
    <row r="398" spans="1:21" ht="12.75" x14ac:dyDescent="0.2">
      <c r="A398" s="118">
        <f>R398</f>
        <v>316</v>
      </c>
      <c r="B398" s="2" t="str">
        <f>F394</f>
        <v>F4888</v>
      </c>
      <c r="D398" s="2" t="str">
        <f>F402</f>
        <v>M4612</v>
      </c>
      <c r="F398" s="2" t="str">
        <f>IF(A398=0,IF(AND(LEN(B398)&gt;0,LEN(D398)=0),B398,IF(AND(LEN(D398)&gt;0,LEN(B398)=0),D398,"")),IF((VLOOKUP(A398,'[1]plan gier'!$X$1:$AF$65536,7,FALSE))="","",VLOOKUP(VLOOKUP(A398,'[1]plan gier'!$X$1:$AF$65536,7,FALSE),[1]zawodnicy!$A$1:$E$65536,1,FALSE)))</f>
        <v>M4612</v>
      </c>
      <c r="H398" s="2" t="str">
        <f>IF(A398=0,"",IF((VLOOKUP(A398,'[1]plan gier'!$X$1:$AF$65536,7,FALSE))="","",VLOOKUP(A398,'[1]plan gier'!$X$1:$AF$65536,9,FALSE)))</f>
        <v>21:11,21:8</v>
      </c>
      <c r="I398" s="2" t="str">
        <f>IF(A398=0,"",IF(VLOOKUP(A398,'[1]plan gier'!A$1:S$65536,19,FALSE)="","",VLOOKUP(A398,'[1]plan gier'!A$1:S$65536,19,FALSE)))</f>
        <v>sob 14:40</v>
      </c>
      <c r="J398" s="2" t="str">
        <f>L277</f>
        <v>pojedyncza chłopców MM</v>
      </c>
      <c r="L398" s="9"/>
      <c r="N398" s="9"/>
      <c r="O398" s="9"/>
      <c r="P398" s="113"/>
      <c r="Q398" s="114"/>
      <c r="R398" s="206">
        <v>316</v>
      </c>
      <c r="S398" s="205" t="str">
        <f>IF(F398="","",VLOOKUP(F398,[1]zawodnicy!$A$1:$D$65536,3,FALSE))</f>
        <v>MICHAŁEK</v>
      </c>
      <c r="T398" s="114"/>
      <c r="U398" s="101"/>
    </row>
    <row r="399" spans="1:21" ht="12.75" x14ac:dyDescent="0.2">
      <c r="L399" s="9"/>
      <c r="N399" s="9"/>
      <c r="O399" s="9"/>
      <c r="P399" s="113"/>
      <c r="Q399" s="114"/>
      <c r="R399" s="116"/>
      <c r="S399" s="114" t="str">
        <f>IF(H398="",I398,H398)</f>
        <v>21:11,21:8</v>
      </c>
      <c r="T399" s="114"/>
      <c r="U399" s="101"/>
    </row>
    <row r="400" spans="1:21" ht="12.75" x14ac:dyDescent="0.2">
      <c r="A400" s="102">
        <f>P400</f>
        <v>0</v>
      </c>
      <c r="B400" s="2" t="str">
        <f>IF(N400="","",N400)</f>
        <v/>
      </c>
      <c r="D400" s="2" t="str">
        <f>IF(N401="","",N401)</f>
        <v>O5453</v>
      </c>
      <c r="F400" s="2" t="str">
        <f>IF(A400=0,IF(AND(LEN(B400)&gt;0,LEN(D400)=0),VLOOKUP(B400,[1]zawodnicy!$A$1:$E$65536,1,FALSE),IF(AND(LEN(D400)&gt;0,LEN(B400)=0),VLOOKUP(D400,[1]zawodnicy!$A$1:$E$65536,1,FALSE),"")),IF((VLOOKUP(A400,'[1]plan gier'!$X$1:$AF$65536,7,FALSE))="","",VLOOKUP(VLOOKUP(A400,'[1]plan gier'!$X$1:$AF$65536,7,FALSE),[1]zawodnicy!$A$1:$E$65536,1,FALSE)))</f>
        <v>O5453</v>
      </c>
      <c r="H400" s="2" t="str">
        <f>IF(A400=0,"",IF((VLOOKUP(A400,'[1]plan gier'!$X$1:$AF$65536,7,FALSE))="","",VLOOKUP(A400,'[1]plan gier'!$X$1:$AF$65536,9,FALSE)))</f>
        <v/>
      </c>
      <c r="I400" s="2" t="str">
        <f>IF(A400=0,"",IF(VLOOKUP(A400,'[1]plan gier'!A$1:S$65536,19,FALSE)="","",VLOOKUP(A400,'[1]plan gier'!A$1:S$65536,19,FALSE)))</f>
        <v/>
      </c>
      <c r="J400" s="2" t="str">
        <f>L277</f>
        <v>pojedyncza chłopców MM</v>
      </c>
      <c r="K400" s="95" t="str">
        <f>IF(L276&gt;54,61,"")</f>
        <v/>
      </c>
      <c r="L400" s="198" t="str">
        <f>UPPER(IF(K400="","",IF(ISTEXT(J400),J400,IF(AND(J275&gt;0,K400&gt;0),VLOOKUP(J275&amp;K400&amp;H400,'[4]grup-puch'!G$1:H$65536,2,FALSE),""))))</f>
        <v/>
      </c>
      <c r="M400" s="193" t="str">
        <f>IF(K400="","",MAX(M278:M399)+1)</f>
        <v/>
      </c>
      <c r="N400" s="198" t="str">
        <f>UPPER(IF(M400="","",IF(ISTEXT(L400),L400,IF(AND(L275&gt;0,M400&gt;0),VLOOKUP(L275&amp;M400&amp;J400,'[1]grup-puch'!I$1:J$65536,2,FALSE),""))))</f>
        <v/>
      </c>
      <c r="O400" s="199" t="str">
        <f>IF(N400&lt;&gt;"",CONCATENATE(VLOOKUP(N400,[1]zawodnicy!$A$1:$E$65536,2,FALSE)," ",VLOOKUP(N400,[1]zawodnicy!$A$1:$E$65536,3,FALSE)," - ",VLOOKUP(N400,[1]zawodnicy!$A$1:$E$65536,4,FALSE)),"")</f>
        <v/>
      </c>
      <c r="P400" s="108"/>
      <c r="Q400" s="200" t="str">
        <f>IF(F400="","",VLOOKUP(F400,[1]zawodnicy!$A$1:$D$65536,3,FALSE))</f>
        <v>OKROJEK</v>
      </c>
      <c r="R400" s="116"/>
      <c r="S400" s="114"/>
      <c r="T400" s="114"/>
      <c r="U400" s="101"/>
    </row>
    <row r="401" spans="1:21" ht="12.75" x14ac:dyDescent="0.2">
      <c r="A401" s="211"/>
      <c r="K401" s="95">
        <f>IF(L276&gt;32,62,"")</f>
        <v>62</v>
      </c>
      <c r="L401" s="188" t="s">
        <v>420</v>
      </c>
      <c r="M401" s="193">
        <f>IF(K401="","",MAX(M278:M400)+1)</f>
        <v>48</v>
      </c>
      <c r="N401" s="198" t="str">
        <f>UPPER(IF(M401="","",IF(ISTEXT(L401),L401,IF(AND(L275&gt;0,M401&gt;0),VLOOKUP(L275&amp;M401&amp;J400,'[1]grup-puch'!I$1:J$65536,2,FALSE),""))))</f>
        <v>O5453</v>
      </c>
      <c r="O401" s="199" t="str">
        <f>IF(N401&lt;&gt;"",CONCATENATE(VLOOKUP(N401,[1]zawodnicy!$A$1:$E$65536,2,FALSE)," ",VLOOKUP(N401,[1]zawodnicy!$A$1:$E$65536,3,FALSE)," - ",VLOOKUP(N401,[1]zawodnicy!$A$1:$E$65536,4,FALSE)),"")</f>
        <v>Kacper OKROJEK - UKS Korona Pabianice</v>
      </c>
      <c r="P401" s="202"/>
      <c r="Q401" s="203" t="str">
        <f>IF(H400="",I400,H400)</f>
        <v/>
      </c>
      <c r="R401" s="116"/>
      <c r="S401" s="114"/>
      <c r="T401" s="114"/>
      <c r="U401" s="101"/>
    </row>
    <row r="402" spans="1:21" ht="12.75" x14ac:dyDescent="0.2">
      <c r="A402" s="111">
        <f>Q402</f>
        <v>248</v>
      </c>
      <c r="B402" s="2" t="str">
        <f>F400</f>
        <v>O5453</v>
      </c>
      <c r="D402" s="2" t="str">
        <f>F404</f>
        <v>M4612</v>
      </c>
      <c r="F402" s="2" t="str">
        <f>IF(A402=0,IF(AND(LEN(B402)&gt;0,LEN(D402)=0),B402,IF(AND(LEN(D402)&gt;0,LEN(B402)=0),D402,"")),IF((VLOOKUP(A402,'[1]plan gier'!$X$1:$AF$65536,7,FALSE))="","",VLOOKUP(VLOOKUP(A402,'[1]plan gier'!$X$1:$AF$65536,7,FALSE),[1]zawodnicy!$A$1:$E$65536,1,FALSE)))</f>
        <v>M4612</v>
      </c>
      <c r="H402" s="2" t="str">
        <f>IF(A402=0,"",IF((VLOOKUP(A402,'[1]plan gier'!$X$1:$AF$65536,7,FALSE))="","",VLOOKUP(A402,'[1]plan gier'!$X$1:$AF$65536,9,FALSE)))</f>
        <v>21:6,21:5</v>
      </c>
      <c r="I402" s="2" t="str">
        <f>IF(A402=0,"",IF(VLOOKUP(A402,'[1]plan gier'!A$1:S$65536,19,FALSE)="","",VLOOKUP(A402,'[1]plan gier'!A$1:S$65536,19,FALSE)))</f>
        <v>sob 10:40</v>
      </c>
      <c r="J402" s="2" t="str">
        <f>L277</f>
        <v>pojedyncza chłopców MM</v>
      </c>
      <c r="L402" s="9"/>
      <c r="N402" s="9"/>
      <c r="O402" s="9"/>
      <c r="P402" s="113"/>
      <c r="Q402" s="115">
        <v>248</v>
      </c>
      <c r="R402" s="205" t="str">
        <f>IF(F402="","",VLOOKUP(F402,[1]zawodnicy!$A$1:$D$65536,3,FALSE))</f>
        <v>MICHAŁEK</v>
      </c>
      <c r="S402" s="2"/>
      <c r="T402" s="2"/>
      <c r="U402" s="101"/>
    </row>
    <row r="403" spans="1:21" ht="12.75" x14ac:dyDescent="0.2">
      <c r="L403" s="9"/>
      <c r="N403" s="9"/>
      <c r="O403" s="9"/>
      <c r="P403" s="113"/>
      <c r="Q403" s="116"/>
      <c r="R403" s="114" t="str">
        <f>IF(H402="",I402,H402)</f>
        <v>21:6,21:5</v>
      </c>
      <c r="S403" s="114"/>
      <c r="T403" s="114"/>
      <c r="U403" s="101"/>
    </row>
    <row r="404" spans="1:21" ht="12.75" x14ac:dyDescent="0.2">
      <c r="A404" s="102">
        <f>P404</f>
        <v>0</v>
      </c>
      <c r="B404" s="2" t="str">
        <f>IF(N404="","",N404)</f>
        <v/>
      </c>
      <c r="D404" s="2" t="str">
        <f>IF(N405="","",N405)</f>
        <v>M4612</v>
      </c>
      <c r="F404" s="2" t="str">
        <f>IF(A404=0,IF(AND(LEN(B404)&gt;0,LEN(D404)=0),VLOOKUP(B404,[1]zawodnicy!$A$1:$E$65536,1,FALSE),IF(AND(LEN(D404)&gt;0,LEN(B404)=0),VLOOKUP(D404,[1]zawodnicy!$A$1:$E$65536,1,FALSE),"")),IF((VLOOKUP(A404,'[1]plan gier'!$X$1:$AF$65536,7,FALSE))="","",VLOOKUP(VLOOKUP(A404,'[1]plan gier'!$X$1:$AF$65536,7,FALSE),[1]zawodnicy!$A$1:$E$65536,1,FALSE)))</f>
        <v>M4612</v>
      </c>
      <c r="H404" s="2" t="str">
        <f>IF(A404=0,"",IF((VLOOKUP(A404,'[1]plan gier'!$X$1:$AF$65536,7,FALSE))="","",VLOOKUP(A404,'[1]plan gier'!$X$1:$AF$65536,9,FALSE)))</f>
        <v/>
      </c>
      <c r="I404" s="2" t="str">
        <f>IF(A404=0,"",IF(VLOOKUP(A404,'[1]plan gier'!A$1:S$65536,19,FALSE)="","",VLOOKUP(A404,'[1]plan gier'!A$1:S$65536,19,FALSE)))</f>
        <v/>
      </c>
      <c r="J404" s="2" t="str">
        <f>L277</f>
        <v>pojedyncza chłopców MM</v>
      </c>
      <c r="K404" s="95" t="str">
        <f>IF(L276&gt;62,63,"")</f>
        <v/>
      </c>
      <c r="L404" s="198" t="str">
        <f>UPPER(IF(K404="","",IF(ISTEXT(J404),J404,IF(AND(J275&gt;0,K404&gt;0),VLOOKUP(J275&amp;K404&amp;H404,'[4]grup-puch'!G$1:H$65536,2,FALSE),""))))</f>
        <v/>
      </c>
      <c r="M404" s="193" t="str">
        <f>IF(K404="","",MAX(M278:M403)+1)</f>
        <v/>
      </c>
      <c r="N404" s="198" t="str">
        <f>UPPER(IF(M404="","",IF(ISTEXT(L404),L404,IF(AND(L275&gt;0,M404&gt;0),VLOOKUP(L275&amp;M404&amp;J404,'[1]grup-puch'!I$1:J$65536,2,FALSE),""))))</f>
        <v/>
      </c>
      <c r="O404" s="199" t="str">
        <f>IF(N404&lt;&gt;"",CONCATENATE(VLOOKUP(N404,[1]zawodnicy!$A$1:$E$65536,2,FALSE)," ",VLOOKUP(N404,[1]zawodnicy!$A$1:$E$65536,3,FALSE)," - ",VLOOKUP(N404,[1]zawodnicy!$A$1:$E$65536,4,FALSE)),"")</f>
        <v/>
      </c>
      <c r="P404" s="108"/>
      <c r="Q404" s="205" t="str">
        <f>IF(F404="","",VLOOKUP(F404,[1]zawodnicy!$A$1:$D$65536,3,FALSE))</f>
        <v>MICHAŁEK</v>
      </c>
      <c r="R404" s="170"/>
      <c r="S404" s="229" t="s">
        <v>411</v>
      </c>
      <c r="T404" s="229"/>
      <c r="U404" s="101"/>
    </row>
    <row r="405" spans="1:21" ht="12.75" x14ac:dyDescent="0.2">
      <c r="K405" s="95">
        <f>IF(L276&gt;32,64,"")</f>
        <v>64</v>
      </c>
      <c r="L405" s="187" t="s">
        <v>369</v>
      </c>
      <c r="M405" s="193">
        <f>IF(K405="","",MAX(M278:M404)+1)</f>
        <v>49</v>
      </c>
      <c r="N405" s="198" t="str">
        <f>UPPER(IF(M405="","",IF(ISTEXT(L405),L405,IF(AND(L275&gt;0,M405&gt;0),VLOOKUP(L275&amp;M405&amp;J404,'[1]grup-puch'!I$1:J$65536,2,FALSE),""))))</f>
        <v>M4612</v>
      </c>
      <c r="O405" s="199" t="str">
        <f>IF(N405&lt;&gt;"",CONCATENATE(VLOOKUP(N405,[1]zawodnicy!$A$1:$E$65536,2,FALSE)," ",VLOOKUP(N405,[1]zawodnicy!$A$1:$E$65536,3,FALSE)," - ",VLOOKUP(N405,[1]zawodnicy!$A$1:$E$65536,4,FALSE)),"")</f>
        <v>Patryk MICHAŁEK - UKS Orbitek Straszęcin</v>
      </c>
      <c r="P405" s="202"/>
      <c r="Q405" s="114" t="str">
        <f>IF(H404="",I404,H404)</f>
        <v/>
      </c>
      <c r="R405" s="214"/>
      <c r="S405" s="229" t="str">
        <f>IF(ISBLANK([1]dane!$D$4),"",[1]dane!$D$4)</f>
        <v>Leszek Jagodziński</v>
      </c>
      <c r="T405" s="229"/>
      <c r="U405" s="101"/>
    </row>
  </sheetData>
  <sheetProtection selectLockedCells="1" selectUnlockedCells="1"/>
  <mergeCells count="26">
    <mergeCell ref="S70:T70"/>
    <mergeCell ref="N1:U1"/>
    <mergeCell ref="N2:U2"/>
    <mergeCell ref="N4:U4"/>
    <mergeCell ref="M6:U6"/>
    <mergeCell ref="S69:T69"/>
    <mergeCell ref="S271:T271"/>
    <mergeCell ref="N71:U71"/>
    <mergeCell ref="M72:U72"/>
    <mergeCell ref="S135:T135"/>
    <mergeCell ref="S136:T136"/>
    <mergeCell ref="N139:U139"/>
    <mergeCell ref="M141:U141"/>
    <mergeCell ref="S204:T204"/>
    <mergeCell ref="S205:T205"/>
    <mergeCell ref="N206:U206"/>
    <mergeCell ref="M207:U207"/>
    <mergeCell ref="S270:T270"/>
    <mergeCell ref="S404:T404"/>
    <mergeCell ref="S405:T405"/>
    <mergeCell ref="N273:U273"/>
    <mergeCell ref="M275:U275"/>
    <mergeCell ref="S338:T338"/>
    <mergeCell ref="S339:T339"/>
    <mergeCell ref="N340:U340"/>
    <mergeCell ref="M341:U341"/>
  </mergeCells>
  <phoneticPr fontId="0" type="noConversion"/>
  <conditionalFormatting sqref="L278 L310 L294 L326 L330 L298 L286:L287 L302:L303 L314 L290:L291 L334:L335 L338:L339 L322:L323 L282 L318:L319 L306:L307">
    <cfRule type="cellIs" dxfId="3" priority="4" stopIfTrue="1" operator="equal">
      <formula>0</formula>
    </cfRule>
  </conditionalFormatting>
  <conditionalFormatting sqref="L405 L373 L357 L389 L385 L369 L381 L392:L393 L352:L353 L360:L361 L401 L396:L397 L364:L365 L344:L345 L376:L377 L348:L349">
    <cfRule type="cellIs" dxfId="2" priority="3" stopIfTrue="1" operator="equal">
      <formula>0</formula>
    </cfRule>
  </conditionalFormatting>
  <conditionalFormatting sqref="L9 L25 L41:L42 L33:L34 L69 L13:L14 L65:L66 L62 L49:L50 L21:L22 L17:L18 L53:L54 L45:L46 L37:L38 L57:L58 L29:L30">
    <cfRule type="cellIs" dxfId="1" priority="2" stopIfTrue="1" operator="equal">
      <formula>0</formula>
    </cfRule>
  </conditionalFormatting>
  <conditionalFormatting sqref="L136 L104 L92 L107:L108 L127:L128 L123 L99:L100 L87:L88 L131:L132 L115:L116 L95:L96 L111:L112 L75:L76 L83:L84 L79:L80 L119:L120">
    <cfRule type="cellIs" dxfId="0" priority="1" stopIfTrue="1" operator="equal">
      <formula>0</formula>
    </cfRule>
  </conditionalFormatting>
  <dataValidations count="2">
    <dataValidation type="list" allowBlank="1" showInputMessage="1" showErrorMessage="1" sqref="L8 L143 L277">
      <formula1>Poj</formula1>
    </dataValidation>
    <dataValidation type="list" allowBlank="1" showInputMessage="1" showErrorMessage="1" sqref="L4 L139 L273">
      <formula1>Gry</formula1>
    </dataValidation>
  </dataValidations>
  <printOptions horizontalCentered="1"/>
  <pageMargins left="0.19685039370078741" right="0.19685039370078741" top="0.19685039370078741" bottom="0.59055118110236227" header="0" footer="0"/>
  <pageSetup paperSize="9" scale="64" fitToHeight="2" orientation="portrait" horizontalDpi="4294967294" verticalDpi="300" r:id="rId1"/>
  <headerFooter alignWithMargins="0">
    <oddHeader>&amp;L&amp;G</oddHead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3</vt:i4>
      </vt:variant>
    </vt:vector>
  </HeadingPairs>
  <TitlesOfParts>
    <vt:vector size="6" baseType="lpstr">
      <vt:lpstr>Płońsk</vt:lpstr>
      <vt:lpstr>Sochocin grupy</vt:lpstr>
      <vt:lpstr>Sochocin puchar</vt:lpstr>
      <vt:lpstr>Płońsk!Obszar_wydruku</vt:lpstr>
      <vt:lpstr>'Sochocin grupy'!Obszar_wydruku</vt:lpstr>
      <vt:lpstr>'Sochocin puchar'!Obszar_wydruku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Leszek Jagodzinski</dc:creator>
  <cp:lastModifiedBy>PZL</cp:lastModifiedBy>
  <dcterms:created xsi:type="dcterms:W3CDTF">2013-10-28T10:35:17Z</dcterms:created>
  <dcterms:modified xsi:type="dcterms:W3CDTF">2013-10-28T16:25:45Z</dcterms:modified>
</cp:coreProperties>
</file>